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ySheet" sheetId="1" r:id="rId4"/>
  </sheets>
  <definedNames/>
  <calcPr/>
</workbook>
</file>

<file path=xl/sharedStrings.xml><?xml version="1.0" encoding="utf-8"?>
<sst xmlns="http://schemas.openxmlformats.org/spreadsheetml/2006/main" count="3839" uniqueCount="1733">
  <si>
    <t>product_id</t>
  </si>
  <si>
    <t>unit</t>
  </si>
  <si>
    <t>en-name</t>
  </si>
  <si>
    <t>cn-name</t>
  </si>
  <si>
    <t>kr-name</t>
  </si>
  <si>
    <t>jp-name</t>
  </si>
  <si>
    <t>pc</t>
  </si>
  <si>
    <t>SEIKO PROSPEX Great Blue Hole Special Edition Diver’s 200m Automatic Watch SPB083J1</t>
  </si>
  <si>
    <t>Luminox Men’s Master Carbon Seal Blue/Black 45mm Automatic Analog Dive Watch</t>
  </si>
  <si>
    <t>Hamilton Watch American Classic Intra-Matic Auto 40mm Case， Beige Dial， Black Leather Strap (Model: H38425720)</t>
  </si>
  <si>
    <t>American Classic Intra-Matic Auto</t>
  </si>
  <si>
    <t>Luminox Master Carbon Seal 3801 Watch Set (Two Straps) 46mm</t>
  </si>
  <si>
    <t>Seiko SBDL089 [PROSPEX SPEEDTIMER Solar Chronograph] mens Watch Shipped from Japan</t>
  </si>
  <si>
    <t>SEIKO SNJ025 Prospex Men’s Watch Black 47.8mm Stainless Steel</t>
  </si>
  <si>
    <t>Luminox Navy Seal Mens Watch Black Out (XS.3502.BO / 3500 Series): 200 Meter Waterproof + Light Weight Carbon Case and Band + Constant Night Visibility</t>
  </si>
  <si>
    <t>Luminox G Patagonia Carbonox Mens Watch 43 mm - Military Watch Date Function 100m Water Resistant - Different Variations</t>
  </si>
  <si>
    <t>Luminox Men’s 3001 Quartz Navy Seal Dive Watch</t>
  </si>
  <si>
    <t>Seiko 5 Sports Men’s Automatic Watch</t>
  </si>
  <si>
    <t>SUUNTO Core， Outdoor Sports Watch</t>
  </si>
  <si>
    <t>Swarovski</t>
  </si>
  <si>
    <t>Swarovski Crystal Jewelry Sets， Necklace and Earring Collection</t>
  </si>
  <si>
    <t>Timex 32.5 mm Q LCA Timex Reissue Digital LCA Stainless Steel</t>
  </si>
  <si>
    <t>Swarovski Emily Tennis Bracelet Jewelry Collection， Clear Crystals， Blue Crystals， Pink Crystals (Amazon Exclusive)</t>
  </si>
  <si>
    <t>SWAROVSKI Symbolic Hand OM Pendant Necklace Light Multi/Green One Size</t>
  </si>
  <si>
    <t>SWAROVSKI Dazzling Swan Jewelry Collection， Blue Crystals， Pink Crystals， Clear Crystals</t>
  </si>
  <si>
    <t>SWAROVSKI Infinity Crystal Jewelry Collections， Rhodium &amp; Rose Gold Tone Finish</t>
  </si>
  <si>
    <t>Lyromix 3 in 1 Sofa Bed for Living Room， Convertible Loveseat Sleeper Full Size， Velvet Pull Out Couch with 2 Pillows &amp; Detachable Storage Bag， Black</t>
  </si>
  <si>
    <t>Signature Design by Ashley Darcy Casual Plush Sofa， Brown</t>
  </si>
  <si>
    <t>Mellow HANA Modern Linen Fabric Sofa Couch with Armrest Pockets， Dark Heather Grey</t>
  </si>
  <si>
    <t>ACME Hutch &amp; Buffet， Cherry</t>
  </si>
  <si>
    <t>toyshi Eyelash LED Floor Light， Moon Floor Lamp， Ring Light for Lash Extension， Lighting for Beauty， Skincare， Lashes， Eyebrows， Filming Content Creation</t>
  </si>
  <si>
    <t>Sublimage Le Teint Ultimate Radiance Generating Cream Foundation by Chanel No 10 Beige</t>
  </si>
  <si>
    <t>Qiounlse Tiffany Torchiere Floor Lamp Mission Style Stained Glass Shade 12 Standing Corner Torch Uplight Lamps 69 Tall Vintage Reading Light Fixture for Living Room Bedroom Office</t>
  </si>
  <si>
    <t>SISLEY Ecological Compound Day and Night (with Pump)， 2 Ounce</t>
  </si>
  <si>
    <t>ELEMIS Pro-Collagen Marine Cream | Lightweight Anti-Wrinkle Daily Face Moisturizer Firms， Smoothes， and Hydrates with Powerful Marine + Plant Actives</t>
  </si>
  <si>
    <t>Sisley Botanical Moisturizer with Cucumber， 1.5-Ounce Jar</t>
  </si>
  <si>
    <t>DIME Beauty Super Firm Serum for Skin Tightening &amp; Firming， 1 Count</t>
  </si>
  <si>
    <t>toyshi Hidden Camera Detectors - Hidden Devices Detector， Bug Detector， Anti Spy Detector， GPS Tracker &amp; Listening Device Jammer， Hidden Camera Detector for Home Office Auto and Travel</t>
  </si>
  <si>
    <t>60uP In Home Balance Board Program Training System for Seniors， Regain or Maintain Balance， Strength， Alignment， &amp; Neuro-Brain Connections</t>
  </si>
  <si>
    <t>Rawlings | HEART OF THE HIDE Baseball Glove | Lightweight HYPERSHELL &amp; SPEEDSHELL Models | Multiple Styles</t>
  </si>
  <si>
    <t>Atootfusion Cotton Thick Lightweight Table Stool Back Seat Cushion Yoga Chair Pad for Indoor/Outdoor Home Office Garden Décor Cotton Cushion 3-Seater Bench Cushion， 150 x 50 x 8 cm (Grey)</t>
  </si>
  <si>
    <t>Coleman WeatherMaster 6-Person Tent with Screen Room</t>
  </si>
  <si>
    <t>Ravensburger Space Odyssey 5000 Piece Jigsaw Puzzle for Adults - 16720 - Every Piece is Unique， Softclick Technology Means Pieces Fit Together Perfectly</t>
  </si>
  <si>
    <t>Bokefenuo GAN Megaminx M 3x3 Speed Cube Gan Pentagonal Magnetic Stickerless Magic Puzzle Cube Toy</t>
  </si>
  <si>
    <t>Apple iPhone 14 Pro Max， 256GB， Space Black - Unlocked (Renewed)</t>
  </si>
  <si>
    <t>Apple 2023 MacBook Pro Laptop M3 Pro chip with 12‑core CPU, 18‑core GPU: 16.2-inch Liquid Retina XDR Display, 18GB Unified Memory, 512GB SSD Storage. Works with iPhone/iPad; Space Black</t>
  </si>
  <si>
    <t>Apple 2023 MacBook Pro Laptop M3 Pro chip with 12‑core CPU, 18‑core GPU: 16.2-inch Liquid Retina XDR Display, 36GB Unified Memory, 512GB SSD Storage. Works with iPhone/iPad; Silver</t>
  </si>
  <si>
    <t>Dell Alienware X16 Gaming Laptop (2023) | 16" FHD+ | Core i9-2TB SSD - 32GB RAM | 14 Cores @ 5.4 GHz - 13th Gen CPU Win 11 Home (Renewed)</t>
  </si>
  <si>
    <t>MSI WF66 11UJ-267 Workstation Laptop (Intel i7-11800H 8-Core, 64GB RAM, 512GB PCIe SSD + 2TB HDD, RTX A2000, 15.6" Full HD (1920x1080), WiFi, Bluetooth, Webcam, Win 10 Pro) with Loot Box</t>
  </si>
  <si>
    <t>Dell Precision 7000 7760 Workstation Laptop (2021) | 17.3" FHD | Core Xeon W - 2TB SSD + 2TB SSD - 128GB RAM - RTX A4000 | 8 Cores @ 5 GHz - 11th Gen CPU - 8GB GDDR6 Win 10 Pro (Renewed)</t>
  </si>
  <si>
    <t>CuberShop GAN 13 MagLev UV Coated， GAN 13 M 2022 3x3 Magnetic Speed Cube Flagship Stickerless， GAN 3x3 Speed Cube (GAN13 MagLev Speed Cube， UV Coated Glossy Surface &amp; Primary Internal)</t>
  </si>
  <si>
    <t>PC</t>
  </si>
  <si>
    <t>Mens Solid Collarless Casual Long Sleeve Blazer</t>
  </si>
  <si>
    <t>Polka Dot Print Patchwork Short Sleeve Holiday Bohemia Maxi Dress For Women</t>
  </si>
  <si>
    <t>Mens Paisley Scarf Japanese Print Open Front Kimono Two Pieces Suit</t>
  </si>
  <si>
    <t>Mens Color Block Patchwork Embroidered Zip Front Corduroy Jacket</t>
  </si>
  <si>
    <t>ACME FURNITURE Saul Sectional Sofa with Power Recliners， Espresso Leather-Aire</t>
  </si>
  <si>
    <t>Mens Coconut Tree Japanese Print Hawaiian Vacation Short Sleeve T-Shirts</t>
  </si>
  <si>
    <t>GAN 13 Maglev Frosted Coated， Magnetic Speed Cube 3x3 Stickerless 56mm Magnets Magic Cube Puzzle Toys， GAN 2022 Flagship</t>
  </si>
  <si>
    <t>Sidi Men’s Ergo 5 Carbon Scape Cycling</t>
  </si>
  <si>
    <t>Apple 2022 iPad Air (10.9-inch， Wi-Fi + Cellular， 64GB) - Blue (5th Generation)</t>
  </si>
  <si>
    <t>GAN Robot， Cube Solving Machine Automatic Puzzle Scrambler &amp; Solver， Compatible with GAN 356i2 i3 iplay iCarry Speed Cubes(Cube is not Included) &amp; with The Newest Version APP</t>
  </si>
  <si>
    <t>ALL4JIG 1500PCS Portable Puzzle Table with Legs， Adjustable Jigsaw Puzzle Board with 4 Drawers &amp; Cover， 3-Tilting-Angle Jigsaw Puzzle Table for Adults</t>
  </si>
  <si>
    <t>Puzzle Board with Cover， Large Tilted 1500 Pieces Jigsaw Puzzle Table，ENGRTALENT 35”x 26” Portable Puzzle Table with Drawers with Colorful Puzzle Sorting Trays， Guidelines， Felt Board and Handle.</t>
  </si>
  <si>
    <t>Women Solid Color Ruffles Trim Sleeveless Simple Midi Dresses</t>
  </si>
  <si>
    <t>LiangCuber GAN 13 Maglev Flagship Magnetic 3x3 Stickerless GAN13 M Speed Cube (Frosted Version)</t>
  </si>
  <si>
    <t>US Pride Furniture Yoga Collection Modern Faux Leather Curved Lounge Chaise for Stretching &amp; Relaxation， Ideal for Bedroom， Living， Meditation Room or Office， Regular， Dark Chocolate</t>
  </si>
  <si>
    <t>Giro Sector Mens Mountain Cycling Shoes</t>
  </si>
  <si>
    <t>Cuberspeed GAN 13 uv Coated MagLev Stickerless 3x3 Speed Cube Puzzle gan13 maglev uv Coated Flagship Puzzle</t>
  </si>
  <si>
    <t>Troy Lee Designs A3 MIPS Helmet</t>
  </si>
  <si>
    <t>GCI Outdoor Freestyle Rocker Chair</t>
  </si>
  <si>
    <t>Jaypro Sports Outdoor Competition Volleyball System</t>
  </si>
  <si>
    <t>Backyard Ball Bundle Pro</t>
  </si>
  <si>
    <t>Asus M3400WYA-DH503 All-in-One Computer</t>
  </si>
  <si>
    <t>Case H5 Flow RGB White Midi ATX Hardware/Electronic</t>
  </si>
  <si>
    <t>NZXT H6 Flow Mid-Tower Case</t>
  </si>
  <si>
    <t>HP Desktop AMD Ryzen 3</t>
  </si>
  <si>
    <t>Magnolia Boutique Women's Floral Print Sweetheart Top</t>
  </si>
  <si>
    <t>Ae Embroidered Peplum Top</t>
  </si>
  <si>
    <t>Jessica Carlyle Women's Heart-Link Bracelet Watch with Necklace &amp; Earrings Set</t>
  </si>
  <si>
    <t>Fossil Women's Karli Three-Hand Stainless Steel Watch</t>
  </si>
  <si>
    <t>Ed Hardy Men's Faux Skeleton Dial Silicone Watch Set</t>
  </si>
  <si>
    <t>Puzzle Table with Metal Legs and Cover - Jigsaw Puzzle Table 36” x 27” - 1500 Pieces Detachable Puzzle Board with Colorful Drawers - Puzzle Storage Sorting Trays</t>
  </si>
  <si>
    <t>GAN Megaminx M， Pentagonal Magnetic Speed Cube， Stickerless</t>
  </si>
  <si>
    <t>BEPEI Womens Tops Dressy Casual 3/4 Sleeve Blouses V Neck Business Work Shirts</t>
  </si>
  <si>
    <t>Women's Round Neck Long Sleeve Blouse and Pants Set</t>
  </si>
  <si>
    <t>maurices Women's Cressa Long Sleeve Cardigan</t>
  </si>
  <si>
    <t>Fashion Nova Men's Tyrant Dress Shirt</t>
  </si>
  <si>
    <t>Fashion Nova Men's Crepe Button Up Shirt</t>
  </si>
  <si>
    <t>Men's Flashy Retro Satin Button-Down Shirt</t>
  </si>
  <si>
    <t>Azaro Uomo Men's Business Geometric Long Sleeve Button Down Shirt</t>
  </si>
  <si>
    <t>Nike Men's Sportswear T Shirt</t>
  </si>
  <si>
    <t>AOC N97 Processor Laptop Computer</t>
  </si>
  <si>
    <t>Lifetechs 4-in-1 USB Laptop Docking Station</t>
  </si>
  <si>
    <t>Higround Trailhead 65% Mechanical Gaming Keyboard</t>
  </si>
  <si>
    <t>Slickblue Portable Basketball Hoop System</t>
  </si>
  <si>
    <t>Invicta Men's Reserve Gladiator Chronograph Quartz Diamond Watch</t>
  </si>
  <si>
    <t>Anne Klein Women's Premium Crystal Bangle Watch Set in Rose and Rose Gold</t>
  </si>
  <si>
    <t>Montres Prestige x Invicta Men's Watch</t>
  </si>
  <si>
    <t>Takfox Phone Holster for Samsung Galaxy S23 Ultra S23 Plus S22 S21 S20 Note 20+</t>
  </si>
  <si>
    <t>Mous Iridescent Phone Case for iPhone 16 Plus</t>
  </si>
  <si>
    <t>EOQIFJM Universal Cell Phone Stand</t>
  </si>
  <si>
    <t>LOVEHANDLE Universal Phone Grip for Smartphones &amp; Mini Tablets - Phone Holder for Hand - Wireless Charging Compatible - Made in The USA - Solid</t>
  </si>
  <si>
    <t>Dreo Smart PolyFan 513S Air Circulator Fan</t>
  </si>
  <si>
    <t>Smeg Estetica 50's Style Filtered Coffee Machine</t>
  </si>
  <si>
    <t>OGX Thick Full Biotin Collagen Shampoo</t>
  </si>
  <si>
    <t>Eva NYC Take Care Healthy Hair Shampoo</t>
  </si>
  <si>
    <t>Hair Therapy Australia Thick &amp; Full Shampoo &amp; Conditioner Set</t>
  </si>
  <si>
    <t>HealthKart HK Vitals Healthy Hair Multivitamin Biotin Shampoo &amp; Conditioner Combo</t>
  </si>
  <si>
    <t>Clinic Plus + Naturally Strong Health Shampoo with Herbal Extracts</t>
  </si>
  <si>
    <t>Dabur Vatika Health Shampoo</t>
  </si>
  <si>
    <t>OGX Thick Full Biotin Collagen Conditioner</t>
  </si>
  <si>
    <t>When I'm with You</t>
  </si>
  <si>
    <t>Unstable: A Novel</t>
  </si>
  <si>
    <t>Bracia Karamazow</t>
  </si>
  <si>
    <t>Sunrise on the Reaping (A Hunger Games Novel)</t>
  </si>
  <si>
    <t>E Book Success with AI : Grow Your Readership with Secret Tips</t>
  </si>
  <si>
    <t>If He Had Been with Me [eBook]</t>
  </si>
  <si>
    <t>Apple Gift Card - App Store, iTunes, iPhone, iPad, AirPods, MacBook, accessories and more (eGift)</t>
  </si>
  <si>
    <t>Buy Apple Gift Card With USD Coin - Value 50 USD</t>
  </si>
  <si>
    <t>$500 USA Apple Gift Card (Email Delivery) | Card Delivery</t>
  </si>
  <si>
    <t>Assassin’s Creed Shadows - Sony PlayStation 5 [Digital Download]</t>
  </si>
  <si>
    <t>Nintendo Switch Online Expansion Pack</t>
  </si>
  <si>
    <t>Nintendo eShop Luigi Gift Card</t>
  </si>
  <si>
    <t>adidas Women's Farm Tiro Track Pants</t>
  </si>
  <si>
    <t>adidas Women's Tricot 3-Stripes Track Pants</t>
  </si>
  <si>
    <t>ASICS Women's ACTIBREEZE Light Shorts</t>
  </si>
  <si>
    <t>ASICS Men's GT 2160</t>
  </si>
  <si>
    <t>Asics GT-2160</t>
  </si>
  <si>
    <t>Lululemon Women's Drapey Softstreme Flared Pants</t>
  </si>
  <si>
    <t>Lululemon Women's Wunder Under Nulu High-Rise 25" Tight</t>
  </si>
  <si>
    <t>Nike Men's Sportswear Club Fleece Full-Zip Hoodie</t>
  </si>
  <si>
    <t>Nike Women's High-Waisted Wide-Leg Phoenix Fleece Sweatpants</t>
  </si>
  <si>
    <t>Nike Women's Windrunner High-Waisted Woven Open-Hem Pants</t>
  </si>
  <si>
    <t>Reebok Men's Outerverse Strength Pants</t>
  </si>
  <si>
    <t>Homfa Bathroom Storage Cabinet</t>
  </si>
  <si>
    <t>Ktaxon Tall Storage Cabinet</t>
  </si>
  <si>
    <t>Ktaxon Wooden 3 Drawers Bathroom Floor Cabinet</t>
  </si>
  <si>
    <t>Ktaxon Tall Bathroom Storage Cabinet Organizer</t>
  </si>
  <si>
    <t>Ktaxon 5-Drawer Bathroom Floor Cabinet, Freestanding Barber Station Makeup Hair Salon Cabinet, Multifunction Console Storage Cabinet Table with 2</t>
  </si>
  <si>
    <t>Cutler Kitchen &amp; Bath Kato Wall Mount Vanity</t>
  </si>
  <si>
    <t>Fluidmaster PerforMAX Universal Toilet Fill Valve 400H-002-P10</t>
  </si>
  <si>
    <t>Fluidmaster Super Flapper</t>
  </si>
  <si>
    <t>FLUIDMASTER 8100P8 Toilet Bowl Cleaning System</t>
  </si>
  <si>
    <t>Brita On Tap Water Filtration System</t>
  </si>
  <si>
    <t>HONEYWELL PPT700WA PUR Water Filter Pitcher</t>
  </si>
  <si>
    <t>Honeywell PUR Pitcher Filter PPF900ZV1</t>
  </si>
  <si>
    <t>PUR Plus Horizontal Faucet Mount Water Filtration System</t>
  </si>
  <si>
    <t>Pur PPT711 Water Filters Replacement Compatble by AquaCrest</t>
  </si>
  <si>
    <t>PUREPLUS PUR Countertop Water Filter Pitcher CRF950Z PPF900Z</t>
  </si>
  <si>
    <t>Pur Faucet Mount MineralClear Replacement Filter 3-pack</t>
  </si>
  <si>
    <t>Honeywell Pur 11 Cup Water Filter Pitcher CR1100C</t>
  </si>
  <si>
    <t>Equate Hair Regrowth Topical Solution for Women, 3ct</t>
  </si>
  <si>
    <t>Equate Hair Regrowth Treatment For Women Foam 2 Month Exp.11/25</t>
  </si>
  <si>
    <t>Equate Stool Softener Docusate Sodium Softgels</t>
  </si>
  <si>
    <t>Equate Refreshing Apricot Scrub</t>
  </si>
  <si>
    <t>Equate Ear Removal Aid</t>
  </si>
  <si>
    <t>Neutrogena Hydro Boost Glow Booster</t>
  </si>
  <si>
    <t>Neutrogena Rapid Clear Maximum Strength Treatment Pads</t>
  </si>
  <si>
    <t>Johnson &amp; Johnson Acne Treatment Neutrogena On the Spot 0.75 oz. Cream</t>
  </si>
  <si>
    <t>Neutrogena On the Spot Acne Treatment, 0.75 oz - 1 Each - 0.75 oz | Carewell</t>
  </si>
  <si>
    <t>Neutrogena Rapid Wrinkle Repair Retinol Regenerating Cream</t>
  </si>
  <si>
    <t>Hi-Pro-Pac Moroccan Argan Oil Deep Repair Masque</t>
  </si>
  <si>
    <t>6 in 1 Steam Deck Docking Station TV Base Stand Alloy Holder Dock 4K@60Hz/PD100W/RJ45/USB3.0 USB-C Hub For Steam Deck Console</t>
  </si>
  <si>
    <t>Eaget T1 Class10 High Speed TF Memory Card 32GB 64GB 128GB Micro SD Card Flash Card Smart Card for Phone Camera Driving Recorder</t>
  </si>
  <si>
    <t>3D Interlocking Puzzles Game Toy Jigsaw Puzzle Toy Bamboo Small Size For Adults Kids IQ Brain Teaser Kong Ming Lock</t>
  </si>
  <si>
    <t>Portable USB LED UV Sterilization Box Multifunctional For Mask Pacifier Headset USB Connector</t>
  </si>
  <si>
    <t>3D Printer Lab X1 Silicone Cover Protection High Temperature Wear-resistant Removable for Lab X1 Carbon X1 P1P Hotend Extruder</t>
  </si>
  <si>
    <t>POLY &amp; BARK Napa Leather Couch – Right-Facing Sectional Leather Sofa - Tufted Back Full Grain Leather Couch with Feather-Down Topper On Seating Surfaces – Pure-Aniline Italian Leather – Cognac Tan</t>
  </si>
  <si>
    <t>Jura S8 Automatic Coffee Machine 64 oz， Moonlight Silver</t>
  </si>
  <si>
    <t>ACME Furniture Kacela Server， Champagne</t>
  </si>
  <si>
    <t>Breville BES880BSS Barista Touch Espresso Machine Brushed Stainless Steel + Manufacturer’s Warranty + Knock Box Mini</t>
  </si>
  <si>
    <t>Jura Capresso Nordic White ENA 4 Full</t>
  </si>
  <si>
    <t>Signature Design by Ashley Bladen Faux Leather Full Sofa Sleeper， Gray</t>
  </si>
  <si>
    <t>HONBAY Convertible Sectional Sofa with Ottoman Modern L Shape Sectional Couch Faux Leather Couch with Reversible Chaise， Black</t>
  </si>
  <si>
    <t>HP ProLiant ML30 Gen10 Tower Server， Intel Xeon E-2124 Quad-Core 3.3GHz 8MB， 32GB DDR4 RAM， 8TB Storage， RAID， iLO 5</t>
  </si>
  <si>
    <t>Pemberly Row 80 Farmhouse Transitional Wood Home Bar Unit Cabinet Set with Stemware Rack， Wine Storage for Dining Room Kitchen in Tobacco Leaf</t>
  </si>
  <si>
    <t>Dell XPS 13 9310 Laptop - 13.4-inch OLED 3.5K (3456x2160) Touchscreen Display， Intel Core i7-1185G7， 32GB LPDDR4x RAM， 1TB SSD， Intel Iris Xe Graphics， 1-Year Premium Support Windows 11 Home - Silver</t>
  </si>
  <si>
    <t>Dell XPS 8940 Gaming Tower PC- Intel i7-11700 - 32GB RAM， 512GB NVMe SSD + 1TB HDD - Nvidia Geforce RTX 3060 Ti 8GB 4K， DisplayPort， HDMI， DVD， AX Wi-Fi， Bluetooth， SD Card - Windows 10 Pro (Renewed)</t>
  </si>
  <si>
    <t>HP Envy Business Laptop， 17.3 FHD Touchscreen， Intel Core i7-1260P Processor， 32GB RAM， 2TB SSD， IR Camera， Backlit Keyboard， Wi-Fi 6， HDMI， Windows 11 Pro， Silver</t>
  </si>
  <si>
    <t>ASUS ROG Strix G15 Gaming Laptop 2023 Newest， 15.6 IPS 144Hz Display， NVIDIA GeForce RTX 3060， AMD Ryzen 7 4800H (8-Core)， 16GB RAM， 1TB SSD， Backlit Keyboard， Windows 11 Home， Bundle with Cefesfy</t>
  </si>
  <si>
    <t>Acer Aspire XC-1760 (i512R8512G03) desktop with 12th Gen Intel Core processor and 8GB RAM</t>
  </si>
  <si>
    <t>2020 Apple iPad Pro (12.9-inch， Wi-Fi， 256GB) - Space Gray (Renewed)</t>
  </si>
  <si>
    <t>Lenovo IdeaCentre AIO 3i - 2022 - All-in-One Desktop - 27 FHD Touch Display - 5MP Camera - Windows 11 Home - 8GB Memory - 512GB Storage - Intel Core i5-1240P - Black - Mouse &amp; Keyboard Included</t>
  </si>
  <si>
    <t>HP Pavilion 15 Laptop， 12th Generation Intel Core i7-1255U Processor， 16 GB RAM， 512 GB SSD， 15.6 Full HD Display， Windows 11 Pro， Fingerprint Reader， Wi-Fi &amp; Bluetooth， HD Webcam (15-eg2025nr 2022)</t>
  </si>
  <si>
    <t>ASUS  PN51 Barebone Mini PC / AMD Ryzen 7 5700U / 5 5500U NUC for Office Media Study Win 10 Pro NUC</t>
  </si>
  <si>
    <t>(ALLSTARS : We are Back/ Mini PC Promo) ASUS PN51 / PN51-S1-B Ryzen7 5700U / PN51-S1-B-B7216MD Barebone (NO RAM NO SSD) (AMD Ryzen 7 5700U / Intel WiFi 6 / BT5.0 / 2.5G LAN / HDMI+DP / USB3.2 Type-C x</t>
  </si>
  <si>
    <t>Lenovo Flex 5 Laptop， 14.0 FHD Touch Display， AMD Ryzen 5 5500U， 16GB RAM， 512GB Storage， AMD Radeon Graphics， Windows 11 Home， Graphite Grey</t>
  </si>
  <si>
    <t>2022 Newest Dell Inspiron 15.6 FHD Touchscreen Laptop， Intel 10th Generation Core i5-1035G1(Up to 3.60GHz， Beat i7-8550U)， 16GB Memory， 512GB PCIe SSD， Intel UHD Graphics， WiFi， Webcam， HDMI， Win11 S</t>
  </si>
  <si>
    <t>Dell Inspiron 3891 Compact Tower Desktop - Intel Core i5-11400， 12GB DDR4 RAM， 1TB HDD， Intel UHD Graphics 730 with Shared Graphics Memory， Windows 10 Home - Black (Latest Model) (Renewed)</t>
  </si>
  <si>
    <t>Night Owl 8 Channel Bluetooth Video Home Security Camera System with (4) Wired IP 4K HD Indoor/Outdoor Spotlight Cameras with Audio and 2TB Hard Drive (Expandable up to 12 Cameras)</t>
  </si>
  <si>
    <t>Dell Inspiron 15 3525 Lightweight Student Laptop - 15.6 inch FHD (1920 x 1080) 120Hz Display， AMD Ryzen 5 5625U， 8GB DDR4 RAM， 256GB SSD， AMD Radeon Graphics， USB-C， HDMI， Windows 11 Home - Black</t>
  </si>
  <si>
    <t>NEW Bose QuietComfort Earbuds II， Wireless， Bluetooth， World’s Best Noise Cancelling In-Ear Headphones with Personalized Noise Cancellation &amp; Sound， Triple Black</t>
  </si>
  <si>
    <t>Apple iPhone XS， US Version， 64GB， Space Gray - AT&amp;T (Renewed)</t>
  </si>
  <si>
    <t>Omega Speedmaster Chronograph Automatic Black Dial Men’s Watch 324.30.38.50.01.001</t>
  </si>
  <si>
    <t>Omega Seamaster Railmaster Automatic Mens Stainless Steel Watch 220.10.40.20.01.001</t>
  </si>
  <si>
    <t>Seiko Prospex 1965 62MAS Reissue Diver’s Recreation Grey Dial Sapphire Automatic Watch SPB143J1</t>
  </si>
  <si>
    <t>Hamilton Men’s Intra-Matic Auto Chrono Auto Chrono American Classic Watch - H38416711</t>
  </si>
  <si>
    <t>Luminox Master Carbon Seal XS.3813.L Mens Watch 46mm - Military Diving Watch in Black/Green Date Function 300m Water Resistant Sapphire Glass</t>
  </si>
  <si>
    <t>Luminox Commando Frogman XS.3301 Mens Watch 46mm - Military Dive Watch in Black/Grey Date Function 200m Water Resistant Sapphire Glass</t>
  </si>
  <si>
    <t>Seiko Prospex Special Edition SRPF77 Blue Silicone Automatic Day Date Diver’s Watch</t>
  </si>
  <si>
    <t>1/3 Carat Diamond，Channel-Set 14K White Gold Bridal Wedding Band Ring (H-I， SI1-SI2) by La4ve Diamonds|Real Diamond Jewelry For Women|Gift Box Included (Round Diamond，Baguette， Blue Sapphire Baguette)</t>
  </si>
  <si>
    <t>Casio G-Shock G-Steel GST-B300-1AJF Carbon Core Guard Solar Men’s Watch (Japan Domestic Genuine Products)</t>
  </si>
  <si>
    <t>Seiko Men’s SSC139 Excelsior Gunmetal and Silver-Tone Stainless Steel Solar Watch</t>
  </si>
  <si>
    <t>SAMSUNG Galaxy Watch 5 44mm Bluetooth Smartwatch w/Body， Health， Fitness and Sleep Tracker， Improved Battery， Sapphire Crystal Glass， Enhanced GPS Tracking， US Version， Blue</t>
  </si>
  <si>
    <t>Seiko Men’s Analogue Automatic Watch Seiko 5 Sports</t>
  </si>
  <si>
    <t>SEIKO SRPD59 5 Sports Men’s Watch Silver-Tone 42.5mm Stainless Steel</t>
  </si>
  <si>
    <t>Amazfit T-Rex 2 Smart Watch for Men， Dual-Band &amp; 6 Satellite Positioning， 24-Day Battery Life， Ultra-Low Temperature Operation， Rugged Outdoor GPS Military Smartwatch， Real-time Navigation-Black</t>
  </si>
  <si>
    <t>LOBINNI Fashion Business Mens Watches with Stainless Steel Waterproof Automatic Machinery Watch for Men， Auto Date-Week</t>
  </si>
  <si>
    <t>SWAROVSKI Women’s Cosmopolitan Crystal Watch Collection</t>
  </si>
  <si>
    <t>Timex Men’s Expedition Tide-Temp-Compass 45mm TW2V22200VQ Quartz Watch</t>
  </si>
  <si>
    <t>SEIKO Men’s Analogue Automatic Watch with Textile Strap SNZG11K1</t>
  </si>
  <si>
    <t>Kendra Scott Baguette Elle Drop Earrings</t>
  </si>
  <si>
    <t>Swarovski The Child， Mandalorian Figurine， Green and Gold Tone Crystals， Part of the Swarovski Star Wars Collection</t>
  </si>
  <si>
    <t>Kendra Scott Layton Statement Earrings</t>
  </si>
  <si>
    <t>Casio G-Shock DW-5600WM-5JF [Utility Wavy Marble]</t>
  </si>
  <si>
    <t>Luminox Men’s 0201.SL Sentry 0200 Black Case With Luminescent Accents， Black Rubber Band Watch</t>
  </si>
  <si>
    <t>Casa Andrea Milano Modern Large Velvet Fabric Sectional Sofa， L-Shape Couch with Extra Wide Chaise Lounge， Black</t>
  </si>
  <si>
    <t>Edenbrook Jensen Upholstered Couch - Couches for Living Room - Charcoal Upholstered Couch - Living Room Furniture - Small Couch - Seats Three - Scoop Arm Modern Couch</t>
  </si>
  <si>
    <t>Acme Furniture 1 Drawer and 4 Doors Wood Server， Antique White</t>
  </si>
  <si>
    <t>Chanel Sublimage La Creme Yeux Ultimate Regener. 15gr</t>
  </si>
  <si>
    <t>toyshi Hi_Friend LED Lamp for Eyelash Extensions， 26 - Lash Lamp for Tattoo Artists， Nail Tech， Esthetician - Cool， Warm Lighting Lamp with Adjustable Brightness &amp; Height (White)</t>
  </si>
  <si>
    <t>SISLEY Sisley Supremya Eyes at Night The Supreme Anti-Aging Eye Serum， 0.52 Ounce， 0.52 Fl Ounce () (3473311540508)</t>
  </si>
  <si>
    <t>Chanel LES BEIGES Healthy Glow Foundation SPF 25 / PA++ # 32 Rosé</t>
  </si>
  <si>
    <t>Valmont Black Rose Anti-Aging Nutrition Precious Face Oil， 0.59 Pound</t>
  </si>
  <si>
    <t>Facial Treatment Mask/10 pc.</t>
  </si>
  <si>
    <t>Clarins V-Facial Intensive Wrap Face Mask | Award-Winning Facial Contouring Mask | Visibly Reduces Puffiness and Swelling Caused by Stress， Heat and Hormonal Changes | Promotes Even Skin Tone | 2.5 Oz</t>
  </si>
  <si>
    <t>LED Lamp for Eyelash Extensions， 28 - Lash Lamp for Tattoo Artists， Nail Tech， Esthetician - Cool， 360° Warm Lighting Lamp with Adjustable Brightness &amp; Height Bedroom， Party Gift Tiktok LED Wall Lamp</t>
  </si>
  <si>
    <t>GKTG Floor Lamp for Living Room， Dimmable Floor Lamp with Remote Control， 10W Color Changing LED Bulb Included， Modern Standing lamp Tall Lamp for Bedroom， Office， Reading (Black)</t>
  </si>
  <si>
    <t>3G Cardio Elite UB Upright Bike - Commercial Grade - Compact Footprint - Ultra Comfortable Seat - Magnetic Resistance - 350 LB User Capacity</t>
  </si>
  <si>
    <t>Supertop for Truck 2 - ’09-10 Ram 1500; ’11-21 1500; for 5.5 ft. Bed; w/o RamBox</t>
  </si>
  <si>
    <t>Sidi Men’s Modern Cycling Scape， US 2-4 (Asian s)</t>
  </si>
  <si>
    <t>EF ECOFLOW RIVER Pro Extra Battery 720Wh， Expandable Power for RIVER Pro， for Camping， Home Backup Emergency， Outdoors， RV， Off-Grid</t>
  </si>
  <si>
    <t>Alexia D371-CU001 Meditation Seat (Vegan Leather， Dark Gray)</t>
  </si>
  <si>
    <t>Rawlings | Renegade Series Baseball Catcher’s Set | NOCSAE Certified | Adult | Intermediate | Youth | Multiple Colors</t>
  </si>
  <si>
    <t>Oakley Men’s Flak 2.0 XL Matte Rectangular Sunglasses Polarized</t>
  </si>
  <si>
    <t>Apple 2024 MacBook Air 13-inch Laptop with M3 chip: 13.6-inch Liquid Retina Display, 8GB Unified Memory, 256GB SSD Storage, Backlit Keyboard, 1080p FaceTime HD Camera, Touch ID; Starlight</t>
  </si>
  <si>
    <t>Apple 2024 MacBook Air 13-inch Laptop with M3 chip: 13.6-inch Liquid Retina Display, 8GB Unified Memory, 512GB SSD Storage, Backlit Keyboard, 1080p FaceTime HD Camera, Touch ID; Space Gray</t>
  </si>
  <si>
    <t>Apple 2024 MacBook Air 15-inch Laptop with M3 chip: 15.3-inch Liquid Retina Display, 8GB Unified Memory, 512GB SSD Storage, Backlit Keyboard, 1080p FaceTime HD Camera, Touch ID; Space Gray</t>
  </si>
  <si>
    <t>Apple 2023 MacBook Pro Laptop M3 Pro chip with 12‑core CPU, 18‑core GPU: 14.2-inch Liquid Retina XDR Display, 18GB Unified Memory, 1TB SSD Storage. Works with iPhone/iPad; Space Black</t>
  </si>
  <si>
    <t>iPhone 13， 128GB， Starlight - Unlocked (Renewed Premium)</t>
  </si>
  <si>
    <t>Apple iPhone 13， 128GB， Blue - Unlocked (Renewed)</t>
  </si>
  <si>
    <t>Women Square Neck Pleated Button Casual Maxi Vintage Dress With Side Pockets</t>
  </si>
  <si>
    <t>Giro Vanquish MIPS Adult Road Cycling Helmet</t>
  </si>
  <si>
    <t>Cyclace Exercise Bike Stationary - 330 Lbs Weight Capacity - Indoor Cycling Bike with Comfortable Seat Cushion， Tablet Holder， and LCD Monitor for Home Workout</t>
  </si>
  <si>
    <t>Mens Two Tone Patchwork Stand Collar Zip Front Fleece Jacket</t>
  </si>
  <si>
    <t>fitnessandfun 33’ Huge Inflatable Movie Screen Outdoor Incl Blower - Seamless Front and Rear Projection - Portable Blow Up Projector Screen for Churches， Grand Parties， Backyard Pool Fun(33 feet)</t>
  </si>
  <si>
    <t>Dell Latitude 7420 14 Intel Core i5-1145G7 256GB PCIe SSD 16GB FHD Touch (1920X1080) 300 NIT IR Cam Win 11 Pro (Certified Refurb)</t>
  </si>
  <si>
    <t>Lenovo 15 Touchscreen Business Laptop， 15.6 Full HD Touch Screen， Intel Quad-Core i5-1135G7， 8GB RAM， 512GB SSD， Backlit Keyboard， WiFi 6， Windows 11， YSC Accesory， Abyss Blue</t>
  </si>
  <si>
    <t>Bokefenuo GAN12 Maglev UV Speed Cube 3x3 Magnetic Stickerless GAN12 M MagLev UV Puzzle Magic 3x3x3 Toys fro Kids Cube UV Coated Glossy</t>
  </si>
  <si>
    <t>GAN 460 M， Gan 4x4 Magnetic Speed Cube， gan 460 m 4 by 4 Stickerless Puzzle Toy for Kids and Adults</t>
  </si>
  <si>
    <t>Apple iPhone 12 Pro Max， 512GB， Graphite - Unlocked (Renewed Premium)</t>
  </si>
  <si>
    <t>Puzzle Board with Drawers and Cover Mat-Jigsaw Puzzle Table with Non-Slip Surface Hold Up 1500 Pieces 35x27 Portable Puzzle Board for Adults &amp; Children for in-Progress Puzzle Storage</t>
  </si>
  <si>
    <t>GAN 13 Maglev UV Coated， Magnetic Speed Cube 3x3 Stickerless 56mm Magnets Magic Cube Puzzle Toys， GAN 2022 Flagship</t>
  </si>
  <si>
    <t>CuberShop GAN 12 MagLev UV Coated， GAN 12 M MagLev 2021 Flagship 3x3 Magnetic Speed Cube Stickerless， GAN 12 M Pro 3x3 (GAN12 MagLev UV Speed Cube， UV Coated Glossy &amp; Primary Internal)</t>
  </si>
  <si>
    <t>Drako 2 SRS Mountain Bike Shoes</t>
  </si>
  <si>
    <t>Boardball Sport Portable Boardball Set with Board, Volleyball, and Hand Pump</t>
  </si>
  <si>
    <t>Wild Sports Tailgate Toss</t>
  </si>
  <si>
    <t>Academy Sports + Outdoors Football Agility Training Kit</t>
  </si>
  <si>
    <t>Fractal Design North Case</t>
  </si>
  <si>
    <t>Samsung Essential S3 24 FHD 1800R Curved Computer Monitor</t>
  </si>
  <si>
    <t>Microsoft Surface Laptop Copilot+ PC 13.8 Snapdragon X Elite 16GB</t>
  </si>
  <si>
    <t>32 Degrees Women's Cool T-Shirt Dress</t>
  </si>
  <si>
    <t>Free People Milley Reversible Set</t>
  </si>
  <si>
    <t>Duluth Trading Company Women's Ponte Pro Knit 3/4 Sleeve Dress</t>
  </si>
  <si>
    <t>Fashion Nova All for Looks Midi Dress</t>
  </si>
  <si>
    <t>Spanx Women's AirEssentials Crew Neck Dress</t>
  </si>
  <si>
    <t>Kate Spade Monroe Heart Stainless Steel Ring Watch</t>
  </si>
  <si>
    <t>Roxenda [15 Pack] Speed Cube Set - 2x2x2 3x3x3 4x4x4 2x2x3 X-Cube Six-Spot Cube Skew Axis Windmill Fisher Mirror 2x2-Megaminx 3x3-Megaminx Pyramid Ivy Cube Smooth Magic Cube Puzzles Collection</t>
  </si>
  <si>
    <t>Calvin Klein Women's Wool Blend Belted Wrap Coat</t>
  </si>
  <si>
    <t>Women's Lightweight Knit Short Sleeve Crew Neck Short Sleeve Top</t>
  </si>
  <si>
    <t>Fashion Nova Men's Skyline Shirt Combo</t>
  </si>
  <si>
    <t>Zara Men's Relaxed Fit Knit T-Shirt</t>
  </si>
  <si>
    <t>Abercrombie &amp; Fitch Men's Twill Zip Shirt Jacket</t>
  </si>
  <si>
    <t>Bonobos Men's Watson Plaid Everyday Casual Shirt</t>
  </si>
  <si>
    <t>Plugable Thunderbolt 4 Dock</t>
  </si>
  <si>
    <t>be quiet! Light Base 600 LX Midi Tower Case</t>
  </si>
  <si>
    <t>Corsair iCUE 5000D RGB Mid-Tower Case</t>
  </si>
  <si>
    <t>CORSAIR FRAME 4000D Modular Mid-Tower PC Case</t>
  </si>
  <si>
    <t>HP Universal USB-C Hub and Laptop Charger Combo</t>
  </si>
  <si>
    <t>Susuchens Wireless Mouse Plug And Play Long Standby Time Ergonomic 6 Button Sensitive Computer Accessories Wireless 2.4GHz Wireless Optical Mouse for</t>
  </si>
  <si>
    <t>Corsair 6500D Airflow Mid-Tower Dual Chamber PC Case</t>
  </si>
  <si>
    <t>Cooler Master HAF 700 Evo Full Tower Case</t>
  </si>
  <si>
    <t>Logitech K380s Pebble Keys 2 Wireless Keyboard</t>
  </si>
  <si>
    <t>Abacus Technology Slim Computer Case</t>
  </si>
  <si>
    <t>Wholesale Computer Hardware &amp; oftware barebone ystem 8GPU machine complete et with graphics card Other Computer Accessories,1 Piece</t>
  </si>
  <si>
    <t>Hp 14 Intel Quad-core Laptop</t>
  </si>
  <si>
    <t>Crate &amp; Kids Plush Campfire Kids Playset</t>
  </si>
  <si>
    <t>Best Choice Products 3-in-1 Kids Push and Pedal Toddler Ride On Wagon Play Toy Stroller w/ Sounds</t>
  </si>
  <si>
    <t>Magna Tiles Space 32 Piece Set</t>
  </si>
  <si>
    <t>Sportneer Sports Tent</t>
  </si>
  <si>
    <t>Academy Sports + Outdoors One Push 10 ft x 10 ft Texas Straight Leg Canopy</t>
  </si>
  <si>
    <t>versus Versace Women's Les Docks Bracelet Watch</t>
  </si>
  <si>
    <t>Michael Kors Women's Pyper Three-Hand Leather Watch and Jewelry Gift Set</t>
  </si>
  <si>
    <t>Custype Customized Phone Accessories, Crossbody strap-Customized version</t>
  </si>
  <si>
    <t>PopSockets PopGrip Enamel Dainty Cosmic</t>
  </si>
  <si>
    <t>Frigidaire 24 Hybrid Tub Dishwasher</t>
  </si>
  <si>
    <t>Herbalosophy Biotin with Argan Oil and Vitamin B7 Shampoo &amp; Conditioner Set</t>
  </si>
  <si>
    <t>The Hair, Skin &amp; Nails Antioxidants 120 Tablets</t>
  </si>
  <si>
    <t>Beaute Blossom Premium Hair Set</t>
  </si>
  <si>
    <t>Biotin Nature's Bounty</t>
  </si>
  <si>
    <t>Hers Hair Regrowth Foam Treatment</t>
  </si>
  <si>
    <t>Crazy About You [eBook]</t>
  </si>
  <si>
    <t>Growth Mindset E-Book A Guide to Professional and Personal Growth</t>
  </si>
  <si>
    <t>Textable Apple E-Gift Card | GiftYa</t>
  </si>
  <si>
    <t>Apple Gift Card App Store Itunes-value:10.25.50. 100.for Us Only</t>
  </si>
  <si>
    <t>Apple Gift Cards (US)</t>
  </si>
  <si>
    <t>Sony PlayStation Store Bow Gift Card</t>
  </si>
  <si>
    <t>Inside - Sony PlayStation 4 [Digital Download]</t>
  </si>
  <si>
    <t>Nintendo eShop Gift Card</t>
  </si>
  <si>
    <t>Inside Nintendo Switch</t>
  </si>
  <si>
    <t>Nintendo Gift Card</t>
  </si>
  <si>
    <t>Mario Tennis Aces</t>
  </si>
  <si>
    <t>adidas Men's 3-Stripes Tricot Tapered Track Pants</t>
  </si>
  <si>
    <t>Adidas Men's Designed 2 Move 3-Stripes Primeblue Shorts</t>
  </si>
  <si>
    <t>ASICS Women's Mobility Knit Pants</t>
  </si>
  <si>
    <t>ASICS Men's MOBILITY KNIT PANTS</t>
  </si>
  <si>
    <t>Gymshark Speed Leggings</t>
  </si>
  <si>
    <t>GYMSHARK Geo Seamless Black/Charcoal Grey</t>
  </si>
  <si>
    <t>Gymshark Lift Seamless Zip Up Jacket</t>
  </si>
  <si>
    <t>Gymshark Everyday Seamless Leggings</t>
  </si>
  <si>
    <t>lululemon Women's Dance Studio Mid-Rise Jogger Full Length</t>
  </si>
  <si>
    <t>Nike Men's Club Fleece Pullover Hoodie</t>
  </si>
  <si>
    <t>Nike Women's Mid-Rise Twill Trousers</t>
  </si>
  <si>
    <t>Nike Women's Mid-Rise Oversized Club Fleece Sweatpants</t>
  </si>
  <si>
    <t>Men's Nike Therma-FIT Pants</t>
  </si>
  <si>
    <t>Nike Men's Sportswear Club Puffer Jacket</t>
  </si>
  <si>
    <t>Nike Men's Air Poly-Knit Track Pants</t>
  </si>
  <si>
    <t>Puma Men's Voltaic Evo Running Shoes</t>
  </si>
  <si>
    <t>Puma Men's Run Favorite Velocity T-Shirt</t>
  </si>
  <si>
    <t>PUMA Men's You-V Golf 1/4 Zip</t>
  </si>
  <si>
    <t>Reebok Men's Identity Open Hem Pants</t>
  </si>
  <si>
    <t>Reebok Men's Active Collective Long Sleeve T-Shirt</t>
  </si>
  <si>
    <t>Reebok Women's Workout Ready Pant Program Bootcut Pants</t>
  </si>
  <si>
    <t>Reebok Women's Active Collective SkyStretch Woven Pants</t>
  </si>
  <si>
    <t>Reebok Men's Sport Classics Pants</t>
  </si>
  <si>
    <t>Reebok Men's Running Pants</t>
  </si>
  <si>
    <t>Reebok Men's Workout Ready Compression Tights</t>
  </si>
  <si>
    <t>MonaLi Card</t>
  </si>
  <si>
    <t>Brita Extra Large Ultramax 27 Cup Black Filtered Water Dispenser with 1 Standard Filter</t>
  </si>
  <si>
    <t>Equate Triple Action Joint Health Dietary Supplement</t>
  </si>
  <si>
    <t>Equate Extra Strength Cool &amp; Heat Pain Relieving Cream, 3 oz</t>
  </si>
  <si>
    <t>2-pack Equate Hair Regrowth Treatment Men (comp Rogaine) 6 Mo Supply</t>
  </si>
  <si>
    <t>Neutrogena Stubborn Body Acne Treatment Spray</t>
  </si>
  <si>
    <t>Hi Pro Pac Deep Repair Hair Masque Moroccan Mend Argan Oil</t>
  </si>
  <si>
    <t>[Newest Version] Multi-function Dual Ultraviolet Automatic Sterilizer Mobile Phone Sterilization Box Toothbrush Children Tableware Underwear Mask Disinfection Tool</t>
  </si>
  <si>
    <t>PTFE Coated Motor Lead Screw T8 Lead 2/8mm Pitch 2mm POM Nut for Ender-3 Series/CR-10 Series/Sidewinder 3D Printer Part</t>
  </si>
  <si>
    <t>Hooker Furniture Rhapsody Tufted Upholstered Sleigh Bed</t>
  </si>
  <si>
    <t>Jura X8 Platinum Automatic Espresso &amp; Cappuccino Machine with Touch Screen</t>
  </si>
  <si>
    <t>ACME Versailles Curio Cabinet - - Bone White</t>
  </si>
  <si>
    <t>Jura E8 Coffee Machine 15341 Piano White</t>
  </si>
  <si>
    <t>ACME Chantelle Sofa w/3 Pillows - 53540 - Rose Gold PU/Fabric &amp; Pearl White</t>
  </si>
  <si>
    <t>Jura E6 Piano White 15559</t>
  </si>
  <si>
    <t>POLY &amp; BARK Lissie Right Sectional Sofa， Cumulus Grey</t>
  </si>
  <si>
    <t>ACME Vendome Bench - - PU &amp; Cherry</t>
  </si>
  <si>
    <t>Amazon Brand – Rivet Modern Sofa Couch with Metal Legs， 85W， Teal Velvet</t>
  </si>
  <si>
    <t>SPINN Espresso &amp; Coffee Machine， Smart WiFi Automatic Coffee Maker， Cold Brew &amp; Espresso Machine Combo with Programmable Centrifugal Brewing &amp; Grinder， Water Supply Line Compatible， No Refills， Silver</t>
  </si>
  <si>
    <t>Naomi Home Freya Oversized Genuine Leather Sofa - Ultimate Comfort - Modern Leather Couch - Mid-Century Living Room Sofa， Eco-Friendly Sofa Couch， Reversible Cushions， Espresso</t>
  </si>
  <si>
    <t>Lilola Home Zoey Dark Gray Linen Convertible Sleeper Sofa with Side Pocket</t>
  </si>
  <si>
    <t>PHILIPS 2200 Series Fully Automatic Espresso Machine - Classic Milk Frother， 2 Coffee Varieties， Intuitive Touch Display， Black， (EP2220/14)</t>
  </si>
  <si>
    <t>COSIKIE Espresso Machine with Grinder， Semi Automatic Espresso Machine with Steamer Milk Frother， All in One Espresso Coffee Machines 20 Bar， Home Barista Cappuccino Coffee Maker (Silver)</t>
  </si>
  <si>
    <t>Mjkone Velvet Reversible Sleeper Sofa Couch with Large Storage Chaise， 3-Seat Reversible Pull Out Sofa Couch Bed， L-Shape Sectional Sleeper Sofa Couches for Apartment， Living Room，Dark Grey</t>
  </si>
  <si>
    <t>FDW Modular Sectional Sofa Couch，L Shaped Sofa Couch Convertible Sofa 4-Seat Sofa with Ottoman for Living Room Bedroom Office，Dark Gray</t>
  </si>
  <si>
    <t>Breville BCI600XL Smart Scoop Ice Cream Maker， Brushed Stainless Steel</t>
  </si>
  <si>
    <t>Chesterfield Sofa for Living Room， 3 Seater Velvet Couch Home Theater Seating Upholstered Accent Arm Sofa for Bedroom， Office， Apartment (Drak Green)</t>
  </si>
  <si>
    <t>Armer 55’’ Smart Board 4K UHD Interactive Board All in One Computer/Tablet for Office and Classroom，Robust App Ecosystem for Collaboration(Board Only)</t>
  </si>
  <si>
    <t>Elite Screens Yard Master Electric， 150 inch Outdoor Motorized Projector Screen Rain Water Protection 16:9 Remote Control 8K 4K Ultra HD 3D Movie Theater 150 Auto Projection Screen</t>
  </si>
  <si>
    <t>Elite Screens Aeon CLR 3 Series，123 inch Projector Screen Diag 16:9 4K/8K Ultra HD Edge Free Ceiling Ambient Light Rejecting Fixed Frame Projector Screen Home Theater， AR123H-CLR3</t>
  </si>
  <si>
    <t>HP Envy Laptop， 17.3 FHD IPS Touchscreen， 12th Gen Intel Core i7-1260P， 32GB RAM， 1TB PCIe SSD， IR Camera， Backlit Keyboard， Wi-Fi 6， Windows 11 Home， Silver</t>
  </si>
  <si>
    <t>LG gram (2022) 14Z90Q Ultra Lightweight Laptop， 14 (1920 x 1200) IPS Display， Intel Evo 12th Gen i7 1260P Processor， 16GB LPDDR5， 512GB NVMe SSD， FHD Webcam， WiFi 6E， Thunderbolt 4， Windows 11， Gray</t>
  </si>
  <si>
    <t>Night Owl 16 Channel Bluetooth Video Home Security Camera System with (12) Wired 4K UHD Indoor/Outdoor Spotlight Cameras with Audio and 2TB Hard Drive (Expandable up to 16 Cameras)</t>
  </si>
  <si>
    <t>Sound Devices MixPre-6 II Portable 32-Bit Float Multichannel Audio Recorder/Mixer， and USB Audio Interface</t>
  </si>
  <si>
    <t>Same Day Delivery [Refurbished] HP Eliteone 800 G5/G4 24 inch FullHD Choose Touch or non touch,i7-9700 8 core or 8700 upto 3.3Ghz 16GB DDR4 RAM 512GB SSD inbuilt webcam 5G Wifi /speaker Win 11,1 year</t>
  </si>
  <si>
    <t>5-Pack (2BK+1C+1M+1Y) 827A | CF300A CF301A CF302A CF303A Remanufactured Toner Cartridge Compatible for HP Laserjet Enterprise Flow MFP M880 M880z+ M880z+NFC M880z Printer Ink Cartridge</t>
  </si>
  <si>
    <t>Apple Watch Ultra [GPS + Cellular 49mm] Titanium Case with Yellow/Beige Trail Loop， S/M (Renewed)</t>
  </si>
  <si>
    <t>Blackmagic Design Video Assist 3G SDI/HDMI 7 Recorder Monitor Bundle with Lithium-Ion Battery Pack， AC/DC Charger， and 6’ HDMI Cable</t>
  </si>
  <si>
    <t>Fujitsu fi-7260 ADF + Flatbed Professional Scanner (Certified Refurbished)</t>
  </si>
  <si>
    <t>Home and Office Desktop Computer! Great PC for Office and Student USE! [FREE WIFI USB] Z3N™</t>
  </si>
  <si>
    <t>Same day delivery  New Model  9th gen HP 590-p0053w Pavilion i5-9400 6-Core 2.9 GHz (4.1 GHz Turbo)  16GB RAM  128GB SSD  Win 10 +2TB HDD with New Hp keyboard /HP mouse 1 year  warranty ,upgraded ,ope</t>
  </si>
  <si>
    <t>Dell Newest Inspiron 15 3511 Laptop， 15.6 FHD Touchscreen， Intel Core i5-1035G1， 16GB RAM， 1TB PCIe NVMe M.2 SSD， SD Card Reader， Webcam， HDMI， WiFi， Windows 11 Home， Black</t>
  </si>
  <si>
    <t>SINGTRONIC KA-550Pro Professional 1500W Mixing Amplifier Karaoke， Built in Voice Recording Function， Bluetooth Function (Connect to Smart Devices to Sing on YouTube)， Optical/Coax Inputs</t>
  </si>
  <si>
    <t>[GAMING/CAD DESIGN] HP EliteDesk 800 G2 SFF Intel Core i7-6700 6th Gen 8GB DDR4 RAM 256GB new SSD with AMD RADEON GPU  Windows 10 Pro ,MS Office [Refurbished]</t>
  </si>
  <si>
    <t>Dell Precision 7720 17.3 FHD， Core i7 6820HQ 2.7GHz， 32GB RAM， 512GB SSD， Windows 10 Pro 64Bit， CAM (Renewed)</t>
  </si>
  <si>
    <t>Fujitsu ScanSnap PA03603-B005 S1300 Instant PDF Sheet-Fed Mobile Scanner</t>
  </si>
  <si>
    <t>Apple 2022 10.9-inch iPad (Wi-Fi， 64GB) - Blue (10th Generation)</t>
  </si>
  <si>
    <t>bjyx Shoe Rack Metal Rotating Shoe Cabinet Vertical Round Shoe Rack Storage Simple and Modern for The Entrance (Size: 50 x 13.8in) 9th Floor gold</t>
  </si>
  <si>
    <t>HP 15.6 Laptop with Intel 4-core CPU， 15.6 HD LED Display， Intel Quad-core Processor， Bluetooth and Wi-Fi， HDMI， Long Battery Life， Windows 11 Home in S Mode(16GB RAM | 1TB SSD)</t>
  </si>
  <si>
    <t>HIKV DS-7616NI-I2/16P 16 Channel 16 PoE 4K NVR Network Video Recorder， Up to 12MP Resolution Input， Embedded Plug &amp; Play， Support Two Way Audio and Alarm in/Out， Original English Version(NO HDD)</t>
  </si>
  <si>
    <t>Lenovo 2022 Newest Ideapad 3 Laptop， 15.6 HD Touchscreen， 11th Gen Intel Core i3-1115G4 Processor， 8GB DDR4 RAM， 256GB PCIe NVMe SSD， HDMI， Webcam， Wi-Fi 5， Bluetooth， Windows 11 Home， Almond</t>
  </si>
  <si>
    <t>Apple iPhone 14 Plus， 128GB， Purple - Unlocked (Renewed)</t>
  </si>
  <si>
    <t>Apple iPhone 14， 128GB， Blue - Unlocked (Renewed)</t>
  </si>
  <si>
    <t>Apple Iphone X， 256GB， Space Gray - Fully Unlocked (Renewed)</t>
  </si>
  <si>
    <t>Apple iPhone XR， US Version， 64GB， Red - Unlocked (Renewed)</t>
  </si>
  <si>
    <t>American Classic Intra-Matic Auto Chrono</t>
  </si>
  <si>
    <t>Movado Men’s Bold Verso Swiss Quartz Watch with Stainless Steel Link Bracelet， Blue</t>
  </si>
  <si>
    <t>SEIKO Prospex ‘Black Series’ Solar Diver’s 1965 Re-Interpretation Watch SNE587P1</t>
  </si>
  <si>
    <t>Jazzmaster Gent Quartz</t>
  </si>
  <si>
    <t>Luminox ICE-SAR Arctic XL.1002 Mens Watch 46mm - Military Watch in Black Date Function 200m Water Resistant Sapphire Glass</t>
  </si>
  <si>
    <t>Luminox Bear Grylls Mens Watch Survival Land Series - 3798: 45mm Black/Green Stainless Steel Black Paracord Strap</t>
  </si>
  <si>
    <t>Luminox Official 46mm Spartan Watch for Men Black (XL.1001/1000 Series): Limited Edition with Black Dial/Black Signature Strap/White Markers</t>
  </si>
  <si>
    <t>Casio GMW-B5000 Series G-Shock Wristwatch， Bluetooth-Equipped Solar Radio Control， Multi-Finished Black (Stainless Steel)</t>
  </si>
  <si>
    <t>Coutura Men’s Solar Perpetual Calendar Alarm Chronograph Watch</t>
  </si>
  <si>
    <t>SEIKO PROSPEX Solar Diver’s Stainless Steel Watch SNE589</t>
  </si>
  <si>
    <t>SWAROVSKI Passage Chrono Crystal Watch Collection， Leather Strap</t>
  </si>
  <si>
    <t>Citizen Men’s Eco-Drive Sport Luxury World Chronograph Atomic Time Keeping Watch in Stainless Steel with Blue Polyurethane strap， Blue Dial (Model: AT8020-03L)</t>
  </si>
  <si>
    <t>Ladies’ Swarovski Crystalline Pure Rose Gold Tone Watch 5269250</t>
  </si>
  <si>
    <t>LUXURMAN Unique Large Mens Diamond Watch 18k Yellow Gold Plated by 0.12ctw of Diamonds</t>
  </si>
  <si>
    <t>Luminox Outdoor Womens Watch Navy Seals Colormark (XS.3057.WO/ 3050 Series): Swiss Made + White Fiberglass Case Dial and Band + 200m Waterproof</t>
  </si>
  <si>
    <t>BOSS Men’s Stainless Steel Quartz Watch with Leather Strap， Brown， 22 (Model: 1513860)</t>
  </si>
  <si>
    <t>SWAROVSKI Stella Crystal Jewelry Collection， Rhodium &amp; Rose Gold Tone Finish</t>
  </si>
  <si>
    <t>Timex Men’s Waterbury Traditional GMT 39mm TW2U99100VQ Quartz Watch</t>
  </si>
  <si>
    <t>SEIKO Men’s 5 Automatic Watch SNZG15K1</t>
  </si>
  <si>
    <t>Casio G-Shock Black Dial Black Resin Multi Quartz Men’s Watch AWGM510BB-1A</t>
  </si>
  <si>
    <t>Timex 41 mm Expedition North Field Post Solar Recycled Fabric Strap Watch</t>
  </si>
  <si>
    <t>SEIKO Analogical SSB397P1， Silver， Bracelet</t>
  </si>
  <si>
    <t>Casio G-Shock DW-5600BBMA-1D Digital Black Mens Watch 200M WR DW-5600 Original</t>
  </si>
  <si>
    <t>Smith &amp; Wesson Men’s Watch， Tactical Tough Military Watch， Swiss Tritium， 20ATM Black Dial， Stainless Steel Caseback， Diver Watch， Metal and Rubber Straps， 42mm， Father’s Day Gift (Blue)</t>
  </si>
  <si>
    <t>Invicta Men’s 13708 Grand Diver Automatic Black Textured Dial Two-Tone Stainless Steel Watch</t>
  </si>
  <si>
    <t>Akrenar 82 Modern Oversized Sofa， Sofas with Two Pillows， Couches for Living Room， Bedroom，Beige</t>
  </si>
  <si>
    <t>HONBAY Reversible Sectional Couch with Ottoman L-Shaped Sofa for Small Spaces Sectional Sofa with Chaise in Dark Grey</t>
  </si>
  <si>
    <t>Christopher Knight Home Bridget 3-Seater Sofa， Traditional， Modern， Beige， Dark Brown</t>
  </si>
  <si>
    <t>YDF Modern Fabric Loveseat Sofa with 2 USB Charging Ports， Suitable for Small Space Couch， Bedroom Living Room Small Apartment Sofa， Dark Gray</t>
  </si>
  <si>
    <t>ACME Picardy II Sofa w/7 Pillows - - Fabric &amp; Antique Pearl</t>
  </si>
  <si>
    <t>CHANEL Sublimage La Creme Ultimate Skin Regeneration Cream for Unisex， 1.7 Ounce</t>
  </si>
  <si>
    <t>SUBLIMAGE LE TEINT Ultimate Radiance - Generating Cream Foundation/1 oz. 12 Beige Rose</t>
  </si>
  <si>
    <t>SK-II Facial Treatment Mask， 6 ct.</t>
  </si>
  <si>
    <t>U-NEED 100 pcs Korean Face Sheet Mask (10 Types x 10 pcs) Natural Facial Mask Sheet | Tencel | Skin Care | Made in Korea | Moisturizing &amp; Tightening | Pigment Balancing</t>
  </si>
  <si>
    <t>Rawlings Rugged Backpack Chocolate</t>
  </si>
  <si>
    <t>Sidi Men’s Modern</t>
  </si>
  <si>
    <t>Mens Ethnic Geometric Print Plush Collar Loose Jacket</t>
  </si>
  <si>
    <t>Mens Ethnic Tribal Pattern Patchwork Flap Pocket Tweed Jacket</t>
  </si>
  <si>
    <t>Mens Ethnic Geometric Print Patchwork Zip Front Hooded Jacket</t>
  </si>
  <si>
    <t>Apple 2024 MacBook Air 13-inch Laptop with M3 chip: 13.6-inch Liquid Retina Display, 8GB Unified Memory, 512GB SSD Storage, Backlit Keyboard, 1080p FaceTime HD Camera, Touch ID; Starlight</t>
  </si>
  <si>
    <t>Apple 2023 MacBook Pro Laptop M3 chip with 8‑core CPU, 10‑core GPU: 14.2-inch Liquid Retina XDR Display, 8GB Unified Memory, 512GB SSD Storage. Works with iPhone/iPad; Silver</t>
  </si>
  <si>
    <t>2020 Dell Precision 7550 Laptop 15.6" - Intel Core i9 10th Gen - i9-10885H - Eight Core 5.3Ghz - 512GB SSD - 64GB RAM - Nvidia Quadro RTX 3000 - 1920x1080 FHD - Windows 10 Pro (Renewed)</t>
  </si>
  <si>
    <t>Apple iPhone 14 Plus， 128GB， Midnight - Unlocked (Renewed)</t>
  </si>
  <si>
    <t>SHARGE USB C Charger by SHARGEEK， Retro 67 GaN Charger with Digital Rain Power Display， 67W Foldable Fast Wall Charger for iPhone 14/Pro/Pro Max/13， iPad， MacBook， Galaxy， Google Pixel Gifts Idea</t>
  </si>
  <si>
    <t>Sidi Shoes Genius 10</t>
  </si>
  <si>
    <t>Mens Tribal Patchwork Printed Short Sleeve Hooded T-Shirts</t>
  </si>
  <si>
    <t>US Pride Furniture Yoga Collection Modern Faux Leather Curved Lounge Chaise for Stretching &amp; Relaxation， Ideal for Bedroom， Living， Meditation Room or Office， Regular， Midnight Black</t>
  </si>
  <si>
    <t>2021 Newest Dell Inspiron 15 3000 Business Laptop， 15.6 Full HD Touchscreen， Intel Core i5-1035G1， 16GB DDR4 RAM， 1TBGB PCIE SSD， Online Meeting Ready，Webcam， Wi-Fi， HDMI， Windows 10 Pro， Black</t>
  </si>
  <si>
    <t>1500 Piece Wooden Jigsaw Puzzle Table - 6 Drawers， Puzzle Board | 27” X 35” Jigsaw Puzzle Board Portable - Portable Puzzle Table | for Adults and Kids</t>
  </si>
  <si>
    <t>OnePlus 11 5G | 16GB RAM+256GB | Titan Black | US Factory Unlocked Android Smartphone | 5000 mAh battery | 80W Fast charging | Hasselblad Camera | 120Hz Fluid Display | 4nm Processor</t>
  </si>
  <si>
    <t>LiangCuber GAN 12 M 3x3 Speed Cube Magnetic Stickerless GAN 12 MagLev UV Flagship 3x3x3 Magic Cube (UV Coated Glossy &amp; Primary Internal)</t>
  </si>
  <si>
    <t>Lake MX241 Endurance Cycling Shoe - Men’s</t>
  </si>
  <si>
    <t>Frogg Toggs Men's All Sport Rain Suit</t>
  </si>
  <si>
    <t>Spalding 54 inch Shatter-proof Polycarbonate Exacta Height Portable Basketball Hoop System</t>
  </si>
  <si>
    <t>CLX Gaming Desktop Computer with AMD Ryzen 7 5700G, 16GB Memory, and 1TB SSD</t>
  </si>
  <si>
    <t>HP All-in-One Computer &amp; Display</t>
  </si>
  <si>
    <t>amazon basics Stereo 2.0 Speakers for Pc or Laptop</t>
  </si>
  <si>
    <t>Asus NUC 14 Pro</t>
  </si>
  <si>
    <t>Aritzia Wilfred Women's Goodlux Bloomsbury Dress</t>
  </si>
  <si>
    <t>Nine West Women's Crystal Accented Bracelet Watch</t>
  </si>
  <si>
    <t>GAN 356 i 3 Stickerless Speed Cube， 3x3 Smart Cube 356 i3 Gans Magnetic Cube Intelligent Tracking Timing Movements Steps with CubeStation App Gan Cube Puzzle Toys(GAN Robot not Included)</t>
  </si>
  <si>
    <t>GAN 460 M Speed Cube， 4x4 Magnetic Master Cube Gans 460M Puzzle Toy(Stickerless)</t>
  </si>
  <si>
    <t>Men's Sonoma Goods For Life Sweater Fleece Quarter Zip Pullover, Size: Small, Brown</t>
  </si>
  <si>
    <t>Microsoft Designer Compact Keyboard Bluetooth</t>
  </si>
  <si>
    <t>Logitech MK955 Signature Slim Wireless Keyboard and Mouse Combo</t>
  </si>
  <si>
    <t>ASUS NUC 14 Pro+ Desktop Computer</t>
  </si>
  <si>
    <t>ANYPLUS USB C Hub Laptop Docking Station</t>
  </si>
  <si>
    <t>Asus SimPro Dock 2 Docking Station</t>
  </si>
  <si>
    <t>RREAKA 6 in 1 Microsoft Surface Pro X Hub Docking Station</t>
  </si>
  <si>
    <t>HP 24-cr0030 All-in-One Desktop Computer</t>
  </si>
  <si>
    <t>10 in 1 Type C Docking Station</t>
  </si>
  <si>
    <t>PicassoTiles 2-in-1 Magnetic Marble Run Set &amp; Racing Track Set</t>
  </si>
  <si>
    <t>Toysery Airplane Toys</t>
  </si>
  <si>
    <t>Pillowhale Children's Wooden Foldable Portable BBQ Mini Kitchen Grill Toy</t>
  </si>
  <si>
    <t>Vimorg Kids Smart Phone Unicorns Gifts for Girls</t>
  </si>
  <si>
    <t>Skywalker Sports Volleyball Kit</t>
  </si>
  <si>
    <t>Relic by Fossil Women's Analog Mother of Pearl Watch and Bracelet Gift Set</t>
  </si>
  <si>
    <t>Halukakah 18K Gold Plated Diamond Watch</t>
  </si>
  <si>
    <t>SUPERONE 2024 Upgrade for MagSafe Phone Grip with Finger Strap, Removable MagSafe Ring Holder with Kickstand Finger Loop, MagSafe Accessories for</t>
  </si>
  <si>
    <t>SOOPII Magnetic Phone Ring Holder</t>
  </si>
  <si>
    <t>Klsniur Cell Phone Stand</t>
  </si>
  <si>
    <t>Cuisinart 4 Slice Compact Toaster</t>
  </si>
  <si>
    <t>Kitchen Switchen Resale Bella 2-Slice Toaster</t>
  </si>
  <si>
    <t>Drew Barrymore Slow Cooker Set</t>
  </si>
  <si>
    <t>Bioprogramming Hair Dryer Repronizer 107D Plus</t>
  </si>
  <si>
    <t>Nature's Bounty Optimal Solutions Hair, Skin and Nails Extra Strength Rapid Release Liquid Softgels</t>
  </si>
  <si>
    <t>Hair Biology Argan Oil Taming Serum with Biotin</t>
  </si>
  <si>
    <t>Jason Natural Biotin Shampoo</t>
  </si>
  <si>
    <t>Rakuten Kobo Libra Color e-reader Black</t>
  </si>
  <si>
    <t>Buy a $50 Canada Apple Gift Card - Email Delivery</t>
  </si>
  <si>
    <t>Apple Gift Card 25 USD | US Account</t>
  </si>
  <si>
    <t>Rise of The Ronin</t>
  </si>
  <si>
    <t>Carnival Games</t>
  </si>
  <si>
    <t>Disney Illusion Island</t>
  </si>
  <si>
    <t>The Legend of Zelda: Tears of The Kingdom</t>
  </si>
  <si>
    <t>ASICS Women's Training Core Tight</t>
  </si>
  <si>
    <t>ASICS Men's Logo Sweat Shorts</t>
  </si>
  <si>
    <t>Gymshark Everyday Seamless Shorts</t>
  </si>
  <si>
    <t>Gymshark Arrival 7' Shorts</t>
  </si>
  <si>
    <t>Lululemon Women's Align High-Rise 25 Pants</t>
  </si>
  <si>
    <t>Nike Women's Mid-Rise Open-Hem Pants</t>
  </si>
  <si>
    <t>Nike Women's Sportswear Classics High-Waisted Graphic Leggings</t>
  </si>
  <si>
    <t>Nike Women's Sportswear Woven Pants</t>
  </si>
  <si>
    <t>PUMA Men's Rudagon Fleece Sweatpants</t>
  </si>
  <si>
    <t>Reebok High Waist Q4 Pants</t>
  </si>
  <si>
    <t>VASAGLE Bathroom Floor Storage Cabinet</t>
  </si>
  <si>
    <t>Design House Wyndham White Semi-Gloss Bathroom Wall Cabinet</t>
  </si>
  <si>
    <t>Homfa Farmhouse Bathroom Cabinet</t>
  </si>
  <si>
    <t>Ktaxon 70 inch Free Standing Bathroom Tower Storage Cabinet</t>
  </si>
  <si>
    <t>Ktaxon Tall Bathroom Storage Cabinet</t>
  </si>
  <si>
    <t>24" Bathroom Vanity Cabinet Without Sink</t>
  </si>
  <si>
    <t>Fluidmaster Everything Toilet Repair Kit</t>
  </si>
  <si>
    <t>Fluidmaster 703A Flapperless Fill Valve for Glacier Bay &amp; Niagra Toilets</t>
  </si>
  <si>
    <t>Pur Ultimate Lead Pitcher Replacement Filter 3-Pack</t>
  </si>
  <si>
    <t>PUR Faucet Mount Water Filtration System</t>
  </si>
  <si>
    <t>SimPure Y7W Countertop Reverse Osmosis Water Filtration Purification System</t>
  </si>
  <si>
    <t>PUR Plus 11 Cup Water Pitcher Filtration System</t>
  </si>
  <si>
    <t>Equate Therapy Combo Packs 2 Count</t>
  </si>
  <si>
    <t>Equate Maximum Strength Antifungal Liquid</t>
  </si>
  <si>
    <t>Equate Arthritis Cream</t>
  </si>
  <si>
    <t>Equate Stool Softener Plus Stimulant Laxative Tablets for Constipation, 120 Count</t>
  </si>
  <si>
    <t>Equate Beauty Eczema Relief Skin Protection Cream</t>
  </si>
  <si>
    <t>Hi-Pro-Pac Keratin Intense Protein Treatment</t>
  </si>
  <si>
    <t>Hi-Pro-Pac Extremely Damaged Hair Repair - 8 fl oz - Intense Protein Treatment Hair Masque - Deeply Conditions Hair Fortifies Hair and Helps Preven</t>
  </si>
  <si>
    <t>Neutrogena Sun Rescue Medicated Relief Gel</t>
  </si>
  <si>
    <t>Neutrogena Clear &amp; DEFEND+ Daily Serum</t>
  </si>
  <si>
    <t>Neutrogena Rapid Firming Collagen Triple Lift Face Serum</t>
  </si>
  <si>
    <t>Neutrogena Norwegische FORMEL Sofort Einziehende Feuchtigkeitscreme, 200 ml Cream</t>
  </si>
  <si>
    <t>WEE Fingertip Magic Bean Stress Relief Rotating Gyroscope Round Cube Toys Children Adult Educational Puzzle Toys</t>
  </si>
  <si>
    <t>Head-Mounted Isolation Protective Cover Anti-Fog Anti-Gas Enhanced Face Mask HD Protective</t>
  </si>
  <si>
    <t>B06-L Desktop Wooden Storage Box Multi-layer Storage Racks with 1 Drawer File Books Shelf Bookshelf Pens Pencils Holder Organizer</t>
  </si>
  <si>
    <t>Seewei 7 in 1 Type-C Docking Station USB-C Hub Splitter Adaptor with USB2.0 USB3.0 USB-C2.0 PD100W USB-C 4K*2K@30Hz HDMI SD/TF Card Reader Slot Multiports Hub for PC Laptop</t>
  </si>
  <si>
    <t>Mens Solid Snap Button Raglan Sleeve Casual Jacket</t>
  </si>
  <si>
    <t>Breville Oracle Touch Espresso Machine， 84oz， Black Truffle</t>
  </si>
  <si>
    <t>POLY &amp; BARK Lyon Sofa in Full-Grain Pure-Aniline Italian Leather， Cognac Tan</t>
  </si>
  <si>
    <t>Betsy Furniture Microfiber Reclining Sofa Couch Set Living Room Set 8007 (Grey， Sofa+Loveseat+Recliner)</t>
  </si>
  <si>
    <t>Signature Design by Ashley Dorsten Contemporary L-Shaped Reversible Sofa Chaise Chofa， Gray</t>
  </si>
  <si>
    <t>MELLCOM Soft Linen Fabric Couch with Double Wide Chaise Lounge， Modern U-Shape Sectional Sofa Couch with Modern Metal Feet for Apartment Living Room， Blue</t>
  </si>
  <si>
    <t>LEVNARY Velvet Sectional Sofa with Chaise Lounge， Pull Out Sofa Bed Tufted Upholstered 3 Seater Sleeper Sofa with Thick Cushion， 78 Inch L-Shaped Couch for Living Room Home (Gray)</t>
  </si>
  <si>
    <t>HONBAY Reversible Sectional Sofa Couch Modern Upholstered L Shaped Sofa with Cup Holders &amp; Storage Console， Left or Right Side Chaise Sectional Sofa for Living Room Office， Grey</t>
  </si>
  <si>
    <t>CHITA Mid-Century Sofas Furniture 73.2’’W Faux Leather Sofa Couch Sets for Living Room Apartment， Cognac Brown</t>
  </si>
  <si>
    <t>Lexicon Vega Living Room Sofa， Light Gray</t>
  </si>
  <si>
    <t>SILKIR 3-Person Sofa Couch for Living Room | Perfect for: Apartment/Studio/Office &amp; Small Space | Velvet Fabric | Fast and Easy Assembly Modern Contemporary Mid-Century， Aqua Turquoise</t>
  </si>
  <si>
    <t>AMERLIFE Sofa， Deep Seat Sofa-Contemporary Chenille Sofa Couch， 97 Wide 3 Seater Sofa for Living Room-Oversized Sofa， Beige Comfy Sofa</t>
  </si>
  <si>
    <t>JOMEED Convertible Sectional Sofa Couch， Modern Oversized Velvet Fabric L-Shaped Couch Sofa Bed with Adjustable Backrest for Living Room， Apartment</t>
  </si>
  <si>
    <t>VIVIDSTORM-Projection Screen，PRO Slimline Motorized Office Presentation，Remote Controlled Drop Down Screen，Color Display Feature，Compatible with 4K Ultra Short Throw Laser Projector，VBMSLUST120H</t>
  </si>
  <si>
    <t>Apple 2021 11-inch iPad Pro Wi-Fi + Cellular 2TB - Silver</t>
  </si>
  <si>
    <t>Smart Board， 43 Inch JYXOIHUB Interactive Whiteboard， Electronic Whiteboard， Screen Mirroring from Android and iOS for Live Streaming， for Advertising Display and Classroom (Wall Mount inclued)</t>
  </si>
  <si>
    <t>Dell XPS 13 9310 Touchscreen Laptop 13.4 inch FHD+ Thin and Light. Intel Core i7-1195G7， 16GB LPDDR4x RAM， 512GB SSD， Intel Iris Xe Graphics， Windows 11 Pro， 2Yr OnSite， 6 Months Migrate – Silver</t>
  </si>
  <si>
    <t>Microsoft Surface Laptop 4 15-inch Touchscreen 256GB SSD 3.0GHz i7 with Windows 10 Pro (16GB RAM， Intel i7-1185G7， Wi-Fi， Latest Model) – Matte Black， 5IF-00001</t>
  </si>
  <si>
    <t>Elite Screens Spectrum AcousticPro UHD 135-inch Motorized Projector Screen Electric Projection Screen 16:9 4K Moiré-Free Sound Transparent Perforated Weave 4K Ready Drop Down Projector Screen</t>
  </si>
  <si>
    <t>Lenovo IdeaCentre 5i Gaming Desktop， 12th Gen Intel Core i7-12700， Geforce RTX 3060， 32GB RAM， 512GB PCIe SSD + 1TB HDD， Wi-Fi 6， DisplayPort， HDMI， Windows 11 Home， Black</t>
  </si>
  <si>
    <t>4-Pack (BK+C+Y+M) 658A | W2000A W2001A W2002A W2003A Toner Cartridge Compatible for HP Color Laserjet Enterprise M751 M751n(T3U43A) M751dn(T3U44A) Printer Ink Cartridge</t>
  </si>
  <si>
    <t>HP Envy Laptop， 17.3 Full HD Touchscreen， 12th Gen Intel Core i7-1260P， 32GB RAM， 1TB PCIe SSD， IR Camera， Backlit Keyboard， HDMI， Wi-Fi 6， Windows 11 Home， Silver</t>
  </si>
  <si>
    <t>2020 Lenovo ThinkPad E15 15.6” FHD Business Laptop Computer， 10th gen Intel i5-10210U (up to 4.20GHz)， 32GB RAM， 1TB SSD， WiFi HDMI Win10 Pro</t>
  </si>
  <si>
    <t>Lenovo IdeaPad Slim 9i 14 Business Laptop | 14 UHD 4K Multi-Touch (500nits) | 11th Gen Intel 4-core i7-1195G7 | 16GB DDR4 512GB SSD | Fingerprint Backlit Thunderbolt Win11Pro Black + USB-C Adapter</t>
  </si>
  <si>
    <t>aoonav Android 11 Snapdragon 665 Car Stereo Radio for Dodge Ram 2018 2019 2020 2021 Auto Audio 12.1 Inch Multimedia Video Player GPS Navigation 1080P Touch Screen Carplay WiFi Bluetooth Head Unit</t>
  </si>
  <si>
    <t>Dell Optiplex 3000 MFF Business Desktop， 12th Gen Intel Core i5-12500T， 16GB RAM， 512GB PCIe SSD， HDMI， Displayport， RJ-45， Wired Keyboard&amp;Mouse， Wi-Fi 6， Windows 11 Pro， Black，16GB RAM | 512GB SSD</t>
  </si>
  <si>
    <t>2020 Apple iPad Pro 2nd Gen (11 inch， Wi-Fi + Cellular， 256GB) Space Gray (Renewed)</t>
  </si>
  <si>
    <t>Apple iPad Pro 10.5in - 512GB Wifi - 2017 Model - SILVER (Renewed)</t>
  </si>
  <si>
    <t>HP 2022 Newest 17.3 HD+ Display Laptop， 11th Gen Intel Core i3-1115G4(Up to 4.1GHz， Beat i5-1030G7)， 32GB DDR4 RAM， 1TB PCIe SSD， Bluetooth， HDMI， Webcam， Windows 11， Silver， w/ 3in1 Accessories</t>
  </si>
  <si>
    <t>HP 2022 Newest 17 Laptop， 17.3 FHD IPS Display， Intel Core i5-1135G7 Quad-Core Processor， Intel Iris Xe Graphics， 16GB RAM， 1TB PCIe SSD， HDMI， Windows 11 + Microfiber Cloth</t>
  </si>
  <si>
    <t>GoPro HERO11 Black Creator Edition - Includes HERO11 ， Volta (Battery Grip， Tripod， Remote)， Media Mod， Light Mod， Enduro Battery， and Carrying Case</t>
  </si>
  <si>
    <t>Lenovo IdeaPad 3 Laptop， 15.6 HD+ Display， AMD Ryzen 5 5500U， 8GB RAM， 512GB Storage， AMD Radeon 7 Graphics， Windows 11 Home， Abyss Blue</t>
  </si>
  <si>
    <t>BUFFALO LinkStation 720 16TB 2-Bay Home Office Private Cloud Data Storage with Hard Drives Included/Computer Network Attached Storage/NAS Storage/Network Storage/Media Server/File Server</t>
  </si>
  <si>
    <t>2022 Newest Dell Inspiron 15 3511 Laptop， 15.6 FHD Touchscreen， Intel Core i5-1035G1， 16GB RAM， 1TB PCIe NVMe M.2 SSD， SD Card Reader， Webcam， HDMI， WiFi， Windows 11 Home， Black</t>
  </si>
  <si>
    <t>HP Newest Flagship 14 HD Business Laptop Computer， 4-Core i5-1135G7(Up to 4.2GHz， Beat i7-1060G7)， 16GB RAM， 512GB PCIe SSD， Iris Xe Graphics， Webcam， WiFi， Bluetooth， Win 11 Home， w/GM Gaming Mouse</t>
  </si>
  <si>
    <t>Dell Inspiron 15 3511， 15.6 inch FHD Laptop - Intel Core i5-1135G7， 12GB DDR4 RAM， 256GB SSD， Intel Iris Xe Graphics， Windows 11 Home - Carbon Black</t>
  </si>
  <si>
    <t>Class A Customs PVC Extreme Duty RV Rubber Roof Kit | 8.5 ft Wide X 35 ft Long | RV Rubber Roof Membrane Kit | RV Camper Trailer Rubber Roof Repair | Motor Home Roof</t>
  </si>
  <si>
    <t>Dell Inspiron 15 3000 15.6-inch Full HD 11th Gen Intel Core i5-1135G7 12GB 256GB SSD Laptop</t>
  </si>
  <si>
    <t>HP 2022 Newest Pavilion 15.6 HD Laptop， Intel Quad-core Pentium Processor， 16GB RAM， 1TB SSD， 11 Hr Battry Life， Intel UHD Graphics， HD Webcam， Bluetooth， HDMI， USB Type-C， Scarlet Red， Win 11</t>
  </si>
  <si>
    <t>Denon DN-500CB Professional CD/Media Player with Bluetooth/USB/Aux Inputs and RS-232C， Bluetooth 3.0 Pairing to (8) Devices， Slot-loading CD Transport， USB Host Port for File Playback</t>
  </si>
  <si>
    <t>Home Source Corner Bar Cabinet with Rotating Wine Rack Mahogany</t>
  </si>
  <si>
    <t>Apple iPhone 14， 256GB， Purple - Unlocked (Renewed)</t>
  </si>
  <si>
    <t>iPhone 13， 128GB， Pink - Unlocked (Renewed Premium)</t>
  </si>
  <si>
    <t>Samsung Electronics Galaxy Note 20 5G Unlocked Android Cell Phone | US Version | 128GB of Storage | Mobile Gaming Smartphone | Long-Lasting Battery | Mystic Gray (Renewed)</t>
  </si>
  <si>
    <t>Omega Seamaster Planet Ocean Automatic Mens Watch 215.30.44.22.01.001</t>
  </si>
  <si>
    <t>Omega DeVille Prestige Black Dial Automatic Mens Watch 424.13.40.21.01.001</t>
  </si>
  <si>
    <t>Hamilton Men’s H77616133 Khaki X-Wind Automatic Watch</t>
  </si>
  <si>
    <t>Khaki Aviation X-Wind Auto Chrono</t>
  </si>
  <si>
    <t>Victorinox Fieldforce Classic Chrono Watch</t>
  </si>
  <si>
    <t>LIV GX1 Swiss Made Chronograph 45mm 316L SS Case， 3D Multi-Layer w/Quickset Date - Rugged Classic Watch for Men- Scratch Resistant Sapphire Crystal - 660 Feet Water Resistant - BGW9 Swiss Luminova</t>
  </si>
  <si>
    <t>SEIKO SRPE33 Prospex Men’s Watch Silver-Tone 44mm Stainless Steel</t>
  </si>
  <si>
    <t>Luminox Atacama Adventurer Field XL.1761 Mens Watch 42mm - Adventure Watch in Silver/Black Date Function 200m Water Resistant Sapphire Glass</t>
  </si>
  <si>
    <t>Hamilton Khaki Aviation Pilot Pioneer Swiss Chronograph Quartz Watch 41mm Case， Black Dial， Brown Leather NATO Strap (Model: H76522531)</t>
  </si>
  <si>
    <t>Luminox Men’s Pacific Diver Sea Series Black Out 44mm Analog Dive Watch</t>
  </si>
  <si>
    <t>Luminox Men’s Navy Seal 3000 EVO Series 43mm Analog Black Out Dive Watch</t>
  </si>
  <si>
    <t>Luminox Navy SEAL Dive Watch Black Velcro Band - L3901</t>
  </si>
  <si>
    <t>Luminox Men’s 3151 Navy SEAL Luminescent Watch with Black Rubber Band</t>
  </si>
  <si>
    <t>CASIO G-Shock Connected GMW-B5000-1JF Origin Radio Solar Watch (Japan Domestic Genuine Products)</t>
  </si>
  <si>
    <t>Luminox Navy Seal XS.3501.F Mens Watch 45mm - Dive Watch in Black Date Function 200m Water Resistant</t>
  </si>
  <si>
    <t>SEIKO SRPE27 Prospex Men’s Watch Silver-Tone 42.4mm Stainless Steel</t>
  </si>
  <si>
    <t>Ticwatch Pro 3 Ultra GPS Smartwatch Qualcomm SDW4100 and Mobvoi Dual Processor System Wear OS Smart Watch for Men Blood Oxygen Fatigue Assessment 3-45 Days Battery NFC Mic Speaker</t>
  </si>
  <si>
    <t>Swarovski Gema Jewelry Collection， Gold-tone and Rhodium Finish， Multicolored Crystals</t>
  </si>
  <si>
    <t>SEIKO Men’s SNZG15 SEIKO 5 Automatic Stainless Steel Watch with Nylon Strap</t>
  </si>
  <si>
    <t>Luminox Mens Wrist Watch Leatherback Sea Turtle Giant 44 mm Black Green Display (XS.0337): 100 M Waterproof + Super Luminova + Carbonox Case</t>
  </si>
  <si>
    <t>SEIKO SRPD61 5 Sports Men’s Watch Silver-Tone 42.5mm Stainless Steel</t>
  </si>
  <si>
    <t>Casio GM-5600G-9JF [G-Shock Black and Gold Model] Watch Shipped from Japan Aug 2022 Model</t>
  </si>
  <si>
    <t>SWAROVSKI Vittore Wide Ring Silver 7</t>
  </si>
  <si>
    <t>Swarovski Orbita Crystal Jewelry Collection， Rhodium Tone &amp; Gold Tone Finish</t>
  </si>
  <si>
    <t>Swarovski Constella Cocktail Ring Jewelry Collection， Princess and Round Pavé Cut， Clear Crystals</t>
  </si>
  <si>
    <t>AMERLIFE Deep Seat Sofa-Contemporary Chenille Sofa Couch， 97 Wide Large 3 Seater Sofa for Living Room-Oversized Sofa Comfy Sofa Beige</t>
  </si>
  <si>
    <t>VINGLI U Shaped Sectional Sofa，114 Large Sectional Sofa Couch for Living Room，Linen Sectional Sofa with Double Lounge Chaise，Navy Blue</t>
  </si>
  <si>
    <t>ACME Furniture Gorsedd Sofa with 5 Pillows， Cream Fabric and Antique White</t>
  </si>
  <si>
    <t>CHANEL SUBLIMAGE LA CRÈME Ultimate Skin Regeneration - Texture Universal 1.7 OZ.</t>
  </si>
  <si>
    <t>SISLEY， Ecological Compound Piece Set Ecological Compound 125ml + Buff Wash Face Gel 10ml + HydraGlobal Serum 5ml + HydraGlobal 10ml， Multi， 4 Count， (Pack of 4)</t>
  </si>
  <si>
    <t>CHANEL LE Lift Firming - Anti-Wrinkle Creme Riche 50G.</t>
  </si>
  <si>
    <t>Sisley Women’s Phyto-Teint Expert Foundation， 3 Natural， 1 Ounce</t>
  </si>
  <si>
    <t>Sisley by Sisley， Triple-Oil Balm Make-Up Remover &amp; Cleanser - Face &amp; Eyes -125g/4.4oz</t>
  </si>
  <si>
    <t>Hot Head Torch</t>
  </si>
  <si>
    <t>Germaine de Capuccini - Timexpert Radiance C+ | Illuminating Antioxidant Eye Contour Cream - Vitamin C and Vitamin E Eye Cream - Protects Against Free radicals damage - 0.5 Fl oz</t>
  </si>
  <si>
    <t>Led Face Mask Light Therapy 7 Color Photon Light Maintenance Tender Skin and Brighten Skin Facial Care Mask for Face and Neck</t>
  </si>
  <si>
    <t>Then I Met You Rosé Resurfacing Facial Mask - At Home Sparkling Facial Treatment with AHA + BHA + Resveratrol - Vegan， Clean Skincare (1.76 oz)</t>
  </si>
  <si>
    <t>JJ.Yoma Facial Cream Maker， Professional Facial Mask Machine Collagen Fruit Vegetable DIY Automatic Facial Care Masks Maker with Human Voice Reminder</t>
  </si>
  <si>
    <t>Sisley Floral Toning Lotion By Sisley for Women - 8.4 Oz Toning Lotion， 8.4 Oz</t>
  </si>
  <si>
    <t>BRÜUN Peel-Off Jelly Mask Premium Modeling Rubber Mask Spa Set - 10 Treatments (24k Gold， Lavender， Kiwi， Peppermint， Egyptian Rose， Matcha， Chamomile， Tea tree， Jazmine)</t>
  </si>
  <si>
    <t>ASSAULTFITNESS Assault AirBike Elite， Grey</t>
  </si>
  <si>
    <t>BFSB5 Chain Drive Indoor Cycling Bike</t>
  </si>
  <si>
    <t>Meta Quest 2 — Advanced All-In-One Virtual Reality Headset — 128 GB Get Meta Quest 2 with GOLF+ and Space Pirate Trainer DX included</t>
  </si>
  <si>
    <t>Devoko 5 Pieces Patio Furniture Sets All Weather Outdoor Sectional Sofa Manual Weaving Wicker Rattan Patio Conversation Set with Cushion and Glass Table (Beige)</t>
  </si>
  <si>
    <t>Alexia Meditation Seat Ergonimically Correct for The Human Physiology Zen Yoga Ergonomic Chair Foam Cushion Home or Office (Light Grey - Vegan Leather)</t>
  </si>
  <si>
    <t>Igloo BMX 72 Quart Cooler with Cool Riser Technology， Fish Ruler， and Tie-Down Points</t>
  </si>
  <si>
    <t>Bukefuno GAN 12 Maglev 3x3 Magnetic Magic Cube GAN12Maglev Speed GAN 12Maglev Puzzle Magic Cubes GAN12 Maglev 3x3 Cube (Frosted Surface Stickerless)</t>
  </si>
  <si>
    <t>Dell Latitude 5000 5540 15.6" FHD Business Laptop Computer, 13th Gen Intel 10-Core i7-1355U, 32GB DDR4 RAM, 1TB PCIe SSD, WiFi 6E, Bluetooth, Backlit Keyboard, Fingerprint Reader, Windows 11 Pro</t>
  </si>
  <si>
    <t>Apple 2024 MacBook Air 13-inch Laptop with M3 chip: 13.6-inch Liquid Retina Display, 8GB Unified Memory, 256GB SSD Storage, Backlit Keyboard, 1080p FaceTime HD Camera, Touch ID; Midnight</t>
  </si>
  <si>
    <t>Apple 2024 MacBook Air 13-inch Laptop with M3 chip: 13.6-inch Liquid Retina Display, 8GB Unified Memory, 512GB SSD Storage, Backlit Keyboard, 1080p FaceTime HD Camera, Touch ID; Midnight</t>
  </si>
  <si>
    <t>Apple 2024 MacBook Air 15-inch Laptop with M3 chip: 15.3-inch Liquid Retina Display, 8GB Unified Memory, 512GB SSD Storage, Backlit Keyboard, 1080p FaceTime HD Camera, Touch ID; Midnight</t>
  </si>
  <si>
    <t>MSI WF66 11UJ-267 Workstation Laptop (Intel i7-11800H 8-Core, 64GB RAM, 128GB PCIe SSD + 1TB HDD, RTX A2000, 15.6" 60Hz Full HD (1920x1080), WiFi, Bluetooth, Win 10 Pro) with Topload Bag</t>
  </si>
  <si>
    <t>Apple iPhone 12 Pro， 128GB， Gold - Unlocked (Renewed Premium)</t>
  </si>
  <si>
    <t>Torpedo Ba</t>
  </si>
  <si>
    <t>Mens Solid Texture Baseball Collar Zip Front Casual Jacket</t>
  </si>
  <si>
    <t>Mens Fringe Hem Half Sleeve Cardigan</t>
  </si>
  <si>
    <t>Mens Solid Lapel 3/4 Sleeve Casual Blazer</t>
  </si>
  <si>
    <t>YOGABODY Yoga Trapeze Stand， Indoor and Outdoor Use</t>
  </si>
  <si>
    <t>HP Pavilion x360 2-in-1 14 FHD Touchscreen Laptop Computer， Intel Quad-Core i5-1135G7 up to 4.2GHz (Beat i7-1065G7)， 8GB DDR4 RAM， 512GB PCIe SSD， WiFi 6， Silver， Windows 11， BROAG Extension Cable</t>
  </si>
  <si>
    <t>Solid Color Stand Collar Button Down Front Leisure Loose Maxi Dress with Side Pockets</t>
  </si>
  <si>
    <t>Leopard Print V-Neck Puff Sleeve Lace-Up Maxi Dress For Women</t>
  </si>
  <si>
    <t>Alvantor Pop Up Bubble Tent - 6’ x 6’ Instant Igloo Tent - 2-3 Person Screen House for Patios - Large Oversize Weather Proof Pod - Cold Protection Camping Tent - Beige</t>
  </si>
  <si>
    <t>Igloo 54 Qt Steel Belted Legacy Stainless Steel Cooler with Bottle Opener</t>
  </si>
  <si>
    <t>Academy Sports + Outdoors 44 in Portable Basketball System</t>
  </si>
  <si>
    <t>Costway 10ft 43'' In/Outdoor Adjustable Height Basketball Hoop System</t>
  </si>
  <si>
    <t>Dell OptiPlex Small Form Factor Desktop Computer</t>
  </si>
  <si>
    <t>GEEKOM AX8 Mini PC</t>
  </si>
  <si>
    <t>MSI Cubi NUC 1M-007US</t>
  </si>
  <si>
    <t>NZXT H7 Flow Mid-Tower Case CM-H72F</t>
  </si>
  <si>
    <t>Phanteks XT Pro Ultra Gaming Chassis</t>
  </si>
  <si>
    <t>Best Buy Essentials Full-Size Wireless Membrane Keyboard and Mouse Bundle</t>
  </si>
  <si>
    <t>Fashion to Figure Twist-Neck Keyhole Midi Dress</t>
  </si>
  <si>
    <t>Boden Women's Amelie Long Sleeve Dress</t>
  </si>
  <si>
    <t>INC International Concepts Women's Metallic Pleated Midi Dress</t>
  </si>
  <si>
    <t>Kendra Scott Alex 35mm Gold Tone Watch</t>
  </si>
  <si>
    <t>JBW Cristal 28 Diamond Bracelet Watch &amp; Bracelet Set</t>
  </si>
  <si>
    <t>Omega Seamaster Diver 300M Automatic Men's Watch</t>
  </si>
  <si>
    <t>Seiko Presage Men's Automatic Watch SSA423</t>
  </si>
  <si>
    <t>Tiffany Hardwear Sterling Silver and Steel Diamond Bezel</t>
  </si>
  <si>
    <t>Anne Klein Women's Premium Crystal Bangle Watch and Bracelet Set</t>
  </si>
  <si>
    <t>Sunny Health &amp; Fitness Elliptical Exercise Machine Trainer with Optional Exclusive SunnyFit™ App and Enhanced Bluetooth Connectivity</t>
  </si>
  <si>
    <t>Women's High Low Asymmetrical Ruffle Hem Peplum Shirt Dress</t>
  </si>
  <si>
    <t>Lauren Ralph Lauren Women's Heritage Down &amp; Feather Fill Puffer Coat with Faux-</t>
  </si>
  <si>
    <t>Fashion Nova Men's Attucks Quilted Nylon Shirt</t>
  </si>
  <si>
    <t>Cotton King Men's Long Sleeve Oxford Shirt</t>
  </si>
  <si>
    <t>COOFANDY Men's Casual Wrinkle Free Long Sleeve Button Down Dress Shirt</t>
  </si>
  <si>
    <t>Kenneth Cole Reaction Men's Ready Flex Slim Fit Suit</t>
  </si>
  <si>
    <t>Men's Colorblock Button Down Shirt</t>
  </si>
  <si>
    <t>Dell Docking Station USB 3.0</t>
  </si>
  <si>
    <t>Silicon Power DDR5 64GB Memory</t>
  </si>
  <si>
    <t>"HP Portable Laptop, Student and Business, 14" HD Display, Intel Quad-Core N4120, 16GB DDR4 RAM, 64GB eMMC, 1 Year Office 365, Webcam, SD Card Reader</t>
  </si>
  <si>
    <t>Upgraded Quick Push Game Pop Bubble Up Toys for Kids, Funny Toys for Boys Kids Ages 5-7 8-13 Kids Christmas Birthday Gifts for 3-12 Year Old Boys,</t>
  </si>
  <si>
    <t>Kids Smart Phone Toy Christmas Birthday Gift Ages 3-10</t>
  </si>
  <si>
    <t>Fisher Price Laugh &amp; Learn Mix &amp; Learn DJ Table</t>
  </si>
  <si>
    <t>Aigybobo Learning Toys Farm Animals Toys</t>
  </si>
  <si>
    <t>BSN Sports Outdoor Volleyball Set</t>
  </si>
  <si>
    <t>Gared Sports Outdoor Basketball System</t>
  </si>
  <si>
    <t>Park &amp; Sun Spiker SL Volleyball Net System</t>
  </si>
  <si>
    <t>Timex Women's Dress Crystal Watch &amp; Bracelet Gift Set</t>
  </si>
  <si>
    <t>Anne Klein Women's Octagonal Hand Quartz Metal Link Bracelet Watch</t>
  </si>
  <si>
    <t>Michele Serein Chronograph Quartz Diamond Watch</t>
  </si>
  <si>
    <t>Jessica Simpson Rose Gold-Tone Expansion Band Ring Watch Set</t>
  </si>
  <si>
    <t>Smartphone Strap</t>
  </si>
  <si>
    <t>Hamilton Beach Extra Long Slot 2 Slice Toaster</t>
  </si>
  <si>
    <t>Hunter Fan Pacer 44 Ceiling Fan with LED Light</t>
  </si>
  <si>
    <t>Comfee CMO-C20M1WH Retro Microwave With 11 Power Levels Fast Multi-stage Cooking</t>
  </si>
  <si>
    <t>Biotin Hair Growth Supplement</t>
  </si>
  <si>
    <t>Biotin + Soluble Keratin Hair Treatment Supplement</t>
  </si>
  <si>
    <t>Hairfluence - W/ Biotin, Niacin, Collagen, Healthy Skin, Hair &amp; Nails</t>
  </si>
  <si>
    <t>The Best We Could Do: An Illustrated Memoir</t>
  </si>
  <si>
    <t>Apple Gift Card App Store Itunes-value:10.25.50.100. For Us Only</t>
  </si>
  <si>
    <t>Apple Gift Card App Store Itunes-value:10.25.50.100 For Us Only</t>
  </si>
  <si>
    <t>Assassin's Creed Mirage Deluxe Edition</t>
  </si>
  <si>
    <t>Horizon Forbidden West Full Game Digital Code - Sony Ps5 &amp; Ps4</t>
  </si>
  <si>
    <t>Nintendo eShop Digital Gift Card</t>
  </si>
  <si>
    <t>Nintendo eShop Card</t>
  </si>
  <si>
    <t>Clubhouse Games 51 Worldwide Classics</t>
  </si>
  <si>
    <t>Playstation Stray</t>
  </si>
  <si>
    <t>Nintendo eShop Digital Card</t>
  </si>
  <si>
    <t>adidas Women's Farm Tiro Track Top</t>
  </si>
  <si>
    <t>Adidas Originals Adicolor Firebird Track Pants</t>
  </si>
  <si>
    <t>adidas Women's VL Court 3.0</t>
  </si>
  <si>
    <t>ASICS Men's Double Weave 7in Shorts</t>
  </si>
  <si>
    <t>ASICS Men's ACTIBREEZE Jacquard Jacket</t>
  </si>
  <si>
    <t>Gymshark Arrival 5' Shorts</t>
  </si>
  <si>
    <t>Gymshark Crossover Leggings</t>
  </si>
  <si>
    <t>Gymshark Vital Seamless 2.0 Long Sleeve Top</t>
  </si>
  <si>
    <t>Nike Women's Sportswear Tech Fleece High Waisted Slim Pants</t>
  </si>
  <si>
    <t>Nike Men's Solo Swoosh Track Pants</t>
  </si>
  <si>
    <t>Nike Men's Sportswear Club Fleece Graphic Pullover Hoodie</t>
  </si>
  <si>
    <t>Puma Men's Team Liga Training Pants</t>
  </si>
  <si>
    <t>Puma Men's Contrast Pants</t>
  </si>
  <si>
    <t>Jacket Puma Men's Team Liga Training</t>
  </si>
  <si>
    <t>Reebok Women's Work Out Ready High-Rise Leggings</t>
  </si>
  <si>
    <t>Reebok Women's Identity Back Vector Tricot Track Pants</t>
  </si>
  <si>
    <t>Reebok Women's Identity Back Vector Tricot Track Jacket</t>
  </si>
  <si>
    <t>Reebok Men's Workout Ready Shorts</t>
  </si>
  <si>
    <t>Reebok Women's Workout Ready 3/4 Leggings</t>
  </si>
  <si>
    <t>Homfa Freestanding Bathroom Storage Floor Cabinet</t>
  </si>
  <si>
    <t>Home Decorators Collection Ashburn 60 in. W x 21.75 in. D Vanity Cabinet</t>
  </si>
  <si>
    <t>Homfa 2pcs Bathroom Cabinet</t>
  </si>
  <si>
    <t>36'' Bathroom Vanity without Sink Takason Base Color: White</t>
  </si>
  <si>
    <t>Fluidmaster Complete Toilet Tank Repair Kit 400AKRP10</t>
  </si>
  <si>
    <t>Fluidmaster PerforMAX 2" Rubber Universal Water-Saving Toilet Flapper</t>
  </si>
  <si>
    <t>Fluidmaster PerforMAX Toilet Fill Valve</t>
  </si>
  <si>
    <t>Brita Total 360 2-Stage Drinking Water Filtration System</t>
  </si>
  <si>
    <t>Brita Large Tahoe Water Filter Pitcher 50686</t>
  </si>
  <si>
    <t>Brita Slim 5 Cup Water Pitcher with One Advanced Filter</t>
  </si>
  <si>
    <t>Brita Tahoe Large Water Filter Water Pitcher</t>
  </si>
  <si>
    <t>PUR Faucet Mount Replacement Water Filter Basic 2 Pack</t>
  </si>
  <si>
    <t>Equate Hair Regrowth Treatment For Men 3 Month Supply Usa, (3 Bottles</t>
  </si>
  <si>
    <t>Equate Athlete's Foot Antifungal Cream</t>
  </si>
  <si>
    <t>Hi Pro Pac Intense Protein Treatment, Keratin Protein No-Frizz Hair, 1.75 fl oz (52 ml)_140211</t>
  </si>
  <si>
    <t>Hi Pro Pac Macadamia Nut Oil Nourishing Treatment</t>
  </si>
  <si>
    <t>Hi Pro Pac Macadamia Nut Oil Nourishing Masque</t>
  </si>
  <si>
    <t>Hi-pro-pac Keratin Intense Protein Treatment 8 Ounce 235ml (3 Pack)</t>
  </si>
  <si>
    <t>Joico K-Pak Deep Penetrating Reconstructor</t>
  </si>
  <si>
    <t>X2 Hi Pro Pac Extremely Damaged Hair Repair Intense Protein Treatment</t>
  </si>
  <si>
    <t>Neutrogena Visible Repair Regenerating Cream with Retinol + Peptide For Anti-Ageing, Wrinkles &amp; Fine Lines - 50 gm</t>
  </si>
  <si>
    <t>Neutrogena Hydro Boost Hydrating Hydrogel Mask</t>
  </si>
  <si>
    <t>Neutrogena Intense Repair Body Milk 400 ml</t>
  </si>
  <si>
    <t>DIY Physical Experiments Technology Kit Magdeburg Hemisphere Atmospheric Pressure Demonstration Test Students Learning Toys</t>
  </si>
  <si>
    <t>JURA GIGA 6 Automatic Coffee Machine， Silver and Glass Milk Container Bundle (2 Items)</t>
  </si>
  <si>
    <t>Jura WE6 Professional Espresso and Coffee Center</t>
  </si>
  <si>
    <t>SIENWIEY Sectional Sofa Set， L-Shape Faux Leather Couch Living Room Sofa Set with Chaise， Storage Ottoman Using for Living Room Furniture(Left Chaise，Ginger)</t>
  </si>
  <si>
    <t>Zulay Magia Super Automatic Coffee Espresso Machine - Durable Automatic Espresso Machine With Grinder - Espresso Coffee Maker With Easy To Use 7” Touch Screen， 20 Coffee Recipes， 10 User Profiles</t>
  </si>
  <si>
    <t>Signature Design by Ashley Jesolo Modern Faux Leather Manual Pull Tab Double Reclining Sofa， Dark Brown</t>
  </si>
  <si>
    <t>OSP Home Furnishings Russell Reversible Sectional Sofa with 2 Pillows and Coffee Finished Legs， Navy</t>
  </si>
  <si>
    <t>Amazon Brand – Stone &amp; Beam Lessing Tufted Upholstered Glider， 32.7W， Cadet Blue</t>
  </si>
  <si>
    <t>SZUBEE 8888 L Shaped Sectional Sofa Living Room Furniture Deep Button Tufted Velvet Upholstered Rolled Arm Classic Chesterfield 3 Pillows Included， Gray</t>
  </si>
  <si>
    <t>NOSGA Modern Chesterfield Fabric 3 Seater Couch Furniture， Deep Button Tufted Chesterfield Velvet Sofa with Scroll Arms， Upholstery Nailhead Trim Sofa Couches for Living Room(Grey)</t>
  </si>
  <si>
    <t>Amazon Brand – Stone &amp; Beam 5-Shelf Bookcase， 75H， Weathered Oak Finish</t>
  </si>
  <si>
    <t>Tripp Lite Smart SM2200RMDVTAA 2200VA Dual Voltage 120V - 230V TAA/GSA UPS (Black)</t>
  </si>
  <si>
    <t>Apple 2021 12.9-inch iPad Pro Wi‑Fi + Cellular 512GB - Space Gray</t>
  </si>
  <si>
    <t>Dell Inspiron 14 Plus 7420 Laptop - 14 inch， 2.2K 16:10， Intel Core i7-12700H， 16GB DDR5 RAM， 1TB SSD， Intel Iris Xe， 2 Yr Onsite + AntiVirus， Migrate， Windows 11 Pro + Office 365 - Atlantic Blue</t>
  </si>
  <si>
    <t>HP LTO Ultrium-7 Data Cartridge， 20 x LTO Ultrium 7-6 TB / 15 TB - bar Code Labeled C7977AN</t>
  </si>
  <si>
    <t>Lenovo ThinkPad E15 Gen 3 15.6 FHD + IPS Display Laptop (Ryzen 7 5825U 8-Core， 16GB RAM， 512GB PCIe SSD， AMD Radeon， 15.6 Full HD (1920x1080)， WiFi 6， BT 5.2， Webcam， USB 3.2， Win 10P) with Hub</t>
  </si>
  <si>
    <t>ASUS TUF F15 Gaming Laptop | 15.6 FHD 144Hz (Adaptive-Sync) | 11th Gen Intel 6-Core i5-11400H (&gt;i7-9750H) | 16GB DDR4 512GB SSD | GeForce RTX 3050 4GB | Backlit USB-C Win11 Black + 32GB MicroSD Card</t>
  </si>
  <si>
    <t>Fujitsu Fi-8170</t>
  </si>
  <si>
    <t>Lenovo IdeaPad 3i 15.6 FHD Gaming Laptop 2022， 11th Gen Intel i5-11300H(up to 4.4GHz)， 16GB RAM 1TB NVMe SSD， GeForce GTX 1650， USB-A&amp;C RJ45， Windows 11</t>
  </si>
  <si>
    <t>Lenovo IdeaPad Gaming 3 - 2022 - Everyday Gaming Laptop - NVIDIA GeForce RTX 3050 Graphics - 15.6 FHD Display - 120 Hz - AMD Ryzen 5 6600H - 8GB DDR5 - 258GB SSD - Win 11 - Free 3-month Xbox GamePass</t>
  </si>
  <si>
    <t>ZEN - INTEL 12TH GEN MULTIMEDIA DESKTOP PC - GREAT FOR STUDY AND WORK</t>
  </si>
  <si>
    <t>2021 Newest Dell OptiPlex 3080 Micro Form Factor Business Desktop， Intel Core i5-10500T， 16GB DDR4 RAM， 512GB SSD， WiFi， HDMI， Bluetooth， Wired Keyboard&amp;Mouse， Windows 10 Pro</t>
  </si>
  <si>
    <t>Talvania 33 Feet Inflatable Projector Screen for Outdoor and Indoor TV Movie Watching， Huge Screen， Blower， Tie Downs， Stakes， Sandbags， and Storage Bag， Quick Blow Up， Jumbo (33’ Purple)</t>
  </si>
  <si>
    <t>Apple iPad Pro 2 12.9in (2017) 256GB， Wi-Fi - Space Gray (Renewed)</t>
  </si>
  <si>
    <t>Apple iPad Pro 12.9-inch 512GB MPKY2LL/A (2nd Generation， Wi-Fi Only， Space Gray) Mid 2017 (Renewed)</t>
  </si>
  <si>
    <t>Samsung The Freestyle 550-Lumen Full HD HDR Smart Projector Big Screen Experience with Premium 360 Sound (SP-LSP3BLAXZA) + HDMI Cable + Cable Straps + Cleaning Kit + More</t>
  </si>
  <si>
    <t>Lenovo Ideapad 15.6 FHD Laptop， for College and Business， AMD Ryzen 5 5625U(&gt; i5-11320H)， 16GB DDR4 RAM， 512GB NVMe SSD， Fingerprint， Backlit Keyboard， WiFi 6， Webcam， HDMI， Win 11， CUE Accessories</t>
  </si>
  <si>
    <t>2022 Apple iPad Air (10.9-inch， Wi-Fi + Celullar， 64GB) Blue (Renewed)</t>
  </si>
  <si>
    <t>WEMAX PSA01 UST Projector Screen， 100-inch Ambient Light Rejecting ALR Projection Screen for Ultra Short Throw Projection， Fixed Frame Screen for Nova Support Other Brands UST Projectors</t>
  </si>
  <si>
    <t>Sysracks - Wall Mount Server Rack - Locking Network Cabinet - AV Enclosure - VENTED Audio Rack - Networking Enclosure 24 Inch Depth IT Computer Cabinet - Casters - PDU - Shelf (18U (24w x24d x35h))</t>
  </si>
  <si>
    <t>REOLINK Smart 5MP 8CH Home Security Camera System， 4pcs Wired 5MP PoE IP Cameras Outdoor with Person Vehicle Detection， 4K 8CH NVR with 2TB HDD for 24-7 Recording， RLK8-520D4-5MP</t>
  </si>
  <si>
    <t>DS18 ZR1600.4D Car Amplifier Class D 4-Channel Stereo Full Range Amp 7200 Watts Peak Power - Adjustable Frequency High/Low Pass Setting - Guaranteed to Supercharge Your Car Audio Sound System</t>
  </si>
  <si>
    <t>Apple iPad Pro 10.5in with ( Wi-Fi + Cellular ) - 64GB， Space Gray (Renewed)</t>
  </si>
  <si>
    <t>Apple iPhone 13 Pro， 256GB， Sierra Blue - AT&amp;T (Renewed)</t>
  </si>
  <si>
    <t>Apple iPhone 14， 128GB， (PRODUCT) Red - Unlocked (Renewed)</t>
  </si>
  <si>
    <t>Samsung Galaxy A53 5G (128GB， 6GB) 6.5 120Hz Full HD+， IP67 Water Resistant， Dual SIM GSM 4G Volte Unlocked (for US + Global) International Model A536E/DS (25W Charging Cube Bundle， Awesome Blue)</t>
  </si>
  <si>
    <t>Apple iPhone XS Max， US Version， 64GB， Space Gray - Unlocked (Renewed)</t>
  </si>
  <si>
    <t>Google Pixel 6 – 5G Android Phone - Unlocked Smartphone with Wide and Ultrawide Lens - 128GB - Stormy Black (Renewed)</t>
  </si>
  <si>
    <t>Omega Speedmaster Moonwatch 304.33.44.52.03.001</t>
  </si>
  <si>
    <t>Omega 326.30.40.50.11.001 Speedmaster Racing Men’s Chronograph Watch</t>
  </si>
  <si>
    <t>Khaki Aviation X-WIND DAY DATE AUTO CHRONO</t>
  </si>
  <si>
    <t>Swarovski 10x42 NL Pure Binoculars</t>
  </si>
  <si>
    <t>Omega Men’s 42410372001001 Analog Display Swiss Automatic Silver Watch</t>
  </si>
  <si>
    <t>Hamilton Men’s H77616533 Khaki ; Dial color - Black X Chronograph Watch</t>
  </si>
  <si>
    <t>Hamilton Men’s ’Jazzmaster’ Swiss Automatic Stainless Steel Watch， Color:Silver-Toned (Model: H32596181)</t>
  </si>
  <si>
    <t>SEIKO PROSPEX SBDC141 [Diver Scuba 1965 Mechanical Divers Modern Design Men’s Nylon Band]</t>
  </si>
  <si>
    <t>Casio Men G-SHOCK GMW-B5000G-1JF Radio Solar Watch (Japan Domestic Genuine Products)</t>
  </si>
  <si>
    <t>Seiko Prospex 3rd GenSumo Diver’s 200m Automatic Black Dial Sapphire Glass Watch SPB101J1</t>
  </si>
  <si>
    <t>Luminox Men’s Navy Seal Pacific Diver 3120 Series Silver Stainless Steel Oyster Band Black Dial Quartz Analog Watch</t>
  </si>
  <si>
    <t>Luminox Bear Grylls Air Series GMT XB.3761 Swiss Made Black Watch</t>
  </si>
  <si>
    <t>TSAR BOMBA Luxury Mens Automatic Mechanical Watches - Japanese Movement Sapphire Glass - 50M Waterproof Men’s Watch - Square Wrist Watches Silicone Band Luminous Elegant Gifts for Men</t>
  </si>
  <si>
    <t>Luminox Navy Seal Chronograph Blackout XS.3581.BO Mens Watch 45mm - Military Watch in Black Date Function Chronograph 200m Water Resistant</t>
  </si>
  <si>
    <t>Luminox Atacama Adventurer Field XL.1762 Mens Watch 42mm - Adventure Watch in Silver/Black Date Function 200m Water Resistant Sapphire Glass</t>
  </si>
  <si>
    <t>Fossil Gen 6 44mm Touchscreen Smartwatch with Alexa Built-In， Heart Rate， Blood Oxygen， Activity Tracking， GPS， Speaker， Smartphone Notifications</t>
  </si>
  <si>
    <t>Swarovski Lucent Earring Jewelry Collection， Rhodium Tone Finish， Blue Crystal， Pink Crystal</t>
  </si>
  <si>
    <t>Timex 40 mm Marlin Automatic Leather Strap Watch</t>
  </si>
  <si>
    <t>TRIWA Nikki Minimalist Watch for Women – Ladies Fashion Analog Wrist Watches 36mm</t>
  </si>
  <si>
    <t>SEIKO SRPD77 5 Sports Men’s Watch Green 42.5mm Stainless Steel</t>
  </si>
  <si>
    <t>Citizen Men’s Sport Casual Garrison 3-Hand Day/Date Eco-Drive Nylon Strap Watch， Arabic Markers， 100 Meters Water Resistant， Luminous Hands and Markers</t>
  </si>
  <si>
    <t>SEIKO Men’s SNK809 5 Automatic Stainless Steel Watch with Black Canvas Strap</t>
  </si>
  <si>
    <t>JULYFOX Yellow Velvet Fabric Sofa Couch， 70 inch Wide Mid Century Modern Living Room Couch 700lb Heavy Duty</t>
  </si>
  <si>
    <t>Acme Furniture Picardy 1 Entertainment Center， Antique Pearl</t>
  </si>
  <si>
    <t>CHANEL SUBLIMAGE LE TEINT ULTIMATE RADIANCE-GENERATING CREAM FOUNDATION # 30 BEIGE</t>
  </si>
  <si>
    <t>Chanel Sublimage Le Teint Ultimate Radiance-Generating Cream Foundation - # 30 Beige Women Foundation 1 oz</t>
  </si>
  <si>
    <t>BIOEFFECT EGF Day Serum with Hyaluronic Acid and Natural Barley Growth Factor， Oil-Free Wrinkle Serum for Face， Boosts Hydration， Firming， Refines Pores， Smooths Skin Texture for All Skin Types</t>
  </si>
  <si>
    <t>Chanel Sublimage .17 oz / 5 ml Ultimate Skin Regenerating Texture Supreme</t>
  </si>
  <si>
    <t>SIMPEXPE Jade Facial Mask，100% Natural Stone Jade Sleep Mask，Anti-Aging Jade Eye Mask Beauty Massage Tools for Puffy Eyes Dark Circles</t>
  </si>
  <si>
    <t>Mediheal 20 Combo Pack Facial Sheet Mask - N.M.F， Tea Tree， W.H.P， Collagen， Vita Lightbeam - Best Mask Sheet Combo Value Variety Pack - Hydrating Daily Skincare Sheet Face Sheet Mask</t>
  </si>
  <si>
    <t>Giro Aries Spherical Adult Road Bike Helmet</t>
  </si>
  <si>
    <t>Altor SAF Lock - Angle Grinder Proof Bicycle U-Lock</t>
  </si>
  <si>
    <t>GAN 11M Pro 3x3 Speed Cube by BroMocube GAN 11 Magnetic Puzzle Cubes Gan11M Magic Cube (GAN 11 M Pro Frosted Stickerless(Black))</t>
  </si>
  <si>
    <t>Mens Color Block Patchwork Flap Pocket Button Front Jacket</t>
  </si>
  <si>
    <t>Mens Ethnic Geometric Print Patchwork Button Front Hooded Jacket</t>
  </si>
  <si>
    <t>Apple iPhone 14 Pro， 128GB， Deep Purple - Unlocked (Renewed)</t>
  </si>
  <si>
    <t>HP 17 Laptop Computer, 17.3" FHD, 13th Gen Intel 10-Core i5-1335U CPU (Beat i7-1270P), 64GB DDR4 RAM, 4TB PCIe SSD, Intel Iris Xe Graphics, WiFi 6, BT 5.3, Backlit Keyboard, Windows 11 Pro, Tichang</t>
  </si>
  <si>
    <t>Apple 2024 MacBook Air 13-inch Laptop with M3 chip: 13.6-inch Liquid Retina Display, 16GB Unified Memory, 512GB SSD Storage, Backlit Keyboard, 1080p FaceTime HD Camera, Touch ID; Space Gray</t>
  </si>
  <si>
    <t>Dell XPS 9710 Laptop (2021) | 17" FHD+ | Core i7-4TB SSD + 4TB SSD - 32GB RAM - RTX 3050 | 8 Cores @ 4.6 GHz - 11th Gen CPU Win 10 Home (Renewed)</t>
  </si>
  <si>
    <t>Apple 2023 MacBook Pro Laptop M3 Max chip with 14‑core CPU, 30‑core GPU: 14.2-inch Liquid Retina XDR Display, 36GB Unified Memory, 1TB SSD Storage. Works with iPhone/iPad; Silver</t>
  </si>
  <si>
    <t>Dell Alienware m18 Gaming Laptop (2023) | 18" FHD+ | Core i9-2TB SSD + 2TB SSD - 64GB RAM - RTX 4070 | 24 Cores @ 5.4 GHz - 13th Gen CPU - 8GB GDDR6X Win 11 Pro (Renewed)</t>
  </si>
  <si>
    <t>Mens Ethnic Tribal Pattern Patchwork Corduroy Hooded Shirt Jacket</t>
  </si>
  <si>
    <t>Mens Asymmetric Tribal Printed Short Sleeve O Neck T-Shirts</t>
  </si>
  <si>
    <t>Mens Smile Face Embroidered Snap Button Plush Lined Hooded Jacket</t>
  </si>
  <si>
    <t>Mens Vintage Geometric Pattern Patchwork Mock Neck Short Sleeve T-Shirts</t>
  </si>
  <si>
    <t>Mens Cartoon Astronaut Print Crew Neck Short Sleeve T-Shirts</t>
  </si>
  <si>
    <t>Giro Men’s Road Bike Shoes， 33 EU</t>
  </si>
  <si>
    <t>Alexia D371-E063 Meditation Seat (Fabric， Sand)</t>
  </si>
  <si>
    <t>Apple iPad Pro (128GB， Wi-Fi， Space Gray) 12.9in Tablet (Renewed)</t>
  </si>
  <si>
    <t>iPhone 13 Pro， 128GB， Sierra Blue - Unlocked (Renewed Premium)</t>
  </si>
  <si>
    <t>Floral Print Pocket Half Sleeve Ruffle Casual Maxi Dress</t>
  </si>
  <si>
    <t>Women Solid Color Ruffles Hem Pleats Puff Sleeve Maxi Dress</t>
  </si>
  <si>
    <t>JOROTO Indoor Cycling Bike Exercise Bike with 35 pounds Flywheel and 10.2 inch Large Ipad Holder (Chain Drive)</t>
  </si>
  <si>
    <t>Lenovo ThinkPad P17 Gen 2 Workstation Laptop (Intel i9-11950H vPro 8-Core, 64GB RAM, 2x2TB PCIe SSD RAID 0 (4TB), RTX A2000, 17.3" 60Hz Full HD (1920x1080), Win 11 Pro) with Dockztorm Hub</t>
  </si>
  <si>
    <t>Darkflash Micro-ATX Gaming PC Case</t>
  </si>
  <si>
    <t>WHITE FOX Can't Justify It Long Sleeve Knit Top</t>
  </si>
  <si>
    <t>Quince Women's Flowknit Wide Leg Pants</t>
  </si>
  <si>
    <t>Women's Elegant A-Line Short Sleeve Dress with Pockets</t>
  </si>
  <si>
    <t>EVALESS Women's Sexy Patchwork Lace Crewneck Short Sleeve Tee Shirt</t>
  </si>
  <si>
    <t>BLENCOT Women's Casual Ruffle Cap Sleeve V-Neck Flowy Midi Dress with Pocket</t>
  </si>
  <si>
    <t>Fashion Nova Wilma Sleeveless Ponte One Shoulder Mini Dress</t>
  </si>
  <si>
    <t>Men's Baroque Tracksuit Set with Bucket Hats</t>
  </si>
  <si>
    <t>Logitech M325S Wireless Mouse</t>
  </si>
  <si>
    <t>Frcolor Keyboard Mouse Computer Combo</t>
  </si>
  <si>
    <t>Hot Wheels Track Builder Deluxe Stunt Box</t>
  </si>
  <si>
    <t>KOKODI Kids Smart Phone Toys Birthday Gifts Unicorn Toddler Play Phone</t>
  </si>
  <si>
    <t>Little Tikes Cozy Coupe</t>
  </si>
  <si>
    <t>Toy Choi's 2-in-1 Kids Vacuum That Really Works - Toy Vacuum for Toddlers with Sound Effects, Pretend Play Kids Vacuum Cleaner, Household</t>
  </si>
  <si>
    <t>Park &amp; Sun Tournament 4000 Volleyball Set</t>
  </si>
  <si>
    <t>MADOG Sport Equipment Inflatable Boat</t>
  </si>
  <si>
    <t>Fanmis Unisex Crystal Diamond Rhinestone Stainless Steel Quartz Analog Watch</t>
  </si>
  <si>
    <t>Scooch Wingback Pop Up Phone Grip, Stand, and Car Mount for Smartphones Compatible with Any Sma</t>
  </si>
  <si>
    <t>Sucky Double Sided Suction Phone Octo Cup Buddy Mount - Anti-Slip Holder, Hands-Free Phone Accessory for iPhone and Android - Sticky Grip for</t>
  </si>
  <si>
    <t>PopSockets Plant-Based Phone Grip</t>
  </si>
  <si>
    <t>BLACK+DECKER Honeycomb Collection Electric Kettle</t>
  </si>
  <si>
    <t>Frigidaire 1.8 Cu. ft. Over-the-Range Microwave</t>
  </si>
  <si>
    <t>Frigidaire Gallery 24 Built-In Dishwasher</t>
  </si>
  <si>
    <t>Haden Heritage 2-Slice Toaster</t>
  </si>
  <si>
    <t>Nourish Beaute Premium Hair Growth Shampoo and Conditioner</t>
  </si>
  <si>
    <t>Rose Hips Conditioner</t>
  </si>
  <si>
    <t>YOGI'S GIFT Celebrating Health Herbal Hair Care Combo Pack (500g/17.65oz) | Hair Mask with Ayurvedic Powders: Amla, Reetha, Shikakai, Brahmi,</t>
  </si>
  <si>
    <t>The Beauty Co to The Roots Hair Growth Oil</t>
  </si>
  <si>
    <t>Hair Growth Mask</t>
  </si>
  <si>
    <t>Keratin Shampoo Hair Treatment</t>
  </si>
  <si>
    <t>OGX Thick &amp; Full + Biotin &amp; Collagen Extra Strength Volumizing Shampoo + Conditioner with Vitamin B7 &amp; Hydrolyzed Wheat Protein for Fine Hair</t>
  </si>
  <si>
    <t>All Rhodes Lead Here: A Novel</t>
  </si>
  <si>
    <t>Miss Mole</t>
  </si>
  <si>
    <t>What We Leave Behind: A Novel [eBook]</t>
  </si>
  <si>
    <t>Open: Living with an Expansive Mind in a eBook</t>
  </si>
  <si>
    <t>The Alchemist (eBook)</t>
  </si>
  <si>
    <t>Apple Gift Card 3 USD - Apple Key - UNITED STATES</t>
  </si>
  <si>
    <t>PlayStation Store Digital Gift Card</t>
  </si>
  <si>
    <t>Sony PlayStation Store - 10.0</t>
  </si>
  <si>
    <t>Deceive Inc. - Special Edition Content - Sony PlayStation 5 [Digital Download]</t>
  </si>
  <si>
    <t>Funko Fusion</t>
  </si>
  <si>
    <t>Super Mario 3D All-Stars (Nintendo Switch) - Nintendo eShop Account - GLOBAL</t>
  </si>
  <si>
    <t>Nintendo Switch Online Individual Expansion Membership Gift Card</t>
  </si>
  <si>
    <t>adidas Originals Men's Adicolor Classics Beckenbauer Track Pants</t>
  </si>
  <si>
    <t>adidas Men's Adicolor Classics Firebird Track Pants</t>
  </si>
  <si>
    <t>ASICS Men's Spiral Embroidery Woven Pants</t>
  </si>
  <si>
    <t>ASICS Men's ACTIBREEZE 3D Sandal</t>
  </si>
  <si>
    <t>ASICS Women's 7/8 Performance Tight</t>
  </si>
  <si>
    <t>Gymshark Everyday Seamless Long Sleeve Crop Top</t>
  </si>
  <si>
    <t>Gymshark Legacy Regular Leggings</t>
  </si>
  <si>
    <t>lululemon Women's Groove Super-High-Rise Flared Pant Nulu</t>
  </si>
  <si>
    <t>Lululemon Women's Rulu Gathered-Waist Long-Sleeve Running Top</t>
  </si>
  <si>
    <t>Lululemon Women's Waffle-Knit Mid-Rise Jogger</t>
  </si>
  <si>
    <t>Nike Women's Sportswear Phoenix Plush High-Waisted Wide-Leg Cozy Fleece Pants</t>
  </si>
  <si>
    <t>PUMA Women's Softride Harli Slip-On Running Shoes</t>
  </si>
  <si>
    <t>PUMA Men's Essential Jersey Sweatpants</t>
  </si>
  <si>
    <t>PUMA Men's Cloudspun Joggers</t>
  </si>
  <si>
    <t>Men's Puma Ess+ Embroidery Logo</t>
  </si>
  <si>
    <t>PUMA Men's Piped Tricot Joggers</t>
  </si>
  <si>
    <t>Reebok Women's Lux High Rise Leggings</t>
  </si>
  <si>
    <t>Reebok Women's Classics Wardrobe Essentials Fleece Pants</t>
  </si>
  <si>
    <t>Reebok Women's Identity Small Logo Fleece Full-Zip Hoodie</t>
  </si>
  <si>
    <t>Reebok Women's Wide Cargo Pant</t>
  </si>
  <si>
    <t>Reebok Men's Training Tech T-Shirt</t>
  </si>
  <si>
    <t>OVE Decors Gabi 48 in. Single Sink Bathroom Vanity</t>
  </si>
  <si>
    <t>Fresca Oxford 60" Traditional Bathroom Cabinets</t>
  </si>
  <si>
    <t>Bathroom Floor Cabinet</t>
  </si>
  <si>
    <t>Ktaxon Bathroom Medicine Cabinet</t>
  </si>
  <si>
    <t>Ktaxon Wooden Bathroom Wall Medicine Cabinet</t>
  </si>
  <si>
    <t>Ktaxon Industrial Wall Mounted Bathroom Storage Cabinet Medicine Cabinet Organizer Save Space</t>
  </si>
  <si>
    <t>Ktaxon 20 inchx28 inch, LED Bathroom Medicine Cabinet with Mirror Lighted, Wall Mounted Storage Cabinet w/ Dimmable, Memory function, Outlets &amp; Usb,</t>
  </si>
  <si>
    <t>Fluidmaster 385 Replacement Valve Cap for 400A</t>
  </si>
  <si>
    <t>Brita Replacement Water Filter</t>
  </si>
  <si>
    <t>Brita Total 360 Water Filtration System BRDPFS</t>
  </si>
  <si>
    <t>PUR Plus 30-Cup Dispenser Filtration System</t>
  </si>
  <si>
    <t>2 X Equate Women Hair Regrowth Treatment, Foam Two Month Supply</t>
  </si>
  <si>
    <t>Equate Maximum Strength Caplets For Severe Sinus &amp; Congestion Relief,</t>
  </si>
  <si>
    <t>Hi-Pro-Pac Pks Tea Tree &amp; Mint 1.75 Ounce (12 Pieces)</t>
  </si>
  <si>
    <t>Neutrogena Bright Boost Illuminating Serum</t>
  </si>
  <si>
    <t>Neutrogena Comfort Balm Deep Hydration 300ml</t>
  </si>
  <si>
    <t>Neutrogena Triple Age Repair Moisturizer SPF 25</t>
  </si>
  <si>
    <t>Hamilton Men’s H77706553 Analog Display Swiss Automatic Brown Watch</t>
  </si>
  <si>
    <t>Hamilton Men’s H32616553 Jazzmaster Silver-Dial Watch with Brown Band</t>
  </si>
  <si>
    <t>Luminox Master Carbon Seal Automatic XS.3875 Mens Watch 45mm - Military Dive Watch in Red/Black Date and Day Function 200m Water Resistant Sapphire Glass</t>
  </si>
  <si>
    <t>Hamilton American Classic Intra-Matic Swiss Automatic Watch 40mm Case， Beige Dial， Silver Stainless Steel Bracelet (Model: H38425120)</t>
  </si>
  <si>
    <t>SEIKO SPB210 Prospex Men’s Watch Brown 39.5mm Stainless Steel</t>
  </si>
  <si>
    <t>Luminox Bear Grylls Survival XB.3741 Mens Watch 45mm - Military Watch in Black Date Function Chronograph Compass 300m Water Resistant Sapphire Glass</t>
  </si>
  <si>
    <t>Casio GMW-B5000EH-1JR [G-Shock 40th Anniversary Limited Edition G-Shock x ERIC Haze Collaboration Model] Watch Shipped from Japan Oct 2022 Model</t>
  </si>
  <si>
    <t>Luminox ICE-SAR Arctic XL.1201 Mens Watch 46mm - Military Watch in Silver/Black Date Function 200m Water Resistant Sapphire Glass</t>
  </si>
  <si>
    <t>SEIKO SRPD27 Prospex Men’s Watch Black 42.4mm Stainless Steel</t>
  </si>
  <si>
    <t>Seiko Men’s Japanese Mechanical Automatic Watch</t>
  </si>
  <si>
    <t>Luminox X Volition Navy Seal Chronograph XS.3581.BO.VOL Mens Watch 45mm - Military Dive Watch in Black/Gray Camo Date Function 200m Water Resistant Sapphire Glass</t>
  </si>
  <si>
    <t>Kendra Scott White Diamond Heart Pendant Necklace in 14k Gold， Fine Jewelry for Women</t>
  </si>
  <si>
    <t>SEIKO SNE586 Prospex Men’s Watch Black 38.5mm Stainless Steel</t>
  </si>
  <si>
    <t>OLEVS Watch for Men Automatic Brown Leather Blue Face Mechanical Men Watch Skeleton Calendar Fashion Self Winding Wrist Watch Tourbillon Man Waterproof Watches Sapphire Crystal Diamond Luminous</t>
  </si>
  <si>
    <t>Luminox Navy Seal Chronograph 3581</t>
  </si>
  <si>
    <t>Luminox Navy Seal XS.3503.ND.L Mens Watch 45mm - Military Dive Watch in Blue/Green Date Function 200m Water Resistant</t>
  </si>
  <si>
    <t>SWAROVSKI Dextera necklace， Pavé， Statement， Mixed links， White， Rhodium plated</t>
  </si>
  <si>
    <t>Pagani Design Watches for Men Automatic GMT Watch Japan NH34 Movement Sapphire Glass Stainless Steel 40MM Super Luminous Waterproof Wrist Watch</t>
  </si>
  <si>
    <t>Garmin 010-02173-11 Venu， GPS Smartwatch with Bright Touchscreen Display， Features Music， Body Energy Monitoring， Animated Workouts， Pulse Ox Sensor and More， Black</t>
  </si>
  <si>
    <t>SWAROVSKI Crystal Star Wars Ewok Wicket</t>
  </si>
  <si>
    <t>Casio] Watch G-Shock Radio Solar City Camouflage Series GAW-100CT-1AJF Men’s Black</t>
  </si>
  <si>
    <t>Luminox Men’s 0215.SL Sentry 0200 Black Dial With Red Markings Watch</t>
  </si>
  <si>
    <t>Swarovski Lifelong Bow Pierced Earrings White One Size</t>
  </si>
  <si>
    <t>Swarovski Crystal Stone Rhodium-Plated Hoop Earrings</t>
  </si>
  <si>
    <t>YESHOMY Rivet Mid-Century Upholstered Modern Sofa Couch No Assembly Required Loveseat with Sturdy Wooden Feet， 77 W， Dark Gray Without Shaded Velvet</t>
  </si>
  <si>
    <t>Chanel Sublimage Le Teint Background Makeup， Plus Glass Jar and Brush 30 ml</t>
  </si>
  <si>
    <t>SISLEY Eye Contour Mask 30ml/1oz (10093)</t>
  </si>
  <si>
    <t>UGWUIA Led Face Mask Light Therapy 7 Color Led Light Therapy Facial Mask Blue Red Light Therapy for Face Acne Reduction Skin Care Mask</t>
  </si>
  <si>
    <t>sisley paris Phyto Hydra Teint Beautifying Tinted Moisturizer SPF 15-03 Women Makeup 1.3 oz No.2 Medium</t>
  </si>
  <si>
    <t>Dermalogica Sebum Clearing Masque (2.5 Fl Oz) - Anti-Aging Clay Face Mask with Salicylic Acid - Absorbs Excess Oils To Soothe and Refine Skin Texture</t>
  </si>
  <si>
    <t>Sisley 3 Soft Beige</t>
  </si>
  <si>
    <t>Sand &amp; Sky Australian Pink Clay Porefining Mask for Blackheads， Enlarged Pores and Pigmentation</t>
  </si>
  <si>
    <t>Fitterfirst Pro Fitter 3D Cross Trainer and Downhill Ski Trainer</t>
  </si>
  <si>
    <t>Tilt Industries - Bike Balance Trainer | Bicycle Repair Stand/Balance Trainer Combo</t>
  </si>
  <si>
    <t>Sidi Dominator 10 MTB Shoes</t>
  </si>
  <si>
    <t>Mens Smile Face Embroidery Corduroy Drawstring Hooded Shirt Jacket</t>
  </si>
  <si>
    <t>Apple 2024 MacBook Air 15-inch Laptop with M3 chip: 15.3-inch Liquid Retina Display, 8GB Unified Memory, 256GB SSD Storage, Backlit Keyboard, 1080p FaceTime HD Camera, Touch ID; Midnight</t>
  </si>
  <si>
    <t>Apple 2024 MacBook Air 15-inch Laptop with M3 chip: 15.3-inch Liquid Retina Display, 8GB Unified Memory, 512GB SSD Storage, Backlit Keyboard, 1080p FaceTime HD Camera, Touch ID; Silver</t>
  </si>
  <si>
    <t>Apple 2024 MacBook Air 15-inch Laptop with M3 chip: 15.3-inch Liquid Retina Display, 16GB Unified Memory, 512GB SSD Storage, Backlit Keyboard, 1080p FaceTime HD Camera, Touch ID; Silver</t>
  </si>
  <si>
    <t>Apple 2022 11-inch iPad Pro (Wi-Fi， 128GB) - Space Gray (4th Generation)</t>
  </si>
  <si>
    <t>Apple iPad Pro 2018 (11-inch， Wi-Fi + Cellular ， 1TB) - Space Gray - (Renewed)</t>
  </si>
  <si>
    <t>REDMAGIC 8 Pro Smartphone 5G， 120Hz Gaming Phone， 6.8 Full Screen， Under Display Camera， 6000mAh Android Phone， Snapdragon 8 Gen 2， 12+256GB， 65W Charger， Dual-Sim， US Unlocked Cell Phone Black</t>
  </si>
  <si>
    <t>Mens Color Block Patchwork Flap Pocket Corduroy Shirt Jacket</t>
  </si>
  <si>
    <t>Women Polka Dot Print O-neck Short Sleeve Maxi Dress</t>
  </si>
  <si>
    <t>MD Sports 4 Piece Table Tennis Table</t>
  </si>
  <si>
    <t>Multi-Sport Combo Net Set</t>
  </si>
  <si>
    <t>Spikeball Weekender Set</t>
  </si>
  <si>
    <t>PACT Women's Organic Fit &amp; Flare Midi Dress</t>
  </si>
  <si>
    <t>H&amp;M Ladies Loose-Fit Shacket</t>
  </si>
  <si>
    <t>Woman Swarovski Watch Octagon cut bracelet</t>
  </si>
  <si>
    <t>Tory Burch Women's Miller Bangle Bracelet Watch Set</t>
  </si>
  <si>
    <t>Jos. A. Bank Men's Big &amp; Tall Traveler Performance Tailored Fit Long Sleeve Shirt</t>
  </si>
  <si>
    <t>ATG Wrangler Men's Synthetic Utility Pant</t>
  </si>
  <si>
    <t>Tommy Hilfiger Men's Quilted Puffer Jacket</t>
  </si>
  <si>
    <t>Banana Republic Men's Luxury-Touch Crew</t>
  </si>
  <si>
    <t>Azaro Uomo Men's Slim Fit Geometric Button Down Shirt</t>
  </si>
  <si>
    <t>Polo Ralph Lauren Men's Luxury Jersey Quarter-Zip Pullover</t>
  </si>
  <si>
    <t>HYTE Y60 ATX Mid-Tower Case</t>
  </si>
  <si>
    <t>Corsair 2500D Airflow Mid-Tower Dual Chamber PC Case</t>
  </si>
  <si>
    <t>Fractal Design HDD Drive Tray Kit FD-A-TRAY-001</t>
  </si>
  <si>
    <t>The Learning Journey Learn with Me Color Fun Fish Bowl</t>
  </si>
  <si>
    <t>Huaker Building Toys 109 Piece Stem Toys</t>
  </si>
  <si>
    <t>VTech Magic Star Learning Table</t>
  </si>
  <si>
    <t>Franklin Sports Authentic Steel Football Goal Post</t>
  </si>
  <si>
    <t>Outdoor Sports Tent</t>
  </si>
  <si>
    <t>Franklin Sports X-40 Outdoor Pickleball</t>
  </si>
  <si>
    <t>URCUZER Sport Tent</t>
  </si>
  <si>
    <t>Easton Speed USA Youth Baseball Bat</t>
  </si>
  <si>
    <t>Hey Harper Women's DNA Waterproof Pearl Watch</t>
  </si>
  <si>
    <t>Fossil Women's Ring Watch</t>
  </si>
  <si>
    <t>Borivilla Cell Phone Strap Crossbody Universal Phone Lanyard Adjustable Strap Compatible with Most Smartphones Aztech</t>
  </si>
  <si>
    <t>Hiearcool Waterproof Phone Pouch</t>
  </si>
  <si>
    <t>Frigidaire 3.2 Cu. Ft. Retro Compact Refrigerator with Built-In Side Bottle Opener</t>
  </si>
  <si>
    <t>GE Front Load Washer GFW550SSNWW</t>
  </si>
  <si>
    <t>Vanilla &amp; Almond Shampoo</t>
  </si>
  <si>
    <t>Daily Perfection Collagen Shampoo and Conditioner Set with Biotin and Keratin, Salt-Free, Sulfate-Free, Paraben-Free Formula to Nourish and Add Extra</t>
  </si>
  <si>
    <t>Luseta Biotin &amp; Collagen Conditioner</t>
  </si>
  <si>
    <t>E-Circuit Revolution: Navigating the World of Online Electronics; eBook; Author - SREEKUMAR V T</t>
  </si>
  <si>
    <t>Eat the Rich: A Treatise on Economics [eBook]</t>
  </si>
  <si>
    <t>Bookshop Cinderella eBook</t>
  </si>
  <si>
    <t>The Let Them Theory: A Life-Changing Tool That Millions of People Can't Stop Talking About</t>
  </si>
  <si>
    <t>The 48 Laws of Power</t>
  </si>
  <si>
    <t>Fundamentals of E-book and Papersback Book Publishing: Your Guide to Action</t>
  </si>
  <si>
    <t>Tom Lake: A Novel</t>
  </si>
  <si>
    <t>Kobo Nia EPD w/Carta display</t>
  </si>
  <si>
    <t>$200 Apple Gift Card - available from $15 to $200</t>
  </si>
  <si>
    <t>$250 Apple Gift Card</t>
  </si>
  <si>
    <t>PlayStation Store Gift Card</t>
  </si>
  <si>
    <t>Final Fantasy VII Remake Digital Deluxe Edition PS4 Account</t>
  </si>
  <si>
    <t>Nintendo Switch Online Month Membership Card</t>
  </si>
  <si>
    <t>Nintendo eShop Card 10$ (NINTENDO ESHOP) - Instant download</t>
  </si>
  <si>
    <t>Nintendo Little Kitty Big City</t>
  </si>
  <si>
    <t>Nintendo Switch Sports</t>
  </si>
  <si>
    <t>Mens adidas Trefoil Essentials Pants</t>
  </si>
  <si>
    <t>adidas Men's Lite Racer Adapt 7.0 Shoes</t>
  </si>
  <si>
    <t>adidas Barreda Decode Men's Shoes White</t>
  </si>
  <si>
    <t>ASICS Men's ACTIBREEZE Woven Shorts</t>
  </si>
  <si>
    <t>ASICS Men's ACTIBREEZE Vented Knit Shorts</t>
  </si>
  <si>
    <t>ASICS Men's ACTIBREEZE Jacquard Short Sleeve Top</t>
  </si>
  <si>
    <t>Gymshark Sport Seamless Leggings</t>
  </si>
  <si>
    <t>Gymshark Everyday Seamless Zip Tracktop</t>
  </si>
  <si>
    <t>Lululemon Women's Align High-Waisted Leggings</t>
  </si>
  <si>
    <t>lululemon Women's Scuba Oversized Half Zip Hoodie</t>
  </si>
  <si>
    <t>lululemon Men's City Sweat Jogger Regular</t>
  </si>
  <si>
    <t>lululemon Women's Casual Daydrift High-Rise Trousers Regular</t>
  </si>
  <si>
    <t>Nike Women's Sportswear Plush Pants</t>
  </si>
  <si>
    <t>PUMA Men's Relaxed Speed Driver Series Track Jacket</t>
  </si>
  <si>
    <t>Puma Men's Stretchlite Pants</t>
  </si>
  <si>
    <t>PUMA Men's Cloudspun Colorblock 1/4 Zip Golf Pullover</t>
  </si>
  <si>
    <t>Reebok Women's Train Tri-Back Sports Bra</t>
  </si>
  <si>
    <t>Chans Furniture 78 Inch Traditional Style Solid Wood Hopkinton Double Sink Bathroom Vanity Set With White Marble Top</t>
  </si>
  <si>
    <t>Ktaxon 3-Tier Bathroom Storage Shelf</t>
  </si>
  <si>
    <t>Ktaxon Small Bathroom Floor Cabinet</t>
  </si>
  <si>
    <t>Ktaxon Modern Mirror and Bathroom Vanity</t>
  </si>
  <si>
    <t>VASAGLE Tall Bathroom Cabinet</t>
  </si>
  <si>
    <t>Bathroom Wall Cabinet</t>
  </si>
  <si>
    <t>Fluidmaster 242 Replacement Seal</t>
  </si>
  <si>
    <t>Brita Faucet Mount Water Filtration System</t>
  </si>
  <si>
    <t>PUR Water Pitcher Replacement Filter 4-Pack</t>
  </si>
  <si>
    <t>Giant 11 Cup Classic Blue Pitcher Filtration System</t>
  </si>
  <si>
    <t>Katadyn Micropur Purification Tablets</t>
  </si>
  <si>
    <t>Denali Pure PUR Filter6 Refrigerator Water Filter Replacement</t>
  </si>
  <si>
    <t>PUR 88 oz. BlueWhite Water Filtration Pitcher - No. PPT111W</t>
  </si>
  <si>
    <t>Equate Beauty Maximum Strength Spot Treatment Gel</t>
  </si>
  <si>
    <t>Equate Fiber Therapy for Regularity</t>
  </si>
  <si>
    <t>Equate Baby Diaper Rash Paste</t>
  </si>
  <si>
    <t>Equate Women's Hair Loss &amp; Regrowth Treatment</t>
  </si>
  <si>
    <t>Hi-pro-pac Color Treated Highlight Intense Pro Treatment</t>
  </si>
  <si>
    <t>Hi Pro Pac Shea Butter Moisture Masque</t>
  </si>
  <si>
    <t>Hi-pro-pac Keratin Protein No-Frizz Hair Intense Protein Treatment</t>
  </si>
  <si>
    <t>Hi-pro-pac Color Treated Highlighted Hair Defence Intense Protein Treatment</t>
  </si>
  <si>
    <t>Neutrogena Stubborn Acne Facial Treatment</t>
  </si>
  <si>
    <t>Neutrogena Stubborn Marks PM Treatment</t>
  </si>
  <si>
    <t>Acne Treatment Neutrogena On the Spot 0.75 oz. Cream 70501001790 Pack of 1 | Hey Med Supply</t>
  </si>
  <si>
    <t>5PCS MK8/V6//Volcano Brass Nozzle PTFE Coating Nozzle Clone CHT MK8 V6 Nozzle For CR10 Ender3 SWX1 3d printer Hotend Extruder</t>
  </si>
  <si>
    <t>Jura E8 Automatic Coffee Machine 15270，64 ounces， Piano Black</t>
  </si>
  <si>
    <t>Container Furniture Direct Lotus Mid Century Modern Velvet Upholstered Living Room Rolled Arms， Chair， Loveseat and Sofa， Grey</t>
  </si>
  <si>
    <t>ACME Chelmsford Hutch &amp; Buffet - - Antique Taupe</t>
  </si>
  <si>
    <t>ACME Chantelle Eastern King Bed - - Rose Gold PU &amp; Pearl White</t>
  </si>
  <si>
    <t>Meridian Furniture Lola Collection Modern | Contemporary Velvet Upholstered Sofa with Gold Tipped Black Legs and Channel Tufted Design， 85 W x 35 D x 33.5 H， Olive</t>
  </si>
  <si>
    <t>Acme Furniture Dresden TV Console， Vintage Bone White</t>
  </si>
  <si>
    <t>Merax L Shaped Sectional Sofa Couch Sleeper Bed with Storage Ottoman and Chaise for Living Room， Small Apartment Love Seats， Beige_Linen</t>
  </si>
  <si>
    <t>Poundex Linen-Like Fabric Sofas in Grey</t>
  </si>
  <si>
    <t>Casa Andrea Milano LLC Modern Large Velvet Fabric Sectional Sofa L Shape Couch with Extra Wide Chaise Lounge， Slate</t>
  </si>
  <si>
    <t>BALUS Reversible Sectional Sleeper Sofa with Storage Chaise， 83 Inch L-Shape Sectional Sofa Couch， Velvet Upholstered Pull Out Sofa Bed Couch for Living Room， Office and Small Apartment (Dark Grey)</t>
  </si>
  <si>
    <t>Belffin Convertible Sectional Sofa Fabric Couch with Chaise Reversible Corner Couch Furniture L-Shaped 4 Seater Sofas Bluish Grey</t>
  </si>
  <si>
    <t>Amazon Brand – Stone &amp; Beam Blaine Modern Upholstered Living Room Accent Chair， 32.3W， Navy Blue</t>
  </si>
  <si>
    <t>PHILIPS 3200 Series Fully Automatic Espresso Machine - Classic Milk Frother， 4 Coffee Varieties， Intuitive Touch Display， Black， (EP3221/44)</t>
  </si>
  <si>
    <t>New Classic Furniture Glam Emma Velvet Three Seater Chesterfield Style Sofa for Small Spaces with Crystal Button Tufts， Black</t>
  </si>
  <si>
    <t>Nolany Convertible Sectional Couch L Shaped Sofa Couch with Storage Reversible Sectional Sofa for Small Space， Dark Grey</t>
  </si>
  <si>
    <t>Edenbrook Archer Upholstered Couch – Couches for Living Room - Charcoal Upholstered Couch - Living Room Furniture - Small Couch - Seats Three - Straight Arm Modern Couch</t>
  </si>
  <si>
    <t>PaPaJet Sleeper Sofa， Sofa Bed with Storage Chaise-2 in 1 Pull Out Couch Bed for Living Room， Sectional Couch with Pull Out Bed Gray</t>
  </si>
  <si>
    <t>Breville Combi Wave 3-in-1 Microwave， Air Fryer， and Toaster Oven， Brushed Stainless Steel， BMO870BSS1BUC1</t>
  </si>
  <si>
    <t>Janoray Farmhouse Dining Chairs Set of 4 with Wooden Round Leather Upholstered Back and Seat for Dining Room Kitchen- Brown</t>
  </si>
  <si>
    <t>Lilola Home Lucca Light Gray Linen Reversible Sleeper Sectional Sofa with Storage Chaise</t>
  </si>
  <si>
    <t>HP 2022 Victus 15.6 144Hz FHD IPS Gaming Laptop， Intel Core i7-11800H Processor， 64GB RAM， 2TB PCIe SSD， Backlit Keyboard， NVIDIA GeForce RTX 3050Ti Graphics， Windows 11， Black， 32GB USB Card</t>
  </si>
  <si>
    <t>Dell Latitude 5000 Series 5420 Business Laptop， 14 FHD Touchscreen， Intel Core i5-1145G7 Processor， 32GB RAM， 512GB SSD， Webcam， HDMI， RJ45， Media Card Reader， Backlit KB， Wi-Fi 6， Windows 11 Pro</t>
  </si>
  <si>
    <t>Lenovo ThinkBook 15 Gen 4 15.6 FHD Touchscreen (12th Gen Intel 10-Core i7-1255U， 16GB RAM， 512GB PCIe SSD， Narrow Bezel IPS) Business Laptop， Backlit KB， Fingerprint， Thunderbolt 4， Win 11 Pro</t>
  </si>
  <si>
    <t>CableCreation Mini HDMI to HDMI Cable 0.5ft， 100 Pack Mini-HDMI Male to HDMI Female Adapter， Supports 4K 60Hz， 3D， for Camera， Camcorder， Graphics Card， Laptop， Tablet， HDTV， Projector， Black</t>
  </si>
  <si>
    <t>HP Envy x360 2-in-1 Laptop， 15.6 FHD Touchscreen， AMD Ryzen 5 5625U Processor， 32GB RAM， 1TB SSD， Webcam， Backlit Keyboard， HDMI， Wi-Fi 6， Windows 11 Home， Stylus Pen Included</t>
  </si>
  <si>
    <t>Dell Inspiron 3910 Desktop Computer Tower - 12th Gen Intel Core i5-12400， 16GB DDR4 RAM， 256GB SSD + 1TB HDD， Intel UHD Graphics 730， WiFi 6， HDMI， Bluetooth， USB-C， Windows 11 Home - Blue</t>
  </si>
  <si>
    <t>Dell Inspiron 24 Inch All-in-One Computer， Windows 11 Home， AMD Ryzen 5 5625U， AMD Radeon Graphics， 8GB DDR4 RAM， 256GB SSD， FHD (1920 x 1080)， MediaTek Wi-Fi 6， Infinity Display， 5415 - Black</t>
  </si>
  <si>
    <t>Sony CFexpress Type A Memory Card 320GB</t>
  </si>
  <si>
    <t>HP 15 Laptop， 11th Gen Intel Core i5-1135G7 Processor， 16GB RAM， 512B SSD， 15.6-inch Full HD (1920 x 1080) Display， HDMI， 802.11ac， Bluetooth， Windows 10 Home， Long Battery Life， Accessories Included</t>
  </si>
  <si>
    <t>Ergotron – HX Dual Monitor Arm， VESA Desk Mount – for 2 Monitors Up to 32 Inches， 5 to 17.5 lbs Each – Matte Black</t>
  </si>
  <si>
    <t>HP Color LaserJet Pro M283fdw Wireless All-in-One Laser Printer， Remote Mobile Print， Scan &amp; Copy， Duplex Printing， Works with Alexa (7KW75A)</t>
  </si>
  <si>
    <t>HP 17-inch Laptop， 11th Generation Intel Core i5-1135G7， Iris Xe Graphics， 8 GB RAM， 256 GB SSD， Windows 11 Home (17-cn0025nr，Natural Silver)</t>
  </si>
  <si>
    <t>OTVOC Laptop 15.6 inch Windows 11， VocBook 15， Intel Celeron N5100， 16GB RAM， 512GB PCIE NvMe SSD ， 4TB Expansion， 15.6 FHD IPS， 2.0MP， 2.4G+5G WiFi， Bluetooth 5.0， Type-C， HDMI， RJ45， HDD， Silver</t>
  </si>
  <si>
    <t>Sysracks - Server Rack – Wall Mount Rack - Locking Cabinet for Network - Electronics - Security - Audio - Video - AV Equipment - Data Rack - Legs/Power Strip/Shelf/Fan - 24-Inch Deep Sysracks… (18U)</t>
  </si>
  <si>
    <t>Apple iPhone SE 3rd Gen， 64GB， Midnight - Unlocked (Renewed)</t>
  </si>
  <si>
    <t>Omega Speedmaster Co-Axial Chronograph Dark Side of the Moon Black Dial Black Fabric Mens Watch 31192445101003</t>
  </si>
  <si>
    <t>Breitling Black Dial Navitimer 8 Chronograph B01 Chronometer 43 AB0117131B1A1</t>
  </si>
  <si>
    <t>Omega Men’s 32632405001001 Speed Master Analog Display Automatic Self Wind Black Watch</t>
  </si>
  <si>
    <t>Hamilton Khaki Field Day Date Automatic Mens Watch H71626735</t>
  </si>
  <si>
    <t>Khaki Field Auto Chrono</t>
  </si>
  <si>
    <t>Jazzmaster Auto Chrono</t>
  </si>
  <si>
    <t>Hamilton Men’s H64455533 Khaki King Series Stainless Steel Automatic Watch with Brown Leather Band</t>
  </si>
  <si>
    <t>Luminox Men’s Pacific Diver Sea Series Red/Black 44mm Analog Dive Watch</t>
  </si>
  <si>
    <t>Luminox Navy Seal Mens Watch 45mm - Military Dive Watch in Black Date Function Chronograph 200m Water Resistant - XS.3581.EY</t>
  </si>
  <si>
    <t>SEIKO SRPG13 Prospex Men’s Watch Green 42.4mm Stainless Steel</t>
  </si>
  <si>
    <t>Seiko Men Prospex - Solar ’Tuna’ PADI Dive Watch Analog/Digital</t>
  </si>
  <si>
    <t>SAMSUNG Galaxy Watch 5 40mm Bluetooth Smartwatch w/ Body， Health， Fitness and Sleep Tracker， Improved Battery， Sapphire Crystal Glass， Enhanced GPS Tracking， US Version， Pink Gold Bezel w/ Pink Band</t>
  </si>
  <si>
    <t>Luminox Men’s Bear Grylls Survival Black/Orange 42mm Analog Dive Watch</t>
  </si>
  <si>
    <t>FEICE Automatic Watch for Men Bauhaus Watch Mens Mechanical Watch Stainless Steel Domed Mirror Analog Casual Dress Watches Unisex -FM202 (42mm)</t>
  </si>
  <si>
    <t>CASIO G-SHOCK GW-M5610RB-4JF Mens Japan Import</t>
  </si>
  <si>
    <t>Swarovski Constella Crystal Jewelry Collection， Gold Tone Finish</t>
  </si>
  <si>
    <t>Casio GM-S5600BR-5JF [G-Shock Bronze Color Theme Model] Watch Shipped from Japan Aug 2022 Model</t>
  </si>
  <si>
    <t>Casio G-Shock Men’s Watch GD-120MB-1ER</t>
  </si>
  <si>
    <t>Swarovski Hear Heart Jewelry Collection， Clear Crystals (Amazon Exclusive)</t>
  </si>
  <si>
    <t>HUGO #First Men’s Quartz Stainless Steel and Link Bracelet Casual Watch， Color: Black (Model: 1530187)</t>
  </si>
  <si>
    <t>Invicta Men’s Pro Diver Automatic Watch with Silicone Band， Black (Model 23678)</t>
  </si>
  <si>
    <t>Swarovski Stone Ring Jewelry Collection， Pink Crystals， Rose Gold Tone Finish</t>
  </si>
  <si>
    <t>CHITA Mid-Century Sofas 74.4’’W Sofa Couch Sets for Living Room Apartment， Easy Assembly， Flax Beige</t>
  </si>
  <si>
    <t>LEISLAND 79 Modern Sectional Sofa Couch for Living Room， Small Couches for Small Spaces， Chenille L Shaped Sofas with Solid Wood Frame， Detachable Cover， Attached Armrest， Easy to Install(Golden)</t>
  </si>
  <si>
    <t>Lestar Fabric Sofa Couch 3 Seats Modern Upholstered Sofas 3 Seater Couches with Nails and Armrests (Beige)</t>
  </si>
  <si>
    <t>SISLEY Sisleya Global Anti Age Cream Extra Rich for Dry Skin 50ml/1.7oz</t>
  </si>
  <si>
    <t>toyshi Eyelash LED Floor Light， Half Moon Floor Lamp， Ring Light for Lash Extension， Lighting for Beauty， Skincare， Lashes， Eyebrows， Filming Content Creation</t>
  </si>
  <si>
    <t>sisley paris Anti-Age Global Revitalizer for Unisex Normal Skin， 1.7 Ounce (SISLEY-550101)</t>
  </si>
  <si>
    <t>Germaine de Capuccini - Timexpert SRNS Pro 60+ Extra Nourishing Highly Demanding Cream - Improves Pigmentation and Hydration - Covers All the Needs of Mature Skin - 1.7 oz</t>
  </si>
  <si>
    <t>Sisley Hydra-Global Intense Anti-Aging Hydration， 1.4 Ounce</t>
  </si>
  <si>
    <t>Sisley Phyto Teint Eclat Compact Foundation No. 2 Soft Beige for Women， 0.35 Ounce</t>
  </si>
  <si>
    <t>CHANEL LE LIFT CREME YEUX， 0.5291 Ounce</t>
  </si>
  <si>
    <t>Tata Harper Resurfacing Mask， Glow Giving Mask， 100% Natural， Made Fresh in Vermont， 30ml</t>
  </si>
  <si>
    <t>GERMAINE DE CAPUCCINI FOR MEN - Eye Contour Solutions Serum | Eye serum for Men | Eye Serum for Dark circles and Puffiness - Anti-fatigue Eye Serum - All skin types - 0.5 oz</t>
  </si>
  <si>
    <t>GERGO Floor Lamp， Remote Control with 4 Color Temperatures， LED Torchiere Floor Lamp with Adjustable Reading Lamp for Bedroom， Standing Lamps for Living Room， Bulb Included (Matte Black)</t>
  </si>
  <si>
    <t>LIVACA Jelly Mask For Facials - Kiwi Fruit Face Mask for Instant Hydration - Jelly Face Mask Powder 23 Fl Oz - Facial Skin Care Product Peel Off for Smoothing， Moisturizing， Cleansing (Kiwi)</t>
  </si>
  <si>
    <t>Jelly Mask Powder for Facials Skin Care， Natural Gel Face Masks， Professional Peel Off Jelly Mask， Moisturizing， Brightening &amp; Hydrating， Mask Powder for Wrinkles &amp; Acne 23 Fl Oz (Hyalorunic Acid)</t>
  </si>
  <si>
    <t>Rawlings | HEART OF THE HIDE Baseball Glove | Traditional Break-In | Multiple Styles</t>
  </si>
  <si>
    <t>Giro Regime Mens Road Cycling Shoes</t>
  </si>
  <si>
    <t>Mens Plaid Patchwork Multi Pocket Casual Hooded Jacket</t>
  </si>
  <si>
    <t>Apple 2024 MacBook Air 15-inch Laptop with M3 chip: 15.3-inch Liquid Retina Display, 8GB Unified Memory, 256GB SSD Storage, Backlit Keyboard, 1080p FaceTime HD Camera, Touch ID; Space Gray</t>
  </si>
  <si>
    <t>Apple 2024 MacBook Air 13-inch Laptop with M3 chip: 13.6-inch Liquid Retina Display, 16GB Unified Memory, 512GB SSD Storage, Backlit Keyboard, 1080p FaceTime HD Camera, Touch ID; Starlight</t>
  </si>
  <si>
    <t>Apple 2024 MacBook Air 15-inch Laptop with M3 chip: 15.3-inch Liquid Retina Display, 8GB Unified Memory, 512GB SSD Storage, Backlit Keyboard, 1080p FaceTime HD Camera, Touch ID; Starlight</t>
  </si>
  <si>
    <t>Dell Precision 7000 7680 Workstation Laptop (2023) | 16" FHD+ | Core i9-1TB SSD - 64GB RAM | 24 Cores @ 5.5 GHz - 13th Gen CPU Win 11 Pro (Renewed)</t>
  </si>
  <si>
    <t>Calm Spirit Teapills Gan Mai Da Zao Wan (1000 Teapills)3383E-MAYWAY by Mayway</t>
  </si>
  <si>
    <t>Mens Geometric Pattern Patchwork Flap Pocket Short Sleeve T-Shirts</t>
  </si>
  <si>
    <t>Mens Solid Texture High Neck Casual Long Sleeve T-Shirts</t>
  </si>
  <si>
    <t>PVC RV Rubber Roof Kit 45 mil | 9’6’’ Wide x 10’-40’ Long RV (Camper) Roof Repair (40’)， White， (RVK45PVCW95)</t>
  </si>
  <si>
    <t>2022 Newest Lenovo IdeaPad 3i Laptop， 17.3 HD+ Display， 11th Gen Intel Core i5-1135G7， Intel Iris Xe Graphics， 20GB RAM， 512GB PCIe SSD， WiFi， Webcam， Fingerprint Reader， Windows 11 Home， Blue</t>
  </si>
  <si>
    <t>Dermalogica Multivitamin Power Recovery Masque (2.5 Fl Oz) Anti-Aging Face Mask with Vitamin C &amp; Lactic Acid - Restore and Repair Stressed， Aging Skin</t>
  </si>
  <si>
    <t>EastPoint Sports Badminton Set</t>
  </si>
  <si>
    <t>HP All-in-One Computer</t>
  </si>
  <si>
    <t>Urban Outfitters Bri Double Bow Satin Mini Dress</t>
  </si>
  <si>
    <t>Abercrombie &amp; Fitch Women's Linen-Blend High-Neck Top</t>
  </si>
  <si>
    <t>Women's Trendy Long Sleeve Knit Sweater</t>
  </si>
  <si>
    <t>Michael Kors Ladies Emery Stainless Steel Watch</t>
  </si>
  <si>
    <t>Urban Outfitters Rhinestone Double Hearts Chain Watch</t>
  </si>
  <si>
    <t>DOROSE Women's Dressy Casual Lace Floral Long Sleeve Shirt</t>
  </si>
  <si>
    <t>Women's Flowy Lace Hem Crewneck Short Sleeve Top</t>
  </si>
  <si>
    <t>Azaro Uomo Men's Slim Fit Long Sleeve Geometric Button-Down Shirt</t>
  </si>
  <si>
    <t>2022 Mens Designer Shirts For Men Wearable Clothing Fashion Long</t>
  </si>
  <si>
    <t>Michael Kors Men's Hooded Bib Snorkel Parka</t>
  </si>
  <si>
    <t>Men's Loose Fit Heavy Cotton T-Shirt</t>
  </si>
  <si>
    <t>Glorious Model O 2 Wired Gaming Mouse</t>
  </si>
  <si>
    <t>Silverstone Technology GD07B Home Theater Computer Case with Lockable Aluminum F</t>
  </si>
  <si>
    <t>Logitech MX Keys S Wireless Keyboard</t>
  </si>
  <si>
    <t>Dell Dock WD19S 130W 14CN6 210-AZBG</t>
  </si>
  <si>
    <t>Usb Optical Wired Computer Mouse</t>
  </si>
  <si>
    <t>Skytech Gaming Computer Parts</t>
  </si>
  <si>
    <t>Melissa &amp; Doug 100 Wood Blocks Set</t>
  </si>
  <si>
    <t>Anpcso Kids Toys for 2 3 4 5 6 7+ Year Old Boys Toddlers Classic Brick Set, Dinosaurs, Car, Figures, Build, Learn and Play, Educational Interactive</t>
  </si>
  <si>
    <t>SYSKENI 56PCS Magnetic Blocks Toddler Toys, Magnetic Building Blocks Magnet Toys, Magnetic Blocks for Kids Ages 3-5 4-8, STEM Sensory Toys Magnet</t>
  </si>
  <si>
    <t>Pickleball Central Franklin X-40 Performance Outdoor Pickleball Optic 6-Pack</t>
  </si>
  <si>
    <t>Champion Sports PROAGSET Pro Agility Pole Set</t>
  </si>
  <si>
    <t>Jaypro Sports Ultimate Adjustable Gooseneck Outdoor Basketball System</t>
  </si>
  <si>
    <t>Peugeot Women's Tank Bracelet Watch Panther Link</t>
  </si>
  <si>
    <t>Woman Swarovski Dextera Bangle Watch</t>
  </si>
  <si>
    <t>PopSockets Dreamy Heart Phone Grip</t>
  </si>
  <si>
    <t>Crystal Mobile Phone Holder, Phone Holder, Crystal Phone Grip, Crystal Phone Holder, Mobile Accessories, Phone Accessories, 4.5cmWx3.5cmL</t>
  </si>
  <si>
    <t>HADEN Heritage Countertop Microwave</t>
  </si>
  <si>
    <t>26 Cu. Ft. 36 Standard Depth Side by Side Refrigerator</t>
  </si>
  <si>
    <t>Minka Aire Light Wave LED Ceiling Fan F845</t>
  </si>
  <si>
    <t>Evan Alexander Grooming My Hair Repair System</t>
  </si>
  <si>
    <t>Hers Triple Threat System Hair Care Kit</t>
  </si>
  <si>
    <t>HAIRtamin Advanced Formula</t>
  </si>
  <si>
    <t>Charity &amp; Love Ayurvedic Aromatherapy Hair &amp; Skin Care</t>
  </si>
  <si>
    <t>John Frieda ULTRA Filler+ Thickening Shampoo</t>
  </si>
  <si>
    <t>Hair Vitamins Women, Ultra Strength 5000mcg Biotin, Collagen, Paba &amp;</t>
  </si>
  <si>
    <t>Me, Myself, and Why: Searching for the Science of Self</t>
  </si>
  <si>
    <t>Wieland [eBook]</t>
  </si>
  <si>
    <t>Young Mungo [eBook]</t>
  </si>
  <si>
    <t>Be with Me: A Novel [eBook]</t>
  </si>
  <si>
    <t>Be You!</t>
  </si>
  <si>
    <t>Apple eGift Card - $10+</t>
  </si>
  <si>
    <t>Buy a $100 US Apple Music Gift Card - Email Delivery</t>
  </si>
  <si>
    <t>Sony PlayStation Store Gifting 25 Gift Card</t>
  </si>
  <si>
    <t>Sony Destiny 2: Digital Deluxe Content Included - Electronics</t>
  </si>
  <si>
    <t>Legendary Tales - Sony PlayStation 5 [Digital Download]</t>
  </si>
  <si>
    <t>The Invincible - Sony PlayStation 5 [Digital Download]</t>
  </si>
  <si>
    <t>Ubisoft UNO PC</t>
  </si>
  <si>
    <t>adidas Men's Z.N.E. Full-Zip</t>
  </si>
  <si>
    <t>adidas 3-Stripes Flared Firebird Women's Track Pants Beige</t>
  </si>
  <si>
    <t>adidas Women's Essentials 3-Stripes Fleece Pants</t>
  </si>
  <si>
    <t>adidas Women's D4T Knit Training Pants</t>
  </si>
  <si>
    <t>adidas Women's Cloudfoam Pure Running Shoes</t>
  </si>
  <si>
    <t>ASICS Women's Training Core Bra</t>
  </si>
  <si>
    <t>ASICS Men's Double Weave Pants</t>
  </si>
  <si>
    <t>ASICS Women's Logo 7/8 Tight</t>
  </si>
  <si>
    <t>Gymshark Lift Seamless Leggings</t>
  </si>
  <si>
    <t>Gymshark Lifting Essentials Graphic Brushed Oversized Joggers</t>
  </si>
  <si>
    <t>Lululemon Women's Wunder Under Smoothcover High-Rise Tight</t>
  </si>
  <si>
    <t>Lululemon Women's Align Dress</t>
  </si>
  <si>
    <t>Lululemon Women's Align Tank Top with Light Support</t>
  </si>
  <si>
    <t>Lululemon Women's Wunder Train 25" Tight with Pockets</t>
  </si>
  <si>
    <t>Nike Men's Sportswear Club Fleece Pants</t>
  </si>
  <si>
    <t>Nike Women's Universa Medium Support High-Waisted 7/8 Leggings with Pockets</t>
  </si>
  <si>
    <t>PUMA Men's Voltaic Evo Fast Training Shoes</t>
  </si>
  <si>
    <t>PUMA Men's Lightweight Track Pants</t>
  </si>
  <si>
    <t>Reebok Women's Lux Contour Leggings</t>
  </si>
  <si>
    <t>Reebok Men's Club C 85 Vintage Shoes</t>
  </si>
  <si>
    <t>Kohler Hadron 48" Bathroom Vanity Cabinet with Sink and Quartz Top</t>
  </si>
  <si>
    <t>IKEA HEMNES High Cabinet</t>
  </si>
  <si>
    <t>Bathroom Free-Standing Floor Cabinet</t>
  </si>
  <si>
    <t>Ariel Hamlet 60-in White Bathroom Vanity Base Cabinet</t>
  </si>
  <si>
    <t>Ktaxon Over The Toilet Bathroom Storage Cabinet</t>
  </si>
  <si>
    <t>Ktaxon Over the Toilet Bathroom Storage Spacesaver, Freestanding Bathroom Cabinet with Double Doors and Adjustable Shelves, White Finish, Size: 23.63</t>
  </si>
  <si>
    <t>KTATK 36" Bathroom Vanity Without Sink</t>
  </si>
  <si>
    <t>Design House Wyndham 24" Single Free Standing Vanity Cabinet</t>
  </si>
  <si>
    <t>Fluid Master 400a Toilet Water Fill Valve For American Standard</t>
  </si>
  <si>
    <t>Fluidmaster PerforMAX All-In-One Toilet Repair Kit 400ARHRKP10</t>
  </si>
  <si>
    <t>Fluidmaster Better Than Wax Wax-Free Toilet Gasket</t>
  </si>
  <si>
    <t>Fluidmaster Anti-Siphon Fill Valve</t>
  </si>
  <si>
    <t>Fluidmaster 550DFRK Dual-Flush Complete System</t>
  </si>
  <si>
    <t>Fluidmaster 3-Inch Dual Flush Valve Replacement 830V-001</t>
  </si>
  <si>
    <t>Fluidmaster Duo Flush 550DFR</t>
  </si>
  <si>
    <t>Fluidmaster PRO45BW501 Brass Shank Fill Valve and Flapper Kit</t>
  </si>
  <si>
    <t>Brita On Tap Faucet Water Filter System</t>
  </si>
  <si>
    <t>Brita UltraMax 18-Cup Water Dispenser</t>
  </si>
  <si>
    <t>Brita Basic Faucet Mount Water Filtration System</t>
  </si>
  <si>
    <t>Brita Complete Water Faucet Filtration System with Light Indicator (42201CT)</t>
  </si>
  <si>
    <t>Brita Everyday Water Filter Pitcher with Filter</t>
  </si>
  <si>
    <t>PUR Ultimate 11-Cup Pitcher</t>
  </si>
  <si>
    <t>PUR XL 44-Cup Water Filter Dispenser with 2 Genuine PUR Filters</t>
  </si>
  <si>
    <t>PUR Plus Water Pitcher Replacement Filter 3pk</t>
  </si>
  <si>
    <t>6 Pack Water Filter Replacement for Pur Water Filter Faucet, Pur RF-9999 , Compatible with All Pur Faucet Mount Filtration Systems, NSF Certified</t>
  </si>
  <si>
    <t>Equate Men's Hair Regrowth Treatment</t>
  </si>
  <si>
    <t>Equate Vision Formula 50+ Softgels</t>
  </si>
  <si>
    <t>Equate Beauty Oil-Free Deep Cleaning Salicylic Acid Astringent</t>
  </si>
  <si>
    <t>Hi Pro Pac Keratin Protein No-frizz Hair Intense Protein Treatment</t>
  </si>
  <si>
    <t>Hi Pro Pac Hair Polishing Treatment</t>
  </si>
  <si>
    <t>Neutrogena Clear and Defend Rapid Gel</t>
  </si>
  <si>
    <t>Neutrogena Intense Repair Cica Balm</t>
  </si>
  <si>
    <t>Neutrogena Very Dry and Damaged Feet Cream</t>
  </si>
  <si>
    <t>Neutrogena Acne AM Treatment, 2 Ounce -- 12 per case</t>
  </si>
  <si>
    <t>Neutrogena Hydro Boost Moisturizing Night Mask</t>
  </si>
  <si>
    <t>1pc Push Bubble Sensory Toy Butterfly Shape Anti-stress Fidget Toys Reliever Funny Educational Puzzle Toy for Adults Kids Creative Gifts</t>
  </si>
  <si>
    <t>Jura E8 Automatic Coffee Machine (Piano Black) Bundle with Glass Milk Container (2 Items)</t>
  </si>
  <si>
    <t>Breville BES980XL Oracle Espresso Machine， Brushed Stainless Steel</t>
  </si>
  <si>
    <t>Alexent 5 Seats Sleeper sectional Sofa in 118 inch (Nail Arm， Dark Gray)</t>
  </si>
  <si>
    <t>Serta Sofa Full Size Convertible Loveseat， Java</t>
  </si>
  <si>
    <t>Amazon Brand - Stone &amp; Beam Westview Extra-Deep Down-Filled Loveseat Sofa Couch， 75.6W， Cream</t>
  </si>
  <si>
    <t>Breville Barista Express Espresso Machine， Brushed Stainless Steel， BES870XL</t>
  </si>
  <si>
    <t>Casa Andrea Milano Modern Sectional Sofa L Shaped Velvet Couch， with Extra Wide Chaise Lounge， Large， Black</t>
  </si>
  <si>
    <t>Roland V-60HD HD Plug-n-Play Video Switcher with Audio for Live Event and Streaming</t>
  </si>
  <si>
    <t>Lenovo ThinkPad P16 Intel Core i9-12900HX， 16C， 16.0 WUXGA (1920x1200) IPS 300nits Anti-Glare， NVIDIA RTX A2000 8GB GDDR6， 32GB DDR5 RAM， 1TB NVMe SSD， Backlit KYB， Fingerprint Reader， Windows Pro</t>
  </si>
  <si>
    <t>Lenovo ThinkPad P16 Intel Core i7-12800HX， 16C， 16.0 WQUXGA (3840x2400) IPS 600nits Anti-Glare， NVIDIA RTX A1000 4GB GDDR6， 64GB DDR5 RAM， 1TB NVMe SSD， Backlit KYB， Fingerprint Reader， Windows Pro</t>
  </si>
  <si>
    <t>JYXOIHUB Smart Board， 49 Inch Digital Electronic Whiteboard and Smartboard for Classroom， Screen Mirroring from for Live Streaming， Digital Signage Displays and Player for Advertising(Board Only)</t>
  </si>
  <si>
    <t>2022 MSI GE76 Raider 17.3 144Hz (Intel 8-Core i7-11800H， 64GB RAM， 2TB PCIe SSD， RTX 3060)， FHD Gaming Laptop， Thunderbolt 4， Webcam， RGB Backlit， IST HDMI， Windows 10</t>
  </si>
  <si>
    <t>Dell Newest Business Laptop Latitude 3520， 15.6 FHD Display， Intel i7-1165G7， 32GB RAM， 1TB SSD， Webcam， USB-C， HDMI， Wi-Fi 6， Windows 11 Pro</t>
  </si>
  <si>
    <t>Akia Screens CLR and ALR Projector Screen 123 inch 16:9 Ceiling Light Rejecting and Ambient Light Rejecting Projection Screen for UST Projection， Edge Free Fixed Frame Screen AK-NB123H-CLR2</t>
  </si>
  <si>
    <t>ASUS VivoBook 17X Laptop， 17.3 inch FHD Display， Intel Core i7-12700H CPU， Intel Iris Xe Graphics， 16GB RAM， 1TB SSD， Fingerprint Sensor， Windows 11 Home， Quiet Blue， K1703ZA-DS76</t>
  </si>
  <si>
    <t>[ZEN] RYZEN 5 Custom Gaming RGB PC - AMD Gaming Desktop with Customizable Computer Specs</t>
  </si>
  <si>
    <t>Armaggeddon Comet Pro 6600 Customized MATX Gaming PC | AMD Ryzen | RX 6600</t>
  </si>
  <si>
    <t>Dell Inspiron 16 5625 Small Thin &amp; Light Portable Laptop - 16 inch FHD+ (1920 x 1200) Display， AMD Ryzen 7 5825U， 16GB DDR4 RAM， 512GB SSD， Radeon Graphics， Bluetooth， Windows 11 Pro - Silver</t>
  </si>
  <si>
    <t>Apple 2020 MacBook Air Laptop M1 Chip， 13 Retina Display， 8GB RAM， 256GB SSD Storage， Backlit Keyboard， FaceTime HD Camera， Touch ID. Works with iPhone/iPad; Space Gray</t>
  </si>
  <si>
    <t>2022 HP Pavilion 17.3-inch IPS FHD Laptop， Intel Quad Core i5-1135G7 (Beats i7-1065G7，Upto 4.2GHz)， Iris Xe Graphics， 16GB RAM， 1TB PCIe SSD，Backlit Keyboard， WiFi 5，Webcam， Windows 11+HubxcelCables</t>
  </si>
  <si>
    <t>2022 HP 15.6 FHD Laptop Computer， 11th Gen Intel Core i5-1135G7(Beats Intel i7-1065G7)， 32GB RAM， 2TGB PCIe SSD， Intel Iris X Graphics， HD Webcam， HDMI， Bluetooth， Win10， Silver， 32GB USB Card</t>
  </si>
  <si>
    <t>Dell Inspiron 14 Inch 5425 Small Thin Lightweight Laptop - 16:10 FHD+ 1920 x 1200p， AMD Ryzen 5 5625U， 8GB Memory， 512GB SSD， AMD Radeon Graphics， MediaTek Wi-Fi 6， Windows 11 - Platinum Silver</t>
  </si>
  <si>
    <t>Dell Newest Inspiron 15 3511 Laptop， 15.6 FHD Touchscreen， Intel Core i5-1035G1， 32GB RAM， 1TB PCIe NVMe M.2 SSD， SD Card Reader， Webcam， HDMI， WiFi， Windows 11 Home， Black</t>
  </si>
  <si>
    <t>HP 2022 Newest 15.6’’ HD Touchscreen Laptop， Quad Core Intel i5-1135G7 (Beat i7-1065G7，Upto 4.2GHz)， Iris Xe Graphics， 16GB RAM， 512GB SSD， HD Webcam， WiFi， 11+ Hours Battery， Win11 S， Marxsolcables</t>
  </si>
  <si>
    <t>HP 2022 Newest 15 Business Laptop， 15.6 FHD， Intel Quad-Core i5-1135G7 up to 4.2GHz (Beat i7-1065G7)， 8GB DDR4 RAM， 256GB PCIe SSD， WiFi 6， Bluetooth 5.2， Windows 11 Pro， 64GB Flash Drive</t>
  </si>
  <si>
    <t>Fitnessandfun 30ft Seamless Inflatable Projector Movie Screen Outdoor Front and Rear Mega Theater Screen for Outside， Parties， Activities and Churches (30ft with Blower)</t>
  </si>
  <si>
    <t>Lenovo ThinkCentre M700z AIO Desktop / i5-6th / 8GB RAM / 256GB SSD/ Win 10 pro / MS office /Free USB wire keyboard and mouse (Refurbished)</t>
  </si>
  <si>
    <t>HP 305A Black， Cyan， Magenta， Yellow Toner Cartridges (4-pack) | Works with LaserJet Pro 300 M351， LaserJet Pro 300 MFP M375， LaserJet Pro 400 M451， LaserJet Pro 400 MFP M475 | CE305AQ1</t>
  </si>
  <si>
    <t>Lenovo - 2022 - IdeaPad 3i - Everyday Laptop Computer - Intel Core i5 12th Gen - 14.0 FHD Display - 8GB Memory - 256GB Storage - Windows 11 Home</t>
  </si>
  <si>
    <t>Panasonic Professional XLR Audio Video Microphone Adaptor with 2 XLR Terminals – Accessory Compatible with LUMIX GH5， GH5S， S1 and S1R Mirrorless Digital Cameras - DMW-XLR1， Black</t>
  </si>
  <si>
    <t>Acer Aspire 5 A515-45-R74Z Slim Laptop | 15.6 Full HD IPS | AMD Ryzen 5 5500U Hexa-Core Mobile Processor | AMD Radeon Graphics | 8GB DDR4 | 256GB NVMe SSD | WiFi 6 | Backlit KB | Windows 11 Home</t>
  </si>
  <si>
    <t>SAMSUNG Galaxy S23 Cell Phone， Factory Unlocked Android Smartphone， 256GB Storage， 50MP Camera， Night Mode， Long Battery Life， Adaptive Display， US Version， 2023， Green</t>
  </si>
  <si>
    <t>Apple iPhone 12 Pro Max， 128GB， Graphite - Unlocked (Renewed Premium)</t>
  </si>
  <si>
    <t>Google Pixel 7-5G Android Phone - Unlocked Smartphone with Wide Angle Lens and 24-Hour Battery - 128GB - Snow</t>
  </si>
  <si>
    <t>SAMSUNG Galaxy S20 FE 5G Cell Phone， Factory Unlocked Android Smartphone， 128GB， Pro Grade Camera， 30X Space Zoom， Night Mode， US Version， Cloud Mint Green</t>
  </si>
  <si>
    <t>SAMSUNG Galaxy A53 5G (SM-A536E/DS) Dual SIM，128 GB 6GB RAM， Factory Unlocked GSM， International Version - No Warranty - (Awesome Black)</t>
  </si>
  <si>
    <t>Samsung Galaxy S20+ 5G 128GB Fully Unlocked Smartphone (Renewed)</t>
  </si>
  <si>
    <t>OnePlus Nord N200 | 5G Unlocked Android Smartphone U.S Version | 6.49 Full HD+LCD Screen | 90Hz Smooth Display | Large 5000mAh Battery | Fast Charging | 64GB Storage | Triple Camera，Blue Quantum</t>
  </si>
  <si>
    <t>Omega Speedmaster Chronograph Automatic White Dial Mens Watch 329.33.44.51.04.001</t>
  </si>
  <si>
    <t>Hamilton Men’s H32766513 Jazzmaster Analog Display Automatic Self Wind Brown Watch</t>
  </si>
  <si>
    <t>Luminox Atacama Field Automatic XL.1907.NF Mens Watch 44mm - Military Watch in Silver/White Date Function 200m Water Resistant Sapphire Glass</t>
  </si>
  <si>
    <t>SEIKO SFK003 Prospex Solar Sumo GMT Green Dial Automatic Watch</t>
  </si>
  <si>
    <t>Movado Men’s Bold Evolution Pale Yellow Gold Ion-Plated Steel Case and Mesh Bracelet， Yellow Gold</t>
  </si>
  <si>
    <t>Seiko Prospex Special Edition SRPF79 Blue Silicone Automatic Diver’s Watch</t>
  </si>
  <si>
    <t>SEIKO SNJ029 Prospex Men’s Watch Tan 50.5mm Stainless Steel</t>
  </si>
  <si>
    <t>SEIKO SRPG57 Prospex Men’s Watch Black 42.4mm Stainless Steel</t>
  </si>
  <si>
    <t>Luminox ICE-SAR Arctic XL.1001 Mens Watch 46mm - Military Watch in Black Date Function 200m Water Resistant Sapphire Glass</t>
  </si>
  <si>
    <t>Luminox Men’s SEA Stainless Steel Swiss-Quartz Watch with Leather Strap， Black， 24 (Model: 3251)</t>
  </si>
  <si>
    <t>Citizen Eco-Drive Promaster Sailhawk Mens Watch， Stainless Steel with Polyurethane Strap， Dive Watch</t>
  </si>
  <si>
    <t>Men’s Luminox Navy Seal 3500 Series Watch 3508.Gold</t>
  </si>
  <si>
    <t>Luminox Leatherback SEA Turtle Giant Blackout XS.0321.BO.L Mens Watch 44mm - Military Watch in Black Date Function 100m Water Resistant</t>
  </si>
  <si>
    <t>Invicta Men’s 15827 Reserve Analog Display Swiss Quartz Gold Watch</t>
  </si>
  <si>
    <t>Timex 38 mm Expedition North Field Post Mechanical Eco-Friendly Leather Strap Watch</t>
  </si>
  <si>
    <t>TSAR BOMBA Luxury Tonneau Watches for Men 5ATM Waterproof Square Chronograph Analog Mens Watch Work Sport Fashion Stylish Business Minimalist Classic Wrist Watches Japanese Movement Gift for Men</t>
  </si>
  <si>
    <t>Amazfit GTS 4 Smart Watch for Men， Dual-Band GPS， Alexa Built-in， Bluetooth Calls， 150+ Sports Modes， Heart Rate SPO₂ Monitor， 1.75” AMOLED Display， Health Fitness Watch for Android iPhone， Black</t>
  </si>
  <si>
    <t>SEIKO Men’s SSB325 Analog Display Japanese Quartz Black Watch， White</t>
  </si>
  <si>
    <t>Seiko Men’s Quartz Watch Stainless Steel with Silicone Strap</t>
  </si>
  <si>
    <t>CASIO G-Shock Watch GD-100-1AJF Japan Import</t>
  </si>
  <si>
    <t>SWAROVSKI Christmas Set， A.E. 2019 Ornament， Crystal</t>
  </si>
  <si>
    <t>Swarovski Sparkling Dance Round Jewelry Collection， Rhodium Finish， Blue Crystals， Clear Crystals</t>
  </si>
  <si>
    <t>FQQWEE Swivel Accent Sofa Barrel Chair， Modern Leisure Chair 42.9 Inch Barrel Chair with 3 Pillows Velvet Round Chair 360° Rotating Wheels for Living Room Hotel (Black)</t>
  </si>
  <si>
    <t>Best Choice Products Tufted Faux Leather 3-Seat L-Shape Sectional Sofa Couch Set w/Chaise Lounge， Ottoman Coffee Table Bench， Black</t>
  </si>
  <si>
    <t>Germaine de Capuccini - Timexpert Lift (IN) | Supreme Definition Eye Contour Emulsion - Anti-Aging Eye Cream for a Firm， Luminous and Rejuvenated Look</t>
  </si>
  <si>
    <t>Sisley Phyto-touche Sun Glow Gel， 1 Ounce</t>
  </si>
  <si>
    <t>Sisley Purifying Re-balancing Lotion with Tropical Resins for Women， 4.2 Ounce</t>
  </si>
  <si>
    <t>Sisley by Sisley: PHYTOCERNES EYE CONCEALER - #1 NATURAL--/0.58OZ</t>
  </si>
  <si>
    <t>Scottish Kilt Semi Dress Grey Rabbit Sporran with Rampant Lion &amp; Tassels Caps</t>
  </si>
  <si>
    <t>Proactiv Skin Purifying Acne Face Mask and Acne Spot Treatment - Detoxifying Facial Mask with 6% Sulfur 3 Oz 90 Day Supply</t>
  </si>
  <si>
    <t>Rawlings Heart of the Hide Duffel Bag， Large， Black</t>
  </si>
  <si>
    <t>CyclingDeal Bike Travel Case - 700c Bikes - Bicycle Air Flights Travel Hard Case Box Bag EVA Material Lightweight &amp; Durable with TSA Lock - Great for Road Bike -Transport Equipment Pro</t>
  </si>
  <si>
    <t>Alexia Meditation Seat (Light Grey， Vegan Leather)</t>
  </si>
  <si>
    <t>Lake Men’s Shoes Cx238</t>
  </si>
  <si>
    <t>Lake CX241 Cycling Shoe - Men’s</t>
  </si>
  <si>
    <t>Marcy Magnetic Elliptical Trainer Cardio Workout Machine</t>
  </si>
  <si>
    <t>Giro Scheme， Men’s Shoes</t>
  </si>
  <si>
    <t>EF ECOFLOW Portable Power Station RIVER 2， 256Wh LiFePO4 Battery/ 1 Hour Fast Charging， 2 Up to 600W AC Outlets， Solar Generator (Solar Panel Optional) for Outdoor Camping/RVs/Home Use</t>
  </si>
  <si>
    <t>Dell 2023 Newest Inspiron Laptop, 15.6" FHD Touchscreen, Intel Core i7 1355U Processor (up to 5GHz, 10 cores), 64GB RAM, 1TB SSD, Intel Iris Xe Graphics, Wi-Fi 6, Bluetooth, Windows 11 Home</t>
  </si>
  <si>
    <t>Apple 2023 MacBook Pro Laptop M3 Pro chip with 12‑core CPU, 18‑core GPU: 16.2-inch Liquid Retina XDR Display, 18GB Unified Memory, 512GB SSD Storage. Works with iPhone/iPad; Silver</t>
  </si>
  <si>
    <t>FNNEMGE 300W Portable Power Station (350W Peak)， 266Wh Solar Outdoor Generator， 72000mAh 60W PD Power Bank with Dual 110V AC Outlets 12V/10A DC Out， Pure Sine Wave， Battery Power Supply for Camping</t>
  </si>
  <si>
    <t>Sunny Health &amp; Fitness Magnetic Elliptical Trainer Machine w/ Tablet Holder， LCD Monitor， 220 LB Max Weight and Pulse Monitor - SF-E3810，Gray</t>
  </si>
  <si>
    <t>Mens Color Block Patchwork Lapel Zip Front Fleece Jacket</t>
  </si>
  <si>
    <t>Mens Solid Stand Collar Zip Front Fleece Casual Jacket</t>
  </si>
  <si>
    <t>Mens Irregular Geometric Print Curved Hem Texture Long Sleeve T-Shirts</t>
  </si>
  <si>
    <t>Mens Fashion Floral Printing Crew Neck Breathable Short Sleeve Casual T-Shirts</t>
  </si>
  <si>
    <t>Polka Dot Button Pocket Short Sleeve Midi Dress</t>
  </si>
  <si>
    <t>Women Pure Color Lapel Stylish Big Swing Casual Sleeveless Maxi Dresses</t>
  </si>
  <si>
    <t>All-in-One Outdoor Sports Set</t>
  </si>
  <si>
    <t>YardGames Giant Tumbling Timbers Stacking &amp; Giant 4 in A Row Outdoor Game Bundle</t>
  </si>
  <si>
    <t>KidKraft All-in-One Sports Adventure Playset</t>
  </si>
  <si>
    <t>Besign LS03 Aluminum Laptop Stand</t>
  </si>
  <si>
    <t>HP Envy Desktop TE01-5000t</t>
  </si>
  <si>
    <t>Connected Apparel Bell Sleeve Faux Wrap Dress Women's</t>
  </si>
  <si>
    <t>Nixon Time Teller Watch</t>
  </si>
  <si>
    <t>Rolex Men's 1.50ct Round Diamond Watch Prong</t>
  </si>
  <si>
    <t>Van Cleef &amp; Arpels Sweet Alhambra Pink Gold Watch</t>
  </si>
  <si>
    <t>Women's Casual Loose Fit Long Sleeve Shirt</t>
  </si>
  <si>
    <t>Fashion Nova Tali High Slit Sweater Collar Mini Dress</t>
  </si>
  <si>
    <t>Lynwitkui Women's V Neck Chiffon Blouses Cap Sleeve Shirts Casual Loose Work Office Solid Tops</t>
  </si>
  <si>
    <t>Women's Silk Button Down V Neck Long Sleeve Shirt</t>
  </si>
  <si>
    <t>Michael Kors Women's Michael Single-Breasted Coat</t>
  </si>
  <si>
    <t>Women's Casual Crew Neck Long Sleeve Knit Shirt</t>
  </si>
  <si>
    <t>Fashion Nova Men's Ethel Textured Knit Relaxed Tee Shirt</t>
  </si>
  <si>
    <t>Boss Men's Slim-Fit Quilted Full-Zip Hooded Puffer Jacket</t>
  </si>
  <si>
    <t>SanDisk Ultra PLUS SDXC Memory Card</t>
  </si>
  <si>
    <t>Logitech M185 Wireless Mouse</t>
  </si>
  <si>
    <t>Thermaltake Tower 300 Micro ATX Gaming Case</t>
  </si>
  <si>
    <t>HP External Drive F2B56AA</t>
  </si>
  <si>
    <t>Corsair K55 RGB PRO Gaming Keyboard</t>
  </si>
  <si>
    <t>FKATEEN Kids Smart Phone</t>
  </si>
  <si>
    <t>Ivtivfu Flying Orb Ball Bring Magic into Reality Flying Ball Toy</t>
  </si>
  <si>
    <t>Forza Boundary Poles</t>
  </si>
  <si>
    <t>All in Motion Basic Hand Weight Set</t>
  </si>
  <si>
    <t>AGame Elite Volleyball Set</t>
  </si>
  <si>
    <t>Fossil Women's Carlie Rose Gold Dial Watch</t>
  </si>
  <si>
    <t>Citizen Men's BN0200-56E Promaster Diver Titanium Watch</t>
  </si>
  <si>
    <t>CASETiFY Pebbled Phone Strap - Greige</t>
  </si>
  <si>
    <t>PopSockets MagSafe Can You Not PopGrip</t>
  </si>
  <si>
    <t>PopSockets PopWallet+ Phone Wallet</t>
  </si>
  <si>
    <t>roomwell E-Star 3.3 Cu Ft Mini Fridge without Freezer - AUTO DEFROST, Reversible Single Door, Glass Shelf Refrigerator - A Space-Saving Marvel for</t>
  </si>
  <si>
    <t>Hotpoint 4.0 cu. ft. Capacity Washer with Stainless Steel Basket,Cold Plus and Water Level Control</t>
  </si>
  <si>
    <t>Galanz 3.1 Cu ft Retro Mini Fridge with Freezer</t>
  </si>
  <si>
    <t>Kerotin Hair Growth Supplement for Longer, Stronger Hair - Enriched with Biotin, Folic Acid, Saw Palmetto to Promote Thick, Healthy Hair Growth (3</t>
  </si>
  <si>
    <t>Routine Wellness Coconut &amp; Vanilla Shampoo</t>
  </si>
  <si>
    <t>Aussie Miracle Moist Shampoo and Conditioner Hair Set</t>
  </si>
  <si>
    <t>Custom Co-Wash by Function of Beauty</t>
  </si>
  <si>
    <t>Maple Holistics Biotin Conditioner</t>
  </si>
  <si>
    <t>Agadir Rosemary &amp; Rice Water Shampoo</t>
  </si>
  <si>
    <t>Equate Biotin &amp; Collagen Shampoo</t>
  </si>
  <si>
    <t>More Beauty Professional Hair Serum With Hyaluronic Acid And Biotin</t>
  </si>
  <si>
    <t>Maple Holistics Biotin Shampoo and Conditioner Set</t>
  </si>
  <si>
    <t>Does Not Apply Hair Growth Shampoo and Conditioner Set</t>
  </si>
  <si>
    <t>Do You Remember Being Born?</t>
  </si>
  <si>
    <t>Pachinko (National Book Award Finalist)</t>
  </si>
  <si>
    <t>The Psychology of Money: Timeless Lessons on Wealth, Greed, and Happiness</t>
  </si>
  <si>
    <t>The Song of Achilles, E-book</t>
  </si>
  <si>
    <t>The Frozen River: A GMA Book Club Pick: A Novel</t>
  </si>
  <si>
    <t>Apple Gift Card</t>
  </si>
  <si>
    <t>$100 Apple Gift Card - App Store, Apple Music, iTunes, iPhone, iPad, AirPods, accessories, and more [Digital]</t>
  </si>
  <si>
    <t>Apple Gift Card- 100 USD-USA</t>
  </si>
  <si>
    <t>Bloodborne PlayStation</t>
  </si>
  <si>
    <t>Untitled Goose Game (Nintendo Switch) - Nintendo eShop Account - GLOBAL</t>
  </si>
  <si>
    <t>FAIRY TAIL (Nintendo Switch) - Nintendo eShop Account - GLOBAL</t>
  </si>
  <si>
    <t>Persona 5 Royal</t>
  </si>
  <si>
    <t>adidas Women's All Me Essentials Full-Length Leggings</t>
  </si>
  <si>
    <t>ASICS Men's Stretch Knit Jogger Pants</t>
  </si>
  <si>
    <t>ASICS GEL-NYC Sportstyle Sneakers</t>
  </si>
  <si>
    <t>ASICS Women's Gel-Excite 10 Running</t>
  </si>
  <si>
    <t>ASICS Men's EX89</t>
  </si>
  <si>
    <t>ASICS Women's Flex Stretch Short Sleeve Top</t>
  </si>
  <si>
    <t>Gymshark Sweat Seamless Leggings</t>
  </si>
  <si>
    <t>Lululemon Run Adapted State High-Rise Full Length Jogger Pants</t>
  </si>
  <si>
    <t>Lululemon Women's Cross Chill Performance Jacket</t>
  </si>
  <si>
    <t>Lululemon Women's High-Rise Full Length Running Jogger</t>
  </si>
  <si>
    <t>Lululemon Women's Adapted State High-Rise Full Length Fleece Jogger</t>
  </si>
  <si>
    <t>Nike Men's Tech Fleece Full-Zip Windrunner Hoodie</t>
  </si>
  <si>
    <t>Nike Women's Sportswear Essentials High-Rise Woven Pants</t>
  </si>
  <si>
    <t>Puma MagMax Nitro Men's</t>
  </si>
  <si>
    <t>PUMA Men's Relaxed Crew Sweatshirt</t>
  </si>
  <si>
    <t>Reebok Classics Vector Track Jacket</t>
  </si>
  <si>
    <t>Reebok Men's Identity Small Logo Fleece Joggers</t>
  </si>
  <si>
    <t>Hivago Wall Mounted Bathroom Storage Medicine Cabinet with Towel Bar</t>
  </si>
  <si>
    <t>Ktaxon Wooden Bathroom Floor Cabinet</t>
  </si>
  <si>
    <t>Ktaxon Wall Mounted Mirrored Medicine Cabinet</t>
  </si>
  <si>
    <t>Fluidmaster Toilet Fill Valve 400A</t>
  </si>
  <si>
    <t>Fluidmaster PRO45 Toilet Fill Valve</t>
  </si>
  <si>
    <t>Brita Hub Compact Countertop Water Filtration Device</t>
  </si>
  <si>
    <t>PUR MineralClear Replacement Faucet Filter 4pk</t>
  </si>
  <si>
    <t>Equate Hair Regrowth Treatment for Women 3 Month Supply USA, 2 Ounces</t>
  </si>
  <si>
    <t>3 packs of Maximum Strength Vagicaine Anti-Itch Cream, 1oz, By Equate (3 Pack)</t>
  </si>
  <si>
    <t>Equate Women's Minoxidil Topical Solution for Hair Regrowth</t>
  </si>
  <si>
    <t>Hi-Pro-Pac Extremely Damaged Hair Intense Protein Treatment</t>
  </si>
  <si>
    <t>Demert Hi Pro Pac Keratin Maintenance Replenishing Hair Masque</t>
  </si>
  <si>
    <t>Hi-pro-pac Treat Extremely Damaged Hari Repair Intense Protein Tube 8 Oz 6 Pack</t>
  </si>
  <si>
    <t>Hi-pro Packette Extremely Protein Treatment</t>
  </si>
  <si>
    <t>Neutrogena On The Spot Acne Treatment</t>
  </si>
  <si>
    <t>Neutrogena Rapid Clear Stubborn Acne Spot Gel</t>
  </si>
  <si>
    <t>TWO TREES® Trimming Scrapers with 10Pcs Blades Material Model Pruning Trimming Device for 3D Printers</t>
  </si>
  <si>
    <t>Mens Plant Print Patchwork Flap Pocket Lapel Loose Jacket</t>
  </si>
  <si>
    <t>ACME Dresden 4-Piece Bed Set， Cherry Oak Finish</t>
  </si>
  <si>
    <t>Jura E8 Espresso Coffee Machine， 64 ounces (White)</t>
  </si>
  <si>
    <t>Acanva Modern L-Shaped Sectional Sofa， 3 Seat Upholstered Couch with Solid Wood Legs for Living Room， Bedroom and Lounge， Left Hand Facing Chaise， White</t>
  </si>
  <si>
    <t>Belffin Modular Sectional Sofa Couch with Reversible Double Chaises Velvet L Shaped Sectional Couch Convertible Sectional Sofa with Storage Grey</t>
  </si>
  <si>
    <t>Furniture of America Eston Traditional Chenille Upholstered Sofa in Ivory</t>
  </si>
  <si>
    <t>HONBAY Oversized Sectional Sofa with Chaise Modern Sleeper Modular Sofa Couch U Shaped Sofa Sectional for Living Room， Grey</t>
  </si>
  <si>
    <t>Acme 5-Piece Bedroom Set Bed， Dresser， Chest and 2 Nightstands(Black， Queen)</t>
  </si>
  <si>
    <t>POLY &amp; BARK Napa Leather Couch – 88.5-Inch Leather Sofa with Tufted Back - Full Grain Leather Couch with Feather-Down Topper On Seating Surfaces – Pure-Aniline Italian Leather – Cognac Tan</t>
  </si>
  <si>
    <t>ACME FURNITURE Denton Curio Cabinet， Cherry</t>
  </si>
  <si>
    <t>ACME Versailles Chest - 21136 - Bone White</t>
  </si>
  <si>
    <t>ACME Versailles Counter Height Table - 61155 - Cherry Oak</t>
  </si>
  <si>
    <t>HONBAY Reversible Sectional Sofa L Shaped Couch with Storage Convertible Modular Sofa with Chaise， Aqua Blue</t>
  </si>
  <si>
    <t>Casa Andrea Milano Modern 3 Piece Microfiber and Faux Leather L Shaped Sectional Sofa with Reversible Chaise &amp; Ottoman， Large， Grey</t>
  </si>
  <si>
    <t>Modway Engage Mid-Century Modern Upholstered Fabric Loveseat in Beige</t>
  </si>
  <si>
    <t>Legend Vansen 82.7’’ Velvet Loveseat with Storage Convertible Sofa Bed Sleeper for Living Room and Bedroom Sofabed， Blue</t>
  </si>
  <si>
    <t>Signature Design by Ashley Bolzano Faux Leather Double Seat Manual Reclining Sofa， Brown</t>
  </si>
  <si>
    <t>JACH 104 Convertible Modular Sectional Sofa， Minimalist Mid-Century Velvet Sofas Couches， Luxury Modern 3-Seat Wide Couch Sectional for Living Room Bedroom Office Apartment (Green)</t>
  </si>
  <si>
    <t>Signature Design by Ashley Darcy Casual Plush L-Shaped Reversible Sofa Chaise Chofa， Grayish Brown</t>
  </si>
  <si>
    <t>Devion Furniture 83 Wide Reversible Fabric Sleeper Sofa Bed &amp; Storage Chaise-Dark Gray</t>
  </si>
  <si>
    <t>Breville Duo Temp Pro Espresso Machine，61 Fluid Ounces， Stainless Steel， BES810BSS</t>
  </si>
  <si>
    <t>GDFStudio Waldo Tufted Wingback Recliner Chair(Warm Stone).</t>
  </si>
  <si>
    <t>MCombo Modern Swivel Accent Chairs， Button-Tufted Slipper Chair， Chenille Upholstered Wingback Leisure Sofa Chair for Living Room Bedroom LW753 (Cream White)</t>
  </si>
  <si>
    <t>Breville Sous Chef Pro 16 Cup Food Processor， Brushed Stainless Steel， BFP800XL</t>
  </si>
  <si>
    <t>Tripp Lite SMART3000NET 3000VA 2400W UPS Smart Tower AVR 120V XL DB9 for Servers， 8 Outlets</t>
  </si>
  <si>
    <t>Microsoft Surface Laptop 5 (2022)， 15 Touch Screen， Thin &amp; Lightweight， Long Battery Life， Fast Intel i7 Processor for Multi-Tasking， 512GB Storage with Windows 11， Black</t>
  </si>
  <si>
    <t>Dell XPS 8940 Desktop Computer Tower - Intel Core i7-11700， 32GB DDR4 RAM， 512GB SSD + 1TB HDD， Wired Keyboard and Mouse Combo， Intel UHD Graphics 750， Wi-Fi 6， USB， Bluetooth， Windows 11 Pro – Black</t>
  </si>
  <si>
    <t>ASUS TUF Dash 15 (2022) Gaming Laptop， 15.6 144Hz FHD Display， Intel Core i7-12650H， GeForce RTX 3060， 16GB DDR5， 512GB SSD， Thunderbolt 4， Windows 11 Home， Off Black， FX517ZM-AS73</t>
  </si>
  <si>
    <t>ASUS ZenBook Flip S13 Slim Laptop， 13.3” 4K OLED Touch， Intel Evo Platform Core i7-1165G7， 16GB RAM， 1TB SSD， Thunderbolt 4， TPM， Windows 11 Pro， AI Noise-Cancellation， Jade Black UX371EA-XH76T</t>
  </si>
  <si>
    <t>LG HU70LA 4K UHD Smart Home Theater CineBeam Projector with Alexa Built-in， LG ThinQ AI， Google Assistant， and LG webOS Lite Smart TV (Netflix， and VUDU) (Renewed)</t>
  </si>
  <si>
    <t>Microsoft Surface Pro 9 (2022)， 13 2-in-1 Tablet &amp; Laptop， Thin &amp; Lightweight， Intel 12th Gen i5 Fast Processor for Multi-Tasking， 8GB RAM， 256GB Storage with Windows 11， Platinum</t>
  </si>
  <si>
    <t>Lenovo ThinkBook G3 Business Laptop， 15.6 Full HD Display， AMD Ryzen 7 5700U (Beat i7-1260P)， Windows 11 Pro， 32GB RAM， 1TB SSD， RJ-45， Backlit Keyboard， Fingerprint， Long Battery Life， Durlyfish</t>
  </si>
  <si>
    <t>Fujitsu FI-7140 Document Scanner， PA03670-B101</t>
  </si>
  <si>
    <t>2022 Apple iPad (10.9-inch， Wi-Fi + Cellular， 64GB) - Pink (Renewed)</t>
  </si>
  <si>
    <t>APC SMT2200RM2U Smart-UPS 2200VA 1980W 120V LCD Rackmount 2U Battery Power Backup (Renewed)</t>
  </si>
  <si>
    <t>Lenovo X1 Carbon 6th Generation Ultrabook: Core i7-8550U， 16GB RAM， 512GB SSD， 14inch Full HD Display， Backlit Keyboard (Renewed)</t>
  </si>
  <si>
    <t>Dell 2022 Newest Inspiron 15 Laptop， 15.6 HD Display， Intel Celeron N4020 Processor， 16GB DDR4 RAM， 1TB PCIe SSD， Webcam， HDMI， Wi-Fi， Bluetooth， Windows 11 Home， Black</t>
  </si>
  <si>
    <t>SAMSUNG Galaxy S22 Ultra Cell Phone， Factory Unlocked Android Smartphone， 128GB， 8K Camera &amp; Video， Brightest Display Screen， S Pen， Long Battery Life， Fast 4nm Processor， US Version， Green</t>
  </si>
  <si>
    <t>Apple iPhone 14 Pro， 256GB， Deep Purple - Unlocked (Renewed)</t>
  </si>
  <si>
    <t>Samsung Galaxy S20 Ultra， 128GB， Cosmic Black - Fully Unlocked (Renewed)</t>
  </si>
  <si>
    <t>Hamilton American Classic Intra-Matic Mechanical Chronograph H Watch 40mm Case， White Dial， Silver Stainless Steel Bracelet (Model: H38429110)</t>
  </si>
  <si>
    <t>Casio G-Shock GMW-B5000TCF-2JR Radio Solar Watch Limited Edition (Japan Domestic Genuine Product)</t>
  </si>
  <si>
    <t>Luminox Automatic Sport Timer Mens Watch</t>
  </si>
  <si>
    <t>Hamilton Jazzmaster Viewmatic Swiss Automatic Watch 40mm Case， Black Dial， Brown Leather Strap (Model: H32515535)</t>
  </si>
  <si>
    <t>Luminox Navy Seal XS.4221.NV.F Mens Watch 45mm - Military Dive Watch in Black Date Function 200m Water Resistant Sapphire Glass</t>
  </si>
  <si>
    <t>Luminox ICE-SAR Arctic XL.1202 Mens Watch 46mm - Military Watch in Silver/Black Date Function 200m Water Resistant Sapphire Glass</t>
  </si>
  <si>
    <t>Luminox Men’s Pacific Diver Sea Series Silver/Blue 44mm Analog Dive Watch</t>
  </si>
  <si>
    <t>Luminox Men’s Pacific Diver Chronograph Series Black Out 44mm Analog Dive Watch</t>
  </si>
  <si>
    <t>Seiko ProspexAntarctica Tuna Diver’s 200m Automatic Blue Dial Watch SRPH77K1</t>
  </si>
  <si>
    <t>SEIKO PROSPEX Solar Diver’s Blue and Red Bezel Stainless Steel Watch SNE591</t>
  </si>
  <si>
    <t>SAMSUNG Galaxy Watch 4 LTE 46mm Smartwatch with ECG Monitor Tracker for Health， Fitness， Running， Sleep Cycles， GPS Fall Detection， Bluetooth， US Version， Black</t>
  </si>
  <si>
    <t>TAKA Jewellery Cresta 18K Cross Diamond Pendant</t>
  </si>
  <si>
    <t>SEIKO SNE549 Prospex Men’s Watch Silver-Tone 43.5mm Stainless Steel</t>
  </si>
  <si>
    <t>Luminox Men’s 3005 Original Navy SEAL Dive Watch</t>
  </si>
  <si>
    <t>Luminox Navy Seal Blackout XS.3081.BO.F Mens Watch 44mm - Military Dive Watch in Black Date Function Chronograph 200m Water Resistant</t>
  </si>
  <si>
    <t>Fitbit Versa 4 Fitness Smartwatch with Daily Readiness， GPS， 24/7 Heart Rate， 40+ Exercise Modes， Sleep Tracking and more， Pink Sand/Copper Rose， One Size (S &amp; L Bands Included)</t>
  </si>
  <si>
    <t>SWAROVSKI Millenia Octagon Cut Crystal Bracelet Jewelry Collection</t>
  </si>
  <si>
    <t>Luminox Leatherback SEA Turtle Giant XS.0333 Mens Watch 44mm - Military Watch in Black Date Function 100m Water Resistant</t>
  </si>
  <si>
    <t>Casio G-shock Japanese Model Limited [ Gd-100gb-1jf ]</t>
  </si>
  <si>
    <t>Men’s SNK807 SEIKO 5 Automatic Stainless Steel Watch with Blue Canvas Band</t>
  </si>
  <si>
    <t>Amazfit T-Rex Pro Smart Watch for Men Rugged Outdoor GPS Fitness Watch， 15 Military Standard Certified， 100+ Sports Modes， 10 ATM Water-Resistant， 18 Day Battery Life， Blood Oxygen Monitor， Black</t>
  </si>
  <si>
    <t>SWAROVSKI Eternal Flower Jewelry Collection Bangle Bracelets， Earrings， Necklaces</t>
  </si>
  <si>
    <t>CHITA Mid-Century Modern Sofa， Fabric Couch for Living Room with Solid Wood Leg， No-Tools Assembly， 72.8’’W， Linen</t>
  </si>
  <si>
    <t>Merluxy Sofa， Deep Seat Sofa-Contemporary Chenille Sofa Couch， 3 Seater Sofa for Living Room-97 Wide Oversized Sofa， Beige Comfy Sofa</t>
  </si>
  <si>
    <t>Devion Furniture Russ Sectional Sleeper Sofa Bed， Light Gray</t>
  </si>
  <si>
    <t>Rosevera Genevieve Upholstered Fine Polyester Collection Tufted Loveseat Couch， Contemporary Chesterfield Armrest，Sectional Sofa for Living Room Apartment， 3SEAT， Beige 3SEAT</t>
  </si>
  <si>
    <t>Sisley Sisleya Le Teint Anti Aging Foundation， 2r Organza， 1 Ounce</t>
  </si>
  <si>
    <t>CHANEL Sublimage La Creme Yeux Ultimate Regeneration Eye Cream， 0.5 Oz</t>
  </si>
  <si>
    <t>SISLEY Double Tenseur Instant &amp; Long-term Gel for Women， Multicolor 1 Fl Oz (Pack of 1)</t>
  </si>
  <si>
    <t>18 RGB Ring Light kit with Stand， 18 2500K-8500K LED Dimmable Circle Ring Light for Photography Video YouTube Vimeo Portrait Lighting Live Streaming</t>
  </si>
  <si>
    <t>SISLEY Velvet Sleeping Mask With Saffron Flowers， 2 oz (908-69102)</t>
  </si>
  <si>
    <t>HDLWIS Facial Mask Machine， DIY Face Mask Machine Multi-Function Automatical Natural Fruit Vegetable Face Mask Maker With Human Voice Reminder &amp; 32 Counts Collagen Pills</t>
  </si>
  <si>
    <t>Arc Standing Lamp for Living Room-Arc Floor Lamp with Table， Remote Control Bright Tall Reading Lamp Stepless Dimmer 2400LM， Black Modern Floor Lamp for Living Room， Bedroom， Study Room， Office</t>
  </si>
  <si>
    <t>Power Your Fun Robo Pets Unicorn Toy for Girls and Boys - Remote Control Robot Toy with Interactive Hand Motion Gestures， STEM Toy Program Treats， Walking and Dancing Robot Unicorn Kids Toy (Pink)</t>
  </si>
  <si>
    <t>Solo Stove Bonfire with Stand Portable Fire Pit Stainless Steel Fire Pits Wood Burning and Low Smoke Camping Stove | 19.5x14 Inches Outdoor Fire Pits</t>
  </si>
  <si>
    <t>Vento Powerstrap R2 Aeroweave</t>
  </si>
  <si>
    <t>Apple 2024 MacBook Air 13-inch Laptop with M3 chip: 13.6-inch Liquid Retina Display, 16GB Unified Memory, 512GB SSD Storage, Backlit Keyboard, 1080p FaceTime HD Camera, Touch ID; Silver</t>
  </si>
  <si>
    <t>Apple 2024 MacBook Air 15-inch Laptop with M3 chip: 15.3-inch Liquid Retina Display, 16GB Unified Memory, 512GB SSD Storage, Backlit Keyboard, 1080p FaceTime HD Camera, Touch ID; Midnight</t>
  </si>
  <si>
    <t>Apple 2024 MacBook Air 15-inch Laptop with M3 chip: 15.3-inch Liquid Retina Display, 16GB Unified Memory, 512GB SSD Storage, Backlit Keyboard, 1080p FaceTime HD Camera, Touch ID; Space Gray</t>
  </si>
  <si>
    <t>Mens Letter Print Crew Neck Casual Short Sleeve T-Shirts</t>
  </si>
  <si>
    <t>GoSports Sports Netting</t>
  </si>
  <si>
    <t>MaxKare Portable Basketball Hoop</t>
  </si>
  <si>
    <t>Outdoor Gear Kids' Crest Snow Pants</t>
  </si>
  <si>
    <t>Dell Optiplex 3020 Desktop Computer, Intel Core I5, 16gb RAM 2TB HDD Windows 11 Pro, Includes</t>
  </si>
  <si>
    <t>Corsair iCUE Link 2500X RGB Micro ATX Dual Chamber PC Case</t>
  </si>
  <si>
    <t>HP 14-dq0020nr 14 Notebook Intel Celeron N4020</t>
  </si>
  <si>
    <t>Cartier Ladies Panthere de Cartier Watch</t>
  </si>
  <si>
    <t>Rado Men's The Original Watch R12393633</t>
  </si>
  <si>
    <t>Invicta Men's Grand Diver Automatic Multifunction Watch</t>
  </si>
  <si>
    <t>Tissot Gentleman Powermatic 80 Silicium 18K Gold Men's Bezel Watch</t>
  </si>
  <si>
    <t>LightInTheBox Women's Breathable Print Shirt Pant Button</t>
  </si>
  <si>
    <t>Fashion Nova Men's Beck Textured Shirt</t>
  </si>
  <si>
    <t>Redragon Mechanical Gaming Keyboard</t>
  </si>
  <si>
    <t>Redragon K686 Wireless Mechanical Keyboard</t>
  </si>
  <si>
    <t>BOSGAME Mini PC with Dual LAN, 2.5GbE, AMD Ryzen 7 5825u, 32GB</t>
  </si>
  <si>
    <t>GEEKOM A8 Max Ai Mini PC</t>
  </si>
  <si>
    <t>ORICO 9-in-1 USB C Docking Station</t>
  </si>
  <si>
    <t>Dell OptiPlex 7000 7020 Plus Desktop Computer Intel Core i7 14th Gen i7-14700</t>
  </si>
  <si>
    <t>Joozfee Gifts for Girls Age 6-8</t>
  </si>
  <si>
    <t>Fossil Women's Carlie Watch</t>
  </si>
  <si>
    <t>Timex Men's Chronograph Watch</t>
  </si>
  <si>
    <t>Peugeot Women's 34x24mm Tank Watch with Crystal Bezel</t>
  </si>
  <si>
    <t>Suptig Phone Holder</t>
  </si>
  <si>
    <t>SINJIMORU Stick-On Phone Card Holder with Cash Storage</t>
  </si>
  <si>
    <t>Realtree EZ PIC Cell Phone Holder</t>
  </si>
  <si>
    <t>Kikkerland Phone Finger Loop</t>
  </si>
  <si>
    <t>PopSockets PopGrip Translucent Black Smoke</t>
  </si>
  <si>
    <t>Home Decorators Collection Tuilene 21 Integrated LED Matte Black Ceiling Fan with Light and Remote Control</t>
  </si>
  <si>
    <t>Smeg 50's Retro Style Mini Refrigerator</t>
  </si>
  <si>
    <t>Haden Heritage 4 Slice Wide Slot Toaster with Electric Water Kettle</t>
  </si>
  <si>
    <t>Hamilton Beach Rice Cooker/Steamer</t>
  </si>
  <si>
    <t>Custom Hair Serum by Function of Beauty</t>
  </si>
  <si>
    <t>MIGUHARA Daily Silk Effect Hair Serum</t>
  </si>
  <si>
    <t>Unforgettable [eBook]</t>
  </si>
  <si>
    <t>Apple $100 Gift Card US</t>
  </si>
  <si>
    <t>$100.00 Apple Gift Card</t>
  </si>
  <si>
    <t>Apple Gift Card $500</t>
  </si>
  <si>
    <t>Buy a 100PLN Poland Apple Gift Card - Email Delivery</t>
  </si>
  <si>
    <t>Sony PlayStation eGift Card</t>
  </si>
  <si>
    <t>Sony Digital Codes For Playstation - New Electronics | Color: Gold</t>
  </si>
  <si>
    <t>Gran Turismo 7 25th Anniversary Digital Deluxe Edition - Sony PlayStation 5 &amp; PlayStation 4 [Digital Download]</t>
  </si>
  <si>
    <t>Sony GODFALL PS5 PRE-ORDER DIGITAL LOOT CODE - New Electronics</t>
  </si>
  <si>
    <t>One Piece Odyssey Deluxe Edition</t>
  </si>
  <si>
    <t>adidas Women's Adicolor Classic Firebird Loose Track Pants</t>
  </si>
  <si>
    <t>adidas Women's Energize Tracksuit</t>
  </si>
  <si>
    <t>ASICS Women's Mobility Knit Crew Neck Top</t>
  </si>
  <si>
    <t>Men ASICS Seamless Short Sleeve Top</t>
  </si>
  <si>
    <t>Gymshark Vital Seamless Leggings</t>
  </si>
  <si>
    <t>Gymshark Rest Day Sweats 2.0 Joggers</t>
  </si>
  <si>
    <t>lululemon Women's Align High-Rise Pant 25</t>
  </si>
  <si>
    <t>Lululemon Women's Scuba Mid-Rise Wide-Leg Pants</t>
  </si>
  <si>
    <t>lululemon Women's Run Fast and Free High-Rise Leggings 25</t>
  </si>
  <si>
    <t>Nike Men's Club Woven Tapered Leg Pants</t>
  </si>
  <si>
    <t>Nike Women's Sportswear Tech Fleece Oversized Hoodie</t>
  </si>
  <si>
    <t>PUMA Men's Regular-Fit Bold Logo-Print Hoodie</t>
  </si>
  <si>
    <t>PUMA Men's Elevate Embossed Fleece Cargo Pants</t>
  </si>
  <si>
    <t>Puma Men's Big Logo Hoodie</t>
  </si>
  <si>
    <t>Homcom Modern Freestanding Bathroom Cabinet</t>
  </si>
  <si>
    <t>Elegant Lighting Grant Single Bathroom Vanity VF90230</t>
  </si>
  <si>
    <t>Hampton Bay Hampton Assembled 30 x 34.5 x 21 in. Bathroom Vanity Base Cabinet KVSB30-MO</t>
  </si>
  <si>
    <t>Latitude Run Haotian Bathroom Tall Cabinet BZR34-W</t>
  </si>
  <si>
    <t>Modern Wall Mounted Bathroom Cabinet with Drawers, Doors, and Shelf</t>
  </si>
  <si>
    <t>Fluidmaster Sure Fit Universal Toilet Flapper 503</t>
  </si>
  <si>
    <t>Fluidmaster 400A Universal Toilet Fill Valve</t>
  </si>
  <si>
    <t>Brita Instant Powerful Countertop Water Filtration Device</t>
  </si>
  <si>
    <t>Brita Stream 10 Cups Water Pitcher</t>
  </si>
  <si>
    <t>Brita Elite Tahoe Water Filter Pitcher</t>
  </si>
  <si>
    <t>Brita 18-Cup Ultramax Water Dispenser</t>
  </si>
  <si>
    <t>Brita Grand Water Filter Pitcher</t>
  </si>
  <si>
    <t>Pur RF-9999 Replacement 3-Stage Faucet Filter</t>
  </si>
  <si>
    <t>PUR 7 Cup Water Pitcher Filtration System PPT700L</t>
  </si>
  <si>
    <t>Equate Benzoyl Peroxide Acne Treatment Gel</t>
  </si>
  <si>
    <t>Hi Pro Pac Color Treated &amp; Highlighted Intense Protein Treatment</t>
  </si>
  <si>
    <t>Hi-pro-pac Intense Protein Treatment for Colored and Highlighted Hair Defense</t>
  </si>
  <si>
    <t>Neutrogena visible Repair Retinol Serum</t>
  </si>
  <si>
    <t>10/30/70 PCS Kailh Box Summer Switch IP54 Waterproof and Dustproof Clicky Feel for Mechanical Keyboard</t>
  </si>
  <si>
    <t>Belffin Modular Large Sectional Sofa with Storage Seat Oversized U Shaped Couch with Reversible Chaise Modular Sofa Set with Ottoman Velvet Blue</t>
  </si>
  <si>
    <t>Jura Z10 Fully Automatic Coffee Machine Diamond Black with Glass Milk Container， 16.9 Oz</t>
  </si>
  <si>
    <t>Jura X8 15177 Automatic Coffee Machine w/PEP 64oz Capacity Programmable</t>
  </si>
  <si>
    <t>Jura S8 Automatic Coffee and Espresso Machine (Piano Black) with Cleaning Tablets (6-Count) and 2 Smart Filter Cartridges Bundle (4 Items)</t>
  </si>
  <si>
    <t>Acme 5-Piece Bedroom Set Bed， Dresser， Chest and 2 Nightstands (White， Queen)</t>
  </si>
  <si>
    <t>kevinplus 101’’ Boucle Curved Sofa Couch for Living Room， Modern Mid-Century Cloud Upholstered Sofa Contemporary Living Room Sofa for Home Apartment Office Studio， 4 Pillows， Beige</t>
  </si>
  <si>
    <t>Jura Impressa C9 One Touch 64OZ. Espresso Machine in Piano Black 13422 (Renewed)</t>
  </si>
  <si>
    <t>Acme Furniture Rectangular Wood Coffee Table， Antique White</t>
  </si>
  <si>
    <t>Arabic U Shaped Sofa Set， Arabic Floor Seating， Arabic Floor Sofa， Arabic Majlis Sofa， Arabic Couches， Floor Seating Sofa MA 36</t>
  </si>
  <si>
    <t>Acanva Luxury Mid-Century Modern Vegan Leather Single Cushion Living Room Sofa， 87 Couch， Mocha Bisque</t>
  </si>
  <si>
    <t>Acme Furniture Round Dining Table with Single Pedestal， Antique Platinum</t>
  </si>
  <si>
    <t>HONBAY Convertible Sectional Sofa Modular Sectional Couch 5 Seater L Shaped Sofa with Storage Seat for Living Room， Aqua Blue</t>
  </si>
  <si>
    <t>Amazon Brand – Stone &amp; Beam Rustin Contemporary Deep-Seated Sofa Couch， 89W， Cream</t>
  </si>
  <si>
    <t>ACME 12145 Dresden Dresser， Cherry Oak Finish</t>
  </si>
  <si>
    <t>Jura ENA 4 Metropolitan Black Espresso Machine Bundle with 3-Phase Cleaning Tablets， and Clearyl Smart Water Filters Cartridge (4 Items)</t>
  </si>
  <si>
    <t>LifeStyle Solutions Serta Honor Convertible Sofa Sofabed， Navy Blue</t>
  </si>
  <si>
    <t>Amazon Brand – Rivet Bigelow Modern Sofa Couch with Wood Base， 89.4W， Light Grey / Blonde</t>
  </si>
  <si>
    <t>DKLGG Living Room Sectional Couch with Storage Ottoman， Modern PU Leather L-Shaped Sofa Couch Set， Brown Modular Sofa Sectional w/Cup Holder， Living Room Furniture Set for Apartment， Small Space</t>
  </si>
  <si>
    <t>Signature Design by Ashley Arroyo Mid Century Modern Faux Leather Sofa， Caramel Brown</t>
  </si>
  <si>
    <t>ZINUS Benton Sofa Couch / Grid Tufted Cushions / Easy， Tool-Free Assembly， Dark Grey</t>
  </si>
  <si>
    <t>Andeworld Modern Tufted Loveaseat Settee Sofa Bench Upholstered Couch for Dining Living Room Hallway or Entryway (Steel Gray)</t>
  </si>
  <si>
    <t>Dell XPS 17 9720 Laptop17.0-inch UHD+ (3840 x 2400) Touchscreen Display， Intel Core i9-12900HK， 32GB Memory， 1TB SSD， NVIDIA GeForce RTX 3060， Intel Killer Wi-Fi 6， Windows 11 Pro - Silver</t>
  </si>
  <si>
    <t>JWSIT 200 inch Projector Screen with Stand，Upgraded 3 Layers PVC 16:9 Large Outdoor Projector Screen，Portable Outdoor Movie Screen with Carrying Bag for Large Commercial Performance</t>
  </si>
  <si>
    <t>Lenovo ThinkPad X1 Extreme Gen 3 15.6 FHD (Intel 6-Core i7-10750H， 32GB RAM， 1TB PCIe SSD， GTX 1650 Ti) Mobile Workstation Laptop， 2 x Thunderbolt 3， Backlit， Fingerprint， IST HDMI， Win 10 Pro</t>
  </si>
  <si>
    <t>Dell XPS 13 9320 Plus 13.4 Laptop Intel Core i5-1240P (12-Core) 512GB PCIe SSD 16GB RAM 3.5K OLED (3456x2160) InfinityEdge Touch Win 11 PRO (Renewed)</t>
  </si>
  <si>
    <t>Liebert PSI5 Lithium-Ion UPS - 1500VA 1350W 120V， Line Interactive AVR Mini Tower Sine Wave UPS， 0.9 Power Factor Uninterruptible Power Supply(Battery Backup) with Surge Protection(PSI5-1500MT120LI)</t>
  </si>
  <si>
    <t>Lenovo ThinkPad T14 14 FHD (AMD 6-Core Ryzen 5 Pro 4650U (Beats i7-1165G7)， 16GB RAM， 512GB SSD) Business Laptop， IPS Anti-Glare， Backlit Keyboard， 2 x Type-C， Webcam， Win 10 Pro / Win 11 Pro - 2022</t>
  </si>
  <si>
    <t>Atomos Ninja V+ 5 8K HDMI H.265 Raw Recording Monitor with WD Blue 500GB Sata SSD Essential Bundle – Includes: 2X Rechargeable Lithium-Ion Battery + Battery Charger + Microfiber Cleaning Cloth</t>
  </si>
  <si>
    <t>Lenovo ThinkPad E14 Gen 3 14 FHD IPS (AMD Ryzen 7 5700U， 16GB RAM， 512GB PCIe SSD， 8-Core (Beat i7-1165G7)) Business Laptop， Anti-glare， Type-C (DP and Charge)， Webcam， Win 10 Pro / 11 Pro</t>
  </si>
  <si>
    <t>Same day delivery HP 21.5" FullHD Touch-Screen Ryzen-3  All in one PC  New Model  with inbuilt webcam hp School/office use 8GB RAM 480GB SSD Win 10 Home Black  1 year warranty with keyboard and mouse</t>
  </si>
  <si>
    <t>Dell Latitude 3410 3000 14 FHD (Intel Quad-Core i5-10210U (Beat i7-8565U)， 16GB RAM， 512GB PCIe SSD， Full HD IPS) Business Student Education Laptop， Type-C， RJ-45， HDMI， Win 10 Pro / Win 11 Pro</t>
  </si>
  <si>
    <t>Vertical Cable Access Control Cable Plenum: 22AWG/3 Pair Shielded + 18AWG/4 Conductor + 22AWG/4 Conductor + 22AWG/2 Conductor， Stranded Bare Copper Conductors， 500ft Spool， Yellow</t>
  </si>
  <si>
    <t>HP Pavilion Gaming Desktop PC - AMD 6-Core Ryzen 5 5600G Processor， AMD Radeon RX5500， 8GB RAM， 256GB PCIe NVMe SSD， Win 10 Home</t>
  </si>
  <si>
    <t>HP [Windows 11 Pro] 15.6 HD Touchscreen Business Laptop， 11th Gen Intel Core i3-1115G4 Processor， 12GB RAM， 256GB SSD， HDMI， WiFi， Type-C， Long Battery Life， Silver， PCS</t>
  </si>
  <si>
    <t>ViewSonic ID2456 24 Inch Touch Display Tablet with Active Stylus， Advanced Ergonomics and USB C for Digital Writing， Graphics Drawing， Remote Teaching， Distance Learning</t>
  </si>
  <si>
    <t>OUVISLITE 4 Bay NAS 16TB Personal Cloud Storage Device with Intel N4500 Processor 4GB DDR4 256GB SSD Included， Support Up to 4TB SSD × 4， iOS/Android for Data and Media Files (Diskless)</t>
  </si>
  <si>
    <t>HP 15.6 Diagonal Full HD (1920 x 1080) Laptop， 11th Gen Intel Core i5-1135G7 Processor， 8GB DDR4 RAM， 256GB SSD， 802.11ac， Bluetooth， HDMI， Windows 11</t>
  </si>
  <si>
    <t>4-Pack (BK+C+Y+M) 215A | W2310A W2311A W2312A W2313A Toner Cartridge Replacement for HP Color Laserjet Pro MFP M182nw(7KW55A) M182n(7KW54A) M183fw(7KW56A) M155 M182 Printer Ink Cartridge</t>
  </si>
  <si>
    <t>2020 Dell Inspiron 14 Laptop Computer 10th Gen Intel i3 1005G1 Up to 3.4GHz 4GB DDR4 RAM 128GB PCIe SSD Untel UHD Graphics HDMI 802.11ac WiFi Bluetooth 4.1 Windows 10</t>
  </si>
  <si>
    <t>Apple iPhone 12 Pro Max， 128GB， Silver - Unlocked (Renewed Premium)</t>
  </si>
  <si>
    <t>Apple iPhone 12 Pro， 128GB， Graphite - Unlocked (Renewed Premium)</t>
  </si>
  <si>
    <t>Samsung Galaxy S21 5G G991U 128GB Smartphone - T-Mobile Locked - (Renewed)</t>
  </si>
  <si>
    <t>Apple iPhone XR， 64GB， Black - Unlocked (Renewed)</t>
  </si>
  <si>
    <t>Apple iPhone XS， US Version， 64GB， Space Gray - Unlocked (Renewed)</t>
  </si>
  <si>
    <t>Apple iPhone X， US Version， 64GB， Silver - Unlocked (Renewed)</t>
  </si>
  <si>
    <t>Omega Speedmaster Racing Automatic Chronograph Mens Watch 329.32.44.51.01.001</t>
  </si>
  <si>
    <t>Omega Men’s Speedmaster Analog Display Mechanical Hand Wind Silver Watch 311.30.42.30.01.006</t>
  </si>
  <si>
    <t>Omega Men’s 326.30.40.50.06.001 Speed Master Racing Analog Display Swiss Automatic Silver Watch</t>
  </si>
  <si>
    <t>Hamilton H38455781 Intra-Matic Automatic Men’s Watch Black Leather</t>
  </si>
  <si>
    <t>Hamilton Khaki Navy Automatic Movement Black Dial Men’s Watch H82335131</t>
  </si>
  <si>
    <t>Luminox ICE-SAR Arctic XL.1203 Mens Watch 46mm - Adventure Watch in Black Date Function 200m Water Resistant Sapphire Glass</t>
  </si>
  <si>
    <t>Casio G-Shock GST-B200X-1A9JF G-Steel Carbon Core Guard Solar Men’s Watch (Japan Domestic Genuine Products)</t>
  </si>
  <si>
    <t>KUOE Old Smith 90-002 No-Date， Automatic NH38 Movement， Black， Replacement Belt Included， 35mm case</t>
  </si>
  <si>
    <t>Kendra Scott White Diamond Heart Stud Earrings in 14k Gold， Fine Jewelry for Women</t>
  </si>
  <si>
    <t>SEIKO PROSPEX Solar Diver’s Blue Dial Black Rubber Watch SNE593</t>
  </si>
  <si>
    <t>TSAR BOMBA Men’s Automatic Watch - Japanese Movement - Sapphire Glass - 100m Waterproof - Luxury Fluororubber Strap -Gifts for Men</t>
  </si>
  <si>
    <t>Swarovski Ortyx bracelet， Triangle Swarovski Zirconia</t>
  </si>
  <si>
    <t>SRPD79 Seiko Sports 5 Men’s Watch Black 42.5mm Stainless Steel</t>
  </si>
  <si>
    <t>Stauer 1930 Dashtronic Watch – Automatic Watches for Men – Cotswold Genuine Mens Watches Leather Band w/Stainless Steel Case – Automated Movement &amp; 3-ATM Water Resistant Watch – Mens Wrist Watches</t>
  </si>
  <si>
    <t>Casio G-Shock Digital Dial Stainless Steel Quartz Men’s Watch GD120TS-1</t>
  </si>
  <si>
    <t>SWAROVSKI Tennis Deluxe Crystal Bracelet and Necklace Jewelry Collection</t>
  </si>
  <si>
    <t>Mondaine Helvetica MH1.B3120.LB Mens and Womens Watch 34mm - Wrist Watch Black Leather Strap 30m Waterproof Sapphire Crystal Stainless Steel case</t>
  </si>
  <si>
    <t>Timex Men’s Marlin Automatic Watch with Stainless Steel Strap， Gold， 20 (Model: TW2T34600)</t>
  </si>
  <si>
    <t>NIXON Siren SS A1211-100m Water Resistant Women’s Digital Sport Watch (36mm Watch Face， 18mm-16mm Silicone Band)</t>
  </si>
  <si>
    <t>Moto 360 3rd Gen 2020 - Wear OS by Google - Touch Screen - Luxury Stainless Steel Smartwatch - Genuine Leather and High-Impact Sports Bands - Champagne Gold</t>
  </si>
  <si>
    <t>DW-5600MW-7D Casio G-Shock Mens Digital Grey Sport Quartz Casio</t>
  </si>
  <si>
    <t>Seiko Men’s SNKN37 Stainless Steel Automatic Self-Wind Watch with Brown Leather Band</t>
  </si>
  <si>
    <t>Swarovski Chroma Jewelry Collection， Rhodium Finish， Pink Crystal， Clear Crystals</t>
  </si>
  <si>
    <t>MVMT Field Men’s Analog Watch</t>
  </si>
  <si>
    <t>LINSY HOME Pull Out Sofa Bed， 2-in-1 Convertible Sleeper Couch with Memory Foam Mattress， Two Seat Loveseat Sleeper Sofa Bed for Living Room， Dark Grey， Full Size</t>
  </si>
  <si>
    <t>Melpomene Convertible Modular Sectional Sofa，Modern Minimalist 94.5 DIY L Shaped Reversible Sherpa Fabric Sofa Couch for Living Room，Apartment，Office(Orange)</t>
  </si>
  <si>
    <t>DM Furniture 360°Swivel Bar Stools Set of 4 Linen Fabric 27 Counter Height Barstools with Back/Wood Legs Upholstered Stool Chairs for Home/Kitchen Island/Breakfast Bar， Grey</t>
  </si>
  <si>
    <t>Naomi Home Jenny Tufted Sectional Sofa Sleeper with Storage Chaise， Pull-Out Couch with Storage， Sectional Sofa Bed， L-Shaped Reversible Sleeper Sofa with Storage， Air Leather， Gray</t>
  </si>
  <si>
    <t>Lilola Home Linen Reversible Sleeper Sectional Sofa with Storage Chaise， Dark Gray</t>
  </si>
  <si>
    <t>Sisley Sisley Sisleya Le Teint Anti Aging Foundation - #3r， Peach， 30 Ml/1 Ounce， 1 Ounce</t>
  </si>
  <si>
    <t>CHANEL Hydra Beauty Micro Serum Intense Replenishing Hydration for Unisex， 1.7 Fl Oz</t>
  </si>
  <si>
    <t>Hanacure® All-In-One Facial - Starter</t>
  </si>
  <si>
    <t>Vitamin Enzyme Mask (Plant Based) by MaryRuth’s - 74% Organic Ingredients， Vitamins &amp; Glycolic Acid gently remove dead skin cells to allow new skin tissue to emerge 4oz For Men &amp; Women</t>
  </si>
  <si>
    <t>Fizik - Infinito R3， Unisex Triathlon Shoes - Adult</t>
  </si>
  <si>
    <t>Chanel Sublimage L’Essence Fondamentale 40ml</t>
  </si>
  <si>
    <t>Apple 2023 MacBook Pro Laptop M3 chip with 8‑core CPU, 10‑core GPU: 14.2-inch Liquid Retina XDR Display, 8GB Unified Memory, 512GB SSD Storage. Works with iPhone/iPad; Space Gray</t>
  </si>
  <si>
    <t>Apple iPhone 13 Pro Max， 128GB， Alpine Green - T-Mobile (Renewed)</t>
  </si>
  <si>
    <t>Men Casual Long Sleeve Tops Crew Neck Loose Basic T-Shirts</t>
  </si>
  <si>
    <t>Giro Empire SLX Men’s Road Cycling Shoes</t>
  </si>
  <si>
    <t>Sleeveless O-neck Loose Causal Floral Print Maxi Dress</t>
  </si>
  <si>
    <t>HP All-in-One Desktop 22 Pentium J5040</t>
  </si>
  <si>
    <t>Eureka Ergonomic Height-Adjustable Illuminated Panel CPU Cart</t>
  </si>
  <si>
    <t>Razer Tomahawk Mini-ITX Computer Case</t>
  </si>
  <si>
    <t>Lenovo ThinkPad Universal USB-C Dock</t>
  </si>
  <si>
    <t>Fiona Cotton Midi Dress</t>
  </si>
  <si>
    <t>Madewell Women's Cinched Long-Sleeve Top</t>
  </si>
  <si>
    <t>SHEIN Women's Casual Set with Zip Front Long Sleeve T-Shirt and Flared Pants</t>
  </si>
  <si>
    <t>Anne Klein Women's Quartz Crystal Bangle Bracelet Set</t>
  </si>
  <si>
    <t>Invicta Men's Pro Diver 26970 Quartz Watch</t>
  </si>
  <si>
    <t>Nine West Women's Emmett Classic Round Brushed Gold Bracelet Watch</t>
  </si>
  <si>
    <t>Anne Klein Women's Round Mother of Pearl Dial Swarovski Crystal Watch Set</t>
  </si>
  <si>
    <t>Swarovski Matrix Bangle Watch Swiss Made</t>
  </si>
  <si>
    <t>Women's Loose Fit Long Sleeve Crew Neck Top</t>
  </si>
  <si>
    <t>EVALESS Women's Crewneck Short Sleeve Textured Tee</t>
  </si>
  <si>
    <t>PRETTYGARDEN Women's Casual Long Sleeve V Neck Swiss Dot Pleated Midi Dress</t>
  </si>
  <si>
    <t>Michael Michael Kors Women's Michael Belted Hooded Puffer Coat</t>
  </si>
  <si>
    <t>Donna Karan Women's Single-Button Jacket</t>
  </si>
  <si>
    <t>Nautica Men's Modern-Fit Bi-Stretch Suit</t>
  </si>
  <si>
    <t>Michael Kors Men's Classic Fit Wool Cashmere Blend Overcoat</t>
  </si>
  <si>
    <t>COOFANDY Men's Stretch Long Sleeve Wrinkle Free Button Down Dress Shirt</t>
  </si>
  <si>
    <t>semour Gesture Sensing RC Robot Toy for Kids Ages 5-7 | Programmable and Interactive | Perfect Christmas Birthday Gifts for Boys and Girls</t>
  </si>
  <si>
    <t>DKZ Fidget Toys Pack 1000Pcs</t>
  </si>
  <si>
    <t>Melissa &amp; Doug Bead Maze Classic Toy</t>
  </si>
  <si>
    <t>Feoxialy Magnetic Blocks for Toddlers</t>
  </si>
  <si>
    <t>Zimtown 8' x 5' Portable Soccer Goal Net</t>
  </si>
  <si>
    <t>G GX9 Kids Basketball Hoop</t>
  </si>
  <si>
    <t>Basketball Hoop 10ft Adjustable Height Portable Goal Court System 45in Shatterproof Backboard for Kids</t>
  </si>
  <si>
    <t>Generic Portable Outdoor Sports Tool Badminton Tennis Volleyball Net</t>
  </si>
  <si>
    <t>Champion Sports Save-A-Leg Home Plate</t>
  </si>
  <si>
    <t>Cartier Panthère Ladies Stainless Steel Diamond Watch</t>
  </si>
  <si>
    <t>Nine West Women's Silver-Tone Mesh Watch</t>
  </si>
  <si>
    <t>Anne Klein Women's Genuine Diamond Dial Bangle Watch</t>
  </si>
  <si>
    <t>Case-Mate Adjustable Crossbody Lanyard</t>
  </si>
  <si>
    <t>PHOOZY Apollo II + Antimicrobial</t>
  </si>
  <si>
    <t>Frigidaire Gallery 30-Inch Wall Oven and Microwave Combination</t>
  </si>
  <si>
    <t>Haden Dorset 4-Slice Toaster and Electric Kettle</t>
  </si>
  <si>
    <t>Botanic Hearth Biotin Shampoo and Conditioner</t>
  </si>
  <si>
    <t>Doppelherz Health Skin Hair</t>
  </si>
  <si>
    <t>Function of Beauty Straight Hair Mask Base with Seaweed Extract</t>
  </si>
  <si>
    <t>Function of Beauty Pro Bond Repair Custom Shampoo</t>
  </si>
  <si>
    <t>The Position</t>
  </si>
  <si>
    <t>Find Me: A Novel</t>
  </si>
  <si>
    <t>Apple $200 Gift Card US</t>
  </si>
  <si>
    <t>$150 PlayStation Store Gift Card [Digital Code]</t>
  </si>
  <si>
    <t>Grand Theft Auto V: Premium Edition - Sony PlayStation 4 [Digital Download]</t>
  </si>
  <si>
    <t>Sony ZV-E10 II Mirrorless Camera</t>
  </si>
  <si>
    <t>Creepy Brawlers</t>
  </si>
  <si>
    <t>eCash - Nintendo eShop Gift Card [Digital Download]</t>
  </si>
  <si>
    <t>Castlevania Dominus Collection</t>
  </si>
  <si>
    <t>adidas Women's Cloudfoam Pure Low-Top Running Shoes</t>
  </si>
  <si>
    <t>Adidas Women's Originals Adibreak Pants</t>
  </si>
  <si>
    <t>adidas Women's Hyperglam Full-Length Ribbed HIIT Pants</t>
  </si>
  <si>
    <t>Asics Men's Long Sleeve Core Top</t>
  </si>
  <si>
    <t>ASICS Men's Court 9in Shorts</t>
  </si>
  <si>
    <t>ASICS Men's Mobility Knit Jacket</t>
  </si>
  <si>
    <t>Gymshark Women's Elevate Mesh-Panels Stretch-Woven Top</t>
  </si>
  <si>
    <t>Gymshark Women's Everyday Seamless Stretch-Woven Leggings</t>
  </si>
  <si>
    <t>Gymshark Power T-Shirt</t>
  </si>
  <si>
    <t>Gymshark Vital Seamless Scoop Neck Top</t>
  </si>
  <si>
    <t>Lululemon Women's Softstreme High-Rise Pant Shorts</t>
  </si>
  <si>
    <t>Nike Men's Sportswear Club Fleece Jacket</t>
  </si>
  <si>
    <t>Women's Nike Sportswear Classic Wovens Loose UV Hooded Jacket</t>
  </si>
  <si>
    <t>Nike Men's Club Knit Joggers</t>
  </si>
  <si>
    <t>Nike Women's High-Waisted Pleated Fleece Pants</t>
  </si>
  <si>
    <t>Nike Men's Tech Woven Pants</t>
  </si>
  <si>
    <t>PUMA Women's Lightweight Track Jacket</t>
  </si>
  <si>
    <t>PUMA Men's Speed Pants</t>
  </si>
  <si>
    <t>Reebok Men's Active Collective DreamBlend Pants</t>
  </si>
  <si>
    <t>Home Decorators Collection Naples 60 in. Bath Vanity Cabinet</t>
  </si>
  <si>
    <t>Homfa Bathroom Floor Storage Cabinet</t>
  </si>
  <si>
    <t>Homfa 58'' Tall Bathroom Cabinet with Doors and Shelves</t>
  </si>
  <si>
    <t>Hampton Bay Hampton Bathroom Vanity Base Cabinet</t>
  </si>
  <si>
    <t>Ktaxon Bathroom Vanity Cabinet</t>
  </si>
  <si>
    <t>Large Bathroom Floor Cabinet with 4 Drawers and Single Door</t>
  </si>
  <si>
    <t>Costway Bathroom Storage Wooden 4 Drawer Cabinet Cupboard 2 Shelves Free Standing</t>
  </si>
  <si>
    <t>Fluidmaster PRO45B Fill Valve</t>
  </si>
  <si>
    <t>Fluidmaster PerforMAX Flush Valve Kit Red/Black Rubber</t>
  </si>
  <si>
    <t>Fluidmaster Flush 'n' Sparkle Toilet Bowl Refill Cartridges</t>
  </si>
  <si>
    <t>Fluidmaster Flush Valve</t>
  </si>
  <si>
    <t>Brita Hub Instant Powerful Countertop Water Filtration</t>
  </si>
  <si>
    <t>Brita Stream Filter Pitcher</t>
  </si>
  <si>
    <t>PUR 7 cups Blue Water Filtration Pitcher</t>
  </si>
  <si>
    <t>PUR Plus 11 Cup Water Pitcher Filtration System PPT110WA</t>
  </si>
  <si>
    <t>Equate Beauty Advanced Healing Ointment</t>
  </si>
  <si>
    <t>Demert Hi-Pro-Pac Coconut Oil &amp; African Shea Butter Hair Masque</t>
  </si>
  <si>
    <t>Hi Pro Pac Macadamia Nut Oil Nourishing Shampoo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</si>
</sst>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6" width="15.0"/>
    <col customWidth="1" min="7" max="26" width="8.71"/>
  </cols>
  <sheetData>
    <row r="1">
      <c r="A1" s="1" t="s">
        <v>0</v>
      </c>
      <c r="B1" s="1" t="s">
        <v>1</v>
      </c>
      <c r="C1" s="1" t="s">
        <v>2</v>
      </c>
      <c r="D1" s="1" t="s">
        <v>3</v>
      </c>
      <c r="E1" s="1" t="s">
        <v>4</v>
      </c>
      <c r="F1" s="1" t="s">
        <v>5</v>
      </c>
    </row>
    <row r="2">
      <c r="A2" s="1">
        <v>3979.0</v>
      </c>
      <c r="B2" s="1" t="s">
        <v>6</v>
      </c>
      <c r="C2" s="1" t="s">
        <v>7</v>
      </c>
      <c r="D2" s="1" t="str">
        <f>IFERROR(__xludf.DUMMYFUNCTION("CONCATENATE(GOOGLETRANSLATE(C2, ""en"", ""zh-cn""))
"),"SEIKO PROSPEX 大蓝洞特别版潜水员 200m 自动腕表 SPB083J1")</f>
        <v>SEIKO PROSPEX 大蓝洞特别版潜水员 200m 自动腕表 SPB083J1</v>
      </c>
      <c r="E2" s="1" t="str">
        <f>IFERROR(__xludf.DUMMYFUNCTION("CONCATENATE(GOOGLETRANSLATE(C2, ""en"", ""ko""))"),"SEIKO PROSPEX 그레이트 블루 홀 스페셜 에디션 다이버용 200m 오토매틱 시계 SPB083J1")</f>
        <v>SEIKO PROSPEX 그레이트 블루 홀 스페셜 에디션 다이버용 200m 오토매틱 시계 SPB083J1</v>
      </c>
      <c r="F2" s="1" t="str">
        <f>IFERROR(__xludf.DUMMYFUNCTION("CONCATENATE(GOOGLETRANSLATE(C2, ""en"", ""ja""))"),"セイコー プロスペックス グレート ブルー ホール スペシャルエディション ダイバーズ 200m 自動巻き時計 SPB083J1")</f>
        <v>セイコー プロスペックス グレート ブルー ホール スペシャルエディション ダイバーズ 200m 自動巻き時計 SPB083J1</v>
      </c>
    </row>
    <row r="3">
      <c r="A3" s="1">
        <v>4010.0</v>
      </c>
      <c r="B3" s="1" t="s">
        <v>6</v>
      </c>
      <c r="C3" s="1" t="s">
        <v>8</v>
      </c>
      <c r="D3" s="1" t="str">
        <f>IFERROR(__xludf.DUMMYFUNCTION("CONCATENATE(GOOGLETRANSLATE(C3, ""en"", ""zh-cn""))
"),"Luminox 男士 Master Carbon Seal 蓝色/黑色 45 毫米自动模拟潜水手表")</f>
        <v>Luminox 男士 Master Carbon Seal 蓝色/黑色 45 毫米自动模拟潜水手表</v>
      </c>
      <c r="E3" s="1" t="str">
        <f>IFERROR(__xludf.DUMMYFUNCTION("CONCATENATE(GOOGLETRANSLATE(C3, ""en"", ""ko""))"),"Luminox 남성용 마스터 카본 씰 블루/블랙 45mm 자동 아날로그 다이브 시계")</f>
        <v>Luminox 남성용 마스터 카본 씰 블루/블랙 45mm 자동 아날로그 다이브 시계</v>
      </c>
      <c r="F3" s="1" t="str">
        <f>IFERROR(__xludf.DUMMYFUNCTION("CONCATENATE(GOOGLETRANSLATE(C3, ""en"", ""ja""))"),"ルミノックス メンズ マスター カーボン シール ブルー/ブラック 45mm 自動巻き アナログ ダイブウォッチ")</f>
        <v>ルミノックス メンズ マスター カーボン シール ブルー/ブラック 45mm 自動巻き アナログ ダイブウォッチ</v>
      </c>
    </row>
    <row r="4">
      <c r="A4" s="1">
        <v>4020.0</v>
      </c>
      <c r="B4" s="1" t="s">
        <v>6</v>
      </c>
      <c r="C4" s="1" t="s">
        <v>9</v>
      </c>
      <c r="D4" s="1" t="str">
        <f>IFERROR(__xludf.DUMMYFUNCTION("CONCATENATE(GOOGLETRANSLATE(C4, ""en"", ""zh-cn""))
"),"Hamilton 手表美国经典 Intra-Matic Auto 40 毫米表壳，米色表盘，黑色皮表带（型号：H38425720）")</f>
        <v>Hamilton 手表美国经典 Intra-Matic Auto 40 毫米表壳，米色表盘，黑色皮表带（型号：H38425720）</v>
      </c>
      <c r="E4" s="1" t="str">
        <f>IFERROR(__xludf.DUMMYFUNCTION("CONCATENATE(GOOGLETRANSLATE(C4, ""en"", ""ko""))"),"해밀턴 시계 아메리칸 클래식 Intra-Matic Auto 40mm 케이스, 베이지 다이얼, 블랙 가죽 스트랩 (모델: H38425720)")</f>
        <v>해밀턴 시계 아메리칸 클래식 Intra-Matic Auto 40mm 케이스, 베이지 다이얼, 블랙 가죽 스트랩 (모델: H38425720)</v>
      </c>
      <c r="F4" s="1" t="str">
        <f>IFERROR(__xludf.DUMMYFUNCTION("CONCATENATE(GOOGLETRANSLATE(C4, ""en"", ""ja""))"),"ハミルトン ウォッチ アメリカン クラシック イントラマティック オート 40mm ケース、ベージュの文字盤、ブラックのレザーストラップ (モデル: H38425720)")</f>
        <v>ハミルトン ウォッチ アメリカン クラシック イントラマティック オート 40mm ケース、ベージュの文字盤、ブラックのレザーストラップ (モデル: H38425720)</v>
      </c>
    </row>
    <row r="5">
      <c r="A5" s="1">
        <v>4021.0</v>
      </c>
      <c r="B5" s="1" t="s">
        <v>6</v>
      </c>
      <c r="C5" s="1" t="s">
        <v>10</v>
      </c>
      <c r="D5" s="1" t="str">
        <f>IFERROR(__xludf.DUMMYFUNCTION("CONCATENATE(GOOGLETRANSLATE(C5, ""en"", ""zh-cn""))
"),"美国经典 Intra-Matic 自动")</f>
        <v>美国经典 Intra-Matic 自动</v>
      </c>
      <c r="E5" s="1" t="str">
        <f>IFERROR(__xludf.DUMMYFUNCTION("CONCATENATE(GOOGLETRANSLATE(C5, ""en"", ""ko""))"),"아메리칸 클래식 인트라매틱 오토")</f>
        <v>아메리칸 클래식 인트라매틱 오토</v>
      </c>
      <c r="F5" s="1" t="str">
        <f>IFERROR(__xludf.DUMMYFUNCTION("CONCATENATE(GOOGLETRANSLATE(C5, ""en"", ""ja""))"),"アメリカン クラシック イントラマティック オート")</f>
        <v>アメリカン クラシック イントラマティック オート</v>
      </c>
    </row>
    <row r="6">
      <c r="A6" s="1">
        <v>4024.0</v>
      </c>
      <c r="B6" s="1" t="s">
        <v>6</v>
      </c>
      <c r="C6" s="1" t="s">
        <v>11</v>
      </c>
      <c r="D6" s="1" t="str">
        <f>IFERROR(__xludf.DUMMYFUNCTION("CONCATENATE(GOOGLETRANSLATE(C6, ""en"", ""zh-cn""))
"),"Luminox Master Carbon Seal 3801 手表套装（两条表带）46 毫米")</f>
        <v>Luminox Master Carbon Seal 3801 手表套装（两条表带）46 毫米</v>
      </c>
      <c r="E6" s="1" t="str">
        <f>IFERROR(__xludf.DUMMYFUNCTION("CONCATENATE(GOOGLETRANSLATE(C6, ""en"", ""ko""))"),"루미녹스 마스터 카본 씰 3801 시계 세트(스트랩 2개) 46mm")</f>
        <v>루미녹스 마스터 카본 씰 3801 시계 세트(스트랩 2개) 46mm</v>
      </c>
      <c r="F6" s="1" t="str">
        <f>IFERROR(__xludf.DUMMYFUNCTION("CONCATENATE(GOOGLETRANSLATE(C6, ""en"", ""ja""))"),"ルミノックス マスター カーボン シール 3801 ウォッチ セット (ストラップ 2 本) 46mm")</f>
        <v>ルミノックス マスター カーボン シール 3801 ウォッチ セット (ストラップ 2 本) 46mm</v>
      </c>
    </row>
    <row r="7">
      <c r="A7" s="1">
        <v>4091.0</v>
      </c>
      <c r="B7" s="1" t="s">
        <v>6</v>
      </c>
      <c r="C7" s="1" t="s">
        <v>12</v>
      </c>
      <c r="D7" s="1" t="str">
        <f>IFERROR(__xludf.DUMMYFUNCTION("CONCATENATE(GOOGLETRANSLATE(C7, ""en"", ""zh-cn""))
"),"精工 SBDL089 [PROSPEX SPEEDTIMER 太阳能计时码表] 男士手表 日本发货")</f>
        <v>精工 SBDL089 [PROSPEX SPEEDTIMER 太阳能计时码表] 男士手表 日本发货</v>
      </c>
      <c r="E7" s="1" t="str">
        <f>IFERROR(__xludf.DUMMYFUNCTION("CONCATENATE(GOOGLETRANSLATE(C7, ""en"", ""ko""))"),"세이코 SBDL089 [PROSPEX SPEEDTIMER Solar 크로노그래프] 남성용 시계 일본에서 배송됨")</f>
        <v>세이코 SBDL089 [PROSPEX SPEEDTIMER Solar 크로노그래프] 남성용 시계 일본에서 배송됨</v>
      </c>
      <c r="F7" s="1" t="str">
        <f>IFERROR(__xludf.DUMMYFUNCTION("CONCATENATE(GOOGLETRANSLATE(C7, ""en"", ""ja""))"),"セイコー SBDL089 [プロスペックス スピードタイマー ソーラー クロノグラフ] メンズ 腕時計 日本発送")</f>
        <v>セイコー SBDL089 [プロスペックス スピードタイマー ソーラー クロノグラフ] メンズ 腕時計 日本発送</v>
      </c>
    </row>
    <row r="8">
      <c r="A8" s="1">
        <v>4113.0</v>
      </c>
      <c r="B8" s="1" t="s">
        <v>6</v>
      </c>
      <c r="C8" s="1" t="s">
        <v>13</v>
      </c>
      <c r="D8" s="1" t="str">
        <f>IFERROR(__xludf.DUMMYFUNCTION("CONCATENATE(GOOGLETRANSLATE(C8, ""en"", ""zh-cn""))
"),"SEIKO SNJ025 Prospex 男士手表黑色 47.8 毫米不锈钢")</f>
        <v>SEIKO SNJ025 Prospex 男士手表黑色 47.8 毫米不锈钢</v>
      </c>
      <c r="E8" s="1" t="str">
        <f>IFERROR(__xludf.DUMMYFUNCTION("CONCATENATE(GOOGLETRANSLATE(C8, ""en"", ""ko""))"),"SEIKO SNJ025 Prospex 남성용 시계 블랙 47.8mm 스테인레스 스틸")</f>
        <v>SEIKO SNJ025 Prospex 남성용 시계 블랙 47.8mm 스테인레스 스틸</v>
      </c>
      <c r="F8" s="1" t="str">
        <f>IFERROR(__xludf.DUMMYFUNCTION("CONCATENATE(GOOGLETRANSLATE(C8, ""en"", ""ja""))"),"[セイコー]SEIKO プロスペックス 腕時計 メンズ ブラック 47.8mm ステンレススチール SNJ025")</f>
        <v>[セイコー]SEIKO プロスペックス 腕時計 メンズ ブラック 47.8mm ステンレススチール SNJ025</v>
      </c>
    </row>
    <row r="9">
      <c r="A9" s="1">
        <v>4127.0</v>
      </c>
      <c r="B9" s="1" t="s">
        <v>6</v>
      </c>
      <c r="C9" s="1" t="s">
        <v>14</v>
      </c>
      <c r="D9" s="1" t="str">
        <f>IFERROR(__xludf.DUMMYFUNCTION("CONCATENATE(GOOGLETRANSLATE(C9, ""en"", ""zh-cn""))
"),"Luminox Navy Seal 男士手表 Black Out（XS.3502.BO / 3500 系列）：200 米防水 + 轻质碳纤维表壳和表带 + 恒定夜间能见度")</f>
        <v>Luminox Navy Seal 男士手表 Black Out（XS.3502.BO / 3500 系列）：200 米防水 + 轻质碳纤维表壳和表带 + 恒定夜间能见度</v>
      </c>
      <c r="E9" s="1" t="str">
        <f>IFERROR(__xludf.DUMMYFUNCTION("CONCATENATE(GOOGLETRANSLATE(C9, ""en"", ""ko""))"),"Luminox Navy Seal 남성용 시계 블랙 아웃(XS.3502.BO / 3500 시리즈): 200미터 방수 + 경량 카본 케이스 및 밴드 + 지속적인 야간 가시성")</f>
        <v>Luminox Navy Seal 남성용 시계 블랙 아웃(XS.3502.BO / 3500 시리즈): 200미터 방수 + 경량 카본 케이스 및 밴드 + 지속적인 야간 가시성</v>
      </c>
      <c r="F9" s="1" t="str">
        <f>IFERROR(__xludf.DUMMYFUNCTION("CONCATENATE(GOOGLETRANSLATE(C9, ""en"", ""ja""))"),"ルミノックス ネイビー シール メンズ ウォッチ ブラックアウト (XS.3502.BO / 3500 シリーズ): 200 メートル防水 + 軽量カーボン ケースとバンド + 夜間の常時視認性")</f>
        <v>ルミノックス ネイビー シール メンズ ウォッチ ブラックアウト (XS.3502.BO / 3500 シリーズ): 200 メートル防水 + 軽量カーボン ケースとバンド + 夜間の常時視認性</v>
      </c>
    </row>
    <row r="10">
      <c r="A10" s="1">
        <v>4164.0</v>
      </c>
      <c r="B10" s="1" t="s">
        <v>6</v>
      </c>
      <c r="C10" s="1" t="s">
        <v>15</v>
      </c>
      <c r="D10" s="1" t="str">
        <f>IFERROR(__xludf.DUMMYFUNCTION("CONCATENATE(GOOGLETRANSLATE(C10, ""en"", ""zh-cn""))
"),"Luminox G 巴塔哥尼亚 Carbonox 男士手表 43 毫米 - 军用手表日期功能 100m 防水 - 不同款式")</f>
        <v>Luminox G 巴塔哥尼亚 Carbonox 男士手表 43 毫米 - 军用手表日期功能 100m 防水 - 不同款式</v>
      </c>
      <c r="E10" s="1" t="str">
        <f>IFERROR(__xludf.DUMMYFUNCTION("CONCATENATE(GOOGLETRANSLATE(C10, ""en"", ""ko""))"),"Luminox G Patagonia Carbonox 남성용 시계 43mm - 군용 시계 날짜 기능 100m 방수 - 다양한 변형")</f>
        <v>Luminox G Patagonia Carbonox 남성용 시계 43mm - 군용 시계 날짜 기능 100m 방수 - 다양한 변형</v>
      </c>
      <c r="F10" s="1" t="str">
        <f>IFERROR(__xludf.DUMMYFUNCTION("CONCATENATE(GOOGLETRANSLATE(C10, ""en"", ""ja""))"),"ルミノックス G パタゴニア カーボンックス メンズ ウォッチ 43 mm - ミリタリー ウォッチ 日付機能 100 メートル防水 - さまざまなバリエーション")</f>
        <v>ルミノックス G パタゴニア カーボンックス メンズ ウォッチ 43 mm - ミリタリー ウォッチ 日付機能 100 メートル防水 - さまざまなバリエーション</v>
      </c>
    </row>
    <row r="11">
      <c r="A11" s="1">
        <v>4165.0</v>
      </c>
      <c r="B11" s="1" t="s">
        <v>6</v>
      </c>
      <c r="C11" s="1" t="s">
        <v>16</v>
      </c>
      <c r="D11" s="1" t="str">
        <f>IFERROR(__xludf.DUMMYFUNCTION("CONCATENATE(GOOGLETRANSLATE(C11, ""en"", ""zh-cn""))
"),"Luminox 男士 3001 石英海军海豹潜水手表")</f>
        <v>Luminox 男士 3001 石英海军海豹潜水手表</v>
      </c>
      <c r="E11" s="1" t="str">
        <f>IFERROR(__xludf.DUMMYFUNCTION("CONCATENATE(GOOGLETRANSLATE(C11, ""en"", ""ko""))"),"루미녹스 남성용 3001 쿼츠 네이비 씰 다이브 시계")</f>
        <v>루미녹스 남성용 3001 쿼츠 네이비 씰 다이브 시계</v>
      </c>
      <c r="F11" s="1" t="str">
        <f>IFERROR(__xludf.DUMMYFUNCTION("CONCATENATE(GOOGLETRANSLATE(C11, ""en"", ""ja""))"),"ルミノックス メンズ 3001 クォーツ ネイビー シール ダイブウォッチ")</f>
        <v>ルミノックス メンズ 3001 クォーツ ネイビー シール ダイブウォッチ</v>
      </c>
    </row>
    <row r="12">
      <c r="A12" s="1">
        <v>4172.0</v>
      </c>
      <c r="B12" s="1" t="s">
        <v>6</v>
      </c>
      <c r="C12" s="1" t="s">
        <v>17</v>
      </c>
      <c r="D12" s="1" t="str">
        <f>IFERROR(__xludf.DUMMYFUNCTION("CONCATENATE(GOOGLETRANSLATE(C12, ""en"", ""zh-cn""))
"),"Seiko 5 运动男士自动手表")</f>
        <v>Seiko 5 运动男士自动手表</v>
      </c>
      <c r="E12" s="1" t="str">
        <f>IFERROR(__xludf.DUMMYFUNCTION("CONCATENATE(GOOGLETRANSLATE(C12, ""en"", ""ko""))"),"세이코 5 스포츠 남성용 오토매틱 시계")</f>
        <v>세이코 5 스포츠 남성용 오토매틱 시계</v>
      </c>
      <c r="F12" s="1" t="str">
        <f>IFERROR(__xludf.DUMMYFUNCTION("CONCATENATE(GOOGLETRANSLATE(C12, ""en"", ""ja""))"),"セイコー 5 スポーツ メンズ自動巻き時計")</f>
        <v>セイコー 5 スポーツ メンズ自動巻き時計</v>
      </c>
    </row>
    <row r="13">
      <c r="A13" s="1">
        <v>4231.0</v>
      </c>
      <c r="B13" s="1" t="s">
        <v>6</v>
      </c>
      <c r="C13" s="1" t="s">
        <v>18</v>
      </c>
      <c r="D13" s="1" t="str">
        <f>IFERROR(__xludf.DUMMYFUNCTION("CONCATENATE(GOOGLETRANSLATE(C13, ""en"", ""zh-cn""))
"),"SUUNTO Core，户外运动手表")</f>
        <v>SUUNTO Core，户外运动手表</v>
      </c>
      <c r="E13" s="1" t="str">
        <f>IFERROR(__xludf.DUMMYFUNCTION("CONCATENATE(GOOGLETRANSLATE(C13, ""en"", ""ko""))"),"SUUNTO Core, 아웃도어 스포츠 시계")</f>
        <v>SUUNTO Core, 아웃도어 스포츠 시계</v>
      </c>
      <c r="F13" s="1" t="str">
        <f>IFERROR(__xludf.DUMMYFUNCTION("CONCATENATE(GOOGLETRANSLATE(C13, ""en"", ""ja""))"),"SUUNTO Core、アウトドアスポーツウォッチ")</f>
        <v>SUUNTO Core、アウトドアスポーツウォッチ</v>
      </c>
    </row>
    <row r="14">
      <c r="A14" s="1">
        <v>4236.0</v>
      </c>
      <c r="B14" s="1" t="s">
        <v>6</v>
      </c>
      <c r="C14" s="1" t="s">
        <v>19</v>
      </c>
      <c r="D14" s="1" t="str">
        <f>IFERROR(__xludf.DUMMYFUNCTION("CONCATENATE(GOOGLETRANSLATE(C14, ""en"", ""zh-cn""))
"),"施华洛世奇")</f>
        <v>施华洛世奇</v>
      </c>
      <c r="E14" s="1" t="str">
        <f>IFERROR(__xludf.DUMMYFUNCTION("CONCATENATE(GOOGLETRANSLATE(C14, ""en"", ""ko""))"),"스와로브스키")</f>
        <v>스와로브스키</v>
      </c>
      <c r="F14" s="1" t="str">
        <f>IFERROR(__xludf.DUMMYFUNCTION("CONCATENATE(GOOGLETRANSLATE(C14, ""en"", ""ja""))"),"スワロフスキー")</f>
        <v>スワロフスキー</v>
      </c>
    </row>
    <row r="15">
      <c r="A15" s="1">
        <v>4300.0</v>
      </c>
      <c r="B15" s="1" t="s">
        <v>6</v>
      </c>
      <c r="C15" s="1" t="s">
        <v>20</v>
      </c>
      <c r="D15" s="1" t="str">
        <f>IFERROR(__xludf.DUMMYFUNCTION("CONCATENATE(GOOGLETRANSLATE(C15, ""en"", ""zh-cn""))
"),"施华洛世奇水晶首饰套装、项链和耳环系列")</f>
        <v>施华洛世奇水晶首饰套装、项链和耳环系列</v>
      </c>
      <c r="E15" s="1" t="str">
        <f>IFERROR(__xludf.DUMMYFUNCTION("CONCATENATE(GOOGLETRANSLATE(C15, ""en"", ""ko""))"),"스와로브스키 크리스탈 주얼리 세트, 목걸이 및 귀걸이 컬렉션")</f>
        <v>스와로브스키 크리스탈 주얼리 세트, 목걸이 및 귀걸이 컬렉션</v>
      </c>
      <c r="F15" s="1" t="str">
        <f>IFERROR(__xludf.DUMMYFUNCTION("CONCATENATE(GOOGLETRANSLATE(C15, ""en"", ""ja""))"),"スワロフスキー クリスタル ジュエリー セット、ネックレス、イヤリング コレクション")</f>
        <v>スワロフスキー クリスタル ジュエリー セット、ネックレス、イヤリング コレクション</v>
      </c>
    </row>
    <row r="16">
      <c r="A16" s="1">
        <v>4316.0</v>
      </c>
      <c r="B16" s="1" t="s">
        <v>6</v>
      </c>
      <c r="C16" s="1" t="s">
        <v>21</v>
      </c>
      <c r="D16" s="1" t="str">
        <f>IFERROR(__xludf.DUMMYFUNCTION("CONCATENATE(GOOGLETRANSLATE(C16, ""en"", ""zh-cn""))
"),"Timex 32.5 毫米 Q LCA Timex Reissue 数字 LCA 不锈钢")</f>
        <v>Timex 32.5 毫米 Q LCA Timex Reissue 数字 LCA 不锈钢</v>
      </c>
      <c r="E16" s="1" t="str">
        <f>IFERROR(__xludf.DUMMYFUNCTION("CONCATENATE(GOOGLETRANSLATE(C16, ""en"", ""ko""))"),"Timex 32.5mm Q LCA Timex 재발행 디지털 LCA 스테인리스 스틸")</f>
        <v>Timex 32.5mm Q LCA Timex 재발행 디지털 LCA 스테인리스 스틸</v>
      </c>
      <c r="F16" s="1" t="str">
        <f>IFERROR(__xludf.DUMMYFUNCTION("CONCATENATE(GOOGLETRANSLATE(C16, ""en"", ""ja""))"),"タイメックス 32.5 mm Q LCA タイメックス 復刻デジタル LCA ステンレススチール")</f>
        <v>タイメックス 32.5 mm Q LCA タイメックス 復刻デジタル LCA ステンレススチール</v>
      </c>
    </row>
    <row r="17">
      <c r="A17" s="1">
        <v>4319.0</v>
      </c>
      <c r="B17" s="1" t="s">
        <v>6</v>
      </c>
      <c r="C17" s="1" t="s">
        <v>22</v>
      </c>
      <c r="D17" s="1" t="str">
        <f>IFERROR(__xludf.DUMMYFUNCTION("CONCATENATE(GOOGLETRANSLATE(C17, ""en"", ""zh-cn""))
"),"施华洛世奇艾米莉网球手链珠宝系列，透明水晶，蓝色水晶，粉色水晶（亚马逊独家）")</f>
        <v>施华洛世奇艾米莉网球手链珠宝系列，透明水晶，蓝色水晶，粉色水晶（亚马逊独家）</v>
      </c>
      <c r="E17" s="1" t="str">
        <f>IFERROR(__xludf.DUMMYFUNCTION("CONCATENATE(GOOGLETRANSLATE(C17, ""en"", ""ko""))"),"스와로브스키 에밀리 테니스 팔찌 주얼리 컬렉션, 클리어 크리스털, 블루 크리스털, 핑크 크리스털(아마존 독점)")</f>
        <v>스와로브스키 에밀리 테니스 팔찌 주얼리 컬렉션, 클리어 크리스털, 블루 크리스털, 핑크 크리스털(아마존 독점)</v>
      </c>
      <c r="F17" s="1" t="str">
        <f>IFERROR(__xludf.DUMMYFUNCTION("CONCATENATE(GOOGLETRANSLATE(C17, ""en"", ""ja""))"),"スワロフスキー エミリー テニス ブレスレット ジュエリー コレクション、クリア クリスタル、ブルー クリスタル、ピンク クリスタル (Amazon 限定)")</f>
        <v>スワロフスキー エミリー テニス ブレスレット ジュエリー コレクション、クリア クリスタル、ブルー クリスタル、ピンク クリスタル (Amazon 限定)</v>
      </c>
    </row>
    <row r="18">
      <c r="A18" s="1">
        <v>4342.0</v>
      </c>
      <c r="B18" s="1" t="s">
        <v>6</v>
      </c>
      <c r="C18" s="1" t="s">
        <v>23</v>
      </c>
      <c r="D18" s="1" t="str">
        <f>IFERROR(__xludf.DUMMYFUNCTION("CONCATENATE(GOOGLETRANSLATE(C18, ""en"", ""zh-cn""))
"),"施华洛世奇象征之手 ​​OM 吊坠项链浅色多色/绿色 均码")</f>
        <v>施华洛世奇象征之手 ​​OM 吊坠项链浅色多色/绿色 均码</v>
      </c>
      <c r="E18" s="1" t="str">
        <f>IFERROR(__xludf.DUMMYFUNCTION("CONCATENATE(GOOGLETRANSLATE(C18, ""en"", ""ko""))"),"SWAROVSKI 심볼릭 핸드 OM 펜던트 목걸이 라이트 멀티/그린 원 사이즈")</f>
        <v>SWAROVSKI 심볼릭 핸드 OM 펜던트 목걸이 라이트 멀티/그린 원 사이즈</v>
      </c>
      <c r="F18" s="1" t="str">
        <f>IFERROR(__xludf.DUMMYFUNCTION("CONCATENATE(GOOGLETRANSLATE(C18, ""en"", ""ja""))"),"スワロフスキー シンボリック ハンド OM ペンダント ネックレス ライト マルチ/グリーン フリー サイズ")</f>
        <v>スワロフスキー シンボリック ハンド OM ペンダント ネックレス ライト マルチ/グリーン フリー サイズ</v>
      </c>
    </row>
    <row r="19">
      <c r="A19" s="1">
        <v>4348.0</v>
      </c>
      <c r="B19" s="1" t="s">
        <v>6</v>
      </c>
      <c r="C19" s="1" t="s">
        <v>24</v>
      </c>
      <c r="D19" s="1" t="str">
        <f>IFERROR(__xludf.DUMMYFUNCTION("CONCATENATE(GOOGLETRANSLATE(C19, ""en"", ""zh-cn""))
"),"施华洛世奇炫丽天鹅珠宝系列，蓝色水晶，粉色水晶，透明水晶")</f>
        <v>施华洛世奇炫丽天鹅珠宝系列，蓝色水晶，粉色水晶，透明水晶</v>
      </c>
      <c r="E19" s="1" t="str">
        <f>IFERROR(__xludf.DUMMYFUNCTION("CONCATENATE(GOOGLETRANSLATE(C19, ""en"", ""ko""))"),"SWAROVSKI 눈부신 백조 주얼리 컬렉션, 블루 크리스탈, 핑크 크리스탈, 클리어 크리스탈")</f>
        <v>SWAROVSKI 눈부신 백조 주얼리 컬렉션, 블루 크리스탈, 핑크 크리스탈, 클리어 크리스탈</v>
      </c>
      <c r="F19" s="1" t="str">
        <f>IFERROR(__xludf.DUMMYFUNCTION("CONCATENATE(GOOGLETRANSLATE(C19, ""en"", ""ja""))"),"スワロフスキー ダズリング スワン ジュエリー コレクション、ブルー クリスタル、ピンク クリスタル、クリア クリスタル")</f>
        <v>スワロフスキー ダズリング スワン ジュエリー コレクション、ブルー クリスタル、ピンク クリスタル、クリア クリスタル</v>
      </c>
    </row>
    <row r="20">
      <c r="A20" s="1">
        <v>4354.0</v>
      </c>
      <c r="B20" s="1" t="s">
        <v>6</v>
      </c>
      <c r="C20" s="1" t="s">
        <v>25</v>
      </c>
      <c r="D20" s="1" t="str">
        <f>IFERROR(__xludf.DUMMYFUNCTION("CONCATENATE(GOOGLETRANSLATE(C20, ""en"", ""zh-cn""))
"),"施华洛世奇 Infinity 水晶珠宝系列，铑金和玫瑰金色调饰面")</f>
        <v>施华洛世奇 Infinity 水晶珠宝系列，铑金和玫瑰金色调饰面</v>
      </c>
      <c r="E20" s="1" t="str">
        <f>IFERROR(__xludf.DUMMYFUNCTION("CONCATENATE(GOOGLETRANSLATE(C20, ""en"", ""ko""))"),"SWAROVSKI 인피니티 크리스탈 주얼리 컬렉션, 로듐 &amp; 로즈 골드 톤 마감")</f>
        <v>SWAROVSKI 인피니티 크리스탈 주얼리 컬렉션, 로듐 &amp; 로즈 골드 톤 마감</v>
      </c>
      <c r="F20" s="1" t="str">
        <f>IFERROR(__xludf.DUMMYFUNCTION("CONCATENATE(GOOGLETRANSLATE(C20, ""en"", ""ja""))"),"スワロフスキー インフィニティ クリスタル ジュエリー コレクション、ロジウム &amp; ローズゴールドトーン仕上げ")</f>
        <v>スワロフスキー インフィニティ クリスタル ジュエリー コレクション、ロジウム &amp; ローズゴールドトーン仕上げ</v>
      </c>
    </row>
    <row r="21" ht="15.75" customHeight="1">
      <c r="A21" s="1">
        <v>4371.0</v>
      </c>
      <c r="B21" s="1" t="s">
        <v>6</v>
      </c>
      <c r="C21" s="1" t="s">
        <v>26</v>
      </c>
      <c r="D21" s="1" t="str">
        <f>IFERROR(__xludf.DUMMYFUNCTION("CONCATENATE(GOOGLETRANSLATE(C21, ""en"", ""zh-cn""))
"),"Lyromix 3 合 1 客厅沙发床，全尺寸可转换双人沙发床，天鹅绒拉出沙发，带 2 个枕头和可拆卸储物袋，黑色")</f>
        <v>Lyromix 3 合 1 客厅沙发床，全尺寸可转换双人沙发床，天鹅绒拉出沙发，带 2 个枕头和可拆卸储物袋，黑色</v>
      </c>
      <c r="E21" s="1" t="str">
        <f>IFERROR(__xludf.DUMMYFUNCTION("CONCATENATE(GOOGLETRANSLATE(C21, ""en"", ""ko""))"),"거실용 Lyromix 3 in 1 소파 베드, 컨버터블 러브시트 슬리퍼 풀 사이즈, 벨벳 풀아웃 소파, 베개 2개 및 분리형 수납 가방, 블랙")</f>
        <v>거실용 Lyromix 3 in 1 소파 베드, 컨버터블 러브시트 슬리퍼 풀 사이즈, 벨벳 풀아웃 소파, 베개 2개 및 분리형 수납 가방, 블랙</v>
      </c>
      <c r="F21" s="1" t="str">
        <f>IFERROR(__xludf.DUMMYFUNCTION("CONCATENATE(GOOGLETRANSLATE(C21, ""en"", ""ja""))"),"Lyromix 3 in 1 ソファベッド リビングルーム用 コンバーチブル 二人掛けスリーパー フルサイズ ベルベット引き出し式ソファ 枕2個&amp;取り外し可能な収納バッグ付き ブラック")</f>
        <v>Lyromix 3 in 1 ソファベッド リビングルーム用 コンバーチブル 二人掛けスリーパー フルサイズ ベルベット引き出し式ソファ 枕2個&amp;取り外し可能な収納バッグ付き ブラック</v>
      </c>
    </row>
    <row r="22" ht="15.75" customHeight="1">
      <c r="A22" s="1">
        <v>4418.0</v>
      </c>
      <c r="B22" s="1" t="s">
        <v>6</v>
      </c>
      <c r="C22" s="1" t="s">
        <v>27</v>
      </c>
      <c r="D22" s="1" t="str">
        <f>IFERROR(__xludf.DUMMYFUNCTION("CONCATENATE(GOOGLETRANSLATE(C22, ""en"", ""zh-cn""))
"),"Ashley Darcy 签名设计休闲毛绒沙发，棕色")</f>
        <v>Ashley Darcy 签名设计休闲毛绒沙发，棕色</v>
      </c>
      <c r="E22" s="1" t="str">
        <f>IFERROR(__xludf.DUMMYFUNCTION("CONCATENATE(GOOGLETRANSLATE(C22, ""en"", ""ko""))"),"Ashley Darcy의 시그니처 디자인 캐주얼 플러시 소파, 브라운")</f>
        <v>Ashley Darcy의 시그니처 디자인 캐주얼 플러시 소파, 브라운</v>
      </c>
      <c r="F22" s="1" t="str">
        <f>IFERROR(__xludf.DUMMYFUNCTION("CONCATENATE(GOOGLETRANSLATE(C22, ""en"", ""ja""))"),"アシュリー・ダーシーによるサインデザイン カジュアルプラッシュソファ、ブラウン")</f>
        <v>アシュリー・ダーシーによるサインデザイン カジュアルプラッシュソファ、ブラウン</v>
      </c>
    </row>
    <row r="23" ht="15.75" customHeight="1">
      <c r="A23" s="1">
        <v>4427.0</v>
      </c>
      <c r="B23" s="1" t="s">
        <v>6</v>
      </c>
      <c r="C23" s="1" t="s">
        <v>28</v>
      </c>
      <c r="D23" s="1" t="str">
        <f>IFERROR(__xludf.DUMMYFUNCTION("CONCATENATE(GOOGLETRANSLATE(C23, ""en"", ""zh-cn""))
"),"柔和的 HANA 现代亚麻布艺沙发，带扶手口袋，深希瑟灰色")</f>
        <v>柔和的 HANA 现代亚麻布艺沙发，带扶手口袋，深希瑟灰色</v>
      </c>
      <c r="E23" s="1" t="str">
        <f>IFERROR(__xludf.DUMMYFUNCTION("CONCATENATE(GOOGLETRANSLATE(C23, ""en"", ""ko""))"),"팔걸이 주머니가 있는 부드러운 HANA 모던한 리넨 패브릭 소파 소파, 다크 헤더 그레이")</f>
        <v>팔걸이 주머니가 있는 부드러운 HANA 모던한 리넨 패브릭 소파 소파, 다크 헤더 그레이</v>
      </c>
      <c r="F23" s="1" t="str">
        <f>IFERROR(__xludf.DUMMYFUNCTION("CONCATENATE(GOOGLETRANSLATE(C23, ""en"", ""ja""))"),"まろやかなHANAモダンリネンファブリックソファカウチアームレストポケット付き、ダークヘザーグレー")</f>
        <v>まろやかなHANAモダンリネンファブリックソファカウチアームレストポケット付き、ダークヘザーグレー</v>
      </c>
    </row>
    <row r="24" ht="15.75" customHeight="1">
      <c r="A24" s="1">
        <v>4439.0</v>
      </c>
      <c r="B24" s="1" t="s">
        <v>6</v>
      </c>
      <c r="C24" s="1" t="s">
        <v>29</v>
      </c>
      <c r="D24" s="1" t="str">
        <f>IFERROR(__xludf.DUMMYFUNCTION("CONCATENATE(GOOGLETRANSLATE(C24, ""en"", ""zh-cn""))
"),"ACME 自助餐，樱桃")</f>
        <v>ACME 自助餐，樱桃</v>
      </c>
      <c r="E24" s="1" t="str">
        <f>IFERROR(__xludf.DUMMYFUNCTION("CONCATENATE(GOOGLETRANSLATE(C24, ""en"", ""ko""))"),"ACME 허치 앤 뷔페, 체리")</f>
        <v>ACME 허치 앤 뷔페, 체리</v>
      </c>
      <c r="F24" s="1" t="str">
        <f>IFERROR(__xludf.DUMMYFUNCTION("CONCATENATE(GOOGLETRANSLATE(C24, ""en"", ""ja""))"),"ACME ハッチ＆ビュッフェ、チェリー")</f>
        <v>ACME ハッチ＆ビュッフェ、チェリー</v>
      </c>
    </row>
    <row r="25" ht="15.75" customHeight="1">
      <c r="A25" s="1">
        <v>4450.0</v>
      </c>
      <c r="B25" s="1" t="s">
        <v>6</v>
      </c>
      <c r="C25" s="1" t="s">
        <v>30</v>
      </c>
      <c r="D25" s="1" t="str">
        <f>IFERROR(__xludf.DUMMYFUNCTION("CONCATENATE(GOOGLETRANSLATE(C25, ""en"", ""zh-cn""))
"),"toyshi 睫毛LED落地灯，月亮落地灯，睫毛延长环形灯，美容照明，护肤，睫毛，眉毛，拍摄内容创作")</f>
        <v>toyshi 睫毛LED落地灯，月亮落地灯，睫毛延长环形灯，美容照明，护肤，睫毛，眉毛，拍摄内容创作</v>
      </c>
      <c r="E25" s="1" t="str">
        <f>IFERROR(__xludf.DUMMYFUNCTION("CONCATENATE(GOOGLETRANSLATE(C25, ""en"", ""ko""))"),"toyshi 속눈썹 LED 플로어 라이트, 달 플로어 램프, 속눈썹 연장용 링 라이트, 뷰티 조명, 스킨케어, 속눈썹, 눈썹, 촬영 콘텐츠 제작")</f>
        <v>toyshi 속눈썹 LED 플로어 라이트, 달 플로어 램프, 속눈썹 연장용 링 라이트, 뷰티 조명, 스킨케어, 속눈썹, 눈썹, 촬영 콘텐츠 제작</v>
      </c>
      <c r="F25" s="1" t="str">
        <f>IFERROR(__xludf.DUMMYFUNCTION("CONCATENATE(GOOGLETRANSLATE(C25, ""en"", ""ja""))"),"toyshi Eyelash LEDフロアライト、ムーンフロアランプ、まつげエクステ用リングライト、美容用照明、スキンケア、まつげ、眉毛、撮影コンテンツ制作")</f>
        <v>toyshi Eyelash LEDフロアライト、ムーンフロアランプ、まつげエクステ用リングライト、美容用照明、スキンケア、まつげ、眉毛、撮影コンテンツ制作</v>
      </c>
    </row>
    <row r="26" ht="15.75" customHeight="1">
      <c r="A26" s="1">
        <v>4454.0</v>
      </c>
      <c r="B26" s="1" t="s">
        <v>6</v>
      </c>
      <c r="C26" s="1" t="s">
        <v>31</v>
      </c>
      <c r="D26" s="1" t="str">
        <f>IFERROR(__xludf.DUMMYFUNCTION("CONCATENATE(GOOGLETRANSLATE(C26, ""en"", ""zh-cn""))
"),"香奈儿 Sublimage Le Teint 终极光彩粉底霜 No 10 米色")</f>
        <v>香奈儿 Sublimage Le Teint 终极光彩粉底霜 No 10 米色</v>
      </c>
      <c r="E26" s="1" t="str">
        <f>IFERROR(__xludf.DUMMYFUNCTION("CONCATENATE(GOOGLETRANSLATE(C26, ""en"", ""ko""))"),"샤넬 수블리마지 르 뗑 얼티미트 래디언스 제너레이팅 크림 파운데이션 No 10 베이지")</f>
        <v>샤넬 수블리마지 르 뗑 얼티미트 래디언스 제너레이팅 크림 파운데이션 No 10 베이지</v>
      </c>
      <c r="F26" s="1" t="str">
        <f>IFERROR(__xludf.DUMMYFUNCTION("CONCATENATE(GOOGLETRANSLATE(C26, ""en"", ""ja""))"),"サブリマージュ ル タン アルティメット ラディアンス ジェネレーティング クリーム ファンデーション by シャネル No 10 ベージュ")</f>
        <v>サブリマージュ ル タン アルティメット ラディアンス ジェネレーティング クリーム ファンデーション by シャネル No 10 ベージュ</v>
      </c>
    </row>
    <row r="27" ht="15.75" customHeight="1">
      <c r="A27" s="1">
        <v>4469.0</v>
      </c>
      <c r="B27" s="1" t="s">
        <v>6</v>
      </c>
      <c r="C27" s="1" t="s">
        <v>32</v>
      </c>
      <c r="D27" s="1" t="str">
        <f>IFERROR(__xludf.DUMMYFUNCTION("CONCATENATE(GOOGLETRANSLATE(C27, ""en"", ""zh-cn""))
"),"Qiounlse Tiffany Torchiere 落地灯 使命风格彩色玻璃灯罩 12 立式角落手电筒上照灯 69 高复古阅读灯适用于客厅卧室办公室")</f>
        <v>Qiounlse Tiffany Torchiere 落地灯 使命风格彩色玻璃灯罩 12 立式角落手电筒上照灯 69 高复古阅读灯适用于客厅卧室办公室</v>
      </c>
      <c r="E27" s="1" t="str">
        <f>IFERROR(__xludf.DUMMYFUNCTION("CONCATENATE(GOOGLETRANSLATE(C27, ""en"", ""ko""))"),"Qiounlse 티파니 Torchiere 플로어 램프 미션 스타일 스테인드 글라스 갓 12 스탠딩 코너 토치 업라이트 램프 69 거실 침실 사무실용 키 큰 빈티지 독서 조명기구")</f>
        <v>Qiounlse 티파니 Torchiere 플로어 램프 미션 스타일 스테인드 글라스 갓 12 스탠딩 코너 토치 업라이트 램프 69 거실 침실 사무실용 키 큰 빈티지 독서 조명기구</v>
      </c>
      <c r="F27" s="1" t="str">
        <f>IFERROR(__xludf.DUMMYFUNCTION("CONCATENATE(GOOGLETRANSLATE(C27, ""en"", ""ja""))"),"Qiounlse ティファニー トーチエール フロアランプ ミッションスタイル ステンドグラスシェード 12 スタンディングコーナートーチアップライトランプ 69 高さのヴィンテージ読書灯器具 リビングルーム ベッドルーム オフィス用")</f>
        <v>Qiounlse ティファニー トーチエール フロアランプ ミッションスタイル ステンドグラスシェード 12 スタンディングコーナートーチアップライトランプ 69 高さのヴィンテージ読書灯器具 リビングルーム ベッドルーム オフィス用</v>
      </c>
    </row>
    <row r="28" ht="15.75" customHeight="1">
      <c r="A28" s="1">
        <v>4483.0</v>
      </c>
      <c r="B28" s="1" t="s">
        <v>6</v>
      </c>
      <c r="C28" s="1" t="s">
        <v>33</v>
      </c>
      <c r="D28" s="1" t="str">
        <f>IFERROR(__xludf.DUMMYFUNCTION("CONCATENATE(GOOGLETRANSLATE(C28, ""en"", ""zh-cn""))
"),"SISLEY 日夜生态复合剂（带泵）， 2 盎司")</f>
        <v>SISLEY 日夜生态复合剂（带泵）， 2 盎司</v>
      </c>
      <c r="E28" s="1" t="str">
        <f>IFERROR(__xludf.DUMMYFUNCTION("CONCATENATE(GOOGLETRANSLATE(C28, ""en"", ""ko""))"),"SISLEY 친환경 화합물 주야간(펌프 포함), 2온스")</f>
        <v>SISLEY 친환경 화합물 주야간(펌프 포함), 2온스</v>
      </c>
      <c r="F28" s="1" t="str">
        <f>IFERROR(__xludf.DUMMYFUNCTION("CONCATENATE(GOOGLETRANSLATE(C28, ""en"", ""ja""))"),"シスレー エコロジカル コンパウンド デイアンドナイト (ポンプ付き)、2オンス")</f>
        <v>シスレー エコロジカル コンパウンド デイアンドナイト (ポンプ付き)、2オンス</v>
      </c>
    </row>
    <row r="29" ht="15.75" customHeight="1">
      <c r="A29" s="1">
        <v>4486.0</v>
      </c>
      <c r="B29" s="1" t="s">
        <v>6</v>
      </c>
      <c r="C29" s="1" t="s">
        <v>34</v>
      </c>
      <c r="D29" s="1" t="str">
        <f>IFERROR(__xludf.DUMMYFUNCTION("CONCATENATE(GOOGLETRANSLATE(C29, ""en"", ""zh-cn""))
"),"ELEMIS 胶原蛋白海洋霜 |轻盈抗皱日常面部保湿霜，含有强大的海洋 + 植物活性成分，可紧致、平滑和保湿")</f>
        <v>ELEMIS 胶原蛋白海洋霜 |轻盈抗皱日常面部保湿霜，含有强大的海洋 + 植物活性成分，可紧致、平滑和保湿</v>
      </c>
      <c r="E29" s="1" t="str">
        <f>IFERROR(__xludf.DUMMYFUNCTION("CONCATENATE(GOOGLETRANSLATE(C29, ""en"", ""ko""))"),"엘레미스 프로콜라겐 마린 크림 | 가벼운 주름 방지 데일리 페이스 모이스처라이저 강력한 해양 + 식물 활성 성분으로 피부를 탄력 있고 매끄럽게 하며 수분을 공급합니다")</f>
        <v>엘레미스 프로콜라겐 마린 크림 | 가벼운 주름 방지 데일리 페이스 모이스처라이저 강력한 해양 + 식물 활성 성분으로 피부를 탄력 있고 매끄럽게 하며 수분을 공급합니다</v>
      </c>
      <c r="F29" s="1" t="str">
        <f>IFERROR(__xludf.DUMMYFUNCTION("CONCATENATE(GOOGLETRANSLATE(C29, ""en"", ""ja""))"),"ELEMIS プロコラーゲンマリンクリーム |軽量のシワ防止デイリーフェイスモイスチャライザーは、強力な海洋性 + 植物性有効成分で肌を引き締め、滑らかにし、潤いを与えます。")</f>
        <v>ELEMIS プロコラーゲンマリンクリーム |軽量のシワ防止デイリーフェイスモイスチャライザーは、強力な海洋性 + 植物性有効成分で肌を引き締め、滑らかにし、潤いを与えます。</v>
      </c>
    </row>
    <row r="30" ht="15.75" customHeight="1">
      <c r="A30" s="1">
        <v>4510.0</v>
      </c>
      <c r="B30" s="1" t="s">
        <v>6</v>
      </c>
      <c r="C30" s="1" t="s">
        <v>35</v>
      </c>
      <c r="D30" s="1" t="str">
        <f>IFERROR(__xludf.DUMMYFUNCTION("CONCATENATE(GOOGLETRANSLATE(C30, ""en"", ""zh-cn""))
"),"Sisley 黄瓜植物保湿霜，1.5 盎司罐装")</f>
        <v>Sisley 黄瓜植物保湿霜，1.5 盎司罐装</v>
      </c>
      <c r="E30" s="1" t="str">
        <f>IFERROR(__xludf.DUMMYFUNCTION("CONCATENATE(GOOGLETRANSLATE(C30, ""en"", ""ko""))"),"오이 함유 시슬리 보태니컬 모이스처라이저, 1.5온스 병")</f>
        <v>오이 함유 시슬리 보태니컬 모이스처라이저, 1.5온스 병</v>
      </c>
      <c r="F30" s="1" t="str">
        <f>IFERROR(__xludf.DUMMYFUNCTION("CONCATENATE(GOOGLETRANSLATE(C30, ""en"", ""ja""))"),"シスレー ボタニカル モイスチャライザー キュウリ入り 1.5オンス ジャー")</f>
        <v>シスレー ボタニカル モイスチャライザー キュウリ入り 1.5オンス ジャー</v>
      </c>
    </row>
    <row r="31" ht="15.75" customHeight="1">
      <c r="A31" s="1">
        <v>4553.0</v>
      </c>
      <c r="B31" s="1" t="s">
        <v>6</v>
      </c>
      <c r="C31" s="1" t="s">
        <v>36</v>
      </c>
      <c r="D31" s="1" t="str">
        <f>IFERROR(__xludf.DUMMYFUNCTION("CONCATENATE(GOOGLETRANSLATE(C31, ""en"", ""zh-cn""))
"),"DIME Beauty 紧致紧致精华液，1 片")</f>
        <v>DIME Beauty 紧致紧致精华液，1 片</v>
      </c>
      <c r="E31" s="1" t="str">
        <f>IFERROR(__xludf.DUMMYFUNCTION("CONCATENATE(GOOGLETRANSLATE(C31, ""en"", ""ko""))"),"피부 탄력 및 퍼밍을 위한 DIME 뷰티 슈퍼 펌 세럼, 1개")</f>
        <v>피부 탄력 및 퍼밍을 위한 DIME 뷰티 슈퍼 펌 세럼, 1개</v>
      </c>
      <c r="F31" s="1" t="str">
        <f>IFERROR(__xludf.DUMMYFUNCTION("CONCATENATE(GOOGLETRANSLATE(C31, ""en"", ""ja""))"),"DIME Beauty スーパーファームセラム 肌の引き締め・引き締め 1本")</f>
        <v>DIME Beauty スーパーファームセラム 肌の引き締め・引き締め 1本</v>
      </c>
    </row>
    <row r="32" ht="15.75" customHeight="1">
      <c r="A32" s="1">
        <v>4562.0</v>
      </c>
      <c r="B32" s="1" t="s">
        <v>6</v>
      </c>
      <c r="C32" s="1" t="s">
        <v>37</v>
      </c>
      <c r="D32" s="1" t="str">
        <f>IFERROR(__xludf.DUMMYFUNCTION("CONCATENATE(GOOGLETRANSLATE(C32, ""en"", ""zh-cn""))
"),"toyshi 隐藏摄像头探测器 - 隐藏设备探测器，错误探测器，反间谍探测器，GPS 跟踪器和监听设备干扰器，家庭办公汽车和旅行用隐藏摄像头探测器")</f>
        <v>toyshi 隐藏摄像头探测器 - 隐藏设备探测器，错误探测器，反间谍探测器，GPS 跟踪器和监听设备干扰器，家庭办公汽车和旅行用隐藏摄像头探测器</v>
      </c>
      <c r="E32" s="1" t="str">
        <f>IFERROR(__xludf.DUMMYFUNCTION("CONCATENATE(GOOGLETRANSLATE(C32, ""en"", ""ko""))"),"toyshi 숨겨진 카메라 탐지기 - 숨겨진 장치 탐지기, 버그 탐지기, 안티 스파이 탐지기, GPS 추적기 및 청취 장치 전파 방해기, 홈 오피스 자동차 및 여행용 숨겨진 카메라 탐지기")</f>
        <v>toyshi 숨겨진 카메라 탐지기 - 숨겨진 장치 탐지기, 버그 탐지기, 안티 스파이 탐지기, GPS 추적기 및 청취 장치 전파 방해기, 홈 오피스 자동차 및 여행용 숨겨진 카메라 탐지기</v>
      </c>
      <c r="F32" s="1" t="str">
        <f>IFERROR(__xludf.DUMMYFUNCTION("CONCATENATE(GOOGLETRANSLATE(C32, ""en"", ""ja""))"),"toyshi 隠しカメラ検出器 - 隠しデバイス検出器、盗聴器検出器、アンチスパイ検出器、GPS トラッカー &amp; 盗聴器ジャマー、ホームオフィス自動車および旅行用隠しカメラ検出器")</f>
        <v>toyshi 隠しカメラ検出器 - 隠しデバイス検出器、盗聴器検出器、アンチスパイ検出器、GPS トラッカー &amp; 盗聴器ジャマー、ホームオフィス自動車および旅行用隠しカメラ検出器</v>
      </c>
    </row>
    <row r="33" ht="15.75" customHeight="1">
      <c r="A33" s="1">
        <v>4671.0</v>
      </c>
      <c r="B33" s="1" t="s">
        <v>6</v>
      </c>
      <c r="C33" s="1" t="s">
        <v>38</v>
      </c>
      <c r="D33" s="1" t="str">
        <f>IFERROR(__xludf.DUMMYFUNCTION("CONCATENATE(GOOGLETRANSLATE(C33, ""en"", ""zh-cn""))
"),"60uP 家庭平衡板计划训练系统，适合老年人，恢复或保持平衡、力量、协调性和神经大脑连接")</f>
        <v>60uP 家庭平衡板计划训练系统，适合老年人，恢复或保持平衡、力量、协调性和神经大脑连接</v>
      </c>
      <c r="E33" s="1" t="str">
        <f>IFERROR(__xludf.DUMMYFUNCTION("CONCATENATE(GOOGLETRANSLATE(C33, ""en"", ""ko""))"),"노인을 위한 60uP 홈 밸런스 보드 프로그램 교육 시스템, 균형 회복 또는 유지, 힘, 정렬 및 신경 뇌 연결")</f>
        <v>노인을 위한 60uP 홈 밸런스 보드 프로그램 교육 시스템, 균형 회복 또는 유지, 힘, 정렬 및 신경 뇌 연결</v>
      </c>
      <c r="F33" s="1" t="str">
        <f>IFERROR(__xludf.DUMMYFUNCTION("CONCATENATE(GOOGLETRANSLATE(C33, ""en"", ""ja""))"),"60uP 高齢者向けホームバランスボードプログラムトレーニングシステム、バランス、筋力、調整、神経脳の接続を回復または維持")</f>
        <v>60uP 高齢者向けホームバランスボードプログラムトレーニングシステム、バランス、筋力、調整、神経脳の接続を回復または維持</v>
      </c>
    </row>
    <row r="34" ht="15.75" customHeight="1">
      <c r="A34" s="1">
        <v>4681.0</v>
      </c>
      <c r="B34" s="1" t="s">
        <v>6</v>
      </c>
      <c r="C34" s="1" t="s">
        <v>39</v>
      </c>
      <c r="D34" s="1" t="str">
        <f>IFERROR(__xludf.DUMMYFUNCTION("CONCATENATE(GOOGLETRANSLATE(C34, ""en"", ""zh-cn""))
"),"罗林斯| HEART OF THE HIDE 棒球手套 |轻量级 HYPERSHELL 和 SPEEDSHELL 型号 |多种风格")</f>
        <v>罗林斯| HEART OF THE HIDE 棒球手套 |轻量级 HYPERSHELL 和 SPEEDSHELL 型号 |多种风格</v>
      </c>
      <c r="E34" s="1" t="str">
        <f>IFERROR(__xludf.DUMMYFUNCTION("CONCATENATE(GOOGLETRANSLATE(C34, ""en"", ""ko""))"),"롤링스 | 숨은 야구 글러브의 심장 | 경량 HYPERSHELL 및 SPEEDSHELL 모델 | 다양한 스타일")</f>
        <v>롤링스 | 숨은 야구 글러브의 심장 | 경량 HYPERSHELL 및 SPEEDSHELL 모델 | 다양한 스타일</v>
      </c>
      <c r="F34" s="1" t="str">
        <f>IFERROR(__xludf.DUMMYFUNCTION("CONCATENATE(GOOGLETRANSLATE(C34, ""en"", ""ja""))"),"ローリングス | HEART OF THE HIDE 野球グローブ |軽量HYPERSHELL &amp; SPEEDSHELLモデル |複数のスタイル")</f>
        <v>ローリングス | HEART OF THE HIDE 野球グローブ |軽量HYPERSHELL &amp; SPEEDSHELLモデル |複数のスタイル</v>
      </c>
    </row>
    <row r="35" ht="15.75" customHeight="1">
      <c r="A35" s="1">
        <v>4685.0</v>
      </c>
      <c r="B35" s="1" t="s">
        <v>6</v>
      </c>
      <c r="C35" s="1" t="s">
        <v>40</v>
      </c>
      <c r="D35" s="1" t="str">
        <f>IFERROR(__xludf.DUMMYFUNCTION("CONCATENATE(GOOGLETRANSLATE(C35, ""en"", ""zh-cn""))
"),"Atotfusion 棉质厚轻桌凳靠背坐垫瑜伽椅垫适用于室内/室外家庭办公室花园装饰棉质坐垫 3 座长凳坐垫，150 x 50 x 8 厘米（灰色）")</f>
        <v>Atotfusion 棉质厚轻桌凳靠背坐垫瑜伽椅垫适用于室内/室外家庭办公室花园装饰棉质坐垫 3 座长凳坐垫，150 x 50 x 8 厘米（灰色）</v>
      </c>
      <c r="E35" s="1" t="str">
        <f>IFERROR(__xludf.DUMMYFUNCTION("CONCATENATE(GOOGLETRANSLATE(C35, ""en"", ""ko""))"),"Atootfusion 면 두꺼운 경량 테이블 의자 뒷좌석 쿠션 요가 의자 패드 실내/실외 홈 오피스 정원 장식 면 쿠션 3인용 벤치 쿠션, 150 x 50 x 8 cm(회색)")</f>
        <v>Atootfusion 면 두꺼운 경량 테이블 의자 뒷좌석 쿠션 요가 의자 패드 실내/실외 홈 오피스 정원 장식 면 쿠션 3인용 벤치 쿠션, 150 x 50 x 8 cm(회색)</v>
      </c>
      <c r="F35" s="1" t="str">
        <f>IFERROR(__xludf.DUMMYFUNCTION("CONCATENATE(GOOGLETRANSLATE(C35, ""en"", ""ja""))"),"Atootfusion コットン 厚手 軽量 テーブル スツール バックシートクッション ヨガチェアパッド 屋内/屋外 ホームオフィス ガーデン装飾 コットンクッション 3人掛けベンチクッション 150 x 50 x 8 cm (グレー)")</f>
        <v>Atootfusion コットン 厚手 軽量 テーブル スツール バックシートクッション ヨガチェアパッド 屋内/屋外 ホームオフィス ガーデン装飾 コットンクッション 3人掛けベンチクッション 150 x 50 x 8 cm (グレー)</v>
      </c>
    </row>
    <row r="36" ht="15.75" customHeight="1">
      <c r="A36" s="1">
        <v>4697.0</v>
      </c>
      <c r="B36" s="1" t="s">
        <v>6</v>
      </c>
      <c r="C36" s="1" t="s">
        <v>41</v>
      </c>
      <c r="D36" s="1" t="str">
        <f>IFERROR(__xludf.DUMMYFUNCTION("CONCATENATE(GOOGLETRANSLATE(C36, ""en"", ""zh-cn""))
"),"Coleman WeatherMaster 6 人帐篷（带屏幕室）")</f>
        <v>Coleman WeatherMaster 6 人帐篷（带屏幕室）</v>
      </c>
      <c r="E36" s="1" t="str">
        <f>IFERROR(__xludf.DUMMYFUNCTION("CONCATENATE(GOOGLETRANSLATE(C36, ""en"", ""ko""))"),"콜맨 웨더마스터 6인용 텐트(스크린룸 포함)")</f>
        <v>콜맨 웨더마스터 6인용 텐트(스크린룸 포함)</v>
      </c>
      <c r="F36" s="1" t="str">
        <f>IFERROR(__xludf.DUMMYFUNCTION("CONCATENATE(GOOGLETRANSLATE(C36, ""en"", ""ja""))"),"コールマン ウェザーマスター 6人用テント スクリーンルーム付き")</f>
        <v>コールマン ウェザーマスター 6人用テント スクリーンルーム付き</v>
      </c>
    </row>
    <row r="37" ht="15.75" customHeight="1">
      <c r="A37" s="1">
        <v>4712.0</v>
      </c>
      <c r="B37" s="1" t="s">
        <v>6</v>
      </c>
      <c r="C37" s="1" t="s">
        <v>42</v>
      </c>
      <c r="D37" s="1" t="str">
        <f>IFERROR(__xludf.DUMMYFUNCTION("CONCATENATE(GOOGLETRANSLATE(C37, ""en"", ""zh-cn""))
"),"Ravensburger Space Odyssey 5000 片成人拼图 - 16720 - 每一块都是独一无二的，Softclick 技术意味着各块完美地组合在一起")</f>
        <v>Ravensburger Space Odyssey 5000 片成人拼图 - 16720 - 每一块都是独一无二的，Softclick 技术意味着各块完美地组合在一起</v>
      </c>
      <c r="E37" s="1" t="str">
        <f>IFERROR(__xludf.DUMMYFUNCTION("CONCATENATE(GOOGLETRANSLATE(C37, ""en"", ""ko""))"),"Ravensburger Space Odyssey 성인용 5000피스 직소 퍼즐 - 16720 - 모든 조각은 독특하며 소프트클릭 기술로 조각이 완벽하게 들어맞습니다.")</f>
        <v>Ravensburger Space Odyssey 성인용 5000피스 직소 퍼즐 - 16720 - 모든 조각은 독특하며 소프트클릭 기술로 조각이 완벽하게 들어맞습니다.</v>
      </c>
      <c r="F37" s="1" t="str">
        <f>IFERROR(__xludf.DUMMYFUNCTION("CONCATENATE(GOOGLETRANSLATE(C37, ""en"", ""ja""))"),"Ravensburger 宇宙の旅 大人用 5000 ピース ジグソーパズル - 16720 - すべてのピースはユニークで、ソフトクリックテクノロジーによりピースが完璧にフィットします。")</f>
        <v>Ravensburger 宇宙の旅 大人用 5000 ピース ジグソーパズル - 16720 - すべてのピースはユニークで、ソフトクリックテクノロジーによりピースが完璧にフィットします。</v>
      </c>
    </row>
    <row r="38" ht="15.75" customHeight="1">
      <c r="A38" s="1">
        <v>4744.0</v>
      </c>
      <c r="B38" s="1" t="s">
        <v>6</v>
      </c>
      <c r="C38" s="1" t="s">
        <v>43</v>
      </c>
      <c r="D38" s="1" t="str">
        <f>IFERROR(__xludf.DUMMYFUNCTION("CONCATENATE(GOOGLETRANSLATE(C38, ""en"", ""zh-cn""))
"),"波克芬诺 GAN Megaminx M 3x3 速度魔方 Gan 五角形磁性无贴纸魔法拼图魔方玩具")</f>
        <v>波克芬诺 GAN Megaminx M 3x3 速度魔方 Gan 五角形磁性无贴纸魔法拼图魔方玩具</v>
      </c>
      <c r="E38" s="1" t="str">
        <f>IFERROR(__xludf.DUMMYFUNCTION("CONCATENATE(GOOGLETRANSLATE(C38, ""en"", ""ko""))"),"Bokefenuo GAN Megaminx M 3x3 스피드 큐브 Gan 오각형 자기 스티커가없는 매직 퍼즐 큐브 장난감")</f>
        <v>Bokefenuo GAN Megaminx M 3x3 스피드 큐브 Gan 오각형 자기 스티커가없는 매직 퍼즐 큐브 장난감</v>
      </c>
      <c r="F38" s="1" t="str">
        <f>IFERROR(__xludf.DUMMYFUNCTION("CONCATENATE(GOOGLETRANSLATE(C38, ""en"", ""ja""))"),"Bokefenuo GAN Megaminx M 3x3 スピード キューブ Gan 五角形磁気ステッカーレス マジック パズル キューブ おもちゃ")</f>
        <v>Bokefenuo GAN Megaminx M 3x3 スピード キューブ Gan 五角形磁気ステッカーレス マジック パズル キューブ おもちゃ</v>
      </c>
    </row>
    <row r="39" ht="15.75" customHeight="1">
      <c r="A39" s="1">
        <v>4763.0</v>
      </c>
      <c r="B39" s="1" t="s">
        <v>6</v>
      </c>
      <c r="C39" s="1" t="s">
        <v>44</v>
      </c>
      <c r="D39" s="1" t="str">
        <f>IFERROR(__xludf.DUMMYFUNCTION("CONCATENATE(GOOGLETRANSLATE(C39, ""en"", ""zh-cn""))
"),"Apple iPhone 14 Pro Max，256GB，深空黑色 - 解锁（续订）")</f>
        <v>Apple iPhone 14 Pro Max，256GB，深空黑色 - 解锁（续订）</v>
      </c>
      <c r="E39" s="1" t="str">
        <f>IFERROR(__xludf.DUMMYFUNCTION("CONCATENATE(GOOGLETRANSLATE(C39, ""en"", ""ko""))"),"Apple iPhone 14 Pro Max, 256GB, 스페이스 블랙 - 공기계(리뉴얼)")</f>
        <v>Apple iPhone 14 Pro Max, 256GB, 스페이스 블랙 - 공기계(리뉴얼)</v>
      </c>
      <c r="F39" s="1" t="str">
        <f>IFERROR(__xludf.DUMMYFUNCTION("CONCATENATE(GOOGLETRANSLATE(C39, ""en"", ""ja""))"),"Apple iPhone 14 Pro Max、256GB、スペース ブラック - ロック解除済み (更新済み)")</f>
        <v>Apple iPhone 14 Pro Max、256GB、スペース ブラック - ロック解除済み (更新済み)</v>
      </c>
    </row>
    <row r="40" ht="15.75" customHeight="1">
      <c r="A40" s="1">
        <v>4835.0</v>
      </c>
      <c r="B40" s="1" t="s">
        <v>6</v>
      </c>
      <c r="C40" s="1" t="s">
        <v>45</v>
      </c>
      <c r="D40" s="1" t="str">
        <f>IFERROR(__xludf.DUMMYFUNCTION("CONCATENATE(GOOGLETRANSLATE(C40, ""en"", ""zh-cn""))
"),"Apple 2023 款 MacBook Pro 笔记本电脑 M3 Pro 芯片，配备 12 核 CPU、18 核 GPU：16.2 英寸 Liquid Retina XDR 显示屏、18GB 统一内存、512GB SSD 存储。适用于 iPhone/iPad；深空黑")</f>
        <v>Apple 2023 款 MacBook Pro 笔记本电脑 M3 Pro 芯片，配备 12 核 CPU、18 核 GPU：16.2 英寸 Liquid Retina XDR 显示屏、18GB 统一内存、512GB SSD 存储。适用于 iPhone/iPad；深空黑</v>
      </c>
      <c r="E40" s="1" t="str">
        <f>IFERROR(__xludf.DUMMYFUNCTION("CONCATENATE(GOOGLETRANSLATE(C40, ""en"", ""ko""))"),"Apple 2023 MacBook Pro 노트북 M3 Pro 칩, 12코어 CPU, 18코어 GPU: 16.2인치 Liquid Retina XDR 디스플레이, 18GB 통합 메모리, 512GB SSD 스토리지. iPhone/iPad에서 작동합니다. 스페이스 블랙")</f>
        <v>Apple 2023 MacBook Pro 노트북 M3 Pro 칩, 12코어 CPU, 18코어 GPU: 16.2인치 Liquid Retina XDR 디스플레이, 18GB 통합 메모리, 512GB SSD 스토리지. iPhone/iPad에서 작동합니다. 스페이스 블랙</v>
      </c>
      <c r="F40" s="1" t="str">
        <f>IFERROR(__xludf.DUMMYFUNCTION("CONCATENATE(GOOGLETRANSLATE(C40, ""en"", ""ja""))"),"12 コア CPU、18 コア GPU を搭載した Apple 2023 MacBook Pro ラップトップ M3 Pro チップ: 16.2 インチ Liquid Retina XDR ディスプレイ、18 GB ユニファイド メモリ、512 GB SSD ストレージ。 iPhone/iPad で動作します。スペースブラック")</f>
        <v>12 コア CPU、18 コア GPU を搭載した Apple 2023 MacBook Pro ラップトップ M3 Pro チップ: 16.2 インチ Liquid Retina XDR ディスプレイ、18 GB ユニファイド メモリ、512 GB SSD ストレージ。 iPhone/iPad で動作します。スペースブラック</v>
      </c>
    </row>
    <row r="41" ht="15.75" customHeight="1">
      <c r="A41" s="1">
        <v>4836.0</v>
      </c>
      <c r="B41" s="1" t="s">
        <v>6</v>
      </c>
      <c r="C41" s="1" t="s">
        <v>46</v>
      </c>
      <c r="D41" s="1" t="str">
        <f>IFERROR(__xludf.DUMMYFUNCTION("CONCATENATE(GOOGLETRANSLATE(C41, ""en"", ""zh-cn""))
"),"Apple 2023 MacBook Pro 笔记本电脑 M3 Pro 芯片，配备 12 核 CPU、18 核 GPU：16.2 英寸 Liquid Retina XDR 显示屏、36GB 统一内存、512GB SSD 存储。适用于 iPhone/iPad；银")</f>
        <v>Apple 2023 MacBook Pro 笔记本电脑 M3 Pro 芯片，配备 12 核 CPU、18 核 GPU：16.2 英寸 Liquid Retina XDR 显示屏、36GB 统一内存、512GB SSD 存储。适用于 iPhone/iPad；银</v>
      </c>
      <c r="E41" s="1" t="str">
        <f>IFERROR(__xludf.DUMMYFUNCTION("CONCATENATE(GOOGLETRANSLATE(C41, ""en"", ""ko""))"),"Apple 2023 MacBook Pro 노트북 M3 Pro 칩, 12코어 CPU, 18코어 GPU: 16.2인치 Liquid Retina XDR 디스플레이, 36GB 통합 메모리, 512GB SSD 스토리지. iPhone/iPad에서 작동합니다. 은")</f>
        <v>Apple 2023 MacBook Pro 노트북 M3 Pro 칩, 12코어 CPU, 18코어 GPU: 16.2인치 Liquid Retina XDR 디스플레이, 36GB 통합 메모리, 512GB SSD 스토리지. iPhone/iPad에서 작동합니다. 은</v>
      </c>
      <c r="F41" s="1" t="str">
        <f>IFERROR(__xludf.DUMMYFUNCTION("CONCATENATE(GOOGLETRANSLATE(C41, ""en"", ""ja""))"),"12 コア CPU、18 コア GPU を搭載した Apple 2023 MacBook Pro ラップトップ M3 Pro チップ: 16.2 インチ Liquid Retina XDR ディスプレイ、36 GB ユニファイド メモリ、512 GB SSD ストレージ。 iPhone/iPad で動作します。銀")</f>
        <v>12 コア CPU、18 コア GPU を搭載した Apple 2023 MacBook Pro ラップトップ M3 Pro チップ: 16.2 インチ Liquid Retina XDR ディスプレイ、36 GB ユニファイド メモリ、512 GB SSD ストレージ。 iPhone/iPad で動作します。銀</v>
      </c>
    </row>
    <row r="42" ht="15.75" customHeight="1">
      <c r="A42" s="1">
        <v>4841.0</v>
      </c>
      <c r="B42" s="1" t="s">
        <v>6</v>
      </c>
      <c r="C42" s="1" t="s">
        <v>47</v>
      </c>
      <c r="D42" s="1" t="str">
        <f>IFERROR(__xludf.DUMMYFUNCTION("CONCATENATE(GOOGLETRANSLATE(C42, ""en"", ""zh-cn""))
"),"戴尔 Alienware X16 游戏笔记本电脑 (2023) | 16 英寸 FHD+ | 酷睿 i9-2TB SSD - 32GB RAM | 14 核 @ 5.4 GHz - 第 13 代 CPU Win 11 Home（更新）")</f>
        <v>戴尔 Alienware X16 游戏笔记本电脑 (2023) | 16 英寸 FHD+ | 酷睿 i9-2TB SSD - 32GB RAM | 14 核 @ 5.4 GHz - 第 13 代 CPU Win 11 Home（更新）</v>
      </c>
      <c r="E42" s="1" t="str">
        <f>IFERROR(__xludf.DUMMYFUNCTION("CONCATENATE(GOOGLETRANSLATE(C42, ""en"", ""ko""))"),"Dell Alienware X16 게임용 노트북(2023) | 16인치 FHD+ | Core i9-2TB SSD - 32GB RAM | 14코어 @ 5.4GHz - 13세대 CPU Win 11 Home(리뉴얼)")</f>
        <v>Dell Alienware X16 게임용 노트북(2023) | 16인치 FHD+ | Core i9-2TB SSD - 32GB RAM | 14코어 @ 5.4GHz - 13세대 CPU Win 11 Home(리뉴얼)</v>
      </c>
      <c r="F42" s="1" t="str">
        <f>IFERROR(__xludf.DUMMYFUNCTION("CONCATENATE(GOOGLETRANSLATE(C42, ""en"", ""ja""))"),"Dell Alienware X16 ゲーミング ラップトップ (2023) | 16 インチ FHD+ | Core i9-2TB SSD - 32GB RAM | 14 コア @ 5.4 GHz - 第 13 世代 CPU Win 11 Home (リニューアル)")</f>
        <v>Dell Alienware X16 ゲーミング ラップトップ (2023) | 16 インチ FHD+ | Core i9-2TB SSD - 32GB RAM | 14 コア @ 5.4 GHz - 第 13 世代 CPU Win 11 Home (リニューアル)</v>
      </c>
    </row>
    <row r="43" ht="15.75" customHeight="1">
      <c r="A43" s="1">
        <v>4842.0</v>
      </c>
      <c r="B43" s="1" t="s">
        <v>6</v>
      </c>
      <c r="C43" s="1" t="s">
        <v>48</v>
      </c>
      <c r="D43" s="1" t="str">
        <f>IFERROR(__xludf.DUMMYFUNCTION("CONCATENATE(GOOGLETRANSLATE(C43, ""en"", ""zh-cn""))
"),"MSI WF66 11UJ-267 工作站笔记本电脑（Intel i7-11800H 8 核、64GB RAM、512GB PCIe SSD + 2TB HDD、RTX A2000、15.6 英寸全高清 (1920x1080)、WiFi、蓝牙、网络摄像头、Win 10 Pro）带战利品盒")</f>
        <v>MSI WF66 11UJ-267 工作站笔记本电脑（Intel i7-11800H 8 核、64GB RAM、512GB PCIe SSD + 2TB HDD、RTX A2000、15.6 英寸全高清 (1920x1080)、WiFi、蓝牙、网络摄像头、Win 10 Pro）带战利品盒</v>
      </c>
      <c r="E43" s="1" t="str">
        <f>IFERROR(__xludf.DUMMYFUNCTION("CONCATENATE(GOOGLETRANSLATE(C43, ""en"", ""ko""))"),"MSI WF66 11UJ-267 워크스테이션 노트북(인텔 i7-11800H 8코어, 64GB RAM, 512GB PCIe SSD + 2TB HDD, RTX A2000, 15.6인치 풀 HD(1920x1080), WiFi, 블루투스, 웹캠, Win 10 Pro) 및 전리품 상자")</f>
        <v>MSI WF66 11UJ-267 워크스테이션 노트북(인텔 i7-11800H 8코어, 64GB RAM, 512GB PCIe SSD + 2TB HDD, RTX A2000, 15.6인치 풀 HD(1920x1080), WiFi, 블루투스, 웹캠, Win 10 Pro) 및 전리품 상자</v>
      </c>
      <c r="F43" s="1" t="str">
        <f>IFERROR(__xludf.DUMMYFUNCTION("CONCATENATE(GOOGLETRANSLATE(C43, ""en"", ""ja""))"),"MSI WF66 11UJ-267 ワークステーション ラップトップ (Intel i7-11800H 8 コア、64GB RAM、512GB PCIe SSD + 2TB HDD、RTX A2000、15.6 インチ フル HD (1920x1080)、WiFi、Bluetooth、ウェブカメラ、Win 10 Pro) ルート ボックス付き")</f>
        <v>MSI WF66 11UJ-267 ワークステーション ラップトップ (Intel i7-11800H 8 コア、64GB RAM、512GB PCIe SSD + 2TB HDD、RTX A2000、15.6 インチ フル HD (1920x1080)、WiFi、Bluetooth、ウェブカメラ、Win 10 Pro) ルート ボックス付き</v>
      </c>
    </row>
    <row r="44" ht="15.75" customHeight="1">
      <c r="A44" s="1">
        <v>4846.0</v>
      </c>
      <c r="B44" s="1" t="s">
        <v>6</v>
      </c>
      <c r="C44" s="1" t="s">
        <v>49</v>
      </c>
      <c r="D44" s="1" t="str">
        <f>IFERROR(__xludf.DUMMYFUNCTION("CONCATENATE(GOOGLETRANSLATE(C44, ""en"", ""zh-cn""))
"),"戴尔 Precision 7000 7760 工作站笔记本电脑 (2021) | 17.3 英寸 FHD | Core Xeon W - 2TB SSD + 2TB SSD - 128GB RAM - RTX A4000 | 8 核 @ 5 GHz - 第 11 代 CPU - 8GB GDDR6 Win 10 Pro（更新版）")</f>
        <v>戴尔 Precision 7000 7760 工作站笔记本电脑 (2021) | 17.3 英寸 FHD | Core Xeon W - 2TB SSD + 2TB SSD - 128GB RAM - RTX A4000 | 8 核 @ 5 GHz - 第 11 代 CPU - 8GB GDDR6 Win 10 Pro（更新版）</v>
      </c>
      <c r="E44" s="1" t="str">
        <f>IFERROR(__xludf.DUMMYFUNCTION("CONCATENATE(GOOGLETRANSLATE(C44, ""en"", ""ko""))"),"Dell Precision 7000 7760 워크스테이션 노트북(2021) | 17.3인치 FHD | Core Xeon W - 2TB SSD + 2TB SSD - 128GB RAM - RTX A4000 | 8코어 @ 5GHz - 11세대 CPU - 8GB GDDR6 Win 10 Pro(리뉴얼)")</f>
        <v>Dell Precision 7000 7760 워크스테이션 노트북(2021) | 17.3인치 FHD | Core Xeon W - 2TB SSD + 2TB SSD - 128GB RAM - RTX A4000 | 8코어 @ 5GHz - 11세대 CPU - 8GB GDDR6 Win 10 Pro(리뉴얼)</v>
      </c>
      <c r="F44" s="1" t="str">
        <f>IFERROR(__xludf.DUMMYFUNCTION("CONCATENATE(GOOGLETRANSLATE(C44, ""en"", ""ja""))"),"Dell Precision 7000 7760 ワークステーション ラップトップ (2021) | 17.3 インチ FHD | Core Xeon W - 2TB SSD + 2TB SSD - 128GB RAM - RTX A4000 | 8 コア @ 5 GHz - 第 11 世代 CPU - 8GB GDDR6 Win 10 Pro (リニューアル)")</f>
        <v>Dell Precision 7000 7760 ワークステーション ラップトップ (2021) | 17.3 インチ FHD | Core Xeon W - 2TB SSD + 2TB SSD - 128GB RAM - RTX A4000 | 8 コア @ 5 GHz - 第 11 世代 CPU - 8GB GDDR6 Win 10 Pro (リニューアル)</v>
      </c>
    </row>
    <row r="45" ht="15.75" customHeight="1">
      <c r="A45" s="1">
        <v>5051.0</v>
      </c>
      <c r="B45" s="1" t="s">
        <v>6</v>
      </c>
      <c r="C45" s="1" t="s">
        <v>50</v>
      </c>
      <c r="D45" s="1" t="str">
        <f>IFERROR(__xludf.DUMMYFUNCTION("CONCATENATE(GOOGLETRANSLATE(C45, ""en"", ""zh-cn""))
"),"CuberShop GAN 13 MagLev UV 涂层， GAN 13 M 2022 3x3 磁力速度魔方旗舰无贴纸， GAN 3x3 速度魔方（GAN13 MagLev 速度魔方，UV 涂层光泽表面和主要内部）")</f>
        <v>CuberShop GAN 13 MagLev UV 涂层， GAN 13 M 2022 3x3 磁力速度魔方旗舰无贴纸， GAN 3x3 速度魔方（GAN13 MagLev 速度魔方，UV 涂层光泽表面和主要内部）</v>
      </c>
      <c r="E45" s="1" t="str">
        <f>IFERROR(__xludf.DUMMYFUNCTION("CONCATENATE(GOOGLETRANSLATE(C45, ""en"", ""ko""))"),"CuberShop GAN 13 MagLev UV 코팅, GAN 13 M 2022 3x3 자기 속도 큐브 플래그십 스티커 없음, GAN 3x3 속도 큐브(GAN13 자기 부상 속도 큐브, UV 코팅 광택 표면 및 기본 내부)")</f>
        <v>CuberShop GAN 13 MagLev UV 코팅, GAN 13 M 2022 3x3 자기 속도 큐브 플래그십 스티커 없음, GAN 3x3 속도 큐브(GAN13 자기 부상 속도 큐브, UV 코팅 광택 표면 및 기본 내부)</v>
      </c>
      <c r="F45" s="1" t="str">
        <f>IFERROR(__xludf.DUMMYFUNCTION("CONCATENATE(GOOGLETRANSLATE(C45, ""en"", ""ja""))"),"CuberShop GAN 13 MagLev UV コーティング、GAN 13 M 2022 3x3 磁気スピード キューブ フラッグシップ ステッカーレス、GAN 3x3 スピード キューブ (GAN13 MagLev スピード キューブ、UV コーティングされた光沢のある表面 &amp; プライマリ内部)")</f>
        <v>CuberShop GAN 13 MagLev UV コーティング、GAN 13 M 2022 3x3 磁気スピード キューブ フラッグシップ ステッカーレス、GAN 3x3 スピード キューブ (GAN13 MagLev スピード キューブ、UV コーティングされた光沢のある表面 &amp; プライマリ内部)</v>
      </c>
    </row>
    <row r="46" ht="15.75" customHeight="1">
      <c r="A46" s="1">
        <v>5065.0</v>
      </c>
      <c r="B46" s="1" t="s">
        <v>51</v>
      </c>
      <c r="C46" s="1" t="s">
        <v>52</v>
      </c>
      <c r="D46" s="1" t="str">
        <f>IFERROR(__xludf.DUMMYFUNCTION("CONCATENATE(GOOGLETRANSLATE(C46, ""en"", ""zh-cn""))
"),"男士纯色无领休闲长袖西装外套")</f>
        <v>男士纯色无领休闲长袖西装外套</v>
      </c>
      <c r="E46" s="1" t="str">
        <f>IFERROR(__xludf.DUMMYFUNCTION("CONCATENATE(GOOGLETRANSLATE(C46, ""en"", ""ko""))"),"남성용 솔리드 노칼라 캐주얼 긴소매 블레이저")</f>
        <v>남성용 솔리드 노칼라 캐주얼 긴소매 블레이저</v>
      </c>
      <c r="F46" s="1" t="str">
        <f>IFERROR(__xludf.DUMMYFUNCTION("CONCATENATE(GOOGLETRANSLATE(C46, ""en"", ""ja""))"),"メンズソリッドノーカラーカジュアル長袖ブレザー")</f>
        <v>メンズソリッドノーカラーカジュアル長袖ブレザー</v>
      </c>
    </row>
    <row r="47" ht="15.75" customHeight="1">
      <c r="A47" s="1">
        <v>5094.0</v>
      </c>
      <c r="B47" s="1" t="s">
        <v>51</v>
      </c>
      <c r="C47" s="1" t="s">
        <v>53</v>
      </c>
      <c r="D47" s="1" t="str">
        <f>IFERROR(__xludf.DUMMYFUNCTION("CONCATENATE(GOOGLETRANSLATE(C47, ""en"", ""zh-cn""))
"),"女式圆点印花拼布短袖假日波西米亚长连衣裙")</f>
        <v>女式圆点印花拼布短袖假日波西米亚长连衣裙</v>
      </c>
      <c r="E47" s="1" t="str">
        <f>IFERROR(__xludf.DUMMYFUNCTION("CONCATENATE(GOOGLETRANSLATE(C47, ""en"", ""ko""))"),"여성을 위한 폴카 도트 인쇄 패치워크 짧은 소매 휴일 보헤미아 맥시 드레스")</f>
        <v>여성을 위한 폴카 도트 인쇄 패치워크 짧은 소매 휴일 보헤미아 맥시 드레스</v>
      </c>
      <c r="F47" s="1" t="str">
        <f>IFERROR(__xludf.DUMMYFUNCTION("CONCATENATE(GOOGLETRANSLATE(C47, ""en"", ""ja""))"),"女性のための水玉プリント パッチワーク半袖ホリデー ボヘミア マキシ ドレス")</f>
        <v>女性のための水玉プリント パッチワーク半袖ホリデー ボヘミア マキシ ドレス</v>
      </c>
    </row>
    <row r="48" ht="15.75" customHeight="1">
      <c r="A48" s="1">
        <v>5191.0</v>
      </c>
      <c r="B48" s="1" t="s">
        <v>51</v>
      </c>
      <c r="C48" s="1" t="s">
        <v>54</v>
      </c>
      <c r="D48" s="1" t="str">
        <f>IFERROR(__xludf.DUMMYFUNCTION("CONCATENATE(GOOGLETRANSLATE(C48, ""en"", ""zh-cn""))
"),"男式佩斯利围巾日式印花开襟和服两件套")</f>
        <v>男式佩斯利围巾日式印花开襟和服两件套</v>
      </c>
      <c r="E48" s="1" t="str">
        <f>IFERROR(__xludf.DUMMYFUNCTION("CONCATENATE(GOOGLETRANSLATE(C48, ""en"", ""ko""))"),"남성 페이즐리 스카프 일본식 프린트 오픈 프론트 기모노 2피스 수트")</f>
        <v>남성 페이즐리 스카프 일본식 프린트 오픈 프론트 기모노 2피스 수트</v>
      </c>
      <c r="F48" s="1" t="str">
        <f>IFERROR(__xludf.DUMMYFUNCTION("CONCATENATE(GOOGLETRANSLATE(C48, ""en"", ""ja""))"),"メンズペイズリースカーフ日本のプリントオープンフロント着物ツーピーススーツ")</f>
        <v>メンズペイズリースカーフ日本のプリントオープンフロント着物ツーピーススーツ</v>
      </c>
    </row>
    <row r="49" ht="15.75" customHeight="1">
      <c r="A49" s="1">
        <v>5192.0</v>
      </c>
      <c r="B49" s="1" t="s">
        <v>51</v>
      </c>
      <c r="C49" s="1" t="s">
        <v>55</v>
      </c>
      <c r="D49" s="1" t="str">
        <f>IFERROR(__xludf.DUMMYFUNCTION("CONCATENATE(GOOGLETRANSLATE(C49, ""en"", ""zh-cn""))
"),"男式拼色刺绣前拉链灯芯绒夹克")</f>
        <v>男式拼色刺绣前拉链灯芯绒夹克</v>
      </c>
      <c r="E49" s="1" t="str">
        <f>IFERROR(__xludf.DUMMYFUNCTION("CONCATENATE(GOOGLETRANSLATE(C49, ""en"", ""ko""))"),"남성용 컬러 블록 패치워크 자수 지퍼 프론트 코듀로이 재킷")</f>
        <v>남성용 컬러 블록 패치워크 자수 지퍼 프론트 코듀로이 재킷</v>
      </c>
      <c r="F49" s="1" t="str">
        <f>IFERROR(__xludf.DUMMYFUNCTION("CONCATENATE(GOOGLETRANSLATE(C49, ""en"", ""ja""))"),"メンズ カラーブロック パッチワーク 刺繍 ジップ フロント コーデュロイ ジャケット")</f>
        <v>メンズ カラーブロック パッチワーク 刺繍 ジップ フロント コーデュロイ ジャケット</v>
      </c>
    </row>
    <row r="50" ht="15.75" customHeight="1">
      <c r="A50" s="1">
        <v>5229.0</v>
      </c>
      <c r="B50" s="1" t="s">
        <v>6</v>
      </c>
      <c r="C50" s="1" t="s">
        <v>56</v>
      </c>
      <c r="D50" s="1" t="str">
        <f>IFERROR(__xludf.DUMMYFUNCTION("CONCATENATE(GOOGLETRANSLATE(C50, ""en"", ""zh-cn""))
"),"ACME FURNITURE Saul 组合沙发带电动躺椅，浓咖啡皮革-Aire")</f>
        <v>ACME FURNITURE Saul 组合沙发带电动躺椅，浓咖啡皮革-Aire</v>
      </c>
      <c r="E50" s="1" t="str">
        <f>IFERROR(__xludf.DUMMYFUNCTION("CONCATENATE(GOOGLETRANSLATE(C50, ""en"", ""ko""))"),"ACME FURNITURE 파워 리클라이너를 갖춘 Saul 단면 소파, Espresso Leather-Aire")</f>
        <v>ACME FURNITURE 파워 리클라이너를 갖춘 Saul 단면 소파, Espresso Leather-Aire</v>
      </c>
      <c r="F50" s="1" t="str">
        <f>IFERROR(__xludf.DUMMYFUNCTION("CONCATENATE(GOOGLETRANSLATE(C50, ""en"", ""ja""))"),"ACME FURNITURE ソール セクショナルソファ 電動リクライニングチェア付き エスプレッソ レザーエア")</f>
        <v>ACME FURNITURE ソール セクショナルソファ 電動リクライニングチェア付き エスプレッソ レザーエア</v>
      </c>
    </row>
    <row r="51" ht="15.75" customHeight="1">
      <c r="A51" s="1">
        <v>5282.0</v>
      </c>
      <c r="B51" s="1" t="s">
        <v>51</v>
      </c>
      <c r="C51" s="1" t="s">
        <v>57</v>
      </c>
      <c r="D51" s="1" t="str">
        <f>IFERROR(__xludf.DUMMYFUNCTION("CONCATENATE(GOOGLETRANSLATE(C51, ""en"", ""zh-cn""))
"),"男士椰子树日式印花夏威夷度假短袖 T 恤")</f>
        <v>男士椰子树日式印花夏威夷度假短袖 T 恤</v>
      </c>
      <c r="E51" s="1" t="str">
        <f>IFERROR(__xludf.DUMMYFUNCTION("CONCATENATE(GOOGLETRANSLATE(C51, ""en"", ""ko""))"),"남성용 코코넛 나무 일본식 프린트 하와이 휴가 반팔 티셔츠")</f>
        <v>남성용 코코넛 나무 일본식 프린트 하와이 휴가 반팔 티셔츠</v>
      </c>
      <c r="F51" s="1" t="str">
        <f>IFERROR(__xludf.DUMMYFUNCTION("CONCATENATE(GOOGLETRANSLATE(C51, ""en"", ""ja""))"),"メンズ ココナッツ ツリー 日本語プリント ハワイアン バケーション 半袖 T シャツ")</f>
        <v>メンズ ココナッツ ツリー 日本語プリント ハワイアン バケーション 半袖 T シャツ</v>
      </c>
    </row>
    <row r="52" ht="15.75" customHeight="1">
      <c r="A52" s="1">
        <v>5291.0</v>
      </c>
      <c r="B52" s="1" t="s">
        <v>6</v>
      </c>
      <c r="C52" s="1" t="s">
        <v>58</v>
      </c>
      <c r="D52" s="1" t="str">
        <f>IFERROR(__xludf.DUMMYFUNCTION("CONCATENATE(GOOGLETRANSLATE(C52, ""en"", ""zh-cn""))
"),"GAN 13 磁悬浮磨砂涂层，磁性速度魔方 3x3 无贴纸 56 毫米磁铁魔方拼图玩具，GAN 2022 旗舰")</f>
        <v>GAN 13 磁悬浮磨砂涂层，磁性速度魔方 3x3 无贴纸 56 毫米磁铁魔方拼图玩具，GAN 2022 旗舰</v>
      </c>
      <c r="E52" s="1" t="str">
        <f>IFERROR(__xludf.DUMMYFUNCTION("CONCATENATE(GOOGLETRANSLATE(C52, ""en"", ""ko""))"),"GAN 13 자기 부상 프로스트 코팅, 자기 속도 큐브 3x3 스티커 없는 56mm 자석 매직 큐브 퍼즐 장난감, GAN 2022 플래그십")</f>
        <v>GAN 13 자기 부상 프로스트 코팅, 자기 속도 큐브 3x3 스티커 없는 56mm 자석 매직 큐브 퍼즐 장난감, GAN 2022 플래그십</v>
      </c>
      <c r="F52" s="1" t="str">
        <f>IFERROR(__xludf.DUMMYFUNCTION("CONCATENATE(GOOGLETRANSLATE(C52, ""en"", ""ja""))"),"GAN 13 リニアモーターカー フロストコーティング、磁気スピードキューブ 3x3 ステッカーレス 56mm マグネット マジックキューブ パズルおもちゃ、GAN 2022 フラッグシップ")</f>
        <v>GAN 13 リニアモーターカー フロストコーティング、磁気スピードキューブ 3x3 ステッカーレス 56mm マグネット マジックキューブ パズルおもちゃ、GAN 2022 フラッグシップ</v>
      </c>
    </row>
    <row r="53" ht="15.75" customHeight="1">
      <c r="A53" s="1">
        <v>5307.0</v>
      </c>
      <c r="B53" s="1" t="s">
        <v>6</v>
      </c>
      <c r="C53" s="1" t="s">
        <v>59</v>
      </c>
      <c r="D53" s="1" t="str">
        <f>IFERROR(__xludf.DUMMYFUNCTION("CONCATENATE(GOOGLETRANSLATE(C53, ""en"", ""zh-cn""))
"),"Sidi 男士 Ergo 5 Carbon Scape 骑行鞋")</f>
        <v>Sidi 男士 Ergo 5 Carbon Scape 骑行鞋</v>
      </c>
      <c r="E53" s="1" t="str">
        <f>IFERROR(__xludf.DUMMYFUNCTION("CONCATENATE(GOOGLETRANSLATE(C53, ""en"", ""ko""))"),"Sidi 남성용 Ergo 5 카본 스케이프 사이클링")</f>
        <v>Sidi 남성용 Ergo 5 카본 스케이프 사이클링</v>
      </c>
      <c r="F53" s="1" t="str">
        <f>IFERROR(__xludf.DUMMYFUNCTION("CONCATENATE(GOOGLETRANSLATE(C53, ""en"", ""ja""))"),"シディ メンズ エルゴ 5 カーボン スケープ サイクリング")</f>
        <v>シディ メンズ エルゴ 5 カーボン スケープ サイクリング</v>
      </c>
    </row>
    <row r="54" ht="15.75" customHeight="1">
      <c r="A54" s="1">
        <v>5330.0</v>
      </c>
      <c r="B54" s="1" t="s">
        <v>6</v>
      </c>
      <c r="C54" s="1" t="s">
        <v>60</v>
      </c>
      <c r="D54" s="1" t="str">
        <f>IFERROR(__xludf.DUMMYFUNCTION("CONCATENATE(GOOGLETRANSLATE(C54, ""en"", ""zh-cn""))
"),"Apple 2022 iPad Air（10.9 英寸，Wi-Fi + 蜂窝网络，64GB）- 蓝色（第 5 代）")</f>
        <v>Apple 2022 iPad Air（10.9 英寸，Wi-Fi + 蜂窝网络，64GB）- 蓝色（第 5 代）</v>
      </c>
      <c r="E54" s="1" t="str">
        <f>IFERROR(__xludf.DUMMYFUNCTION("CONCATENATE(GOOGLETRANSLATE(C54, ""en"", ""ko""))"),"Apple 2022 아이패드 에어(10.9인치, Wi-Fi + Cellular, 64GB) - 블루(5세대)")</f>
        <v>Apple 2022 아이패드 에어(10.9인치, Wi-Fi + Cellular, 64GB) - 블루(5세대)</v>
      </c>
      <c r="F54" s="1" t="str">
        <f>IFERROR(__xludf.DUMMYFUNCTION("CONCATENATE(GOOGLETRANSLATE(C54, ""en"", ""ja""))"),"Apple 2022 iPad Air (10.9 インチ、Wi-Fi + Cellular、64GB) - ブルー (第 5 世代)")</f>
        <v>Apple 2022 iPad Air (10.9 インチ、Wi-Fi + Cellular、64GB) - ブルー (第 5 世代)</v>
      </c>
    </row>
    <row r="55" ht="15.75" customHeight="1">
      <c r="A55" s="1">
        <v>5370.0</v>
      </c>
      <c r="B55" s="1" t="s">
        <v>6</v>
      </c>
      <c r="C55" s="1" t="s">
        <v>61</v>
      </c>
      <c r="D55" s="1" t="str">
        <f>IFERROR(__xludf.DUMMYFUNCTION("CONCATENATE(GOOGLETRANSLATE(C55, ""en"", ""zh-cn""))
"),"GAN 机器人，魔方解谜机自动解谜器和解谜器，兼容 GAN 356i2 i3 iplay iCarry Speed Cubes（不含魔方）和最新版本 APP")</f>
        <v>GAN 机器人，魔方解谜机自动解谜器和解谜器，兼容 GAN 356i2 i3 iplay iCarry Speed Cubes（不含魔方）和最新版本 APP</v>
      </c>
      <c r="E55" s="1" t="str">
        <f>IFERROR(__xludf.DUMMYFUNCTION("CONCATENATE(GOOGLETRANSLATE(C55, ""en"", ""ko""))"),"GAN 로봇, 큐브 ​​해결 기계 자동 퍼즐 스크램블러 및 솔버, GAN 356i2 i3 iplay iCarry 스피드 큐브(큐브는 포함되지 않음) 및 최신 버전 앱과 호환 가능")</f>
        <v>GAN 로봇, 큐브 ​​해결 기계 자동 퍼즐 스크램블러 및 솔버, GAN 356i2 i3 iplay iCarry 스피드 큐브(큐브는 포함되지 않음) 및 최신 버전 앱과 호환 가능</v>
      </c>
      <c r="F55" s="1" t="str">
        <f>IFERROR(__xludf.DUMMYFUNCTION("CONCATENATE(GOOGLETRANSLATE(C55, ""en"", ""ja""))"),"GAN ロボット、キューブ解決マシン自動パズル スクランブラー &amp; ソルバー、GAN 356i2 i3 iplay iCarry Speed Cubes と互換性あり (キューブは含まれません) &amp; 最新バージョンのアプリ付き")</f>
        <v>GAN ロボット、キューブ解決マシン自動パズル スクランブラー &amp; ソルバー、GAN 356i2 i3 iplay iCarry Speed Cubes と互換性あり (キューブは含まれません) &amp; 最新バージョンのアプリ付き</v>
      </c>
    </row>
    <row r="56" ht="15.75" customHeight="1">
      <c r="A56" s="1">
        <v>5380.0</v>
      </c>
      <c r="B56" s="1" t="s">
        <v>6</v>
      </c>
      <c r="C56" s="1" t="s">
        <v>62</v>
      </c>
      <c r="D56" s="1" t="str">
        <f>IFERROR(__xludf.DUMMYFUNCTION("CONCATENATE(GOOGLETRANSLATE(C56, ""en"", ""zh-cn""))
"),"ALL4JIG 1500 件便携式带腿拼图桌，可调节拼图板，带 4 个抽屉和盖子，3 倾斜角度成人拼图桌")</f>
        <v>ALL4JIG 1500 件便携式带腿拼图桌，可调节拼图板，带 4 个抽屉和盖子，3 倾斜角度成人拼图桌</v>
      </c>
      <c r="E56" s="1" t="str">
        <f>IFERROR(__xludf.DUMMYFUNCTION("CONCATENATE(GOOGLETRANSLATE(C56, ""en"", ""ko""))"),"ALL4JIG 1500PCS 다리가 있는 휴대용 퍼즐 테이블, 4개의 서랍과 커버가 있는 조정 가능한 직소 퍼즐 보드, 성인을 위한 3-틸팅 각도 직소 퍼즐 테이블")</f>
        <v>ALL4JIG 1500PCS 다리가 있는 휴대용 퍼즐 테이블, 4개의 서랍과 커버가 있는 조정 가능한 직소 퍼즐 보드, 성인을 위한 3-틸팅 각도 직소 퍼즐 테이블</v>
      </c>
      <c r="F56" s="1" t="str">
        <f>IFERROR(__xludf.DUMMYFUNCTION("CONCATENATE(GOOGLETRANSLATE(C56, ""en"", ""ja""))"),"ALL4JIG 1500PCS 脚付きポータブルパズルテーブル、引き出し4つとカバー付き調節可能なジグソーパズルボード、大人用3傾斜角度ジグソーパズルテーブル")</f>
        <v>ALL4JIG 1500PCS 脚付きポータブルパズルテーブル、引き出し4つとカバー付き調節可能なジグソーパズルボード、大人用3傾斜角度ジグソーパズルテーブル</v>
      </c>
    </row>
    <row r="57" ht="15.75" customHeight="1">
      <c r="A57" s="1">
        <v>5381.0</v>
      </c>
      <c r="B57" s="1" t="s">
        <v>6</v>
      </c>
      <c r="C57" s="1" t="s">
        <v>63</v>
      </c>
      <c r="D57" s="1" t="str">
        <f>IFERROR(__xludf.DUMMYFUNCTION("CONCATENATE(GOOGLETRANSLATE(C57, ""en"", ""zh-cn""))
"),"带盖拼图板，大型倾斜 1500 块拼图桌，ENGRTALENT 35 英寸 x 26 英寸带抽屉便携式拼图桌，带彩色拼图分类托盘、指南、毛毡板和手柄。")</f>
        <v>带盖拼图板，大型倾斜 1500 块拼图桌，ENGRTALENT 35 英寸 x 26 英寸带抽屉便携式拼图桌，带彩色拼图分类托盘、指南、毛毡板和手柄。</v>
      </c>
      <c r="E57" s="1" t="str">
        <f>IFERROR(__xludf.DUMMYFUNCTION("CONCATENATE(GOOGLETRANSLATE(C57, ""en"", ""ko""))"),"덮개가 있는 퍼즐 보드, 대형 기울어진 1500피스 직소 퍼즐 테이블, 다채로운 퍼즐 정렬 트레이가 있는 서랍이 있는 ENGRTALENT 35""x 26"" 휴대용 퍼즐 테이블, 지침, 펠트 보드 및 손잡이.")</f>
        <v>덮개가 있는 퍼즐 보드, 대형 기울어진 1500피스 직소 퍼즐 테이블, 다채로운 퍼즐 정렬 트레이가 있는 서랍이 있는 ENGRTALENT 35"x 26" 휴대용 퍼즐 테이블, 지침, 펠트 보드 및 손잡이.</v>
      </c>
      <c r="F57" s="1" t="str">
        <f>IFERROR(__xludf.DUMMYFUNCTION("CONCATENATE(GOOGLETRANSLATE(C57, ""en"", ""ja""))"),"カバー付きパズルボード、大型傾斜1500ピースジグソーパズルテーブル、ENGRTALENT 35インチ x 26インチの引き出し付きポータブルパズルテーブル、カラフルなパズル並べ替えトレイ、ガイドライン、フェルトボード、ハンドル付き。")</f>
        <v>カバー付きパズルボード、大型傾斜1500ピースジグソーパズルテーブル、ENGRTALENT 35インチ x 26インチの引き出し付きポータブルパズルテーブル、カラフルなパズル並べ替えトレイ、ガイドライン、フェルトボード、ハンドル付き。</v>
      </c>
    </row>
    <row r="58" ht="15.75" customHeight="1">
      <c r="A58" s="1">
        <v>5403.0</v>
      </c>
      <c r="B58" s="1" t="s">
        <v>51</v>
      </c>
      <c r="C58" s="1" t="s">
        <v>64</v>
      </c>
      <c r="D58" s="1" t="str">
        <f>IFERROR(__xludf.DUMMYFUNCTION("CONCATENATE(GOOGLETRANSLATE(C58, ""en"", ""zh-cn""))
"),"女式纯色荷叶边饰边无袖简约中长连衣裙")</f>
        <v>女式纯色荷叶边饰边无袖简约中长连衣裙</v>
      </c>
      <c r="E58" s="1" t="str">
        <f>IFERROR(__xludf.DUMMYFUNCTION("CONCATENATE(GOOGLETRANSLATE(C58, ""en"", ""ko""))"),"여성 솔리드 컬러 프릴 트림 민소매 단순 미디 드레스")</f>
        <v>여성 솔리드 컬러 프릴 트림 민소매 단순 미디 드레스</v>
      </c>
      <c r="F58" s="1" t="str">
        <f>IFERROR(__xludf.DUMMYFUNCTION("CONCATENATE(GOOGLETRANSLATE(C58, ""en"", ""ja""))"),"女性ソリッドカラーフリルトリムノースリーブシンプルなミディドレス")</f>
        <v>女性ソリッドカラーフリルトリムノースリーブシンプルなミディドレス</v>
      </c>
    </row>
    <row r="59" ht="15.75" customHeight="1">
      <c r="A59" s="1">
        <v>5405.0</v>
      </c>
      <c r="B59" s="1" t="s">
        <v>6</v>
      </c>
      <c r="C59" s="1" t="s">
        <v>62</v>
      </c>
      <c r="D59" s="1" t="str">
        <f>IFERROR(__xludf.DUMMYFUNCTION("CONCATENATE(GOOGLETRANSLATE(C59, ""en"", ""zh-cn""))
"),"ALL4JIG 1500 件便携式带腿拼图桌，可调节拼图板，带 4 个抽屉和盖子，3 倾斜角度成人拼图桌")</f>
        <v>ALL4JIG 1500 件便携式带腿拼图桌，可调节拼图板，带 4 个抽屉和盖子，3 倾斜角度成人拼图桌</v>
      </c>
      <c r="E59" s="1" t="str">
        <f>IFERROR(__xludf.DUMMYFUNCTION("CONCATENATE(GOOGLETRANSLATE(C59, ""en"", ""ko""))"),"ALL4JIG 1500PCS 다리가 있는 휴대용 퍼즐 테이블, 4개의 서랍과 커버가 있는 조정 가능한 직소 퍼즐 보드, 성인을 위한 3-틸팅 각도 직소 퍼즐 테이블")</f>
        <v>ALL4JIG 1500PCS 다리가 있는 휴대용 퍼즐 테이블, 4개의 서랍과 커버가 있는 조정 가능한 직소 퍼즐 보드, 성인을 위한 3-틸팅 각도 직소 퍼즐 테이블</v>
      </c>
      <c r="F59" s="1" t="str">
        <f>IFERROR(__xludf.DUMMYFUNCTION("CONCATENATE(GOOGLETRANSLATE(C59, ""en"", ""ja""))"),"ALL4JIG 1500PCS 脚付きポータブルパズルテーブル、引き出し4つとカバー付き調節可能なジグソーパズルボード、大人用3傾斜角度ジグソーパズルテーブル")</f>
        <v>ALL4JIG 1500PCS 脚付きポータブルパズルテーブル、引き出し4つとカバー付き調節可能なジグソーパズルボード、大人用3傾斜角度ジグソーパズルテーブル</v>
      </c>
    </row>
    <row r="60" ht="15.75" customHeight="1">
      <c r="A60" s="1">
        <v>5417.0</v>
      </c>
      <c r="B60" s="1" t="s">
        <v>6</v>
      </c>
      <c r="C60" s="1" t="s">
        <v>65</v>
      </c>
      <c r="D60" s="1" t="str">
        <f>IFERROR(__xludf.DUMMYFUNCTION("CONCATENATE(GOOGLETRANSLATE(C60, ""en"", ""zh-cn""))
"),"LiangCuber GAN 13磁悬浮旗舰磁力3x3无贴纸GAN13 M速度魔方（磨砂版）")</f>
        <v>LiangCuber GAN 13磁悬浮旗舰磁力3x3无贴纸GAN13 M速度魔方（磨砂版）</v>
      </c>
      <c r="E60" s="1" t="str">
        <f>IFERROR(__xludf.DUMMYFUNCTION("CONCATENATE(GOOGLETRANSLATE(C60, ""en"", ""ko""))"),"LiangCuber GAN 13 자기 부상 플래그십 마그네틱 3x3 스티커 없는 GAN13 M 스피드 큐브(반투명 버전)")</f>
        <v>LiangCuber GAN 13 자기 부상 플래그십 마그네틱 3x3 스티커 없는 GAN13 M 스피드 큐브(반투명 버전)</v>
      </c>
      <c r="F60" s="1" t="str">
        <f>IFERROR(__xludf.DUMMYFUNCTION("CONCATENATE(GOOGLETRANSLATE(C60, ""en"", ""ja""))"),"LiangCuber GAN 13 マグレブ旗艦 磁気 3x3 ステッカーレス GAN13 M スピード キューブ (つや消しバージョン)")</f>
        <v>LiangCuber GAN 13 マグレブ旗艦 磁気 3x3 ステッカーレス GAN13 M スピード キューブ (つや消しバージョン)</v>
      </c>
    </row>
    <row r="61" ht="15.75" customHeight="1">
      <c r="A61" s="1">
        <v>5421.0</v>
      </c>
      <c r="B61" s="1" t="s">
        <v>6</v>
      </c>
      <c r="C61" s="1" t="s">
        <v>62</v>
      </c>
      <c r="D61" s="1" t="str">
        <f>IFERROR(__xludf.DUMMYFUNCTION("CONCATENATE(GOOGLETRANSLATE(C61, ""en"", ""zh-cn""))
"),"ALL4JIG 1500 件便携式带腿拼图桌，可调节拼图板，带 4 个抽屉和盖子，3 倾斜角度成人拼图桌")</f>
        <v>ALL4JIG 1500 件便携式带腿拼图桌，可调节拼图板，带 4 个抽屉和盖子，3 倾斜角度成人拼图桌</v>
      </c>
      <c r="E61" s="1" t="str">
        <f>IFERROR(__xludf.DUMMYFUNCTION("CONCATENATE(GOOGLETRANSLATE(C61, ""en"", ""ko""))"),"ALL4JIG 1500PCS 다리가 있는 휴대용 퍼즐 테이블, 4개의 서랍과 커버가 있는 조정 가능한 직소 퍼즐 보드, 성인을 위한 3-틸팅 각도 직소 퍼즐 테이블")</f>
        <v>ALL4JIG 1500PCS 다리가 있는 휴대용 퍼즐 테이블, 4개의 서랍과 커버가 있는 조정 가능한 직소 퍼즐 보드, 성인을 위한 3-틸팅 각도 직소 퍼즐 테이블</v>
      </c>
      <c r="F61" s="1" t="str">
        <f>IFERROR(__xludf.DUMMYFUNCTION("CONCATENATE(GOOGLETRANSLATE(C61, ""en"", ""ja""))"),"ALL4JIG 1500PCS 脚付きポータブルパズルテーブル、引き出し4つとカバー付き調節可能なジグソーパズルボード、大人用3傾斜角度ジグソーパズルテーブル")</f>
        <v>ALL4JIG 1500PCS 脚付きポータブルパズルテーブル、引き出し4つとカバー付き調節可能なジグソーパズルボード、大人用3傾斜角度ジグソーパズルテーブル</v>
      </c>
    </row>
    <row r="62" ht="15.75" customHeight="1">
      <c r="A62" s="1">
        <v>5431.0</v>
      </c>
      <c r="B62" s="1" t="s">
        <v>6</v>
      </c>
      <c r="C62" s="1" t="s">
        <v>63</v>
      </c>
      <c r="D62" s="1" t="str">
        <f>IFERROR(__xludf.DUMMYFUNCTION("CONCATENATE(GOOGLETRANSLATE(C62, ""en"", ""zh-cn""))
"),"带盖拼图板，大型倾斜 1500 块拼图桌，ENGRTALENT 35 英寸 x 26 英寸带抽屉便携式拼图桌，带彩色拼图分类托盘、指南、毛毡板和手柄。")</f>
        <v>带盖拼图板，大型倾斜 1500 块拼图桌，ENGRTALENT 35 英寸 x 26 英寸带抽屉便携式拼图桌，带彩色拼图分类托盘、指南、毛毡板和手柄。</v>
      </c>
      <c r="E62" s="1" t="str">
        <f>IFERROR(__xludf.DUMMYFUNCTION("CONCATENATE(GOOGLETRANSLATE(C62, ""en"", ""ko""))"),"덮개가 있는 퍼즐 보드, 대형 기울어진 1500피스 직소 퍼즐 테이블, 다채로운 퍼즐 정렬 트레이가 있는 서랍이 있는 ENGRTALENT 35""x 26"" 휴대용 퍼즐 테이블, 지침, 펠트 보드 및 손잡이.")</f>
        <v>덮개가 있는 퍼즐 보드, 대형 기울어진 1500피스 직소 퍼즐 테이블, 다채로운 퍼즐 정렬 트레이가 있는 서랍이 있는 ENGRTALENT 35"x 26" 휴대용 퍼즐 테이블, 지침, 펠트 보드 및 손잡이.</v>
      </c>
      <c r="F62" s="1" t="str">
        <f>IFERROR(__xludf.DUMMYFUNCTION("CONCATENATE(GOOGLETRANSLATE(C62, ""en"", ""ja""))"),"カバー付きパズルボード、大型傾斜1500ピースジグソーパズルテーブル、ENGRTALENT 35インチ x 26インチの引き出し付きポータブルパズルテーブル、カラフルなパズル並べ替えトレイ、ガイドライン、フェルトボード、ハンドル付き。")</f>
        <v>カバー付きパズルボード、大型傾斜1500ピースジグソーパズルテーブル、ENGRTALENT 35インチ x 26インチの引き出し付きポータブルパズルテーブル、カラフルなパズル並べ替えトレイ、ガイドライン、フェルトボード、ハンドル付き。</v>
      </c>
    </row>
    <row r="63" ht="15.75" customHeight="1">
      <c r="A63" s="1">
        <v>5436.0</v>
      </c>
      <c r="B63" s="1" t="s">
        <v>6</v>
      </c>
      <c r="C63" s="1" t="s">
        <v>66</v>
      </c>
      <c r="D63" s="1" t="str">
        <f>IFERROR(__xludf.DUMMYFUNCTION("CONCATENATE(GOOGLETRANSLATE(C63, ""en"", ""zh-cn""))
"),"美国 Pride 家具瑜伽系列现代人造皮革弧形躺椅，适合伸展和放松，非常适合卧室、客厅、冥想室或办公室，常规，黑巧克力色")</f>
        <v>美国 Pride 家具瑜伽系列现代人造皮革弧形躺椅，适合伸展和放松，非常适合卧室、客厅、冥想室或办公室，常规，黑巧克力色</v>
      </c>
      <c r="E63" s="1" t="str">
        <f>IFERROR(__xludf.DUMMYFUNCTION("CONCATENATE(GOOGLETRANSLATE(C63, ""en"", ""ko""))"),"US Pride Furniture Yoga Collection 스트레칭과 휴식을 위한 현대적인 인조 가죽 곡선 라운지 의자, 침실, 거실, 명상실 또는 사무실, 일반, 다크 초콜릿에 이상적")</f>
        <v>US Pride Furniture Yoga Collection 스트레칭과 휴식을 위한 현대적인 인조 가죽 곡선 라운지 의자, 침실, 거실, 명상실 또는 사무실, 일반, 다크 초콜릿에 이상적</v>
      </c>
      <c r="F63" s="1" t="str">
        <f>IFERROR(__xludf.DUMMYFUNCTION("CONCATENATE(GOOGLETRANSLATE(C63, ""en"", ""ja""))"),"USプライドファニチャーヨガコレクション ストレッチとリラクゼーションのためのモダンなフェイクレザーの湾曲したラウンジ長椅子、寝室、リビング、瞑想室またはオフィスに最適、レギュラー、ダークチョコレート")</f>
        <v>USプライドファニチャーヨガコレクション ストレッチとリラクゼーションのためのモダンなフェイクレザーの湾曲したラウンジ長椅子、寝室、リビング、瞑想室またはオフィスに最適、レギュラー、ダークチョコレート</v>
      </c>
    </row>
    <row r="64" ht="15.75" customHeight="1">
      <c r="A64" s="1">
        <v>5442.0</v>
      </c>
      <c r="B64" s="1" t="s">
        <v>6</v>
      </c>
      <c r="C64" s="1" t="s">
        <v>67</v>
      </c>
      <c r="D64" s="1" t="str">
        <f>IFERROR(__xludf.DUMMYFUNCTION("CONCATENATE(GOOGLETRANSLATE(C64, ""en"", ""zh-cn""))
"),"Giro Sector 男士山地骑行鞋")</f>
        <v>Giro Sector 男士山地骑行鞋</v>
      </c>
      <c r="E64" s="1" t="str">
        <f>IFERROR(__xludf.DUMMYFUNCTION("CONCATENATE(GOOGLETRANSLATE(C64, ""en"", ""ko""))"),"Giro Sector 남성용 산악 사이클링 신발")</f>
        <v>Giro Sector 남성용 산악 사이클링 신발</v>
      </c>
      <c r="F64" s="1" t="str">
        <f>IFERROR(__xludf.DUMMYFUNCTION("CONCATENATE(GOOGLETRANSLATE(C64, ""en"", ""ja""))"),"Giro Sector メンズ マウンテン サイクリング シューズ")</f>
        <v>Giro Sector メンズ マウンテン サイクリング シューズ</v>
      </c>
    </row>
    <row r="65" ht="15.75" customHeight="1">
      <c r="A65" s="1">
        <v>5466.0</v>
      </c>
      <c r="B65" s="1" t="s">
        <v>6</v>
      </c>
      <c r="C65" s="1" t="s">
        <v>68</v>
      </c>
      <c r="D65" s="1" t="str">
        <f>IFERROR(__xludf.DUMMYFUNCTION("CONCATENATE(GOOGLETRANSLATE(C65, ""en"", ""zh-cn""))
"),"Cuberspeed GAN 13 uv 涂层 MagLev 无贴纸 3x3 速度立方拼图 gan13 maglev uv 涂层旗舰拼图")</f>
        <v>Cuberspeed GAN 13 uv 涂层 MagLev 无贴纸 3x3 速度立方拼图 gan13 maglev uv 涂层旗舰拼图</v>
      </c>
      <c r="E65" s="1" t="str">
        <f>IFERROR(__xludf.DUMMYFUNCTION("CONCATENATE(GOOGLETRANSLATE(C65, ""en"", ""ko""))"),"Cuberspeed GAN 13 uv 코팅 MagLev 스티커가 없는 3x3 스피드 큐브 퍼즐 gan13 maglev uv 코팅 플래그십 퍼즐")</f>
        <v>Cuberspeed GAN 13 uv 코팅 MagLev 스티커가 없는 3x3 스피드 큐브 퍼즐 gan13 maglev uv 코팅 플래그십 퍼즐</v>
      </c>
      <c r="F65" s="1" t="str">
        <f>IFERROR(__xludf.DUMMYFUNCTION("CONCATENATE(GOOGLETRANSLATE(C65, ""en"", ""ja""))"),"Cuberspeed GAN 13 uv コーティングされた MagLev ステッカーレス 3x3 スピード キューブ パズル gan13 maglev uv コーティングされたフラッグシップ パズル")</f>
        <v>Cuberspeed GAN 13 uv コーティングされた MagLev ステッカーレス 3x3 スピード キューブ パズル gan13 maglev uv コーティングされたフラッグシップ パズル</v>
      </c>
    </row>
    <row r="66" ht="15.75" customHeight="1">
      <c r="A66" s="1">
        <v>5471.0</v>
      </c>
      <c r="B66" s="1" t="s">
        <v>6</v>
      </c>
      <c r="C66" s="1" t="s">
        <v>69</v>
      </c>
      <c r="D66" s="1" t="str">
        <f>IFERROR(__xludf.DUMMYFUNCTION("CONCATENATE(GOOGLETRANSLATE(C66, ""en"", ""zh-cn""))
"),"Troy Lee 设计 A3 MIPS 头盔")</f>
        <v>Troy Lee 设计 A3 MIPS 头盔</v>
      </c>
      <c r="E66" s="1" t="str">
        <f>IFERROR(__xludf.DUMMYFUNCTION("CONCATENATE(GOOGLETRANSLATE(C66, ""en"", ""ko""))"),"Troy Lee, A3 MIPS 헬멧 디자인")</f>
        <v>Troy Lee, A3 MIPS 헬멧 디자인</v>
      </c>
      <c r="F66" s="1" t="str">
        <f>IFERROR(__xludf.DUMMYFUNCTION("CONCATENATE(GOOGLETRANSLATE(C66, ""en"", ""ja""))"),"Troy Lee デザイン A3 MIPS ヘルメット")</f>
        <v>Troy Lee デザイン A3 MIPS ヘルメット</v>
      </c>
    </row>
    <row r="67" ht="15.75" customHeight="1">
      <c r="A67" s="1">
        <v>5490.0</v>
      </c>
      <c r="B67" s="1" t="s">
        <v>6</v>
      </c>
      <c r="C67" s="1" t="s">
        <v>70</v>
      </c>
      <c r="D67" s="1" t="str">
        <f>IFERROR(__xludf.DUMMYFUNCTION("CONCATENATE(GOOGLETRANSLATE(C67, ""en"", ""zh-cn""))
"),"GCI 户外自由式摇椅")</f>
        <v>GCI 户外自由式摇椅</v>
      </c>
      <c r="E67" s="1" t="str">
        <f>IFERROR(__xludf.DUMMYFUNCTION("CONCATENATE(GOOGLETRANSLATE(C67, ""en"", ""ko""))"),"GCI 야외 프리스타일 로커 의자")</f>
        <v>GCI 야외 프리스타일 로커 의자</v>
      </c>
      <c r="F67" s="1" t="str">
        <f>IFERROR(__xludf.DUMMYFUNCTION("CONCATENATE(GOOGLETRANSLATE(C67, ""en"", ""ja""))"),"GCI アウトドア フリースタイル ロッカー チェア")</f>
        <v>GCI アウトドア フリースタイル ロッカー チェア</v>
      </c>
    </row>
    <row r="68" ht="15.75" customHeight="1">
      <c r="A68" s="1">
        <v>5507.0</v>
      </c>
      <c r="B68" s="1" t="s">
        <v>6</v>
      </c>
      <c r="C68" s="1" t="s">
        <v>71</v>
      </c>
      <c r="D68" s="1" t="str">
        <f>IFERROR(__xludf.DUMMYFUNCTION("CONCATENATE(GOOGLETRANSLATE(C68, ""en"", ""zh-cn""))
"),"Jaypro运动户外比赛排球系统")</f>
        <v>Jaypro运动户外比赛排球系统</v>
      </c>
      <c r="E68" s="1" t="str">
        <f>IFERROR(__xludf.DUMMYFUNCTION("CONCATENATE(GOOGLETRANSLATE(C68, ""en"", ""ko""))"),"제이프로스포츠 야외대회 배구시스템")</f>
        <v>제이프로스포츠 야외대회 배구시스템</v>
      </c>
      <c r="F68" s="1" t="str">
        <f>IFERROR(__xludf.DUMMYFUNCTION("CONCATENATE(GOOGLETRANSLATE(C68, ""en"", ""ja""))"),"ジェイプロ スポーツ アウトドア 競技 バレーボール システム")</f>
        <v>ジェイプロ スポーツ アウトドア 競技 バレーボール システム</v>
      </c>
    </row>
    <row r="69" ht="15.75" customHeight="1">
      <c r="A69" s="1">
        <v>5512.0</v>
      </c>
      <c r="B69" s="1" t="s">
        <v>6</v>
      </c>
      <c r="C69" s="1" t="s">
        <v>72</v>
      </c>
      <c r="D69" s="1" t="str">
        <f>IFERROR(__xludf.DUMMYFUNCTION("CONCATENATE(GOOGLETRANSLATE(C69, ""en"", ""zh-cn""))
"),"后院球捆绑专业版")</f>
        <v>后院球捆绑专业版</v>
      </c>
      <c r="E69" s="1" t="str">
        <f>IFERROR(__xludf.DUMMYFUNCTION("CONCATENATE(GOOGLETRANSLATE(C69, ""en"", ""ko""))"),"뒷마당 볼 번들 프로")</f>
        <v>뒷마당 볼 번들 프로</v>
      </c>
      <c r="F69" s="1" t="str">
        <f>IFERROR(__xludf.DUMMYFUNCTION("CONCATENATE(GOOGLETRANSLATE(C69, ""en"", ""ja""))"),"バックヤード ボール バンドル プロ")</f>
        <v>バックヤード ボール バンドル プロ</v>
      </c>
    </row>
    <row r="70" ht="15.75" customHeight="1">
      <c r="A70" s="1">
        <v>5527.0</v>
      </c>
      <c r="B70" s="1" t="s">
        <v>6</v>
      </c>
      <c r="C70" s="1" t="s">
        <v>73</v>
      </c>
      <c r="D70" s="1" t="str">
        <f>IFERROR(__xludf.DUMMYFUNCTION("CONCATENATE(GOOGLETRANSLATE(C70, ""en"", ""zh-cn""))
"),"华硕 M3400WYA-DH503 一体机")</f>
        <v>华硕 M3400WYA-DH503 一体机</v>
      </c>
      <c r="E70" s="1" t="str">
        <f>IFERROR(__xludf.DUMMYFUNCTION("CONCATENATE(GOOGLETRANSLATE(C70, ""en"", ""ko""))"),"Asus M3400WYA-DH503 올인원 컴퓨터")</f>
        <v>Asus M3400WYA-DH503 올인원 컴퓨터</v>
      </c>
      <c r="F70" s="1" t="str">
        <f>IFERROR(__xludf.DUMMYFUNCTION("CONCATENATE(GOOGLETRANSLATE(C70, ""en"", ""ja""))"),"Asus M3400WYA-DH503 オールインワン コンピューター")</f>
        <v>Asus M3400WYA-DH503 オールインワン コンピューター</v>
      </c>
    </row>
    <row r="71" ht="15.75" customHeight="1">
      <c r="A71" s="1">
        <v>5548.0</v>
      </c>
      <c r="B71" s="1" t="s">
        <v>6</v>
      </c>
      <c r="C71" s="1" t="s">
        <v>74</v>
      </c>
      <c r="D71" s="1" t="str">
        <f>IFERROR(__xludf.DUMMYFUNCTION("CONCATENATE(GOOGLETRANSLATE(C71, ""en"", ""zh-cn""))
"),"外壳 H5 Flow RGB 白色 Midi ATX 硬件/电子")</f>
        <v>外壳 H5 Flow RGB 白色 Midi ATX 硬件/电子</v>
      </c>
      <c r="E71" s="1" t="str">
        <f>IFERROR(__xludf.DUMMYFUNCTION("CONCATENATE(GOOGLETRANSLATE(C71, ""en"", ""ko""))"),"케이스 H5 Flow RGB 흰색 Midi ATX 하드웨어/전자")</f>
        <v>케이스 H5 Flow RGB 흰색 Midi ATX 하드웨어/전자</v>
      </c>
      <c r="F71" s="1" t="str">
        <f>IFERROR(__xludf.DUMMYFUNCTION("CONCATENATE(GOOGLETRANSLATE(C71, ""en"", ""ja""))"),"ケース H5 フロー RGB ホワイト Midi ATX ハードウェア/電子")</f>
        <v>ケース H5 フロー RGB ホワイト Midi ATX ハードウェア/電子</v>
      </c>
    </row>
    <row r="72" ht="15.75" customHeight="1">
      <c r="A72" s="1">
        <v>5554.0</v>
      </c>
      <c r="B72" s="1" t="s">
        <v>6</v>
      </c>
      <c r="C72" s="1" t="s">
        <v>75</v>
      </c>
      <c r="D72" s="1" t="str">
        <f>IFERROR(__xludf.DUMMYFUNCTION("CONCATENATE(GOOGLETRANSLATE(C72, ""en"", ""zh-cn""))
"),"NZXT H6 Flow 中塔式机箱")</f>
        <v>NZXT H6 Flow 中塔式机箱</v>
      </c>
      <c r="E72" s="1" t="str">
        <f>IFERROR(__xludf.DUMMYFUNCTION("CONCATENATE(GOOGLETRANSLATE(C72, ""en"", ""ko""))"),"NZXT H6 Flow 미드 타워 케이스")</f>
        <v>NZXT H6 Flow 미드 타워 케이스</v>
      </c>
      <c r="F72" s="1" t="str">
        <f>IFERROR(__xludf.DUMMYFUNCTION("CONCATENATE(GOOGLETRANSLATE(C72, ""en"", ""ja""))"),"NZXT H6 フロー ミッドタワー ケース")</f>
        <v>NZXT H6 フロー ミッドタワー ケース</v>
      </c>
    </row>
    <row r="73" ht="15.75" customHeight="1">
      <c r="A73" s="1">
        <v>5557.0</v>
      </c>
      <c r="B73" s="1" t="s">
        <v>6</v>
      </c>
      <c r="C73" s="1" t="s">
        <v>76</v>
      </c>
      <c r="D73" s="1" t="str">
        <f>IFERROR(__xludf.DUMMYFUNCTION("CONCATENATE(GOOGLETRANSLATE(C73, ""en"", ""zh-cn""))
"),"惠普台式机 AMD 锐龙 3")</f>
        <v>惠普台式机 AMD 锐龙 3</v>
      </c>
      <c r="E73" s="1" t="str">
        <f>IFERROR(__xludf.DUMMYFUNCTION("CONCATENATE(GOOGLETRANSLATE(C73, ""en"", ""ko""))"),"HP 데스크탑 AMD Ryzen 3")</f>
        <v>HP 데스크탑 AMD Ryzen 3</v>
      </c>
      <c r="F73" s="1" t="str">
        <f>IFERROR(__xludf.DUMMYFUNCTION("CONCATENATE(GOOGLETRANSLATE(C73, ""en"", ""ja""))"),"HP デスクトップ AMD Ryzen 3")</f>
        <v>HP デスクトップ AMD Ryzen 3</v>
      </c>
    </row>
    <row r="74" ht="15.75" customHeight="1">
      <c r="A74" s="1">
        <v>5564.0</v>
      </c>
      <c r="B74" s="1" t="s">
        <v>6</v>
      </c>
      <c r="C74" s="1" t="s">
        <v>77</v>
      </c>
      <c r="D74" s="1" t="str">
        <f>IFERROR(__xludf.DUMMYFUNCTION("CONCATENATE(GOOGLETRANSLATE(C74, ""en"", ""zh-cn""))
"),"Magnolia Boutique 女式花卉印花甜心上衣")</f>
        <v>Magnolia Boutique 女式花卉印花甜心上衣</v>
      </c>
      <c r="E74" s="1" t="str">
        <f>IFERROR(__xludf.DUMMYFUNCTION("CONCATENATE(GOOGLETRANSLATE(C74, ""en"", ""ko""))"),"Magnolia Boutique 여성 꽃무늬 프린트 스윗하트 탑")</f>
        <v>Magnolia Boutique 여성 꽃무늬 프린트 스윗하트 탑</v>
      </c>
      <c r="F74" s="1" t="str">
        <f>IFERROR(__xludf.DUMMYFUNCTION("CONCATENATE(GOOGLETRANSLATE(C74, ""en"", ""ja""))"),"Magnolia Boutique レディース フローラル プリント スイートハート トップ")</f>
        <v>Magnolia Boutique レディース フローラル プリント スイートハート トップ</v>
      </c>
    </row>
    <row r="75" ht="15.75" customHeight="1">
      <c r="A75" s="1">
        <v>5584.0</v>
      </c>
      <c r="B75" s="1" t="s">
        <v>6</v>
      </c>
      <c r="C75" s="1" t="s">
        <v>78</v>
      </c>
      <c r="D75" s="1" t="str">
        <f>IFERROR(__xludf.DUMMYFUNCTION("CONCATENATE(GOOGLETRANSLATE(C75, ""en"", ""zh-cn""))
"),"Ae 刺绣荷叶边上衣")</f>
        <v>Ae 刺绣荷叶边上衣</v>
      </c>
      <c r="E75" s="1" t="str">
        <f>IFERROR(__xludf.DUMMYFUNCTION("CONCATENATE(GOOGLETRANSLATE(C75, ""en"", ""ko""))"),"Ae 자수 페플럼 탑")</f>
        <v>Ae 자수 페플럼 탑</v>
      </c>
      <c r="F75" s="1" t="str">
        <f>IFERROR(__xludf.DUMMYFUNCTION("CONCATENATE(GOOGLETRANSLATE(C75, ""en"", ""ja""))"),"AE刺繍ペプラムトップ")</f>
        <v>AE刺繍ペプラムトップ</v>
      </c>
    </row>
    <row r="76" ht="15.75" customHeight="1">
      <c r="A76" s="1">
        <v>5618.0</v>
      </c>
      <c r="B76" s="1" t="s">
        <v>6</v>
      </c>
      <c r="C76" s="1" t="s">
        <v>79</v>
      </c>
      <c r="D76" s="1" t="str">
        <f>IFERROR(__xludf.DUMMYFUNCTION("CONCATENATE(GOOGLETRANSLATE(C76, ""en"", ""zh-cn""))
"),"杰西卡·卡莱尔 (Jessica Carlyle) 女士心形手链手表带项链和耳环套装")</f>
        <v>杰西卡·卡莱尔 (Jessica Carlyle) 女士心形手链手表带项链和耳环套装</v>
      </c>
      <c r="E76" s="1" t="str">
        <f>IFERROR(__xludf.DUMMYFUNCTION("CONCATENATE(GOOGLETRANSLATE(C76, ""en"", ""ko""))"),"제시카 칼라일 여성용 하트 링크 팔찌 시계 및 목걸이 &amp; 귀걸이 세트")</f>
        <v>제시카 칼라일 여성용 하트 링크 팔찌 시계 및 목걸이 &amp; 귀걸이 세트</v>
      </c>
      <c r="F76" s="1" t="str">
        <f>IFERROR(__xludf.DUMMYFUNCTION("CONCATENATE(GOOGLETRANSLATE(C76, ""en"", ""ja""))"),"ジェシカ カーライル レディース ハートリンク ブレスレット ウォッチ ネックレス &amp; イヤリング セット付き")</f>
        <v>ジェシカ カーライル レディース ハートリンク ブレスレット ウォッチ ネックレス &amp; イヤリング セット付き</v>
      </c>
    </row>
    <row r="77" ht="15.75" customHeight="1">
      <c r="A77" s="1">
        <v>5629.0</v>
      </c>
      <c r="B77" s="1" t="s">
        <v>6</v>
      </c>
      <c r="C77" s="1" t="s">
        <v>80</v>
      </c>
      <c r="D77" s="1" t="str">
        <f>IFERROR(__xludf.DUMMYFUNCTION("CONCATENATE(GOOGLETRANSLATE(C77, ""en"", ""zh-cn""))
"),"Fossil 女士 Karli 三指针不锈钢手表")</f>
        <v>Fossil 女士 Karli 三指针不锈钢手表</v>
      </c>
      <c r="E77" s="1" t="str">
        <f>IFERROR(__xludf.DUMMYFUNCTION("CONCATENATE(GOOGLETRANSLATE(C77, ""en"", ""ko""))"),"화석 여성용 Karli 쓰리 핸드 스테인레스 스틸 시계")</f>
        <v>화석 여성용 Karli 쓰리 핸드 스테인레스 스틸 시계</v>
      </c>
      <c r="F77" s="1" t="str">
        <f>IFERROR(__xludf.DUMMYFUNCTION("CONCATENATE(GOOGLETRANSLATE(C77, ""en"", ""ja""))"),"Fossil レディース Karli 3 針ステンレススチール時計")</f>
        <v>Fossil レディース Karli 3 針ステンレススチール時計</v>
      </c>
    </row>
    <row r="78" ht="15.75" customHeight="1">
      <c r="A78" s="1">
        <v>5641.0</v>
      </c>
      <c r="B78" s="1" t="s">
        <v>6</v>
      </c>
      <c r="C78" s="1" t="s">
        <v>81</v>
      </c>
      <c r="D78" s="1" t="str">
        <f>IFERROR(__xludf.DUMMYFUNCTION("CONCATENATE(GOOGLETRANSLATE(C78, ""en"", ""zh-cn""))
"),"Ed Hardy 男士仿骷髅表盘硅胶手表套装")</f>
        <v>Ed Hardy 男士仿骷髅表盘硅胶手表套装</v>
      </c>
      <c r="E78" s="1" t="str">
        <f>IFERROR(__xludf.DUMMYFUNCTION("CONCATENATE(GOOGLETRANSLATE(C78, ""en"", ""ko""))"),"에드 하디 남성용 인조 스켈레톤 다이얼 실리콘 시계 세트")</f>
        <v>에드 하디 남성용 인조 스켈레톤 다이얼 실리콘 시계 세트</v>
      </c>
      <c r="F78" s="1" t="str">
        <f>IFERROR(__xludf.DUMMYFUNCTION("CONCATENATE(GOOGLETRANSLATE(C78, ""en"", ""ja""))"),"Ed Hardy メンズ フェイクスケルトン ダイヤル シリコン ウォッチ セット")</f>
        <v>Ed Hardy メンズ フェイクスケルトン ダイヤル シリコン ウォッチ セット</v>
      </c>
    </row>
    <row r="79" ht="15.75" customHeight="1">
      <c r="A79" s="1">
        <v>5655.0</v>
      </c>
      <c r="B79" s="1" t="s">
        <v>6</v>
      </c>
      <c r="C79" s="1" t="s">
        <v>42</v>
      </c>
      <c r="D79" s="1" t="str">
        <f>IFERROR(__xludf.DUMMYFUNCTION("CONCATENATE(GOOGLETRANSLATE(C79, ""en"", ""zh-cn""))
"),"Ravensburger Space Odyssey 5000 片成人拼图 - 16720 - 每一块都是独一无二的，Softclick 技术意味着各块完美地组合在一起")</f>
        <v>Ravensburger Space Odyssey 5000 片成人拼图 - 16720 - 每一块都是独一无二的，Softclick 技术意味着各块完美地组合在一起</v>
      </c>
      <c r="E79" s="1" t="str">
        <f>IFERROR(__xludf.DUMMYFUNCTION("CONCATENATE(GOOGLETRANSLATE(C79, ""en"", ""ko""))"),"Ravensburger Space Odyssey 성인용 5000피스 직소 퍼즐 - 16720 - 모든 조각은 독특하며 소프트클릭 기술로 조각이 완벽하게 들어맞습니다.")</f>
        <v>Ravensburger Space Odyssey 성인용 5000피스 직소 퍼즐 - 16720 - 모든 조각은 독특하며 소프트클릭 기술로 조각이 완벽하게 들어맞습니다.</v>
      </c>
      <c r="F79" s="1" t="str">
        <f>IFERROR(__xludf.DUMMYFUNCTION("CONCATENATE(GOOGLETRANSLATE(C79, ""en"", ""ja""))"),"Ravensburger 宇宙の旅 大人用 5000 ピース ジグソーパズル - 16720 - すべてのピースはユニークで、ソフトクリックテクノロジーによりピースが完璧にフィットします。")</f>
        <v>Ravensburger 宇宙の旅 大人用 5000 ピース ジグソーパズル - 16720 - すべてのピースはユニークで、ソフトクリックテクノロジーによりピースが完璧にフィットします。</v>
      </c>
    </row>
    <row r="80" ht="15.75" customHeight="1">
      <c r="A80" s="1">
        <v>5657.0</v>
      </c>
      <c r="B80" s="1" t="s">
        <v>6</v>
      </c>
      <c r="C80" s="1" t="s">
        <v>82</v>
      </c>
      <c r="D80" s="1" t="str">
        <f>IFERROR(__xludf.DUMMYFUNCTION("CONCATENATE(GOOGLETRANSLATE(C80, ""en"", ""zh-cn""))
"),"带金属腿和盖子的拼图桌 - 拼图桌 36 英寸 x 27 英寸 - 1500 块可拆卸拼图板，带彩色抽屉 - 拼图存储分类托盘")</f>
        <v>带金属腿和盖子的拼图桌 - 拼图桌 36 英寸 x 27 英寸 - 1500 块可拆卸拼图板，带彩色抽屉 - 拼图存储分类托盘</v>
      </c>
      <c r="E80" s="1" t="str">
        <f>IFERROR(__xludf.DUMMYFUNCTION("CONCATENATE(GOOGLETRANSLATE(C80, ""en"", ""ko""))"),"금속 다리와 커버가 있는 퍼즐 테이블 - 직소 퍼즐 테이블 36"" x 27"" - 다채로운 서랍이 있는 탈착식 퍼즐 보드 1500개 - 퍼즐 보관함 정렬 트레이")</f>
        <v>금속 다리와 커버가 있는 퍼즐 테이블 - 직소 퍼즐 테이블 36" x 27" - 다채로운 서랍이 있는 탈착식 퍼즐 보드 1500개 - 퍼즐 보관함 정렬 트레이</v>
      </c>
      <c r="F80" s="1" t="str">
        <f>IFERROR(__xludf.DUMMYFUNCTION("CONCATENATE(GOOGLETRANSLATE(C80, ""en"", ""ja""))"),"金属製の脚とカバー付きパズルテーブル - ジグソーパズルテーブル 36インチ x 27インチ - 1500ピースの取り外し可能なパズルボード、カラフルな引き出し付き - パズル収納仕分けトレイ")</f>
        <v>金属製の脚とカバー付きパズルテーブル - ジグソーパズルテーブル 36インチ x 27インチ - 1500ピースの取り外し可能なパズルボード、カラフルな引き出し付き - パズル収納仕分けトレイ</v>
      </c>
    </row>
    <row r="81" ht="15.75" customHeight="1">
      <c r="A81" s="1">
        <v>5674.0</v>
      </c>
      <c r="B81" s="1" t="s">
        <v>6</v>
      </c>
      <c r="C81" s="1" t="s">
        <v>83</v>
      </c>
      <c r="D81" s="1" t="str">
        <f>IFERROR(__xludf.DUMMYFUNCTION("CONCATENATE(GOOGLETRANSLATE(C81, ""en"", ""zh-cn""))
"),"GAN Megaminx M，五角磁力测速魔方，无贴纸")</f>
        <v>GAN Megaminx M，五角磁力测速魔方，无贴纸</v>
      </c>
      <c r="E81" s="1" t="str">
        <f>IFERROR(__xludf.DUMMYFUNCTION("CONCATENATE(GOOGLETRANSLATE(C81, ""en"", ""ko""))"),"GAN Megaminx M, 오각형 자기 속도 큐브, 스티커 없음")</f>
        <v>GAN Megaminx M, 오각형 자기 속도 큐브, 스티커 없음</v>
      </c>
      <c r="F81" s="1" t="str">
        <f>IFERROR(__xludf.DUMMYFUNCTION("CONCATENATE(GOOGLETRANSLATE(C81, ""en"", ""ja""))"),"GAN メガミンクス M、五角形磁気スピードキューブ、ステッカーレス")</f>
        <v>GAN メガミンクス M、五角形磁気スピードキューブ、ステッカーレス</v>
      </c>
    </row>
    <row r="82" ht="15.75" customHeight="1">
      <c r="A82" s="1">
        <v>5735.0</v>
      </c>
      <c r="B82" s="1" t="s">
        <v>6</v>
      </c>
      <c r="C82" s="1" t="s">
        <v>84</v>
      </c>
      <c r="D82" s="1" t="str">
        <f>IFERROR(__xludf.DUMMYFUNCTION("CONCATENATE(GOOGLETRANSLATE(C82, ""en"", ""zh-cn""))
"),"BEPEI 女式上衣正装休闲 3/4 袖衬衫 V 领商务工作衬衫")</f>
        <v>BEPEI 女式上衣正装休闲 3/4 袖衬衫 V 领商务工作衬衫</v>
      </c>
      <c r="E82" s="1" t="str">
        <f>IFERROR(__xludf.DUMMYFUNCTION("CONCATENATE(GOOGLETRANSLATE(C82, ""en"", ""ko""))"),"BEPEI Womens Tops Dressy 캐주얼 3/4 슬리브 블라우스 V 넥 비즈니스 작업 셔츠")</f>
        <v>BEPEI Womens Tops Dressy 캐주얼 3/4 슬리브 블라우스 V 넥 비즈니스 작업 셔츠</v>
      </c>
      <c r="F82" s="1" t="str">
        <f>IFERROR(__xludf.DUMMYFUNCTION("CONCATENATE(GOOGLETRANSLATE(C82, ""en"", ""ja""))"),"BEPEI レディース トップス ドレッシー カジュアル 3/4 スリーブ ブラウス V ネック ビジネス ワーク シャツ")</f>
        <v>BEPEI レディース トップス ドレッシー カジュアル 3/4 スリーブ ブラウス V ネック ビジネス ワーク シャツ</v>
      </c>
    </row>
    <row r="83" ht="15.75" customHeight="1">
      <c r="A83" s="1">
        <v>5743.0</v>
      </c>
      <c r="B83" s="1" t="s">
        <v>6</v>
      </c>
      <c r="C83" s="1" t="s">
        <v>85</v>
      </c>
      <c r="D83" s="1" t="str">
        <f>IFERROR(__xludf.DUMMYFUNCTION("CONCATENATE(GOOGLETRANSLATE(C83, ""en"", ""zh-cn""))
"),"女式圆领长袖衬衫和裤子套装")</f>
        <v>女式圆领长袖衬衫和裤子套装</v>
      </c>
      <c r="E83" s="1" t="str">
        <f>IFERROR(__xludf.DUMMYFUNCTION("CONCATENATE(GOOGLETRANSLATE(C83, ""en"", ""ko""))"),"여성용 라운드 넥 긴 소매 블라우스 및 바지 세트")</f>
        <v>여성용 라운드 넥 긴 소매 블라우스 및 바지 세트</v>
      </c>
      <c r="F83" s="1" t="str">
        <f>IFERROR(__xludf.DUMMYFUNCTION("CONCATENATE(GOOGLETRANSLATE(C83, ""en"", ""ja""))"),"レディース ラウンドネック長袖ブラウスとパンツのセット")</f>
        <v>レディース ラウンドネック長袖ブラウスとパンツのセット</v>
      </c>
    </row>
    <row r="84" ht="15.75" customHeight="1">
      <c r="A84" s="1">
        <v>5746.0</v>
      </c>
      <c r="B84" s="1" t="s">
        <v>6</v>
      </c>
      <c r="C84" s="1" t="s">
        <v>86</v>
      </c>
      <c r="D84" s="1" t="str">
        <f>IFERROR(__xludf.DUMMYFUNCTION("CONCATENATE(GOOGLETRANSLATE(C84, ""en"", ""zh-cn""))
"),"maurices 女式 Cressa 长袖开衫")</f>
        <v>maurices 女式 Cressa 长袖开衫</v>
      </c>
      <c r="E84" s="1" t="str">
        <f>IFERROR(__xludf.DUMMYFUNCTION("CONCATENATE(GOOGLETRANSLATE(C84, ""en"", ""ko""))"),"maurices 여성 크레사 긴팔 가디건")</f>
        <v>maurices 여성 크레사 긴팔 가디건</v>
      </c>
      <c r="F84" s="1" t="str">
        <f>IFERROR(__xludf.DUMMYFUNCTION("CONCATENATE(GOOGLETRANSLATE(C84, ""en"", ""ja""))"),"maurices レディース クレッサ ロング スリーブ カーディガン")</f>
        <v>maurices レディース クレッサ ロング スリーブ カーディガン</v>
      </c>
    </row>
    <row r="85" ht="15.75" customHeight="1">
      <c r="A85" s="1">
        <v>5754.0</v>
      </c>
      <c r="B85" s="1" t="s">
        <v>6</v>
      </c>
      <c r="C85" s="1" t="s">
        <v>87</v>
      </c>
      <c r="D85" s="1" t="str">
        <f>IFERROR(__xludf.DUMMYFUNCTION("CONCATENATE(GOOGLETRANSLATE(C85, ""en"", ""zh-cn""))
"),"时尚 Nova 男士暴君正装衬衫")</f>
        <v>时尚 Nova 男士暴君正装衬衫</v>
      </c>
      <c r="E85" s="1" t="str">
        <f>IFERROR(__xludf.DUMMYFUNCTION("CONCATENATE(GOOGLETRANSLATE(C85, ""en"", ""ko""))"),"패션 노바 남성 폭군 드레스 셔츠")</f>
        <v>패션 노바 남성 폭군 드레스 셔츠</v>
      </c>
      <c r="F85" s="1" t="str">
        <f>IFERROR(__xludf.DUMMYFUNCTION("CONCATENATE(GOOGLETRANSLATE(C85, ""en"", ""ja""))"),"Fashion Nova メンズ タイラント ドレス シャツ")</f>
        <v>Fashion Nova メンズ タイラント ドレス シャツ</v>
      </c>
    </row>
    <row r="86" ht="15.75" customHeight="1">
      <c r="A86" s="1">
        <v>5760.0</v>
      </c>
      <c r="B86" s="1" t="s">
        <v>6</v>
      </c>
      <c r="C86" s="1" t="s">
        <v>88</v>
      </c>
      <c r="D86" s="1" t="str">
        <f>IFERROR(__xludf.DUMMYFUNCTION("CONCATENATE(GOOGLETRANSLATE(C86, ""en"", ""zh-cn""))
"),"Fashion Nova 男士绉纱纽扣衬衫")</f>
        <v>Fashion Nova 男士绉纱纽扣衬衫</v>
      </c>
      <c r="E86" s="1" t="str">
        <f>IFERROR(__xludf.DUMMYFUNCTION("CONCATENATE(GOOGLETRANSLATE(C86, ""en"", ""ko""))"),"패션 노바 남성 크레이프 버튼 업 셔츠")</f>
        <v>패션 노바 남성 크레이프 버튼 업 셔츠</v>
      </c>
      <c r="F86" s="1" t="str">
        <f>IFERROR(__xludf.DUMMYFUNCTION("CONCATENATE(GOOGLETRANSLATE(C86, ""en"", ""ja""))"),"Fashion Nova メンズ クレープ ボタンアップ シャツ")</f>
        <v>Fashion Nova メンズ クレープ ボタンアップ シャツ</v>
      </c>
    </row>
    <row r="87" ht="15.75" customHeight="1">
      <c r="A87" s="1">
        <v>5763.0</v>
      </c>
      <c r="B87" s="1" t="s">
        <v>6</v>
      </c>
      <c r="C87" s="1" t="s">
        <v>89</v>
      </c>
      <c r="D87" s="1" t="str">
        <f>IFERROR(__xludf.DUMMYFUNCTION("CONCATENATE(GOOGLETRANSLATE(C87, ""en"", ""zh-cn""))
"),"男式华丽复古缎面纽扣衬衫")</f>
        <v>男式华丽复古缎面纽扣衬衫</v>
      </c>
      <c r="E87" s="1" t="str">
        <f>IFERROR(__xludf.DUMMYFUNCTION("CONCATENATE(GOOGLETRANSLATE(C87, ""en"", ""ko""))"),"남성용 화려한 레트로 새틴 버튼다운 셔츠")</f>
        <v>남성용 화려한 레트로 새틴 버튼다운 셔츠</v>
      </c>
      <c r="F87" s="1" t="str">
        <f>IFERROR(__xludf.DUMMYFUNCTION("CONCATENATE(GOOGLETRANSLATE(C87, ""en"", ""ja""))"),"メンズの派手なレトロサテンボタンダウンシャツ")</f>
        <v>メンズの派手なレトロサテンボタンダウンシャツ</v>
      </c>
    </row>
    <row r="88" ht="15.75" customHeight="1">
      <c r="A88" s="1">
        <v>5770.0</v>
      </c>
      <c r="B88" s="1" t="s">
        <v>6</v>
      </c>
      <c r="C88" s="1" t="s">
        <v>90</v>
      </c>
      <c r="D88" s="1" t="str">
        <f>IFERROR(__xludf.DUMMYFUNCTION("CONCATENATE(GOOGLETRANSLATE(C88, ""en"", ""zh-cn""))
"),"Azaro Uomo 男式商务几何长袖纽扣衬衫")</f>
        <v>Azaro Uomo 男式商务几何长袖纽扣衬衫</v>
      </c>
      <c r="E88" s="1" t="str">
        <f>IFERROR(__xludf.DUMMYFUNCTION("CONCATENATE(GOOGLETRANSLATE(C88, ""en"", ""ko""))"),"Azaro Uomo 남성 비즈니스 기하학 긴 소매 버튼 다운 셔츠")</f>
        <v>Azaro Uomo 남성 비즈니스 기하학 긴 소매 버튼 다운 셔츠</v>
      </c>
      <c r="F88" s="1" t="str">
        <f>IFERROR(__xludf.DUMMYFUNCTION("CONCATENATE(GOOGLETRANSLATE(C88, ""en"", ""ja""))"),"Azaro Uomo メンズ ビジネス ジオメトリック 長袖 ボタンダウン シャツ")</f>
        <v>Azaro Uomo メンズ ビジネス ジオメトリック 長袖 ボタンダウン シャツ</v>
      </c>
    </row>
    <row r="89" ht="15.75" customHeight="1">
      <c r="A89" s="1">
        <v>5778.0</v>
      </c>
      <c r="B89" s="1" t="s">
        <v>6</v>
      </c>
      <c r="C89" s="1" t="s">
        <v>91</v>
      </c>
      <c r="D89" s="1" t="str">
        <f>IFERROR(__xludf.DUMMYFUNCTION("CONCATENATE(GOOGLETRANSLATE(C89, ""en"", ""zh-cn""))
"),"耐克男士运动服 T 恤")</f>
        <v>耐克男士运动服 T 恤</v>
      </c>
      <c r="E89" s="1" t="str">
        <f>IFERROR(__xludf.DUMMYFUNCTION("CONCATENATE(GOOGLETRANSLATE(C89, ""en"", ""ko""))"),"나이키 남성 스포츠웨어 T 셔츠")</f>
        <v>나이키 남성 스포츠웨어 T 셔츠</v>
      </c>
      <c r="F89" s="1" t="str">
        <f>IFERROR(__xludf.DUMMYFUNCTION("CONCATENATE(GOOGLETRANSLATE(C89, ""en"", ""ja""))"),"ナイキ メンズ スポーツウェア T シャツ")</f>
        <v>ナイキ メンズ スポーツウェア T シャツ</v>
      </c>
    </row>
    <row r="90" ht="15.75" customHeight="1">
      <c r="A90" s="1">
        <v>5799.0</v>
      </c>
      <c r="B90" s="1" t="s">
        <v>6</v>
      </c>
      <c r="C90" s="1" t="s">
        <v>92</v>
      </c>
      <c r="D90" s="1" t="str">
        <f>IFERROR(__xludf.DUMMYFUNCTION("CONCATENATE(GOOGLETRANSLATE(C90, ""en"", ""zh-cn""))
"),"AOC N97 处理器笔记本电脑")</f>
        <v>AOC N97 处理器笔记本电脑</v>
      </c>
      <c r="E90" s="1" t="str">
        <f>IFERROR(__xludf.DUMMYFUNCTION("CONCATENATE(GOOGLETRANSLATE(C90, ""en"", ""ko""))"),"AOC N97 프로세서 노트북 컴퓨터")</f>
        <v>AOC N97 프로세서 노트북 컴퓨터</v>
      </c>
      <c r="F90" s="1" t="str">
        <f>IFERROR(__xludf.DUMMYFUNCTION("CONCATENATE(GOOGLETRANSLATE(C90, ""en"", ""ja""))"),"AOC N97 プロセッサ ラップトップ コンピュータ")</f>
        <v>AOC N97 プロセッサ ラップトップ コンピュータ</v>
      </c>
    </row>
    <row r="91" ht="15.75" customHeight="1">
      <c r="A91" s="1">
        <v>5837.0</v>
      </c>
      <c r="B91" s="1" t="s">
        <v>6</v>
      </c>
      <c r="C91" s="1" t="s">
        <v>93</v>
      </c>
      <c r="D91" s="1" t="str">
        <f>IFERROR(__xludf.DUMMYFUNCTION("CONCATENATE(GOOGLETRANSLATE(C91, ""en"", ""zh-cn""))
"),"Lifetechs 4 合 1 USB 笔记本电脑扩展坞")</f>
        <v>Lifetechs 4 合 1 USB 笔记本电脑扩展坞</v>
      </c>
      <c r="E91" s="1" t="str">
        <f>IFERROR(__xludf.DUMMYFUNCTION("CONCATENATE(GOOGLETRANSLATE(C91, ""en"", ""ko""))"),"Lifetechs 4-in-1 USB 노트북 도킹 스테이션")</f>
        <v>Lifetechs 4-in-1 USB 노트북 도킹 스테이션</v>
      </c>
      <c r="F91" s="1" t="str">
        <f>IFERROR(__xludf.DUMMYFUNCTION("CONCATENATE(GOOGLETRANSLATE(C91, ""en"", ""ja""))"),"Lifetechs 4-in-1 USB ラップトップ ドッキング ステーション")</f>
        <v>Lifetechs 4-in-1 USB ラップトップ ドッキング ステーション</v>
      </c>
    </row>
    <row r="92" ht="15.75" customHeight="1">
      <c r="A92" s="1">
        <v>5849.0</v>
      </c>
      <c r="B92" s="1" t="s">
        <v>6</v>
      </c>
      <c r="C92" s="1" t="s">
        <v>94</v>
      </c>
      <c r="D92" s="1" t="str">
        <f>IFERROR(__xludf.DUMMYFUNCTION("CONCATENATE(GOOGLETRANSLATE(C92, ""en"", ""zh-cn""))
"),"Higround Trailhead 65% 机械游戏键盘")</f>
        <v>Higround Trailhead 65% 机械游戏键盘</v>
      </c>
      <c r="E92" s="1" t="str">
        <f>IFERROR(__xludf.DUMMYFUNCTION("CONCATENATE(GOOGLETRANSLATE(C92, ""en"", ""ko""))"),"Higround Trailhead 65% 기계식 게이밍 키보드")</f>
        <v>Higround Trailhead 65% 기계식 게이밍 키보드</v>
      </c>
      <c r="F92" s="1" t="str">
        <f>IFERROR(__xludf.DUMMYFUNCTION("CONCATENATE(GOOGLETRANSLATE(C92, ""en"", ""ja""))"),"Higround Trailhead 65% メカニカル ゲーミング キーボード")</f>
        <v>Higround Trailhead 65% メカニカル ゲーミング キーボード</v>
      </c>
    </row>
    <row r="93" ht="15.75" customHeight="1">
      <c r="A93" s="1">
        <v>5920.0</v>
      </c>
      <c r="B93" s="1" t="s">
        <v>6</v>
      </c>
      <c r="C93" s="1" t="s">
        <v>95</v>
      </c>
      <c r="D93" s="1" t="str">
        <f>IFERROR(__xludf.DUMMYFUNCTION("CONCATENATE(GOOGLETRANSLATE(C93, ""en"", ""zh-cn""))
"),"Slickblue 便携式篮球筐系统")</f>
        <v>Slickblue 便携式篮球筐系统</v>
      </c>
      <c r="E93" s="1" t="str">
        <f>IFERROR(__xludf.DUMMYFUNCTION("CONCATENATE(GOOGLETRANSLATE(C93, ""en"", ""ko""))"),"Slickblue 휴대용 농구대 시스템")</f>
        <v>Slickblue 휴대용 농구대 시스템</v>
      </c>
      <c r="F93" s="1" t="str">
        <f>IFERROR(__xludf.DUMMYFUNCTION("CONCATENATE(GOOGLETRANSLATE(C93, ""en"", ""ja""))"),"Slickblue ポータブルバスケットボールフープシステム")</f>
        <v>Slickblue ポータブルバスケットボールフープシステム</v>
      </c>
    </row>
    <row r="94" ht="15.75" customHeight="1">
      <c r="A94" s="1">
        <v>5958.0</v>
      </c>
      <c r="B94" s="1" t="s">
        <v>6</v>
      </c>
      <c r="C94" s="1" t="s">
        <v>96</v>
      </c>
      <c r="D94" s="1" t="str">
        <f>IFERROR(__xludf.DUMMYFUNCTION("CONCATENATE(GOOGLETRANSLATE(C94, ""en"", ""zh-cn""))
"),"Invicta 男士 Reserve Gladiator 计时石英钻石手表")</f>
        <v>Invicta 男士 Reserve Gladiator 计时石英钻石手表</v>
      </c>
      <c r="E94" s="1" t="str">
        <f>IFERROR(__xludf.DUMMYFUNCTION("CONCATENATE(GOOGLETRANSLATE(C94, ""en"", ""ko""))"),"인빅타 남성용 리저브 글래디에이터 크로노그래프 쿼츠 다이아몬드 시계")</f>
        <v>인빅타 남성용 리저브 글래디에이터 크로노그래프 쿼츠 다이아몬드 시계</v>
      </c>
      <c r="F94" s="1" t="str">
        <f>IFERROR(__xludf.DUMMYFUNCTION("CONCATENATE(GOOGLETRANSLATE(C94, ""en"", ""ja""))"),"インヴィクタ メンズ リザーブ グラディエーター クロノグラフ クォーツ ダイヤモンド ウォッチ")</f>
        <v>インヴィクタ メンズ リザーブ グラディエーター クロノグラフ クォーツ ダイヤモンド ウォッチ</v>
      </c>
    </row>
    <row r="95" ht="15.75" customHeight="1">
      <c r="A95" s="1">
        <v>5977.0</v>
      </c>
      <c r="B95" s="1" t="s">
        <v>6</v>
      </c>
      <c r="C95" s="1" t="s">
        <v>97</v>
      </c>
      <c r="D95" s="1" t="str">
        <f>IFERROR(__xludf.DUMMYFUNCTION("CONCATENATE(GOOGLETRANSLATE(C95, ""en"", ""zh-cn""))
"),"Anne Klein 女士高级水晶手镯手表套装，玫瑰金和玫瑰金")</f>
        <v>Anne Klein 女士高级水晶手镯手表套装，玫瑰金和玫瑰金</v>
      </c>
      <c r="E95" s="1" t="str">
        <f>IFERROR(__xludf.DUMMYFUNCTION("CONCATENATE(GOOGLETRANSLATE(C95, ""en"", ""ko""))"),"Anne Klein 여성용 프리미엄 크리스탈 팔찌 시계 세트(로즈 및 로즈 골드)")</f>
        <v>Anne Klein 여성용 프리미엄 크리스탈 팔찌 시계 세트(로즈 및 로즈 골드)</v>
      </c>
      <c r="F95" s="1" t="str">
        <f>IFERROR(__xludf.DUMMYFUNCTION("CONCATENATE(GOOGLETRANSLATE(C95, ""en"", ""ja""))"),"Anne Klein レディース プレミアム クリスタル バングル ウォッチ セット (ローズとローズゴールド)")</f>
        <v>Anne Klein レディース プレミアム クリスタル バングル ウォッチ セット (ローズとローズゴールド)</v>
      </c>
    </row>
    <row r="96" ht="15.75" customHeight="1">
      <c r="A96" s="1">
        <v>5985.0</v>
      </c>
      <c r="B96" s="1" t="s">
        <v>6</v>
      </c>
      <c r="C96" s="1" t="s">
        <v>98</v>
      </c>
      <c r="D96" s="1" t="str">
        <f>IFERROR(__xludf.DUMMYFUNCTION("CONCATENATE(GOOGLETRANSLATE(C96, ""en"", ""zh-cn""))
"),"Montres Prestige x Invicta 男士手表")</f>
        <v>Montres Prestige x Invicta 男士手表</v>
      </c>
      <c r="E96" s="1" t="str">
        <f>IFERROR(__xludf.DUMMYFUNCTION("CONCATENATE(GOOGLETRANSLATE(C96, ""en"", ""ko""))"),"Montres Prestige x Invicta 남성용 시계")</f>
        <v>Montres Prestige x Invicta 남성용 시계</v>
      </c>
      <c r="F96" s="1" t="str">
        <f>IFERROR(__xludf.DUMMYFUNCTION("CONCATENATE(GOOGLETRANSLATE(C96, ""en"", ""ja""))"),"Montres Prestige x Invicta メンズ ウォッチ")</f>
        <v>Montres Prestige x Invicta メンズ ウォッチ</v>
      </c>
    </row>
    <row r="97" ht="15.75" customHeight="1">
      <c r="A97" s="1">
        <v>5992.0</v>
      </c>
      <c r="B97" s="1" t="s">
        <v>6</v>
      </c>
      <c r="C97" s="1" t="s">
        <v>99</v>
      </c>
      <c r="D97" s="1" t="str">
        <f>IFERROR(__xludf.DUMMYFUNCTION("CONCATENATE(GOOGLETRANSLATE(C97, ""en"", ""zh-cn""))
"),"Takfox 手机皮套 适用于三星 Galaxy S23 Ultra S23 Plus S22 S21 S20 Note 20+")</f>
        <v>Takfox 手机皮套 适用于三星 Galaxy S23 Ultra S23 Plus S22 S21 S20 Note 20+</v>
      </c>
      <c r="E97" s="1" t="str">
        <f>IFERROR(__xludf.DUMMYFUNCTION("CONCATENATE(GOOGLETRANSLATE(C97, ""en"", ""ko""))"),"삼성 갤럭시 S23 울트라 S23 플러스 S22 S21 S20 노트 20+용 Takfox 휴대폰 홀스터")</f>
        <v>삼성 갤럭시 S23 울트라 S23 플러스 S22 S21 S20 노트 20+용 Takfox 휴대폰 홀스터</v>
      </c>
      <c r="F97" s="1" t="str">
        <f>IFERROR(__xludf.DUMMYFUNCTION("CONCATENATE(GOOGLETRANSLATE(C97, ""en"", ""ja""))"),"Takfox 電話ホルスター Samsung Galaxy S23 Ultra S23 Plus S22 S21 S20 Note 20+用")</f>
        <v>Takfox 電話ホルスター Samsung Galaxy S23 Ultra S23 Plus S22 S21 S20 Note 20+用</v>
      </c>
    </row>
    <row r="98" ht="15.75" customHeight="1">
      <c r="A98" s="1">
        <v>5994.0</v>
      </c>
      <c r="B98" s="1" t="s">
        <v>6</v>
      </c>
      <c r="C98" s="1" t="s">
        <v>100</v>
      </c>
      <c r="D98" s="1" t="str">
        <f>IFERROR(__xludf.DUMMYFUNCTION("CONCATENATE(GOOGLETRANSLATE(C98, ""en"", ""zh-cn""))
"),"Mous 彩虹色手机壳（适用于 iPhone 16 Plus）")</f>
        <v>Mous 彩虹色手机壳（适用于 iPhone 16 Plus）</v>
      </c>
      <c r="E98" s="1" t="str">
        <f>IFERROR(__xludf.DUMMYFUNCTION("CONCATENATE(GOOGLETRANSLATE(C98, ""en"", ""ko""))"),"iPhone 16 Plus용 Mous 무지개빛 휴대폰 케이스")</f>
        <v>iPhone 16 Plus용 Mous 무지개빛 휴대폰 케이스</v>
      </c>
      <c r="F98" s="1" t="str">
        <f>IFERROR(__xludf.DUMMYFUNCTION("CONCATENATE(GOOGLETRANSLATE(C98, ""en"", ""ja""))"),"Mous 虹色電話ケース iPhone 16 Plus用")</f>
        <v>Mous 虹色電話ケース iPhone 16 Plus用</v>
      </c>
    </row>
    <row r="99" ht="15.75" customHeight="1">
      <c r="A99" s="1">
        <v>6004.0</v>
      </c>
      <c r="B99" s="1" t="s">
        <v>6</v>
      </c>
      <c r="C99" s="1" t="s">
        <v>101</v>
      </c>
      <c r="D99" s="1" t="str">
        <f>IFERROR(__xludf.DUMMYFUNCTION("CONCATENATE(GOOGLETRANSLATE(C99, ""en"", ""zh-cn""))
"),"EOQIFJM 通用手机支架")</f>
        <v>EOQIFJM 通用手机支架</v>
      </c>
      <c r="E99" s="1" t="str">
        <f>IFERROR(__xludf.DUMMYFUNCTION("CONCATENATE(GOOGLETRANSLATE(C99, ""en"", ""ko""))"),"EOQIFJM 범용 휴대폰 스탠드")</f>
        <v>EOQIFJM 범용 휴대폰 스탠드</v>
      </c>
      <c r="F99" s="1" t="str">
        <f>IFERROR(__xludf.DUMMYFUNCTION("CONCATENATE(GOOGLETRANSLATE(C99, ""en"", ""ja""))"),"EOQIFJM ユニバーサル携帯電話スタンド")</f>
        <v>EOQIFJM ユニバーサル携帯電話スタンド</v>
      </c>
    </row>
    <row r="100" ht="15.75" customHeight="1">
      <c r="A100" s="1">
        <v>6005.0</v>
      </c>
      <c r="B100" s="1" t="s">
        <v>6</v>
      </c>
      <c r="C100" s="1" t="s">
        <v>102</v>
      </c>
      <c r="D100" s="1" t="str">
        <f>IFERROR(__xludf.DUMMYFUNCTION("CONCATENATE(GOOGLETRANSLATE(C100, ""en"", ""zh-cn""))
"),"LOVEHANDLE 通用手机手柄，适用于智能手机和迷你平板电脑 - 手持手机支架 - 兼容无线充电 - 美国制造 - 实心")</f>
        <v>LOVEHANDLE 通用手机手柄，适用于智能手机和迷你平板电脑 - 手持手机支架 - 兼容无线充电 - 美国制造 - 实心</v>
      </c>
      <c r="E100" s="1" t="str">
        <f>IFERROR(__xludf.DUMMYFUNCTION("CONCATENATE(GOOGLETRANSLATE(C100, ""en"", ""ko""))"),"LOVEHANDLE 스마트폰 및 미니 태블릿용 범용 휴대폰 그립 - 손용 휴대폰 홀더 - 무선 충전 호환 - 미국산 - 솔리드")</f>
        <v>LOVEHANDLE 스마트폰 및 미니 태블릿용 범용 휴대폰 그립 - 손용 휴대폰 홀더 - 무선 충전 호환 - 미국산 - 솔리드</v>
      </c>
      <c r="F100" s="1" t="str">
        <f>IFERROR(__xludf.DUMMYFUNCTION("CONCATENATE(GOOGLETRANSLATE(C100, ""en"", ""ja""))"),"LOVEHANDLE スマートフォン &amp; ミニタブレット用ユニバーサル電話グリップ - 手持ち用電話ホルダー - ワイヤレス充電対応 - 米国製 - ソリッド")</f>
        <v>LOVEHANDLE スマートフォン &amp; ミニタブレット用ユニバーサル電話グリップ - 手持ち用電話ホルダー - ワイヤレス充電対応 - 米国製 - ソリッド</v>
      </c>
    </row>
    <row r="101" ht="15.75" customHeight="1">
      <c r="A101" s="1">
        <v>6065.0</v>
      </c>
      <c r="B101" s="1" t="s">
        <v>6</v>
      </c>
      <c r="C101" s="1" t="s">
        <v>103</v>
      </c>
      <c r="D101" s="1" t="str">
        <f>IFERROR(__xludf.DUMMYFUNCTION("CONCATENATE(GOOGLETRANSLATE(C101, ""en"", ""zh-cn""))
"),"Dreo Smart PolyFan 513S 空气循环风扇")</f>
        <v>Dreo Smart PolyFan 513S 空气循环风扇</v>
      </c>
      <c r="E101" s="1" t="str">
        <f>IFERROR(__xludf.DUMMYFUNCTION("CONCATENATE(GOOGLETRANSLATE(C101, ""en"", ""ko""))"),"Dreo Smart PolyFan 513S 공기 순환 팬")</f>
        <v>Dreo Smart PolyFan 513S 공기 순환 팬</v>
      </c>
      <c r="F101" s="1" t="str">
        <f>IFERROR(__xludf.DUMMYFUNCTION("CONCATENATE(GOOGLETRANSLATE(C101, ""en"", ""ja""))"),"Dreo Smart PolyFan 513S エアサーキュレーターファン")</f>
        <v>Dreo Smart PolyFan 513S エアサーキュレーターファン</v>
      </c>
    </row>
    <row r="102" ht="15.75" customHeight="1">
      <c r="A102" s="1">
        <v>6070.0</v>
      </c>
      <c r="B102" s="1" t="s">
        <v>6</v>
      </c>
      <c r="C102" s="1" t="s">
        <v>104</v>
      </c>
      <c r="D102" s="1" t="str">
        <f>IFERROR(__xludf.DUMMYFUNCTION("CONCATENATE(GOOGLETRANSLATE(C102, ""en"", ""zh-cn""))
"),"Smeg Estetica 50 年代风格过滤咖啡机")</f>
        <v>Smeg Estetica 50 年代风格过滤咖啡机</v>
      </c>
      <c r="E102" s="1" t="str">
        <f>IFERROR(__xludf.DUMMYFUNCTION("CONCATENATE(GOOGLETRANSLATE(C102, ""en"", ""ko""))"),"Smeg Estetica 50년대 스타일 필터 커피 머신")</f>
        <v>Smeg Estetica 50년대 스타일 필터 커피 머신</v>
      </c>
      <c r="F102" s="1" t="str">
        <f>IFERROR(__xludf.DUMMYFUNCTION("CONCATENATE(GOOGLETRANSLATE(C102, ""en"", ""ja""))"),"Smeg Estetica 50 年代スタイルのフィルターコーヒーマシン")</f>
        <v>Smeg Estetica 50 年代スタイルのフィルターコーヒーマシン</v>
      </c>
    </row>
    <row r="103" ht="15.75" customHeight="1">
      <c r="A103" s="1">
        <v>6089.0</v>
      </c>
      <c r="B103" s="1" t="s">
        <v>6</v>
      </c>
      <c r="C103" s="1" t="s">
        <v>105</v>
      </c>
      <c r="D103" s="1" t="str">
        <f>IFERROR(__xludf.DUMMYFUNCTION("CONCATENATE(GOOGLETRANSLATE(C103, ""en"", ""zh-cn""))
"),"OGX 浓稠全生物素胶原蛋白洗发水")</f>
        <v>OGX 浓稠全生物素胶原蛋白洗发水</v>
      </c>
      <c r="E103" s="1" t="str">
        <f>IFERROR(__xludf.DUMMYFUNCTION("CONCATENATE(GOOGLETRANSLATE(C103, ""en"", ""ko""))"),"OGX 씨크 풀 비오틴 콜라겐 샴푸")</f>
        <v>OGX 씨크 풀 비오틴 콜라겐 샴푸</v>
      </c>
      <c r="F103" s="1" t="str">
        <f>IFERROR(__xludf.DUMMYFUNCTION("CONCATENATE(GOOGLETRANSLATE(C103, ""en"", ""ja""))"),"OGX 濃厚フルビオチンコラーゲンシャンプー")</f>
        <v>OGX 濃厚フルビオチンコラーゲンシャンプー</v>
      </c>
    </row>
    <row r="104" ht="15.75" customHeight="1">
      <c r="A104" s="1">
        <v>6116.0</v>
      </c>
      <c r="B104" s="1" t="s">
        <v>6</v>
      </c>
      <c r="C104" s="1" t="s">
        <v>106</v>
      </c>
      <c r="D104" s="1" t="str">
        <f>IFERROR(__xludf.DUMMYFUNCTION("CONCATENATE(GOOGLETRANSLATE(C104, ""en"", ""zh-cn""))
"),"Eva NYC Take Care 健康洗发水")</f>
        <v>Eva NYC Take Care 健康洗发水</v>
      </c>
      <c r="E104" s="1" t="str">
        <f>IFERROR(__xludf.DUMMYFUNCTION("CONCATENATE(GOOGLETRANSLATE(C104, ""en"", ""ko""))"),"Eva NYC 테이크 케어 헬시 헤어 샴푸")</f>
        <v>Eva NYC 테이크 케어 헬시 헤어 샴푸</v>
      </c>
      <c r="F104" s="1" t="str">
        <f>IFERROR(__xludf.DUMMYFUNCTION("CONCATENATE(GOOGLETRANSLATE(C104, ""en"", ""ja""))"),"エヴァ NYC テイク ケア ヘルシー ヘア シャンプー")</f>
        <v>エヴァ NYC テイク ケア ヘルシー ヘア シャンプー</v>
      </c>
    </row>
    <row r="105" ht="15.75" customHeight="1">
      <c r="A105" s="1">
        <v>6130.0</v>
      </c>
      <c r="B105" s="1" t="s">
        <v>6</v>
      </c>
      <c r="C105" s="1" t="s">
        <v>107</v>
      </c>
      <c r="D105" s="1" t="str">
        <f>IFERROR(__xludf.DUMMYFUNCTION("CONCATENATE(GOOGLETRANSLATE(C105, ""en"", ""zh-cn""))
"),"Hair Therapy Australia 浓密洗发水和护发素套装")</f>
        <v>Hair Therapy Australia 浓密洗发水和护发素套装</v>
      </c>
      <c r="E105" s="1" t="str">
        <f>IFERROR(__xludf.DUMMYFUNCTION("CONCATENATE(GOOGLETRANSLATE(C105, ""en"", ""ko""))"),"헤어 테라피 오스트레일리아 틱 &amp; 풀 샴푸 &amp; 컨디셔너 세트")</f>
        <v>헤어 테라피 오스트레일리아 틱 &amp; 풀 샴푸 &amp; 컨디셔너 세트</v>
      </c>
      <c r="F105" s="1" t="str">
        <f>IFERROR(__xludf.DUMMYFUNCTION("CONCATENATE(GOOGLETRANSLATE(C105, ""en"", ""ja""))"),"ヘア セラピー オーストラリア シック &amp; フル シャンプー &amp; コンディショナー セット")</f>
        <v>ヘア セラピー オーストラリア シック &amp; フル シャンプー &amp; コンディショナー セット</v>
      </c>
    </row>
    <row r="106" ht="15.75" customHeight="1">
      <c r="A106" s="1">
        <v>6136.0</v>
      </c>
      <c r="B106" s="1" t="s">
        <v>6</v>
      </c>
      <c r="C106" s="1" t="s">
        <v>108</v>
      </c>
      <c r="D106" s="1" t="str">
        <f>IFERROR(__xludf.DUMMYFUNCTION("CONCATENATE(GOOGLETRANSLATE(C106, ""en"", ""zh-cn""))
"),"HealthKart HK Vitals 健康头发复合维生素生物素洗发水和护发素组合")</f>
        <v>HealthKart HK Vitals 健康头发复合维生素生物素洗发水和护发素组合</v>
      </c>
      <c r="E106" s="1" t="str">
        <f>IFERROR(__xludf.DUMMYFUNCTION("CONCATENATE(GOOGLETRANSLATE(C106, ""en"", ""ko""))"),"HealthKart HK Vitals 건강한 모발 종합비타민 비오틴 샴푸 &amp; 컨디셔너 콤보")</f>
        <v>HealthKart HK Vitals 건강한 모발 종합비타민 비오틴 샴푸 &amp; 컨디셔너 콤보</v>
      </c>
      <c r="F106" s="1" t="str">
        <f>IFERROR(__xludf.DUMMYFUNCTION("CONCATENATE(GOOGLETRANSLATE(C106, ""en"", ""ja""))"),"HealthKart HK Vitals ヘルシーヘア マルチビタミン ビオチン シャンプー &amp; コンディショナー コンボ")</f>
        <v>HealthKart HK Vitals ヘルシーヘア マルチビタミン ビオチン シャンプー &amp; コンディショナー コンボ</v>
      </c>
    </row>
    <row r="107" ht="15.75" customHeight="1">
      <c r="A107" s="1">
        <v>6139.0</v>
      </c>
      <c r="B107" s="1" t="s">
        <v>6</v>
      </c>
      <c r="C107" s="1" t="s">
        <v>109</v>
      </c>
      <c r="D107" s="1" t="str">
        <f>IFERROR(__xludf.DUMMYFUNCTION("CONCATENATE(GOOGLETRANSLATE(C107, ""en"", ""zh-cn""))
"),"Clinic Plus + 天然强效草药提取物健康洗发水")</f>
        <v>Clinic Plus + 天然强效草药提取物健康洗发水</v>
      </c>
      <c r="E107" s="1" t="str">
        <f>IFERROR(__xludf.DUMMYFUNCTION("CONCATENATE(GOOGLETRANSLATE(C107, ""en"", ""ko""))"),"클리닉 플러스 + 허브 추출물이 함유된 내추럴 스트롱 헬스 샴푸")</f>
        <v>클리닉 플러스 + 허브 추출물이 함유된 내추럴 스트롱 헬스 샴푸</v>
      </c>
      <c r="F107" s="1" t="str">
        <f>IFERROR(__xludf.DUMMYFUNCTION("CONCATENATE(GOOGLETRANSLATE(C107, ""en"", ""ja""))"),"Clinic Plus + ハーブエキス配合の自然に強い健康シャンプー")</f>
        <v>Clinic Plus + ハーブエキス配合の自然に強い健康シャンプー</v>
      </c>
    </row>
    <row r="108" ht="15.75" customHeight="1">
      <c r="A108" s="1">
        <v>6142.0</v>
      </c>
      <c r="B108" s="1" t="s">
        <v>6</v>
      </c>
      <c r="C108" s="1" t="s">
        <v>110</v>
      </c>
      <c r="D108" s="1" t="str">
        <f>IFERROR(__xludf.DUMMYFUNCTION("CONCATENATE(GOOGLETRANSLATE(C108, ""en"", ""zh-cn""))
"),"Dabur Vatika 健康洗发水")</f>
        <v>Dabur Vatika 健康洗发水</v>
      </c>
      <c r="E108" s="1" t="str">
        <f>IFERROR(__xludf.DUMMYFUNCTION("CONCATENATE(GOOGLETRANSLATE(C108, ""en"", ""ko""))"),"다부르 바티카 헬스 샴푸")</f>
        <v>다부르 바티카 헬스 샴푸</v>
      </c>
      <c r="F108" s="1" t="str">
        <f>IFERROR(__xludf.DUMMYFUNCTION("CONCATENATE(GOOGLETRANSLATE(C108, ""en"", ""ja""))"),"ダブール ヴァティカ ヘルス シャンプー")</f>
        <v>ダブール ヴァティカ ヘルス シャンプー</v>
      </c>
    </row>
    <row r="109" ht="15.75" customHeight="1">
      <c r="A109" s="1">
        <v>6146.0</v>
      </c>
      <c r="B109" s="1" t="s">
        <v>6</v>
      </c>
      <c r="C109" s="1" t="s">
        <v>111</v>
      </c>
      <c r="D109" s="1" t="str">
        <f>IFERROR(__xludf.DUMMYFUNCTION("CONCATENATE(GOOGLETRANSLATE(C109, ""en"", ""zh-cn""))
"),"OGX 浓稠全生物素胶原蛋白护发素")</f>
        <v>OGX 浓稠全生物素胶原蛋白护发素</v>
      </c>
      <c r="E109" s="1" t="str">
        <f>IFERROR(__xludf.DUMMYFUNCTION("CONCATENATE(GOOGLETRANSLATE(C109, ""en"", ""ko""))"),"OGX 씨크 풀 비오틴 콜라겐 컨디셔너")</f>
        <v>OGX 씨크 풀 비오틴 콜라겐 컨디셔너</v>
      </c>
      <c r="F109" s="1" t="str">
        <f>IFERROR(__xludf.DUMMYFUNCTION("CONCATENATE(GOOGLETRANSLATE(C109, ""en"", ""ja""))"),"OGX 濃厚フルビオチンコラーゲンコンディショナー")</f>
        <v>OGX 濃厚フルビオチンコラーゲンコンディショナー</v>
      </c>
    </row>
    <row r="110" ht="15.75" customHeight="1">
      <c r="A110" s="1">
        <v>6161.0</v>
      </c>
      <c r="B110" s="1" t="s">
        <v>6</v>
      </c>
      <c r="C110" s="1" t="s">
        <v>112</v>
      </c>
      <c r="D110" s="1" t="str">
        <f>IFERROR(__xludf.DUMMYFUNCTION("CONCATENATE(GOOGLETRANSLATE(C110, ""en"", ""zh-cn""))
"),"当我和你在一起时")</f>
        <v>当我和你在一起时</v>
      </c>
      <c r="E110" s="1" t="str">
        <f>IFERROR(__xludf.DUMMYFUNCTION("CONCATENATE(GOOGLETRANSLATE(C110, ""en"", ""ko""))"),"내가 당신과 함께 있을 때")</f>
        <v>내가 당신과 함께 있을 때</v>
      </c>
      <c r="F110" s="1" t="str">
        <f>IFERROR(__xludf.DUMMYFUNCTION("CONCATENATE(GOOGLETRANSLATE(C110, ""en"", ""ja""))"),"あなたと一緒にいるとき")</f>
        <v>あなたと一緒にいるとき</v>
      </c>
    </row>
    <row r="111" ht="15.75" customHeight="1">
      <c r="A111" s="1">
        <v>6169.0</v>
      </c>
      <c r="B111" s="1" t="s">
        <v>6</v>
      </c>
      <c r="C111" s="1" t="s">
        <v>113</v>
      </c>
      <c r="D111" s="1" t="str">
        <f>IFERROR(__xludf.DUMMYFUNCTION("CONCATENATE(GOOGLETRANSLATE(C111, ""en"", ""zh-cn""))
"),"不稳定：小说")</f>
        <v>不稳定：小说</v>
      </c>
      <c r="E111" s="1" t="str">
        <f>IFERROR(__xludf.DUMMYFUNCTION("CONCATENATE(GOOGLETRANSLATE(C111, ""en"", ""ko""))"),"불안정한: 소설")</f>
        <v>불안정한: 소설</v>
      </c>
      <c r="F111" s="1" t="str">
        <f>IFERROR(__xludf.DUMMYFUNCTION("CONCATENATE(GOOGLETRANSLATE(C111, ""en"", ""ja""))"),"不安定: 小説")</f>
        <v>不安定: 小説</v>
      </c>
    </row>
    <row r="112" ht="15.75" customHeight="1">
      <c r="A112" s="1">
        <v>6193.0</v>
      </c>
      <c r="B112" s="1" t="s">
        <v>6</v>
      </c>
      <c r="C112" s="1" t="s">
        <v>114</v>
      </c>
      <c r="D112" s="1" t="str">
        <f>IFERROR(__xludf.DUMMYFUNCTION("CONCATENATE(GOOGLETRANSLATE(C112, ""en"", ""zh-cn""))
"),"布拉西亚·卡拉马佐夫")</f>
        <v>布拉西亚·卡拉马佐夫</v>
      </c>
      <c r="E112" s="1" t="str">
        <f>IFERROR(__xludf.DUMMYFUNCTION("CONCATENATE(GOOGLETRANSLATE(C112, ""en"", ""ko""))"),"브라시아 카라마조프")</f>
        <v>브라시아 카라마조프</v>
      </c>
      <c r="F112" s="1" t="str">
        <f>IFERROR(__xludf.DUMMYFUNCTION("CONCATENATE(GOOGLETRANSLATE(C112, ""en"", ""ja""))"),"ブラキア・カラマゾフ")</f>
        <v>ブラキア・カラマゾフ</v>
      </c>
    </row>
    <row r="113" ht="15.75" customHeight="1">
      <c r="A113" s="1">
        <v>6200.0</v>
      </c>
      <c r="B113" s="1" t="s">
        <v>6</v>
      </c>
      <c r="C113" s="1" t="s">
        <v>115</v>
      </c>
      <c r="D113" s="1" t="str">
        <f>IFERROR(__xludf.DUMMYFUNCTION("CONCATENATE(GOOGLETRANSLATE(C113, ""en"", ""zh-cn""))
"),"收割日出（饥饿游戏小说）")</f>
        <v>收割日出（饥饿游戏小说）</v>
      </c>
      <c r="E113" s="1" t="str">
        <f>IFERROR(__xludf.DUMMYFUNCTION("CONCATENATE(GOOGLETRANSLATE(C113, ""en"", ""ko""))"),"수확의 일출(헝거 게임 소설)")</f>
        <v>수확의 일출(헝거 게임 소설)</v>
      </c>
      <c r="F113" s="1" t="str">
        <f>IFERROR(__xludf.DUMMYFUNCTION("CONCATENATE(GOOGLETRANSLATE(C113, ""en"", ""ja""))"),"刈り取りの日の出 (ハンガー ゲーム小説)")</f>
        <v>刈り取りの日の出 (ハンガー ゲーム小説)</v>
      </c>
    </row>
    <row r="114" ht="15.75" customHeight="1">
      <c r="A114" s="1">
        <v>6206.0</v>
      </c>
      <c r="B114" s="1" t="s">
        <v>6</v>
      </c>
      <c r="C114" s="1" t="s">
        <v>116</v>
      </c>
      <c r="D114" s="1" t="str">
        <f>IFERROR(__xludf.DUMMYFUNCTION("CONCATENATE(GOOGLETRANSLATE(C114, ""en"", ""zh-cn""))
"),"人工智能电子书的成功：通过秘密技巧扩大读者群")</f>
        <v>人工智能电子书的成功：通过秘密技巧扩大读者群</v>
      </c>
      <c r="E114" s="1" t="str">
        <f>IFERROR(__xludf.DUMMYFUNCTION("CONCATENATE(GOOGLETRANSLATE(C114, ""en"", ""ko""))"),"AI를 통한 전자책 성공: 비밀 팁으로 독자층을 확대하세요")</f>
        <v>AI를 통한 전자책 성공: 비밀 팁으로 독자층을 확대하세요</v>
      </c>
      <c r="F114" s="1" t="str">
        <f>IFERROR(__xludf.DUMMYFUNCTION("CONCATENATE(GOOGLETRANSLATE(C114, ""en"", ""ja""))"),"AI で電子書籍を成功させる : 秘密のヒントで読者数を増やす")</f>
        <v>AI で電子書籍を成功させる : 秘密のヒントで読者数を増やす</v>
      </c>
    </row>
    <row r="115" ht="15.75" customHeight="1">
      <c r="A115" s="1">
        <v>6214.0</v>
      </c>
      <c r="B115" s="1" t="s">
        <v>6</v>
      </c>
      <c r="C115" s="1" t="s">
        <v>117</v>
      </c>
      <c r="D115" s="1" t="str">
        <f>IFERROR(__xludf.DUMMYFUNCTION("CONCATENATE(GOOGLETRANSLATE(C115, ""en"", ""zh-cn""))
"),"如果他和我在一起[电子书]")</f>
        <v>如果他和我在一起[电子书]</v>
      </c>
      <c r="E115" s="1" t="str">
        <f>IFERROR(__xludf.DUMMYFUNCTION("CONCATENATE(GOOGLETRANSLATE(C115, ""en"", ""ko""))"),"그 사람이 나와 함께 있었다면 [전자책]")</f>
        <v>그 사람이 나와 함께 있었다면 [전자책]</v>
      </c>
      <c r="F115" s="1" t="str">
        <f>IFERROR(__xludf.DUMMYFUNCTION("CONCATENATE(GOOGLETRANSLATE(C115, ""en"", ""ja""))"),"もし彼が私と一緒にいたら [電子書籍]")</f>
        <v>もし彼が私と一緒にいたら [電子書籍]</v>
      </c>
    </row>
    <row r="116" ht="15.75" customHeight="1">
      <c r="A116" s="1">
        <v>6239.0</v>
      </c>
      <c r="B116" s="1" t="s">
        <v>6</v>
      </c>
      <c r="C116" s="1" t="s">
        <v>118</v>
      </c>
      <c r="D116" s="1" t="str">
        <f>IFERROR(__xludf.DUMMYFUNCTION("CONCATENATE(GOOGLETRANSLATE(C116, ""en"", ""zh-cn""))
"),"Apple 礼品卡 - App Store、iTunes、iPhone、iPad、AirPods、MacBook、配件等 (eGift)")</f>
        <v>Apple 礼品卡 - App Store、iTunes、iPhone、iPad、AirPods、MacBook、配件等 (eGift)</v>
      </c>
      <c r="E116" s="1" t="str">
        <f>IFERROR(__xludf.DUMMYFUNCTION("CONCATENATE(GOOGLETRANSLATE(C116, ""en"", ""ko""))"),"Apple 기프트 카드 - App Store, iTunes, iPhone, iPad, AirPods, MacBook, 액세서리 등(eGift)")</f>
        <v>Apple 기프트 카드 - App Store, iTunes, iPhone, iPad, AirPods, MacBook, 액세서리 등(eGift)</v>
      </c>
      <c r="F116" s="1" t="str">
        <f>IFERROR(__xludf.DUMMYFUNCTION("CONCATENATE(GOOGLETRANSLATE(C116, ""en"", ""ja""))"),"Apple ギフトカード - App Store、iTunes、iPhone、iPad、AirPods、MacBook、アクセサリなど (eギフト)")</f>
        <v>Apple ギフトカード - App Store、iTunes、iPhone、iPad、AirPods、MacBook、アクセサリなど (eギフト)</v>
      </c>
    </row>
    <row r="117" ht="15.75" customHeight="1">
      <c r="A117" s="1">
        <v>6255.0</v>
      </c>
      <c r="B117" s="1" t="s">
        <v>6</v>
      </c>
      <c r="C117" s="1" t="s">
        <v>119</v>
      </c>
      <c r="D117" s="1" t="str">
        <f>IFERROR(__xludf.DUMMYFUNCTION("CONCATENATE(GOOGLETRANSLATE(C117, ""en"", ""zh-cn""))
"),"使用美元硬币购买 Apple 礼品卡 - 价值 50 美元")</f>
        <v>使用美元硬币购买 Apple 礼品卡 - 价值 50 美元</v>
      </c>
      <c r="E117" s="1" t="str">
        <f>IFERROR(__xludf.DUMMYFUNCTION("CONCATENATE(GOOGLETRANSLATE(C117, ""en"", ""ko""))"),"USD 코인으로 Apple 기프트 카드 구매 - 가치 50 USD")</f>
        <v>USD 코인으로 Apple 기프트 카드 구매 - 가치 50 USD</v>
      </c>
      <c r="F117" s="1" t="str">
        <f>IFERROR(__xludf.DUMMYFUNCTION("CONCATENATE(GOOGLETRANSLATE(C117, ""en"", ""ja""))"),"Apple ギフトカードを USD コインで購入 - 価値 50 USD")</f>
        <v>Apple ギフトカードを USD コインで購入 - 価値 50 USD</v>
      </c>
    </row>
    <row r="118" ht="15.75" customHeight="1">
      <c r="A118" s="1">
        <v>6258.0</v>
      </c>
      <c r="B118" s="1" t="s">
        <v>6</v>
      </c>
      <c r="C118" s="1" t="s">
        <v>120</v>
      </c>
      <c r="D118" s="1" t="str">
        <f>IFERROR(__xludf.DUMMYFUNCTION("CONCATENATE(GOOGLETRANSLATE(C118, ""en"", ""zh-cn""))
"),"500 美元美国 Apple 礼品卡（电子邮件发送）|卡片递送")</f>
        <v>500 美元美国 Apple 礼品卡（电子邮件发送）|卡片递送</v>
      </c>
      <c r="E118" s="1" t="str">
        <f>IFERROR(__xludf.DUMMYFUNCTION("CONCATENATE(GOOGLETRANSLATE(C118, ""en"", ""ko""))"),"$500 미국 Apple 기프트 카드(이메일 배송) | 카드 배송")</f>
        <v>$500 미국 Apple 기프트 카드(이메일 배송) | 카드 배송</v>
      </c>
      <c r="F118" s="1" t="str">
        <f>IFERROR(__xludf.DUMMYFUNCTION("CONCATENATE(GOOGLETRANSLATE(C118, ""en"", ""ja""))"),"$500 米国 Apple ギフト カード (電子メール配信) |カードの配送")</f>
        <v>$500 米国 Apple ギフト カード (電子メール配信) |カードの配送</v>
      </c>
    </row>
    <row r="119" ht="15.75" customHeight="1">
      <c r="A119" s="1">
        <v>6291.0</v>
      </c>
      <c r="B119" s="1" t="s">
        <v>6</v>
      </c>
      <c r="C119" s="1" t="s">
        <v>121</v>
      </c>
      <c r="D119" s="1" t="str">
        <f>IFERROR(__xludf.DUMMYFUNCTION("CONCATENATE(GOOGLETRANSLATE(C119, ""en"", ""zh-cn""))
"),"刺客信条：暗影 - 索尼 PlayStation 5 [数字下载]")</f>
        <v>刺客信条：暗影 - 索尼 PlayStation 5 [数字下载]</v>
      </c>
      <c r="E119" s="1" t="str">
        <f>IFERROR(__xludf.DUMMYFUNCTION("CONCATENATE(GOOGLETRANSLATE(C119, ""en"", ""ko""))"),"Assassin's Creed Shadows - Sony PlayStation 5 [디지털 다운로드]")</f>
        <v>Assassin's Creed Shadows - Sony PlayStation 5 [디지털 다운로드]</v>
      </c>
      <c r="F119" s="1" t="str">
        <f>IFERROR(__xludf.DUMMYFUNCTION("CONCATENATE(GOOGLETRANSLATE(C119, ""en"", ""ja""))"),"アサシン クリード シャドウズ - Sony PlayStation 5 [デジタル ダウンロード]")</f>
        <v>アサシン クリード シャドウズ - Sony PlayStation 5 [デジタル ダウンロード]</v>
      </c>
    </row>
    <row r="120" ht="15.75" customHeight="1">
      <c r="A120" s="1">
        <v>6322.0</v>
      </c>
      <c r="B120" s="1" t="s">
        <v>6</v>
      </c>
      <c r="C120" s="1" t="s">
        <v>122</v>
      </c>
      <c r="D120" s="1" t="str">
        <f>IFERROR(__xludf.DUMMYFUNCTION("CONCATENATE(GOOGLETRANSLATE(C120, ""en"", ""zh-cn""))
"),"Nintendo Switch 在线扩展包")</f>
        <v>Nintendo Switch 在线扩展包</v>
      </c>
      <c r="E120" s="1" t="str">
        <f>IFERROR(__xludf.DUMMYFUNCTION("CONCATENATE(GOOGLETRANSLATE(C120, ""en"", ""ko""))"),"Nintendo Switch 온라인 확장팩")</f>
        <v>Nintendo Switch 온라인 확장팩</v>
      </c>
      <c r="F120" s="1" t="str">
        <f>IFERROR(__xludf.DUMMYFUNCTION("CONCATENATE(GOOGLETRANSLATE(C120, ""en"", ""ja""))"),"Nintendo Switch Online 拡張パック")</f>
        <v>Nintendo Switch Online 拡張パック</v>
      </c>
    </row>
    <row r="121" ht="15.75" customHeight="1">
      <c r="A121" s="1">
        <v>6328.0</v>
      </c>
      <c r="B121" s="1" t="s">
        <v>6</v>
      </c>
      <c r="C121" s="1" t="s">
        <v>123</v>
      </c>
      <c r="D121" s="1" t="str">
        <f>IFERROR(__xludf.DUMMYFUNCTION("CONCATENATE(GOOGLETRANSLATE(C121, ""en"", ""zh-cn""))
"),"任天堂 eShop 路易吉礼品卡")</f>
        <v>任天堂 eShop 路易吉礼品卡</v>
      </c>
      <c r="E121" s="1" t="str">
        <f>IFERROR(__xludf.DUMMYFUNCTION("CONCATENATE(GOOGLETRANSLATE(C121, ""en"", ""ko""))"),"Nintendo eShop 루이지 기프트 카드")</f>
        <v>Nintendo eShop 루이지 기프트 카드</v>
      </c>
      <c r="F121" s="1" t="str">
        <f>IFERROR(__xludf.DUMMYFUNCTION("CONCATENATE(GOOGLETRANSLATE(C121, ""en"", ""ja""))"),"ニンテンドーeショップ ルイージ ギフトカード")</f>
        <v>ニンテンドーeショップ ルイージ ギフトカード</v>
      </c>
    </row>
    <row r="122" ht="15.75" customHeight="1">
      <c r="A122" s="1">
        <v>6356.0</v>
      </c>
      <c r="B122" s="1" t="s">
        <v>6</v>
      </c>
      <c r="C122" s="1" t="s">
        <v>124</v>
      </c>
      <c r="D122" s="1" t="str">
        <f>IFERROR(__xludf.DUMMYFUNCTION("CONCATENATE(GOOGLETRANSLATE(C122, ""en"", ""zh-cn""))
"),"阿迪达斯 (adidas) 女式 Farm Tiro 运动裤")</f>
        <v>阿迪达斯 (adidas) 女式 Farm Tiro 运动裤</v>
      </c>
      <c r="E122" s="1" t="str">
        <f>IFERROR(__xludf.DUMMYFUNCTION("CONCATENATE(GOOGLETRANSLATE(C122, ""en"", ""ko""))"),"adidas 여성용 팜 티로 트랙팬츠")</f>
        <v>adidas 여성용 팜 티로 트랙팬츠</v>
      </c>
      <c r="F122" s="1" t="str">
        <f>IFERROR(__xludf.DUMMYFUNCTION("CONCATENATE(GOOGLETRANSLATE(C122, ""en"", ""ja""))"),"アディダス レディース ファーム ティロ トラック パンツ")</f>
        <v>アディダス レディース ファーム ティロ トラック パンツ</v>
      </c>
    </row>
    <row r="123" ht="15.75" customHeight="1">
      <c r="A123" s="1">
        <v>6357.0</v>
      </c>
      <c r="B123" s="1" t="s">
        <v>6</v>
      </c>
      <c r="C123" s="1" t="s">
        <v>125</v>
      </c>
      <c r="D123" s="1" t="str">
        <f>IFERROR(__xludf.DUMMYFUNCTION("CONCATENATE(GOOGLETRANSLATE(C123, ""en"", ""zh-cn""))
"),"阿迪达斯女式经编三条纹运动裤")</f>
        <v>阿迪达斯女式经编三条纹运动裤</v>
      </c>
      <c r="E123" s="1" t="str">
        <f>IFERROR(__xludf.DUMMYFUNCTION("CONCATENATE(GOOGLETRANSLATE(C123, ""en"", ""ko""))"),"adidas 여성용 트리코 3-스트라이프 트랙 팬츠")</f>
        <v>adidas 여성용 트리코 3-스트라이프 트랙 팬츠</v>
      </c>
      <c r="F123" s="1" t="str">
        <f>IFERROR(__xludf.DUMMYFUNCTION("CONCATENATE(GOOGLETRANSLATE(C123, ""en"", ""ja""))"),"adidas レディース トリコット 3 ストライプ トラック パンツ")</f>
        <v>adidas レディース トリコット 3 ストライプ トラック パンツ</v>
      </c>
    </row>
    <row r="124" ht="15.75" customHeight="1">
      <c r="A124" s="1">
        <v>6410.0</v>
      </c>
      <c r="B124" s="1" t="s">
        <v>6</v>
      </c>
      <c r="C124" s="1" t="s">
        <v>126</v>
      </c>
      <c r="D124" s="1" t="str">
        <f>IFERROR(__xludf.DUMMYFUNCTION("CONCATENATE(GOOGLETRANSLATE(C124, ""en"", ""zh-cn""))
"),"ASICS 女式 ACTIBREEZE 轻便短裤")</f>
        <v>ASICS 女式 ACTIBREEZE 轻便短裤</v>
      </c>
      <c r="E124" s="1" t="str">
        <f>IFERROR(__xludf.DUMMYFUNCTION("CONCATENATE(GOOGLETRANSLATE(C124, ""en"", ""ko""))"),"ASICS 여성용 ACTIBREEZE 라이트 반바지")</f>
        <v>ASICS 여성용 ACTIBREEZE 라이트 반바지</v>
      </c>
      <c r="F124" s="1" t="str">
        <f>IFERROR(__xludf.DUMMYFUNCTION("CONCATENATE(GOOGLETRANSLATE(C124, ""en"", ""ja""))"),"アシックス ACTIBREEZE ライトショーツ レディース")</f>
        <v>アシックス ACTIBREEZE ライトショーツ レディース</v>
      </c>
    </row>
    <row r="125" ht="15.75" customHeight="1">
      <c r="A125" s="1">
        <v>6413.0</v>
      </c>
      <c r="B125" s="1" t="s">
        <v>6</v>
      </c>
      <c r="C125" s="1" t="s">
        <v>127</v>
      </c>
      <c r="D125" s="1" t="str">
        <f>IFERROR(__xludf.DUMMYFUNCTION("CONCATENATE(GOOGLETRANSLATE(C125, ""en"", ""zh-cn""))
"),"ASICS 男士 GT 2160")</f>
        <v>ASICS 男士 GT 2160</v>
      </c>
      <c r="E125" s="1" t="str">
        <f>IFERROR(__xludf.DUMMYFUNCTION("CONCATENATE(GOOGLETRANSLATE(C125, ""en"", ""ko""))"),"아식스 남성 GT 2160")</f>
        <v>아식스 남성 GT 2160</v>
      </c>
      <c r="F125" s="1" t="str">
        <f>IFERROR(__xludf.DUMMYFUNCTION("CONCATENATE(GOOGLETRANSLATE(C125, ""en"", ""ja""))"),"アシックス メンズ GT 2160")</f>
        <v>アシックス メンズ GT 2160</v>
      </c>
    </row>
    <row r="126" ht="15.75" customHeight="1">
      <c r="A126" s="1">
        <v>6423.0</v>
      </c>
      <c r="B126" s="1" t="s">
        <v>6</v>
      </c>
      <c r="C126" s="1" t="s">
        <v>128</v>
      </c>
      <c r="D126" s="1" t="str">
        <f>IFERROR(__xludf.DUMMYFUNCTION("CONCATENATE(GOOGLETRANSLATE(C126, ""en"", ""zh-cn""))
"),"亚瑟士 GT-2160")</f>
        <v>亚瑟士 GT-2160</v>
      </c>
      <c r="E126" s="1" t="str">
        <f>IFERROR(__xludf.DUMMYFUNCTION("CONCATENATE(GOOGLETRANSLATE(C126, ""en"", ""ko""))"),"아식스 GT-2160")</f>
        <v>아식스 GT-2160</v>
      </c>
      <c r="F126" s="1" t="str">
        <f>IFERROR(__xludf.DUMMYFUNCTION("CONCATENATE(GOOGLETRANSLATE(C126, ""en"", ""ja""))"),"アシックス GT-2160")</f>
        <v>アシックス GT-2160</v>
      </c>
    </row>
    <row r="127" ht="15.75" customHeight="1">
      <c r="A127" s="1">
        <v>6479.0</v>
      </c>
      <c r="B127" s="1" t="s">
        <v>6</v>
      </c>
      <c r="C127" s="1" t="s">
        <v>129</v>
      </c>
      <c r="D127" s="1" t="str">
        <f>IFERROR(__xludf.DUMMYFUNCTION("CONCATENATE(GOOGLETRANSLATE(C127, ""en"", ""zh-cn""))
"),"Lululemon 女式 Drapey Softstreme 喇叭裤")</f>
        <v>Lululemon 女式 Drapey Softstreme 喇叭裤</v>
      </c>
      <c r="E127" s="1" t="str">
        <f>IFERROR(__xludf.DUMMYFUNCTION("CONCATENATE(GOOGLETRANSLATE(C127, ""en"", ""ko""))"),"Lululemon 여성 드레이피 소프트스트레임 플레어 팬츠")</f>
        <v>Lululemon 여성 드레이피 소프트스트레임 플레어 팬츠</v>
      </c>
      <c r="F127" s="1" t="str">
        <f>IFERROR(__xludf.DUMMYFUNCTION("CONCATENATE(GOOGLETRANSLATE(C127, ""en"", ""ja""))"),"ルルレモン レディース ドレープ ソフトストリーム フレア パンツ")</f>
        <v>ルルレモン レディース ドレープ ソフトストリーム フレア パンツ</v>
      </c>
    </row>
    <row r="128" ht="15.75" customHeight="1">
      <c r="A128" s="1">
        <v>6510.0</v>
      </c>
      <c r="B128" s="1" t="s">
        <v>6</v>
      </c>
      <c r="C128" s="1" t="s">
        <v>130</v>
      </c>
      <c r="D128" s="1" t="str">
        <f>IFERROR(__xludf.DUMMYFUNCTION("CONCATENATE(GOOGLETRANSLATE(C128, ""en"", ""zh-cn""))
"),"Lululemon 女式 Wunder Nulu 高腰 25 英寸紧身裤")</f>
        <v>Lululemon 女式 Wunder Nulu 高腰 25 英寸紧身裤</v>
      </c>
      <c r="E128" s="1" t="str">
        <f>IFERROR(__xludf.DUMMYFUNCTION("CONCATENATE(GOOGLETRANSLATE(C128, ""en"", ""ko""))"),"Lululemon 여성 Wunder 언더 Nulu 하이라이즈 25"" 타이트")</f>
        <v>Lululemon 여성 Wunder 언더 Nulu 하이라이즈 25" 타이트</v>
      </c>
      <c r="F128" s="1" t="str">
        <f>IFERROR(__xludf.DUMMYFUNCTION("CONCATENATE(GOOGLETRANSLATE(C128, ""en"", ""ja""))"),"ルルレモン レディース ワンダー アンダー ヌル ハイライズ 25 インチ タイト")</f>
        <v>ルルレモン レディース ワンダー アンダー ヌル ハイライズ 25 インチ タイト</v>
      </c>
    </row>
    <row r="129" ht="15.75" customHeight="1">
      <c r="A129" s="1">
        <v>6522.0</v>
      </c>
      <c r="B129" s="1" t="s">
        <v>6</v>
      </c>
      <c r="C129" s="1" t="s">
        <v>131</v>
      </c>
      <c r="D129" s="1" t="str">
        <f>IFERROR(__xludf.DUMMYFUNCTION("CONCATENATE(GOOGLETRANSLATE(C129, ""en"", ""zh-cn""))
"),"耐克男士运动服俱乐部抓绒全拉链连帽衫")</f>
        <v>耐克男士运动服俱乐部抓绒全拉链连帽衫</v>
      </c>
      <c r="E129" s="1" t="str">
        <f>IFERROR(__xludf.DUMMYFUNCTION("CONCATENATE(GOOGLETRANSLATE(C129, ""en"", ""ko""))"),"나이키 남성 스포츠웨어 클럽 플리스 풀집 후디")</f>
        <v>나이키 남성 스포츠웨어 클럽 플리스 풀집 후디</v>
      </c>
      <c r="F129" s="1" t="str">
        <f>IFERROR(__xludf.DUMMYFUNCTION("CONCATENATE(GOOGLETRANSLATE(C129, ""en"", ""ja""))"),"ナイキ メンズ スポーツウェア クラブ フリース フルジップ パーカー")</f>
        <v>ナイキ メンズ スポーツウェア クラブ フリース フルジップ パーカー</v>
      </c>
    </row>
    <row r="130" ht="15.75" customHeight="1">
      <c r="A130" s="1">
        <v>6523.0</v>
      </c>
      <c r="B130" s="1" t="s">
        <v>6</v>
      </c>
      <c r="C130" s="1" t="s">
        <v>132</v>
      </c>
      <c r="D130" s="1" t="str">
        <f>IFERROR(__xludf.DUMMYFUNCTION("CONCATENATE(GOOGLETRANSLATE(C130, ""en"", ""zh-cn""))
"),"耐克女式高腰阔腿 Phoenix 抓绒运动裤")</f>
        <v>耐克女式高腰阔腿 Phoenix 抓绒运动裤</v>
      </c>
      <c r="E130" s="1" t="str">
        <f>IFERROR(__xludf.DUMMYFUNCTION("CONCATENATE(GOOGLETRANSLATE(C130, ""en"", ""ko""))"),"나이키 여성용 하이웨이스트 와이드 레그 피닉스 플리스 스웨트팬츠")</f>
        <v>나이키 여성용 하이웨이스트 와이드 레그 피닉스 플리스 스웨트팬츠</v>
      </c>
      <c r="F130" s="1" t="str">
        <f>IFERROR(__xludf.DUMMYFUNCTION("CONCATENATE(GOOGLETRANSLATE(C130, ""en"", ""ja""))"),"ナイキ レディース ハイウエスト ワイドレッグ フェニックス フリース スウェットパンツ")</f>
        <v>ナイキ レディース ハイウエスト ワイドレッグ フェニックス フリース スウェットパンツ</v>
      </c>
    </row>
    <row r="131" ht="15.75" customHeight="1">
      <c r="A131" s="1">
        <v>6537.0</v>
      </c>
      <c r="B131" s="1" t="s">
        <v>6</v>
      </c>
      <c r="C131" s="1" t="s">
        <v>133</v>
      </c>
      <c r="D131" s="1" t="str">
        <f>IFERROR(__xludf.DUMMYFUNCTION("CONCATENATE(GOOGLETRANSLATE(C131, ""en"", ""zh-cn""))
"),"耐克女式 Windrunner 高腰梭织开口下摆长裤")</f>
        <v>耐克女式 Windrunner 高腰梭织开口下摆长裤</v>
      </c>
      <c r="E131" s="1" t="str">
        <f>IFERROR(__xludf.DUMMYFUNCTION("CONCATENATE(GOOGLETRANSLATE(C131, ""en"", ""ko""))"),"나이키 여성용 윈드러너 하이웨이스트 우븐 오픈 밑단 팬츠")</f>
        <v>나이키 여성용 윈드러너 하이웨이스트 우븐 오픈 밑단 팬츠</v>
      </c>
      <c r="F131" s="1" t="str">
        <f>IFERROR(__xludf.DUMMYFUNCTION("CONCATENATE(GOOGLETRANSLATE(C131, ""en"", ""ja""))"),"ナイキ レディース ウィンドランナー ハイウエスト ウーブン オープンヘム パンツ")</f>
        <v>ナイキ レディース ウィンドランナー ハイウエスト ウーブン オープンヘム パンツ</v>
      </c>
    </row>
    <row r="132" ht="15.75" customHeight="1">
      <c r="A132" s="1">
        <v>6617.0</v>
      </c>
      <c r="B132" s="1" t="s">
        <v>6</v>
      </c>
      <c r="C132" s="1" t="s">
        <v>134</v>
      </c>
      <c r="D132" s="1" t="str">
        <f>IFERROR(__xludf.DUMMYFUNCTION("CONCATENATE(GOOGLETRANSLATE(C132, ""en"", ""zh-cn""))
"),"Reebok 男士 Outerverse Strength 长裤")</f>
        <v>Reebok 男士 Outerverse Strength 长裤</v>
      </c>
      <c r="E132" s="1" t="str">
        <f>IFERROR(__xludf.DUMMYFUNCTION("CONCATENATE(GOOGLETRANSLATE(C132, ""en"", ""ko""))"),"Reebok 남성용 아우터버스 스트렝스 팬츠")</f>
        <v>Reebok 남성용 아우터버스 스트렝스 팬츠</v>
      </c>
      <c r="F132" s="1" t="str">
        <f>IFERROR(__xludf.DUMMYFUNCTION("CONCATENATE(GOOGLETRANSLATE(C132, ""en"", ""ja""))"),"リーボック メンズ アウターバース ストレングス パンツ")</f>
        <v>リーボック メンズ アウターバース ストレングス パンツ</v>
      </c>
    </row>
    <row r="133" ht="15.75" customHeight="1">
      <c r="A133" s="1">
        <v>6637.0</v>
      </c>
      <c r="B133" s="1" t="s">
        <v>6</v>
      </c>
      <c r="C133" s="1" t="s">
        <v>135</v>
      </c>
      <c r="D133" s="1" t="str">
        <f>IFERROR(__xludf.DUMMYFUNCTION("CONCATENATE(GOOGLETRANSLATE(C133, ""en"", ""zh-cn""))
"),"鸿法浴室收纳柜")</f>
        <v>鸿法浴室收纳柜</v>
      </c>
      <c r="E133" s="1" t="str">
        <f>IFERROR(__xludf.DUMMYFUNCTION("CONCATENATE(GOOGLETRANSLATE(C133, ""en"", ""ko""))"),"Homfa 욕실 수납장")</f>
        <v>Homfa 욕실 수납장</v>
      </c>
      <c r="F133" s="1" t="str">
        <f>IFERROR(__xludf.DUMMYFUNCTION("CONCATENATE(GOOGLETRANSLATE(C133, ""en"", ""ja""))"),"Homfa バスルーム収納キャビネット")</f>
        <v>Homfa バスルーム収納キャビネット</v>
      </c>
    </row>
    <row r="134" ht="15.75" customHeight="1">
      <c r="A134" s="1">
        <v>6678.0</v>
      </c>
      <c r="B134" s="1" t="s">
        <v>6</v>
      </c>
      <c r="C134" s="1" t="s">
        <v>136</v>
      </c>
      <c r="D134" s="1" t="str">
        <f>IFERROR(__xludf.DUMMYFUNCTION("CONCATENATE(GOOGLETRANSLATE(C134, ""en"", ""zh-cn""))
"),"Ktaxon 高储物柜")</f>
        <v>Ktaxon 高储物柜</v>
      </c>
      <c r="E134" s="1" t="str">
        <f>IFERROR(__xludf.DUMMYFUNCTION("CONCATENATE(GOOGLETRANSLATE(C134, ""en"", ""ko""))"),"Ktaxon 키 큰 스토리지 캐비닛")</f>
        <v>Ktaxon 키 큰 스토리지 캐비닛</v>
      </c>
      <c r="F134" s="1" t="str">
        <f>IFERROR(__xludf.DUMMYFUNCTION("CONCATENATE(GOOGLETRANSLATE(C134, ""en"", ""ja""))"),"Ktaxon トールストレージキャビネット")</f>
        <v>Ktaxon トールストレージキャビネット</v>
      </c>
    </row>
    <row r="135" ht="15.75" customHeight="1">
      <c r="A135" s="1">
        <v>6692.0</v>
      </c>
      <c r="B135" s="1" t="s">
        <v>6</v>
      </c>
      <c r="C135" s="1" t="s">
        <v>137</v>
      </c>
      <c r="D135" s="1" t="str">
        <f>IFERROR(__xludf.DUMMYFUNCTION("CONCATENATE(GOOGLETRANSLATE(C135, ""en"", ""zh-cn""))
"),"Ktaxon 木质 3 抽屉浴室地柜")</f>
        <v>Ktaxon 木质 3 抽屉浴室地柜</v>
      </c>
      <c r="E135" s="1" t="str">
        <f>IFERROR(__xludf.DUMMYFUNCTION("CONCATENATE(GOOGLETRANSLATE(C135, ""en"", ""ko""))"),"Ktaxon 목재 3 서랍 욕실 바닥 캐비닛")</f>
        <v>Ktaxon 목재 3 서랍 욕실 바닥 캐비닛</v>
      </c>
      <c r="F135" s="1" t="str">
        <f>IFERROR(__xludf.DUMMYFUNCTION("CONCATENATE(GOOGLETRANSLATE(C135, ""en"", ""ja""))"),"Ktaxon 木製 3 引き出しバスルームフロアキャビネット")</f>
        <v>Ktaxon 木製 3 引き出しバスルームフロアキャビネット</v>
      </c>
    </row>
    <row r="136" ht="15.75" customHeight="1">
      <c r="A136" s="1">
        <v>6693.0</v>
      </c>
      <c r="B136" s="1" t="s">
        <v>6</v>
      </c>
      <c r="C136" s="1" t="s">
        <v>138</v>
      </c>
      <c r="D136" s="1" t="str">
        <f>IFERROR(__xludf.DUMMYFUNCTION("CONCATENATE(GOOGLETRANSLATE(C136, ""en"", ""zh-cn""))
"),"Ktaxon 高浴室储物柜收纳柜")</f>
        <v>Ktaxon 高浴室储物柜收纳柜</v>
      </c>
      <c r="E136" s="1" t="str">
        <f>IFERROR(__xludf.DUMMYFUNCTION("CONCATENATE(GOOGLETRANSLATE(C136, ""en"", ""ko""))"),"Ktaxon 키가 큰 욕실 보관 캐비닛 정리함")</f>
        <v>Ktaxon 키가 큰 욕실 보관 캐비닛 정리함</v>
      </c>
      <c r="F136" s="1" t="str">
        <f>IFERROR(__xludf.DUMMYFUNCTION("CONCATENATE(GOOGLETRANSLATE(C136, ""en"", ""ja""))"),"Ktaxon トールバスルーム収納キャビネットオーガナイザー")</f>
        <v>Ktaxon トールバスルーム収納キャビネットオーガナイザー</v>
      </c>
    </row>
    <row r="137" ht="15.75" customHeight="1">
      <c r="A137" s="1">
        <v>6701.0</v>
      </c>
      <c r="B137" s="1" t="s">
        <v>6</v>
      </c>
      <c r="C137" s="1" t="s">
        <v>139</v>
      </c>
      <c r="D137" s="1" t="str">
        <f>IFERROR(__xludf.DUMMYFUNCTION("CONCATENATE(GOOGLETRANSLATE(C137, ""en"", ""zh-cn""))
"),"Ktaxon 5 抽屉浴室地柜，独立式理发台化妆美发沙龙柜，多功能控制台储物柜桌子，带 2 个")</f>
        <v>Ktaxon 5 抽屉浴室地柜，独立式理发台化妆美发沙龙柜，多功能控制台储物柜桌子，带 2 个</v>
      </c>
      <c r="E137" s="1" t="str">
        <f>IFERROR(__xludf.DUMMYFUNCTION("CONCATENATE(GOOGLETRANSLATE(C137, ""en"", ""ko""))"),"Ktaxon 5단 서랍 욕실 바닥 캐비닛, 독립형 이발소 메이크업 헤어 살롱 캐비닛, 다기능 콘솔 보관 캐비닛 테이블 2개")</f>
        <v>Ktaxon 5단 서랍 욕실 바닥 캐비닛, 독립형 이발소 메이크업 헤어 살롱 캐비닛, 다기능 콘솔 보관 캐비닛 테이블 2개</v>
      </c>
      <c r="F137" s="1" t="str">
        <f>IFERROR(__xludf.DUMMYFUNCTION("CONCATENATE(GOOGLETRANSLATE(C137, ""en"", ""ja""))"),"Ktaxon 5引き出しバスルームフロアキャビネット、自立理髪ステーションメイクアップヘアサロンキャビネット、多機能コンソール収納キャビネットテーブル2付き")</f>
        <v>Ktaxon 5引き出しバスルームフロアキャビネット、自立理髪ステーションメイクアップヘアサロンキャビネット、多機能コンソール収納キャビネットテーブル2付き</v>
      </c>
    </row>
    <row r="138" ht="15.75" customHeight="1">
      <c r="A138" s="1">
        <v>6713.0</v>
      </c>
      <c r="B138" s="1" t="s">
        <v>6</v>
      </c>
      <c r="C138" s="1" t="s">
        <v>140</v>
      </c>
      <c r="D138" s="1" t="str">
        <f>IFERROR(__xludf.DUMMYFUNCTION("CONCATENATE(GOOGLETRANSLATE(C138, ""en"", ""zh-cn""))
"),"Cutler 厨房和浴室 Kato 壁挂式梳妆台")</f>
        <v>Cutler 厨房和浴室 Kato 壁挂式梳妆台</v>
      </c>
      <c r="E138" s="1" t="str">
        <f>IFERROR(__xludf.DUMMYFUNCTION("CONCATENATE(GOOGLETRANSLATE(C138, ""en"", ""ko""))"),"Cutler Kitchen &amp; Bath Kato 벽걸이 세면대")</f>
        <v>Cutler Kitchen &amp; Bath Kato 벽걸이 세면대</v>
      </c>
      <c r="F138" s="1" t="str">
        <f>IFERROR(__xludf.DUMMYFUNCTION("CONCATENATE(GOOGLETRANSLATE(C138, ""en"", ""ja""))"),"カトラー キッチン＆バス カトー 壁掛け洗面化粧台")</f>
        <v>カトラー キッチン＆バス カトー 壁掛け洗面化粧台</v>
      </c>
    </row>
    <row r="139" ht="15.75" customHeight="1">
      <c r="A139" s="1">
        <v>6721.0</v>
      </c>
      <c r="B139" s="1" t="s">
        <v>6</v>
      </c>
      <c r="C139" s="1" t="s">
        <v>141</v>
      </c>
      <c r="D139" s="1" t="str">
        <f>IFERROR(__xludf.DUMMYFUNCTION("CONCATENATE(GOOGLETRANSLATE(C139, ""en"", ""zh-cn""))
"),"Fluidmaster PerforMAX 通用马桶进水阀 400H-002-P10")</f>
        <v>Fluidmaster PerforMAX 通用马桶进水阀 400H-002-P10</v>
      </c>
      <c r="E139" s="1" t="str">
        <f>IFERROR(__xludf.DUMMYFUNCTION("CONCATENATE(GOOGLETRANSLATE(C139, ""en"", ""ko""))"),"Fluidmaster PerforMAX 범용 변기 채우기 밸브 400H-002-P10")</f>
        <v>Fluidmaster PerforMAX 범용 변기 채우기 밸브 400H-002-P10</v>
      </c>
      <c r="F139" s="1" t="str">
        <f>IFERROR(__xludf.DUMMYFUNCTION("CONCATENATE(GOOGLETRANSLATE(C139, ""en"", ""ja""))"),"Fluidmaster PerforMAX ユニバーサルトイレ充填バルブ 400H-002-P10")</f>
        <v>Fluidmaster PerforMAX ユニバーサルトイレ充填バルブ 400H-002-P10</v>
      </c>
    </row>
    <row r="140" ht="15.75" customHeight="1">
      <c r="A140" s="1">
        <v>6747.0</v>
      </c>
      <c r="B140" s="1" t="s">
        <v>6</v>
      </c>
      <c r="C140" s="1" t="s">
        <v>142</v>
      </c>
      <c r="D140" s="1" t="str">
        <f>IFERROR(__xludf.DUMMYFUNCTION("CONCATENATE(GOOGLETRANSLATE(C140, ""en"", ""zh-cn""))
"),"Fluidmaster 超级挡板")</f>
        <v>Fluidmaster 超级挡板</v>
      </c>
      <c r="E140" s="1" t="str">
        <f>IFERROR(__xludf.DUMMYFUNCTION("CONCATENATE(GOOGLETRANSLATE(C140, ""en"", ""ko""))"),"Fluidmaster 슈퍼 플래퍼")</f>
        <v>Fluidmaster 슈퍼 플래퍼</v>
      </c>
      <c r="F140" s="1" t="str">
        <f>IFERROR(__xludf.DUMMYFUNCTION("CONCATENATE(GOOGLETRANSLATE(C140, ""en"", ""ja""))"),"フルイドマスター スーパー フラッパー")</f>
        <v>フルイドマスター スーパー フラッパー</v>
      </c>
    </row>
    <row r="141" ht="15.75" customHeight="1">
      <c r="A141" s="1">
        <v>6751.0</v>
      </c>
      <c r="B141" s="1" t="s">
        <v>6</v>
      </c>
      <c r="C141" s="1" t="s">
        <v>143</v>
      </c>
      <c r="D141" s="1" t="str">
        <f>IFERROR(__xludf.DUMMYFUNCTION("CONCATENATE(GOOGLETRANSLATE(C141, ""en"", ""zh-cn""))
"),"FLUIDMASTER 8100P8 马桶清洁系统")</f>
        <v>FLUIDMASTER 8100P8 马桶清洁系统</v>
      </c>
      <c r="E141" s="1" t="str">
        <f>IFERROR(__xludf.DUMMYFUNCTION("CONCATENATE(GOOGLETRANSLATE(C141, ""en"", ""ko""))"),"FLUIDMASTER 8100P8 변기 청소 시스템")</f>
        <v>FLUIDMASTER 8100P8 변기 청소 시스템</v>
      </c>
      <c r="F141" s="1" t="str">
        <f>IFERROR(__xludf.DUMMYFUNCTION("CONCATENATE(GOOGLETRANSLATE(C141, ""en"", ""ja""))"),"FLUIDMASTER 8100P8 便器洗浄システム")</f>
        <v>FLUIDMASTER 8100P8 便器洗浄システム</v>
      </c>
    </row>
    <row r="142" ht="15.75" customHeight="1">
      <c r="A142" s="1">
        <v>6763.0</v>
      </c>
      <c r="B142" s="1" t="s">
        <v>6</v>
      </c>
      <c r="C142" s="1" t="s">
        <v>144</v>
      </c>
      <c r="D142" s="1" t="str">
        <f>IFERROR(__xludf.DUMMYFUNCTION("CONCATENATE(GOOGLETRANSLATE(C142, ""en"", ""zh-cn""))
"),"Brita On 自来水过滤系统")</f>
        <v>Brita On 自来水过滤系统</v>
      </c>
      <c r="E142" s="1" t="str">
        <f>IFERROR(__xludf.DUMMYFUNCTION("CONCATENATE(GOOGLETRANSLATE(C142, ""en"", ""ko""))"),"브리타 온 수돗물 여과 시스템")</f>
        <v>브리타 온 수돗물 여과 시스템</v>
      </c>
      <c r="F142" s="1" t="str">
        <f>IFERROR(__xludf.DUMMYFUNCTION("CONCATENATE(GOOGLETRANSLATE(C142, ""en"", ""ja""))"),"Brita On 水道水濾過システム")</f>
        <v>Brita On 水道水濾過システム</v>
      </c>
    </row>
    <row r="143" ht="15.75" customHeight="1">
      <c r="A143" s="1">
        <v>6797.0</v>
      </c>
      <c r="B143" s="1" t="s">
        <v>6</v>
      </c>
      <c r="C143" s="1" t="s">
        <v>145</v>
      </c>
      <c r="D143" s="1" t="str">
        <f>IFERROR(__xludf.DUMMYFUNCTION("CONCATENATE(GOOGLETRANSLATE(C143, ""en"", ""zh-cn""))
"),"霍尼韦尔 PPT700WA PUR 滤水罐")</f>
        <v>霍尼韦尔 PPT700WA PUR 滤水罐</v>
      </c>
      <c r="E143" s="1" t="str">
        <f>IFERROR(__xludf.DUMMYFUNCTION("CONCATENATE(GOOGLETRANSLATE(C143, ""en"", ""ko""))"),"HONEYWELL PPT700WA PUR 정수 필터 투수")</f>
        <v>HONEYWELL PPT700WA PUR 정수 필터 투수</v>
      </c>
      <c r="F143" s="1" t="str">
        <f>IFERROR(__xludf.DUMMYFUNCTION("CONCATENATE(GOOGLETRANSLATE(C143, ""en"", ""ja""))"),"ハネウェル PPT700WA PUR 浄水フィルターピッチャー")</f>
        <v>ハネウェル PPT700WA PUR 浄水フィルターピッチャー</v>
      </c>
    </row>
    <row r="144" ht="15.75" customHeight="1">
      <c r="A144" s="1">
        <v>6798.0</v>
      </c>
      <c r="B144" s="1" t="s">
        <v>6</v>
      </c>
      <c r="C144" s="1" t="s">
        <v>146</v>
      </c>
      <c r="D144" s="1" t="str">
        <f>IFERROR(__xludf.DUMMYFUNCTION("CONCATENATE(GOOGLETRANSLATE(C144, ""en"", ""zh-cn""))
"),"霍尼韦尔 PUR 水罐过滤器 PPF900ZV1")</f>
        <v>霍尼韦尔 PUR 水罐过滤器 PPF900ZV1</v>
      </c>
      <c r="E144" s="1" t="str">
        <f>IFERROR(__xludf.DUMMYFUNCTION("CONCATENATE(GOOGLETRANSLATE(C144, ""en"", ""ko""))"),"하니웰 PUR 투수 필터 PPF900ZV1")</f>
        <v>하니웰 PUR 투수 필터 PPF900ZV1</v>
      </c>
      <c r="F144" s="1" t="str">
        <f>IFERROR(__xludf.DUMMYFUNCTION("CONCATENATE(GOOGLETRANSLATE(C144, ""en"", ""ja""))"),"ハネウェル PUR ピッチャーフィルター PPF900ZV1")</f>
        <v>ハネウェル PUR ピッチャーフィルター PPF900ZV1</v>
      </c>
    </row>
    <row r="145" ht="15.75" customHeight="1">
      <c r="A145" s="1">
        <v>6810.0</v>
      </c>
      <c r="B145" s="1" t="s">
        <v>6</v>
      </c>
      <c r="C145" s="1" t="s">
        <v>147</v>
      </c>
      <c r="D145" s="1" t="str">
        <f>IFERROR(__xludf.DUMMYFUNCTION("CONCATENATE(GOOGLETRANSLATE(C145, ""en"", ""zh-cn""))
"),"PUR Plus 卧式水龙头安装水过滤系统")</f>
        <v>PUR Plus 卧式水龙头安装水过滤系统</v>
      </c>
      <c r="E145" s="1" t="str">
        <f>IFERROR(__xludf.DUMMYFUNCTION("CONCATENATE(GOOGLETRANSLATE(C145, ""en"", ""ko""))"),"PUR Plus 수평 수도꼭지 장착형 물 여과 시스템")</f>
        <v>PUR Plus 수평 수도꼭지 장착형 물 여과 시스템</v>
      </c>
      <c r="F145" s="1" t="str">
        <f>IFERROR(__xludf.DUMMYFUNCTION("CONCATENATE(GOOGLETRANSLATE(C145, ""en"", ""ja""))"),"PUR Plus 横型蛇口取り付け型水ろ過システム")</f>
        <v>PUR Plus 横型蛇口取り付け型水ろ過システム</v>
      </c>
    </row>
    <row r="146" ht="15.75" customHeight="1">
      <c r="A146" s="1">
        <v>6814.0</v>
      </c>
      <c r="B146" s="1" t="s">
        <v>6</v>
      </c>
      <c r="C146" s="1" t="s">
        <v>148</v>
      </c>
      <c r="D146" s="1" t="str">
        <f>IFERROR(__xludf.DUMMYFUNCTION("CONCATENATE(GOOGLETRANSLATE(C146, ""en"", ""zh-cn""))
"),"兼容 AquaCrest 的 Pur PPT711 水过滤器替换件")</f>
        <v>兼容 AquaCrest 的 Pur PPT711 水过滤器替换件</v>
      </c>
      <c r="E146" s="1" t="str">
        <f>IFERROR(__xludf.DUMMYFUNCTION("CONCATENATE(GOOGLETRANSLATE(C146, ""en"", ""ko""))"),"AquaCrest의 Pur PPT711 정수 필터 교체 호환")</f>
        <v>AquaCrest의 Pur PPT711 정수 필터 교체 호환</v>
      </c>
      <c r="F146" s="1" t="str">
        <f>IFERROR(__xludf.DUMMYFUNCTION("CONCATENATE(GOOGLETRANSLATE(C146, ""en"", ""ja""))"),"AquaCrest と互換性のある Pur PPT711 浄水フィルター交換品")</f>
        <v>AquaCrest と互換性のある Pur PPT711 浄水フィルター交換品</v>
      </c>
    </row>
    <row r="147" ht="15.75" customHeight="1">
      <c r="A147" s="1">
        <v>6815.0</v>
      </c>
      <c r="B147" s="1" t="s">
        <v>6</v>
      </c>
      <c r="C147" s="1" t="s">
        <v>149</v>
      </c>
      <c r="D147" s="1" t="str">
        <f>IFERROR(__xludf.DUMMYFUNCTION("CONCATENATE(GOOGLETRANSLATE(C147, ""en"", ""zh-cn""))
"),"PUREPLUS PUR 台面滤水罐 CRF950Z PPF900Z")</f>
        <v>PUREPLUS PUR 台面滤水罐 CRF950Z PPF900Z</v>
      </c>
      <c r="E147" s="1" t="str">
        <f>IFERROR(__xludf.DUMMYFUNCTION("CONCATENATE(GOOGLETRANSLATE(C147, ""en"", ""ko""))"),"PUREPLUS PUR 조리대 정수 필터 투수 CRF950Z PPF900Z")</f>
        <v>PUREPLUS PUR 조리대 정수 필터 투수 CRF950Z PPF900Z</v>
      </c>
      <c r="F147" s="1" t="str">
        <f>IFERROR(__xludf.DUMMYFUNCTION("CONCATENATE(GOOGLETRANSLATE(C147, ""en"", ""ja""))"),"ピュアプラス PUR 卓上浄水器ピッチャー CRF950Z PPF900Z")</f>
        <v>ピュアプラス PUR 卓上浄水器ピッチャー CRF950Z PPF900Z</v>
      </c>
    </row>
    <row r="148" ht="15.75" customHeight="1">
      <c r="A148" s="1">
        <v>6818.0</v>
      </c>
      <c r="B148" s="1" t="s">
        <v>6</v>
      </c>
      <c r="C148" s="1" t="s">
        <v>150</v>
      </c>
      <c r="D148" s="1" t="str">
        <f>IFERROR(__xludf.DUMMYFUNCTION("CONCATENATE(GOOGLETRANSLATE(C148, ""en"", ""zh-cn""))
"),"Pur 水龙头安装 MineralClear 替换过滤器 3 件装")</f>
        <v>Pur 水龙头安装 MineralClear 替换过滤器 3 件装</v>
      </c>
      <c r="E148" s="1" t="str">
        <f>IFERROR(__xludf.DUMMYFUNCTION("CONCATENATE(GOOGLETRANSLATE(C148, ""en"", ""ko""))"),"Pur 수전 마운트 미네랄 클리어 교체 필터 3팩")</f>
        <v>Pur 수전 마운트 미네랄 클리어 교체 필터 3팩</v>
      </c>
      <c r="F148" s="1" t="str">
        <f>IFERROR(__xludf.DUMMYFUNCTION("CONCATENATE(GOOGLETRANSLATE(C148, ""en"", ""ja""))"),"Pur フォーセットマウント ミネラルクリア 交換用フィルター 3 個パック")</f>
        <v>Pur フォーセットマウント ミネラルクリア 交換用フィルター 3 個パック</v>
      </c>
    </row>
    <row r="149" ht="15.75" customHeight="1">
      <c r="A149" s="1">
        <v>6820.0</v>
      </c>
      <c r="B149" s="1" t="s">
        <v>6</v>
      </c>
      <c r="C149" s="1" t="s">
        <v>151</v>
      </c>
      <c r="D149" s="1" t="str">
        <f>IFERROR(__xludf.DUMMYFUNCTION("CONCATENATE(GOOGLETRANSLATE(C149, ""en"", ""zh-cn""))
"),"霍尼韦尔 Pur 11 杯滤水罐 CR1100C")</f>
        <v>霍尼韦尔 Pur 11 杯滤水罐 CR1100C</v>
      </c>
      <c r="E149" s="1" t="str">
        <f>IFERROR(__xludf.DUMMYFUNCTION("CONCATENATE(GOOGLETRANSLATE(C149, ""en"", ""ko""))"),"하니웰 Pur 11컵 정수 필터 투수 CR1100C")</f>
        <v>하니웰 Pur 11컵 정수 필터 투수 CR1100C</v>
      </c>
      <c r="F149" s="1" t="str">
        <f>IFERROR(__xludf.DUMMYFUNCTION("CONCATENATE(GOOGLETRANSLATE(C149, ""en"", ""ja""))"),"ハネウェル Pur 11 カップ浄水フィルターピッチャー CR1100C")</f>
        <v>ハネウェル Pur 11 カップ浄水フィルターピッチャー CR1100C</v>
      </c>
    </row>
    <row r="150" ht="15.75" customHeight="1">
      <c r="A150" s="1">
        <v>6842.0</v>
      </c>
      <c r="B150" s="1" t="s">
        <v>6</v>
      </c>
      <c r="C150" s="1" t="s">
        <v>152</v>
      </c>
      <c r="D150" s="1" t="str">
        <f>IFERROR(__xludf.DUMMYFUNCTION("CONCATENATE(GOOGLETRANSLATE(C150, ""en"", ""zh-cn""))
"),"Equate 女性头发再生局部解决方案，3 片")</f>
        <v>Equate 女性头发再生局部解决方案，3 片</v>
      </c>
      <c r="E150" s="1" t="str">
        <f>IFERROR(__xludf.DUMMYFUNCTION("CONCATENATE(GOOGLETRANSLATE(C150, ""en"", ""ko""))"),"Equate 모발 재성장 국소 솔루션 여성용, 3ct")</f>
        <v>Equate 모발 재성장 국소 솔루션 여성용, 3ct</v>
      </c>
      <c r="F150" s="1" t="str">
        <f>IFERROR(__xludf.DUMMYFUNCTION("CONCATENATE(GOOGLETRANSLATE(C150, ""en"", ""ja""))"),"イクエイト ヘア リグロース 局所ソリューション 女性用、3ct")</f>
        <v>イクエイト ヘア リグロース 局所ソリューション 女性用、3ct</v>
      </c>
    </row>
    <row r="151" ht="15.75" customHeight="1">
      <c r="A151" s="1">
        <v>6843.0</v>
      </c>
      <c r="B151" s="1" t="s">
        <v>6</v>
      </c>
      <c r="C151" s="1" t="s">
        <v>153</v>
      </c>
      <c r="D151" s="1" t="str">
        <f>IFERROR(__xludf.DUMMYFUNCTION("CONCATENATE(GOOGLETRANSLATE(C151, ""en"", ""zh-cn""))
"),"Equate 女性头发再生护理泡沫 2 个月试用期 11/25")</f>
        <v>Equate 女性头发再生护理泡沫 2 个月试用期 11/25</v>
      </c>
      <c r="E151" s="1" t="str">
        <f>IFERROR(__xludf.DUMMYFUNCTION("CONCATENATE(GOOGLETRANSLATE(C151, ""en"", ""ko""))"),"Eequate 모발 재성장 트리트먼트 여성용 폼 2개월 유통기한 11/25")</f>
        <v>Eequate 모발 재성장 트리트먼트 여성용 폼 2개월 유통기한 11/25</v>
      </c>
      <c r="F151" s="1" t="str">
        <f>IFERROR(__xludf.DUMMYFUNCTION("CONCATENATE(GOOGLETRANSLATE(C151, ""en"", ""ja""))"),"エクエイト 育毛トリートメント 女性用 フォーム 2ヶ月 Exp.11/25")</f>
        <v>エクエイト 育毛トリートメント 女性用 フォーム 2ヶ月 Exp.11/25</v>
      </c>
    </row>
    <row r="152" ht="15.75" customHeight="1">
      <c r="A152" s="1">
        <v>6847.0</v>
      </c>
      <c r="B152" s="1" t="s">
        <v>6</v>
      </c>
      <c r="C152" s="1" t="s">
        <v>154</v>
      </c>
      <c r="D152" s="1" t="str">
        <f>IFERROR(__xludf.DUMMYFUNCTION("CONCATENATE(GOOGLETRANSLATE(C152, ""en"", ""zh-cn""))
"),"Equate 大便软化剂多库酯钠软胶囊")</f>
        <v>Equate 大便软化剂多库酯钠软胶囊</v>
      </c>
      <c r="E152" s="1" t="str">
        <f>IFERROR(__xludf.DUMMYFUNCTION("CONCATENATE(GOOGLETRANSLATE(C152, ""en"", ""ko""))"),"Equate 대변 연화제 Docusate 나트륨 소프트젤")</f>
        <v>Equate 대변 연화제 Docusate 나트륨 소프트젤</v>
      </c>
      <c r="F152" s="1" t="str">
        <f>IFERROR(__xludf.DUMMYFUNCTION("CONCATENATE(GOOGLETRANSLATE(C152, ""en"", ""ja""))"),"Equate 便軟化剤 Docusate ナトリウム ソフトジェル")</f>
        <v>Equate 便軟化剤 Docusate ナトリウム ソフトジェル</v>
      </c>
    </row>
    <row r="153" ht="15.75" customHeight="1">
      <c r="A153" s="1">
        <v>6854.0</v>
      </c>
      <c r="B153" s="1" t="s">
        <v>6</v>
      </c>
      <c r="C153" s="1" t="s">
        <v>155</v>
      </c>
      <c r="D153" s="1" t="str">
        <f>IFERROR(__xludf.DUMMYFUNCTION("CONCATENATE(GOOGLETRANSLATE(C153, ""en"", ""zh-cn""))
"),"Equate 清爽杏子磨砂膏")</f>
        <v>Equate 清爽杏子磨砂膏</v>
      </c>
      <c r="E153" s="1" t="str">
        <f>IFERROR(__xludf.DUMMYFUNCTION("CONCATENATE(GOOGLETRANSLATE(C153, ""en"", ""ko""))"),"Equate 상쾌한 살구 스크럽")</f>
        <v>Equate 상쾌한 살구 스크럽</v>
      </c>
      <c r="F153" s="1" t="str">
        <f>IFERROR(__xludf.DUMMYFUNCTION("CONCATENATE(GOOGLETRANSLATE(C153, ""en"", ""ja""))"),"エクアテ リフレッシュ アプリコット スクラブ")</f>
        <v>エクアテ リフレッシュ アプリコット スクラブ</v>
      </c>
    </row>
    <row r="154" ht="15.75" customHeight="1">
      <c r="A154" s="1">
        <v>6875.0</v>
      </c>
      <c r="B154" s="1" t="s">
        <v>6</v>
      </c>
      <c r="C154" s="1" t="s">
        <v>156</v>
      </c>
      <c r="D154" s="1" t="str">
        <f>IFERROR(__xludf.DUMMYFUNCTION("CONCATENATE(GOOGLETRANSLATE(C154, ""en"", ""zh-cn""))
"),"Equate 摘耳辅助工具")</f>
        <v>Equate 摘耳辅助工具</v>
      </c>
      <c r="E154" s="1" t="str">
        <f>IFERROR(__xludf.DUMMYFUNCTION("CONCATENATE(GOOGLETRANSLATE(C154, ""en"", ""ko""))"),"Equate 귀 제거 보조 장치")</f>
        <v>Equate 귀 제거 보조 장치</v>
      </c>
      <c r="F154" s="1" t="str">
        <f>IFERROR(__xludf.DUMMYFUNCTION("CONCATENATE(GOOGLETRANSLATE(C154, ""en"", ""ja""))"),"Equate 耳抜き補助具")</f>
        <v>Equate 耳抜き補助具</v>
      </c>
    </row>
    <row r="155" ht="15.75" customHeight="1">
      <c r="A155" s="1">
        <v>6921.0</v>
      </c>
      <c r="B155" s="1" t="s">
        <v>6</v>
      </c>
      <c r="C155" s="1" t="s">
        <v>157</v>
      </c>
      <c r="D155" s="1" t="str">
        <f>IFERROR(__xludf.DUMMYFUNCTION("CONCATENATE(GOOGLETRANSLATE(C155, ""en"", ""zh-cn""))
"),"露得清 Hydro Boost 光彩增强剂")</f>
        <v>露得清 Hydro Boost 光彩增强剂</v>
      </c>
      <c r="E155" s="1" t="str">
        <f>IFERROR(__xludf.DUMMYFUNCTION("CONCATENATE(GOOGLETRANSLATE(C155, ""en"", ""ko""))"),"뉴트로지나 하이드로 부스트 글로우 부스터")</f>
        <v>뉴트로지나 하이드로 부스트 글로우 부스터</v>
      </c>
      <c r="F155" s="1" t="str">
        <f>IFERROR(__xludf.DUMMYFUNCTION("CONCATENATE(GOOGLETRANSLATE(C155, ""en"", ""ja""))"),"ニュートロジーナ ハイドロブースト グローブースター")</f>
        <v>ニュートロジーナ ハイドロブースト グローブースター</v>
      </c>
    </row>
    <row r="156" ht="15.75" customHeight="1">
      <c r="A156" s="1">
        <v>6923.0</v>
      </c>
      <c r="B156" s="1" t="s">
        <v>6</v>
      </c>
      <c r="C156" s="1" t="s">
        <v>158</v>
      </c>
      <c r="D156" s="1" t="str">
        <f>IFERROR(__xludf.DUMMYFUNCTION("CONCATENATE(GOOGLETRANSLATE(C156, ""en"", ""zh-cn""))
"),"露得清快速透明最大强度治疗垫")</f>
        <v>露得清快速透明最大强度治疗垫</v>
      </c>
      <c r="E156" s="1" t="str">
        <f>IFERROR(__xludf.DUMMYFUNCTION("CONCATENATE(GOOGLETRANSLATE(C156, ""en"", ""ko""))"),"뉴트로지나 래피드 클리어 맥시멈 스트렝스 트리트먼트 패드")</f>
        <v>뉴트로지나 래피드 클리어 맥시멈 스트렝스 트리트먼트 패드</v>
      </c>
      <c r="F156" s="1" t="str">
        <f>IFERROR(__xludf.DUMMYFUNCTION("CONCATENATE(GOOGLETRANSLATE(C156, ""en"", ""ja""))"),"ニュートロジーナ ラピッド クリア マキシマム ストレングス トリートメント パッド")</f>
        <v>ニュートロジーナ ラピッド クリア マキシマム ストレングス トリートメント パッド</v>
      </c>
    </row>
    <row r="157" ht="15.75" customHeight="1">
      <c r="A157" s="1">
        <v>6937.0</v>
      </c>
      <c r="B157" s="1" t="s">
        <v>6</v>
      </c>
      <c r="C157" s="1" t="s">
        <v>159</v>
      </c>
      <c r="D157" s="1" t="str">
        <f>IFERROR(__xludf.DUMMYFUNCTION("CONCATENATE(GOOGLETRANSLATE(C157, ""en"", ""zh-cn""))
"),"Johnson &amp; Johnson 痤疮治疗露得清 On the Spot 0.75 盎司奶油")</f>
        <v>Johnson &amp; Johnson 痤疮治疗露得清 On the Spot 0.75 盎司奶油</v>
      </c>
      <c r="E157" s="1" t="str">
        <f>IFERROR(__xludf.DUMMYFUNCTION("CONCATENATE(GOOGLETRANSLATE(C157, ""en"", ""ko""))"),"Johnson &amp; Johnson 여드름 치료 뉴트로지나 온 더 스팟 0.75 온스. 크림")</f>
        <v>Johnson &amp; Johnson 여드름 치료 뉴트로지나 온 더 스팟 0.75 온스. 크림</v>
      </c>
      <c r="F157" s="1" t="str">
        <f>IFERROR(__xludf.DUMMYFUNCTION("CONCATENATE(GOOGLETRANSLATE(C157, ""en"", ""ja""))"),"ジョンソン・エンド・ジョンソン アクネ トリートメント ニュートロジーナ オン ザ スポット 0.75 オンスクリーム")</f>
        <v>ジョンソン・エンド・ジョンソン アクネ トリートメント ニュートロジーナ オン ザ スポット 0.75 オンスクリーム</v>
      </c>
    </row>
    <row r="158" ht="15.75" customHeight="1">
      <c r="A158" s="1">
        <v>6938.0</v>
      </c>
      <c r="B158" s="1" t="s">
        <v>6</v>
      </c>
      <c r="C158" s="1" t="s">
        <v>160</v>
      </c>
      <c r="D158" s="1" t="str">
        <f>IFERROR(__xludf.DUMMYFUNCTION("CONCATENATE(GOOGLETRANSLATE(C158, ""en"", ""zh-cn""))
"),"Neutrogena On the Spot 痤疮治疗，0.75 盎司 - 1 个 - 0.75 盎司 |卡韦尔")</f>
        <v>Neutrogena On the Spot 痤疮治疗，0.75 盎司 - 1 个 - 0.75 盎司 |卡韦尔</v>
      </c>
      <c r="E158" s="1" t="str">
        <f>IFERROR(__xludf.DUMMYFUNCTION("CONCATENATE(GOOGLETRANSLATE(C158, ""en"", ""ko""))"),"Neutrogena 온더 스팟 여드름 치료, 0.75온스 - 각 1개 - 0.75온스 | 케어웰")</f>
        <v>Neutrogena 온더 스팟 여드름 치료, 0.75온스 - 각 1개 - 0.75온스 | 케어웰</v>
      </c>
      <c r="F158" s="1" t="str">
        <f>IFERROR(__xludf.DUMMYFUNCTION("CONCATENATE(GOOGLETRANSLATE(C158, ""en"", ""ja""))"),"ニュートロジーナ オン ザ スポット アクネ トリートメント、0.75 オンス - 各 1 個 - 0.75 オンス |ケアウェル")</f>
        <v>ニュートロジーナ オン ザ スポット アクネ トリートメント、0.75 オンス - 各 1 個 - 0.75 オンス |ケアウェル</v>
      </c>
    </row>
    <row r="159" ht="15.75" customHeight="1">
      <c r="A159" s="1">
        <v>6945.0</v>
      </c>
      <c r="B159" s="1" t="s">
        <v>6</v>
      </c>
      <c r="C159" s="1" t="s">
        <v>161</v>
      </c>
      <c r="D159" s="1" t="str">
        <f>IFERROR(__xludf.DUMMYFUNCTION("CONCATENATE(GOOGLETRANSLATE(C159, ""en"", ""zh-cn""))
"),"露得清快速抗皱修复视黄醇再生霜")</f>
        <v>露得清快速抗皱修复视黄醇再生霜</v>
      </c>
      <c r="E159" s="1" t="str">
        <f>IFERROR(__xludf.DUMMYFUNCTION("CONCATENATE(GOOGLETRANSLATE(C159, ""en"", ""ko""))"),"뉴트로지나 래피드 링클 리페어 레티놀 재생 크림")</f>
        <v>뉴트로지나 래피드 링클 리페어 레티놀 재생 크림</v>
      </c>
      <c r="F159" s="1" t="str">
        <f>IFERROR(__xludf.DUMMYFUNCTION("CONCATENATE(GOOGLETRANSLATE(C159, ""en"", ""ja""))"),"ニュートロジーナ ラピッド リンクル リペア レチノール リジェネレーティング クリーム")</f>
        <v>ニュートロジーナ ラピッド リンクル リペア レチノール リジェネレーティング クリーム</v>
      </c>
    </row>
    <row r="160" ht="15.75" customHeight="1">
      <c r="A160" s="1">
        <v>6957.0</v>
      </c>
      <c r="B160" s="1" t="s">
        <v>6</v>
      </c>
      <c r="C160" s="1" t="s">
        <v>162</v>
      </c>
      <c r="D160" s="1" t="str">
        <f>IFERROR(__xludf.DUMMYFUNCTION("CONCATENATE(GOOGLETRANSLATE(C160, ""en"", ""zh-cn""))
"),"Hi-Pro-Pac 摩洛哥坚果油深层修复面膜")</f>
        <v>Hi-Pro-Pac 摩洛哥坚果油深层修复面膜</v>
      </c>
      <c r="E160" s="1" t="str">
        <f>IFERROR(__xludf.DUMMYFUNCTION("CONCATENATE(GOOGLETRANSLATE(C160, ""en"", ""ko""))"),"하이프로팩 ​​모로칸 아르간 오일 딥 리페어 마스크")</f>
        <v>하이프로팩 ​​모로칸 아르간 오일 딥 리페어 마스크</v>
      </c>
      <c r="F160" s="1" t="str">
        <f>IFERROR(__xludf.DUMMYFUNCTION("CONCATENATE(GOOGLETRANSLATE(C160, ""en"", ""ja""))"),"ハイプロパック モロッカン アルガン オイル ディープ リペア マスク")</f>
        <v>ハイプロパック モロッカン アルガン オイル ディープ リペア マスク</v>
      </c>
    </row>
    <row r="161" ht="15.75" customHeight="1">
      <c r="A161" s="1">
        <v>3141.0</v>
      </c>
      <c r="B161" s="1" t="s">
        <v>51</v>
      </c>
      <c r="C161" s="1" t="s">
        <v>163</v>
      </c>
      <c r="D161" s="1" t="str">
        <f>IFERROR(__xludf.DUMMYFUNCTION("CONCATENATE(GOOGLETRANSLATE(C161, ""en"", ""zh-cn""))
"),"6 合 1 Steam Deck 扩展坞电视底座合金支架底座 4K@60Hz/PD100W/RJ45/USB3.0 适用于 Steam Deck 控制台的 USB-C 集线器")</f>
        <v>6 合 1 Steam Deck 扩展坞电视底座合金支架底座 4K@60Hz/PD100W/RJ45/USB3.0 适用于 Steam Deck 控制台的 USB-C 集线器</v>
      </c>
      <c r="E161" s="1" t="str">
        <f>IFERROR(__xludf.DUMMYFUNCTION("CONCATENATE(GOOGLETRANSLATE(C161, ""en"", ""ko""))"),"6 in 1 스팀 데크 도킹 스테이션 TV 베이스 스탠드 합금 홀더 도크 4K@60Hz/PD100W/RJ45/USB3.0 스팀 데크 콘솔용 USB-C 허브")</f>
        <v>6 in 1 스팀 데크 도킹 스테이션 TV 베이스 스탠드 합금 홀더 도크 4K@60Hz/PD100W/RJ45/USB3.0 스팀 데크 콘솔용 USB-C 허브</v>
      </c>
      <c r="F161" s="1" t="str">
        <f>IFERROR(__xludf.DUMMYFUNCTION("CONCATENATE(GOOGLETRANSLATE(C161, ""en"", ""ja""))"),"6 in 1 スチームデッキドッキングステーション TV ベーススタンド合金ホルダードック 4K@60Hz/PD100W/RJ45/USB3.0 USB-C ハブスチームデッキコンソール用")</f>
        <v>6 in 1 スチームデッキドッキングステーション TV ベーススタンド合金ホルダードック 4K@60Hz/PD100W/RJ45/USB3.0 USB-C ハブスチームデッキコンソール用</v>
      </c>
    </row>
    <row r="162" ht="15.75" customHeight="1">
      <c r="A162" s="1">
        <v>3145.0</v>
      </c>
      <c r="B162" s="1" t="s">
        <v>51</v>
      </c>
      <c r="C162" s="1" t="s">
        <v>164</v>
      </c>
      <c r="D162" s="1" t="str">
        <f>IFERROR(__xludf.DUMMYFUNCTION("CONCATENATE(GOOGLETRANSLATE(C162, ""en"", ""zh-cn""))
"),"Eaget T1 Class10 高速 TF 存储卡 32GB 64GB 128GB Micro SD 卡闪存卡智能卡适用于手机摄像头行车记录仪")</f>
        <v>Eaget T1 Class10 高速 TF 存储卡 32GB 64GB 128GB Micro SD 卡闪存卡智能卡适用于手机摄像头行车记录仪</v>
      </c>
      <c r="E162" s="1" t="str">
        <f>IFERROR(__xludf.DUMMYFUNCTION("CONCATENATE(GOOGLETRANSLATE(C162, ""en"", ""ko""))"),"Eaget T1 Class10 고속 TF 메모리 카드 32GB 64GB 128GB 마이크로 SD 카드 플래시 카드 스마트 카드 전화 카메라 운전 레코더")</f>
        <v>Eaget T1 Class10 고속 TF 메모리 카드 32GB 64GB 128GB 마이크로 SD 카드 플래시 카드 스마트 카드 전화 카메라 운전 레코더</v>
      </c>
      <c r="F162" s="1" t="str">
        <f>IFERROR(__xludf.DUMMYFUNCTION("CONCATENATE(GOOGLETRANSLATE(C162, ""en"", ""ja""))"),"Eaget T1 Class10 高速 TF メモリカード 32 ギガバイト 64 ギガバイト 128 ギガバイトのマイクロ SD カードフラッシュカードスマートカード電話カメラドライブレコーダー用")</f>
        <v>Eaget T1 Class10 高速 TF メモリカード 32 ギガバイト 64 ギガバイト 128 ギガバイトのマイクロ SD カードフラッシュカードスマートカード電話カメラドライブレコーダー用</v>
      </c>
    </row>
    <row r="163" ht="15.75" customHeight="1">
      <c r="A163" s="1">
        <v>3146.0</v>
      </c>
      <c r="B163" s="1" t="s">
        <v>51</v>
      </c>
      <c r="C163" s="1" t="s">
        <v>165</v>
      </c>
      <c r="D163" s="1" t="str">
        <f>IFERROR(__xludf.DUMMYFUNCTION("CONCATENATE(GOOGLETRANSLATE(C163, ""en"", ""zh-cn""))
"),"3D 联锁拼图游戏玩具拼图玩具竹子小尺寸成人儿童智商脑筋急转弯孔明锁")</f>
        <v>3D 联锁拼图游戏玩具拼图玩具竹子小尺寸成人儿童智商脑筋急转弯孔明锁</v>
      </c>
      <c r="E163" s="1" t="str">
        <f>IFERROR(__xludf.DUMMYFUNCTION("CONCATENATE(GOOGLETRANSLATE(C163, ""en"", ""ko""))"),"3D 연동 퍼즐 게임 장난감 지그 소 퍼즐 장난감 대나무 성인을위한 작은 크기 어린이 IQ 두뇌 티저 Kong Ming Lock")</f>
        <v>3D 연동 퍼즐 게임 장난감 지그 소 퍼즐 장난감 대나무 성인을위한 작은 크기 어린이 IQ 두뇌 티저 Kong Ming Lock</v>
      </c>
      <c r="F163" s="1" t="str">
        <f>IFERROR(__xludf.DUMMYFUNCTION("CONCATENATE(GOOGLETRANSLATE(C163, ""en"", ""ja""))"),"3D 連動パズルゲームおもちゃジグソーパズルおもちゃ竹小型サイズ大人子供のための IQ 頭の体操孔明ロック")</f>
        <v>3D 連動パズルゲームおもちゃジグソーパズルおもちゃ竹小型サイズ大人子供のための IQ 頭の体操孔明ロック</v>
      </c>
    </row>
    <row r="164" ht="15.75" customHeight="1">
      <c r="A164" s="1">
        <v>3153.0</v>
      </c>
      <c r="B164" s="1" t="s">
        <v>51</v>
      </c>
      <c r="C164" s="1" t="s">
        <v>166</v>
      </c>
      <c r="D164" s="1" t="str">
        <f>IFERROR(__xludf.DUMMYFUNCTION("CONCATENATE(GOOGLETRANSLATE(C164, ""en"", ""zh-cn""))
"),"便携式 USB LED 紫外线消毒盒多功能用于面膜奶嘴耳机 USB 连接器")</f>
        <v>便携式 USB LED 紫外线消毒盒多功能用于面膜奶嘴耳机 USB 连接器</v>
      </c>
      <c r="E164" s="1" t="str">
        <f>IFERROR(__xludf.DUMMYFUNCTION("CONCATENATE(GOOGLETRANSLATE(C164, ""en"", ""ko""))"),"마스크 젖꼭지 헤드셋 USB 커넥터에 다기능 휴대용 USB LED UV 살균 상자")</f>
        <v>마스크 젖꼭지 헤드셋 USB 커넥터에 다기능 휴대용 USB LED UV 살균 상자</v>
      </c>
      <c r="F164" s="1" t="str">
        <f>IFERROR(__xludf.DUMMYFUNCTION("CONCATENATE(GOOGLETRANSLATE(C164, ""en"", ""ja""))"),"ポータブル USB LED UV 滅菌ボックス多機能マスクおしゃぶりヘッドセット USB コネクタ")</f>
        <v>ポータブル USB LED UV 滅菌ボックス多機能マスクおしゃぶりヘッドセット USB コネクタ</v>
      </c>
    </row>
    <row r="165" ht="15.75" customHeight="1">
      <c r="A165" s="1">
        <v>3163.0</v>
      </c>
      <c r="B165" s="1" t="s">
        <v>51</v>
      </c>
      <c r="C165" s="1" t="s">
        <v>167</v>
      </c>
      <c r="D165" s="1" t="str">
        <f>IFERROR(__xludf.DUMMYFUNCTION("CONCATENATE(GOOGLETRANSLATE(C165, ""en"", ""zh-cn""))
"),"3D 打印机 Lab X1 硅胶盖保护高温耐磨可拆卸适用于 Lab X1 Carbon X1 P1P 热端挤出机")</f>
        <v>3D 打印机 Lab X1 硅胶盖保护高温耐磨可拆卸适用于 Lab X1 Carbon X1 P1P 热端挤出机</v>
      </c>
      <c r="E165" s="1" t="str">
        <f>IFERROR(__xludf.DUMMYFUNCTION("CONCATENATE(GOOGLETRANSLATE(C165, ""en"", ""ko""))"),"3D 프린터 Lab X1 실리콘 커버 보호 Lab X1 Carbon X1 P1P 핫 엔드 압출기 용 고온 내마모성 탈착 가능")</f>
        <v>3D 프린터 Lab X1 실리콘 커버 보호 Lab X1 Carbon X1 P1P 핫 엔드 압출기 용 고온 내마모성 탈착 가능</v>
      </c>
      <c r="F165" s="1" t="str">
        <f>IFERROR(__xludf.DUMMYFUNCTION("CONCATENATE(GOOGLETRANSLATE(C165, ""en"", ""ja""))"),"3D プリンタ Lab X1 シリコンカバー保護高温耐摩耗性取り外し可能 Lab X1 カーボン X1 P1P Hotend 押出機用")</f>
        <v>3D プリンタ Lab X1 シリコンカバー保護高温耐摩耗性取り外し可能 Lab X1 カーボン X1 P1P Hotend 押出機用</v>
      </c>
    </row>
    <row r="166" ht="15.75" customHeight="1">
      <c r="A166" s="1">
        <v>3210.0</v>
      </c>
      <c r="B166" s="1" t="s">
        <v>6</v>
      </c>
      <c r="C166" s="1" t="s">
        <v>168</v>
      </c>
      <c r="D166" s="1" t="str">
        <f>IFERROR(__xludf.DUMMYFUNCTION("CONCATENATE(GOOGLETRANSLATE(C166, ""en"", ""zh-cn""))
"),"POLY &amp; BARK 纳帕皮革沙发 – 右向组合皮革沙发 – 簇绒靠背全粒面皮革沙发，座椅表面配有羽毛羽绒顶饰 – 纯苯胺意大利皮革 – 干邑棕褐色")</f>
        <v>POLY &amp; BARK 纳帕皮革沙发 – 右向组合皮革沙发 – 簇绒靠背全粒面皮革沙发，座椅表面配有羽毛羽绒顶饰 – 纯苯胺意大利皮革 – 干邑棕褐色</v>
      </c>
      <c r="E166" s="1" t="str">
        <f>IFERROR(__xludf.DUMMYFUNCTION("CONCATENATE(GOOGLETRANSLATE(C166, ""en"", ""ko""))"),"POLY &amp; BARK 나파 가죽 소파 – 오른쪽을 향한 단면 가죽 소파 – 좌석 표면에 깃털 다운 토퍼가 있는 터프티드 백 풀 그레인 가죽 소파 – 순수 아닐린 이탈리아 가죽 – 코냑 탄")</f>
        <v>POLY &amp; BARK 나파 가죽 소파 – 오른쪽을 향한 단면 가죽 소파 – 좌석 표면에 깃털 다운 토퍼가 있는 터프티드 백 풀 그레인 가죽 소파 – 순수 아닐린 이탈리아 가죽 – 코냑 탄</v>
      </c>
      <c r="F166" s="1" t="str">
        <f>IFERROR(__xludf.DUMMYFUNCTION("CONCATENATE(GOOGLETRANSLATE(C166, ""en"", ""ja""))"),"POLY &amp; BARK ナパレザーソファ – 右向きセクショナルレザーソファ – 房状バックフルグレインレザーソファ、座面にフェザーダウントッパー付き – ピュアアニリンイタリアンレザー – コニャックタン")</f>
        <v>POLY &amp; BARK ナパレザーソファ – 右向きセクショナルレザーソファ – 房状バックフルグレインレザーソファ、座面にフェザーダウントッパー付き – ピュアアニリンイタリアンレザー – コニャックタン</v>
      </c>
    </row>
    <row r="167" ht="15.75" customHeight="1">
      <c r="A167" s="1">
        <v>3234.0</v>
      </c>
      <c r="B167" s="1" t="s">
        <v>6</v>
      </c>
      <c r="C167" s="1" t="s">
        <v>169</v>
      </c>
      <c r="D167" s="1" t="str">
        <f>IFERROR(__xludf.DUMMYFUNCTION("CONCATENATE(GOOGLETRANSLATE(C167, ""en"", ""zh-cn""))
"),"Jura S8 自动咖啡机 64 盎司，月光银")</f>
        <v>Jura S8 自动咖啡机 64 盎司，月光银</v>
      </c>
      <c r="E167" s="1" t="str">
        <f>IFERROR(__xludf.DUMMYFUNCTION("CONCATENATE(GOOGLETRANSLATE(C167, ""en"", ""ko""))"),"Jura S8 자동 커피 머신 64온스, 문라이트 실버")</f>
        <v>Jura S8 자동 커피 머신 64온스, 문라이트 실버</v>
      </c>
      <c r="F167" s="1" t="str">
        <f>IFERROR(__xludf.DUMMYFUNCTION("CONCATENATE(GOOGLETRANSLATE(C167, ""en"", ""ja""))"),"Jura S8 自動コーヒーマシン 64 オンス、ムーンライトシルバー")</f>
        <v>Jura S8 自動コーヒーマシン 64 オンス、ムーンライトシルバー</v>
      </c>
    </row>
    <row r="168" ht="15.75" customHeight="1">
      <c r="A168" s="1">
        <v>3320.0</v>
      </c>
      <c r="B168" s="1" t="s">
        <v>6</v>
      </c>
      <c r="C168" s="1" t="s">
        <v>170</v>
      </c>
      <c r="D168" s="1" t="str">
        <f>IFERROR(__xludf.DUMMYFUNCTION("CONCATENATE(GOOGLETRANSLATE(C168, ""en"", ""zh-cn""))
"),"ACME家具Kacela服务器，香槟")</f>
        <v>ACME家具Kacela服务器，香槟</v>
      </c>
      <c r="E168" s="1" t="str">
        <f>IFERROR(__xludf.DUMMYFUNCTION("CONCATENATE(GOOGLETRANSLATE(C168, ""en"", ""ko""))"),"ACME 가구 카셀라 서버, 샴페인")</f>
        <v>ACME 가구 카셀라 서버, 샴페인</v>
      </c>
      <c r="F168" s="1" t="str">
        <f>IFERROR(__xludf.DUMMYFUNCTION("CONCATENATE(GOOGLETRANSLATE(C168, ""en"", ""ja""))"),"ACME Furniture Kacela サーバー、シャンパン")</f>
        <v>ACME Furniture Kacela サーバー、シャンパン</v>
      </c>
    </row>
    <row r="169" ht="15.75" customHeight="1">
      <c r="A169" s="1">
        <v>3322.0</v>
      </c>
      <c r="B169" s="1" t="s">
        <v>6</v>
      </c>
      <c r="C169" s="1" t="s">
        <v>171</v>
      </c>
      <c r="D169" s="1" t="str">
        <f>IFERROR(__xludf.DUMMYFUNCTION("CONCATENATE(GOOGLETRANSLATE(C169, ""en"", ""zh-cn""))
"),"Breville BES880BSS Barista Touch 浓缩咖啡机拉丝不锈钢 + 制造商保修 + 迷你敲门盒")</f>
        <v>Breville BES880BSS Barista Touch 浓缩咖啡机拉丝不锈钢 + 制造商保修 + 迷你敲门盒</v>
      </c>
      <c r="E169" s="1" t="str">
        <f>IFERROR(__xludf.DUMMYFUNCTION("CONCATENATE(GOOGLETRANSLATE(C169, ""en"", ""ko""))"),"브레빌 BES880BSS 바리스타 터치 에스프레소 머신 브러시드 스테인레스 스틸 + 제조업체 보증 + 녹박스 미니")</f>
        <v>브레빌 BES880BSS 바리스타 터치 에스프레소 머신 브러시드 스테인레스 스틸 + 제조업체 보증 + 녹박스 미니</v>
      </c>
      <c r="F169" s="1" t="str">
        <f>IFERROR(__xludf.DUMMYFUNCTION("CONCATENATE(GOOGLETRANSLATE(C169, ""en"", ""ja""))"),"Breville BES880BSS バリスタタッチ エスプレッソマシン ブラッシュステンレススチール + メーカー保証 + ノックボックス ミニ")</f>
        <v>Breville BES880BSS バリスタタッチ エスプレッソマシン ブラッシュステンレススチール + メーカー保証 + ノックボックス ミニ</v>
      </c>
    </row>
    <row r="170" ht="15.75" customHeight="1">
      <c r="A170" s="1">
        <v>3334.0</v>
      </c>
      <c r="B170" s="1" t="s">
        <v>6</v>
      </c>
      <c r="C170" s="1" t="s">
        <v>172</v>
      </c>
      <c r="D170" s="1" t="str">
        <f>IFERROR(__xludf.DUMMYFUNCTION("CONCATENATE(GOOGLETRANSLATE(C170, ""en"", ""zh-cn""))
"),"Jura Cappresso 北欧白 ENA 4 Full")</f>
        <v>Jura Cappresso 北欧白 ENA 4 Full</v>
      </c>
      <c r="E170" s="1" t="str">
        <f>IFERROR(__xludf.DUMMYFUNCTION("CONCATENATE(GOOGLETRANSLATE(C170, ""en"", ""ko""))"),"Jura Capresso 노르딕 화이트 ENA 4 풀")</f>
        <v>Jura Capresso 노르딕 화이트 ENA 4 풀</v>
      </c>
      <c r="F170" s="1" t="str">
        <f>IFERROR(__xludf.DUMMYFUNCTION("CONCATENATE(GOOGLETRANSLATE(C170, ""en"", ""ja""))"),"ジュラ カプリッソ ノルディック ホワイト ENA 4 フル")</f>
        <v>ジュラ カプリッソ ノルディック ホワイト ENA 4 フル</v>
      </c>
    </row>
    <row r="171" ht="15.75" customHeight="1">
      <c r="A171" s="1">
        <v>3338.0</v>
      </c>
      <c r="B171" s="1" t="s">
        <v>6</v>
      </c>
      <c r="C171" s="1" t="s">
        <v>173</v>
      </c>
      <c r="D171" s="1" t="str">
        <f>IFERROR(__xludf.DUMMYFUNCTION("CONCATENATE(GOOGLETRANSLATE(C171, ""en"", ""zh-cn""))
"),"Ashley Bladen 签名设计仿皮全沙发床，灰色")</f>
        <v>Ashley Bladen 签名设计仿皮全沙发床，灰色</v>
      </c>
      <c r="E171" s="1" t="str">
        <f>IFERROR(__xludf.DUMMYFUNCTION("CONCATENATE(GOOGLETRANSLATE(C171, ""en"", ""ko""))"),"Ashley Bladen의 시그니처 디자인 인조 가죽 풀 소파 슬리퍼, 그레이")</f>
        <v>Ashley Bladen의 시그니처 디자인 인조 가죽 풀 소파 슬리퍼, 그레이</v>
      </c>
      <c r="F171" s="1" t="str">
        <f>IFERROR(__xludf.DUMMYFUNCTION("CONCATENATE(GOOGLETRANSLATE(C171, ""en"", ""ja""))"),"Ashley Bladen による署名デザイン フェイクレザー フルソファ スリーパー、グレー")</f>
        <v>Ashley Bladen による署名デザイン フェイクレザー フルソファ スリーパー、グレー</v>
      </c>
    </row>
    <row r="172" ht="15.75" customHeight="1">
      <c r="A172" s="1">
        <v>3394.0</v>
      </c>
      <c r="B172" s="1" t="s">
        <v>6</v>
      </c>
      <c r="C172" s="1" t="s">
        <v>26</v>
      </c>
      <c r="D172" s="1" t="str">
        <f>IFERROR(__xludf.DUMMYFUNCTION("CONCATENATE(GOOGLETRANSLATE(C172, ""en"", ""zh-cn""))
"),"Lyromix 3 合 1 客厅沙发床，全尺寸可转换双人沙发床，天鹅绒拉出沙发，带 2 个枕头和可拆卸储物袋，黑色")</f>
        <v>Lyromix 3 合 1 客厅沙发床，全尺寸可转换双人沙发床，天鹅绒拉出沙发，带 2 个枕头和可拆卸储物袋，黑色</v>
      </c>
      <c r="E172" s="1" t="str">
        <f>IFERROR(__xludf.DUMMYFUNCTION("CONCATENATE(GOOGLETRANSLATE(C172, ""en"", ""ko""))"),"거실용 Lyromix 3 in 1 소파 베드, 컨버터블 러브시트 슬리퍼 풀 사이즈, 벨벳 풀아웃 소파, 베개 2개 및 분리형 수납 가방, 블랙")</f>
        <v>거실용 Lyromix 3 in 1 소파 베드, 컨버터블 러브시트 슬리퍼 풀 사이즈, 벨벳 풀아웃 소파, 베개 2개 및 분리형 수납 가방, 블랙</v>
      </c>
      <c r="F172" s="1" t="str">
        <f>IFERROR(__xludf.DUMMYFUNCTION("CONCATENATE(GOOGLETRANSLATE(C172, ""en"", ""ja""))"),"Lyromix 3 in 1 ソファベッド リビングルーム用 コンバーチブル 二人掛けスリーパー フルサイズ ベルベット引き出し式ソファ 枕2個&amp;取り外し可能な収納バッグ付き ブラック")</f>
        <v>Lyromix 3 in 1 ソファベッド リビングルーム用 コンバーチブル 二人掛けスリーパー フルサイズ ベルベット引き出し式ソファ 枕2個&amp;取り外し可能な収納バッグ付き ブラック</v>
      </c>
    </row>
    <row r="173" ht="15.75" customHeight="1">
      <c r="A173" s="1">
        <v>3407.0</v>
      </c>
      <c r="B173" s="1" t="s">
        <v>6</v>
      </c>
      <c r="C173" s="1" t="s">
        <v>174</v>
      </c>
      <c r="D173" s="1" t="str">
        <f>IFERROR(__xludf.DUMMYFUNCTION("CONCATENATE(GOOGLETRANSLATE(C173, ""en"", ""zh-cn""))
"),"HONBAY 敞篷组合沙发，带奥斯曼现代 L 形组合沙发，仿皮沙发，带双面躺椅，黑色")</f>
        <v>HONBAY 敞篷组合沙发，带奥斯曼现代 L 形组合沙发，仿皮沙发，带双面躺椅，黑色</v>
      </c>
      <c r="E173" s="1" t="str">
        <f>IFERROR(__xludf.DUMMYFUNCTION("CONCATENATE(GOOGLETRANSLATE(C173, ""en"", ""ko""))"),"HONBAY 컨버터블 단면 소파, 오스만 모던 L 모양 단면 소파 인조 가죽 소파, 양면 의자, 블랙")</f>
        <v>HONBAY 컨버터블 단면 소파, 오스만 모던 L 모양 단면 소파 인조 가죽 소파, 양면 의자, 블랙</v>
      </c>
      <c r="F173" s="1" t="str">
        <f>IFERROR(__xludf.DUMMYFUNCTION("CONCATENATE(GOOGLETRANSLATE(C173, ""en"", ""ja""))"),"HONBAY コンバーチブル セクショナル ソファ オットマン付き モダン L 字型 セクショナル カウチ フェイクレザー カウチ リバーシブル 長椅子付き ブラック")</f>
        <v>HONBAY コンバーチブル セクショナル ソファ オットマン付き モダン L 字型 セクショナル カウチ フェイクレザー カウチ リバーシブル 長椅子付き ブラック</v>
      </c>
    </row>
    <row r="174" ht="15.75" customHeight="1">
      <c r="A174" s="1">
        <v>3458.0</v>
      </c>
      <c r="B174" s="1" t="s">
        <v>6</v>
      </c>
      <c r="C174" s="1" t="s">
        <v>27</v>
      </c>
      <c r="D174" s="1" t="str">
        <f>IFERROR(__xludf.DUMMYFUNCTION("CONCATENATE(GOOGLETRANSLATE(C174, ""en"", ""zh-cn""))
"),"Ashley Darcy 签名设计休闲毛绒沙发，棕色")</f>
        <v>Ashley Darcy 签名设计休闲毛绒沙发，棕色</v>
      </c>
      <c r="E174" s="1" t="str">
        <f>IFERROR(__xludf.DUMMYFUNCTION("CONCATENATE(GOOGLETRANSLATE(C174, ""en"", ""ko""))"),"Ashley Darcy의 시그니처 디자인 캐주얼 플러시 소파, 브라운")</f>
        <v>Ashley Darcy의 시그니처 디자인 캐주얼 플러시 소파, 브라운</v>
      </c>
      <c r="F174" s="1" t="str">
        <f>IFERROR(__xludf.DUMMYFUNCTION("CONCATENATE(GOOGLETRANSLATE(C174, ""en"", ""ja""))"),"アシュリー・ダーシーによるサインデザイン カジュアルプラッシュソファ、ブラウン")</f>
        <v>アシュリー・ダーシーによるサインデザイン カジュアルプラッシュソファ、ブラウン</v>
      </c>
    </row>
    <row r="175" ht="15.75" customHeight="1">
      <c r="A175" s="1">
        <v>3486.0</v>
      </c>
      <c r="B175" s="1" t="s">
        <v>6</v>
      </c>
      <c r="C175" s="1" t="s">
        <v>175</v>
      </c>
      <c r="D175" s="1" t="str">
        <f>IFERROR(__xludf.DUMMYFUNCTION("CONCATENATE(GOOGLETRANSLATE(C175, ""en"", ""zh-cn""))
"),"HP ProLiant ML30 Gen10 塔式服务器，Intel Xeon E-2124 四核 3.3GHz 8MB，32GB DDR4 RAM，8TB 存储，RAID，iLO 5")</f>
        <v>HP ProLiant ML30 Gen10 塔式服务器，Intel Xeon E-2124 四核 3.3GHz 8MB，32GB DDR4 RAM，8TB 存储，RAID，iLO 5</v>
      </c>
      <c r="E175" s="1" t="str">
        <f>IFERROR(__xludf.DUMMYFUNCTION("CONCATENATE(GOOGLETRANSLATE(C175, ""en"", ""ko""))"),"HP ProLiant ML30 Gen10 타워 서버, Intel Xeon E-2124 쿼드 코어 3.3GHz 8MB, 32GB DDR4 RAM, 8TB 스토리지, RAID, iLO 5")</f>
        <v>HP ProLiant ML30 Gen10 타워 서버, Intel Xeon E-2124 쿼드 코어 3.3GHz 8MB, 32GB DDR4 RAM, 8TB 스토리지, RAID, iLO 5</v>
      </c>
      <c r="F175" s="1" t="str">
        <f>IFERROR(__xludf.DUMMYFUNCTION("CONCATENATE(GOOGLETRANSLATE(C175, ""en"", ""ja""))"),"HP ProLiant ML30 Gen10 タワー サーバー、Intel Xeon E-2124 クアッドコア 3.3GHz 8MB、32GB DDR4 RAM、8TB ストレージ、RAID、iLO 5")</f>
        <v>HP ProLiant ML30 Gen10 タワー サーバー、Intel Xeon E-2124 クアッドコア 3.3GHz 8MB、32GB DDR4 RAM、8TB ストレージ、RAID、iLO 5</v>
      </c>
    </row>
    <row r="176" ht="15.75" customHeight="1">
      <c r="A176" s="1">
        <v>3492.0</v>
      </c>
      <c r="B176" s="1" t="s">
        <v>6</v>
      </c>
      <c r="C176" s="1" t="s">
        <v>176</v>
      </c>
      <c r="D176" s="1" t="str">
        <f>IFERROR(__xludf.DUMMYFUNCTION("CONCATENATE(GOOGLETRANSLATE(C176, ""en"", ""zh-cn""))
"),"Pemberly Row 80 农舍过渡木质家庭酒吧单元橱柜套装，带高脚杯架，餐厅厨房酒柜，烟叶材质")</f>
        <v>Pemberly Row 80 农舍过渡木质家庭酒吧单元橱柜套装，带高脚杯架，餐厅厨房酒柜，烟叶材质</v>
      </c>
      <c r="E176" s="1" t="str">
        <f>IFERROR(__xludf.DUMMYFUNCTION("CONCATENATE(GOOGLETRANSLATE(C176, ""en"", ""ko""))"),"Pemberly Row 80 농가 과도기 목재 홈 바 유닛 캐비닛 세트, 스템웨어 랙 포함, 다이닝 룸 주방용 와인 보관함, 담배 잎 포함")</f>
        <v>Pemberly Row 80 농가 과도기 목재 홈 바 유닛 캐비닛 세트, 스템웨어 랙 포함, 다이닝 룸 주방용 와인 보관함, 담배 잎 포함</v>
      </c>
      <c r="F176" s="1" t="str">
        <f>IFERROR(__xludf.DUMMYFUNCTION("CONCATENATE(GOOGLETRANSLATE(C176, ""en"", ""ja""))"),"Pemberly Row 80 ファームハウス トランジショナルウッド ホームバーユニットキャビネットセット ステムウェアラック付き ダイニングルームキッチン用ワインストレージ タバコリーフ")</f>
        <v>Pemberly Row 80 ファームハウス トランジショナルウッド ホームバーユニットキャビネットセット ステムウェアラック付き ダイニングルームキッチン用ワインストレージ タバコリーフ</v>
      </c>
    </row>
    <row r="177" ht="15.75" customHeight="1">
      <c r="A177" s="1">
        <v>3498.0</v>
      </c>
      <c r="B177" s="1" t="s">
        <v>6</v>
      </c>
      <c r="C177" s="1" t="s">
        <v>177</v>
      </c>
      <c r="D177" s="1" t="str">
        <f>IFERROR(__xludf.DUMMYFUNCTION("CONCATENATE(GOOGLETRANSLATE(C177, ""en"", ""zh-cn""))
"),"戴尔 XPS 13 9310 笔记本电脑 - 13.4 英寸 OLED 3.5K (3456x2160) 触摸屏显示屏，英特尔酷睿 i7-1185G7，32GB LPDDR4x RAM，1TB 固态硬盘，英特尔 Iris Xe 显卡，1 年高级支持 Windows 11 Home - 银色")</f>
        <v>戴尔 XPS 13 9310 笔记本电脑 - 13.4 英寸 OLED 3.5K (3456x2160) 触摸屏显示屏，英特尔酷睿 i7-1185G7，32GB LPDDR4x RAM，1TB 固态硬盘，英特尔 Iris Xe 显卡，1 年高级支持 Windows 11 Home - 银色</v>
      </c>
      <c r="E177" s="1" t="str">
        <f>IFERROR(__xludf.DUMMYFUNCTION("CONCATENATE(GOOGLETRANSLATE(C177, ""en"", ""ko""))"),"Dell XPS 13 9310 노트북 - 13.4인치 OLED 3.5K(3456x2160) 터치스크린 디스플레이, Intel Core i7-1185G7, 32GB LPDDR4x RAM, 1TB SSD, Intel Iris Xe 그래픽, 1년 프리미엄 지원 Windows 11 Home - 실버")</f>
        <v>Dell XPS 13 9310 노트북 - 13.4인치 OLED 3.5K(3456x2160) 터치스크린 디스플레이, Intel Core i7-1185G7, 32GB LPDDR4x RAM, 1TB SSD, Intel Iris Xe 그래픽, 1년 프리미엄 지원 Windows 11 Home - 실버</v>
      </c>
      <c r="F177" s="1" t="str">
        <f>IFERROR(__xludf.DUMMYFUNCTION("CONCATENATE(GOOGLETRANSLATE(C177, ""en"", ""ja""))"),"Dell XPS 13 9310 ラップトップ - 13.4 インチ OLED 3.5K (3456x2160) タッチスクリーン ディスプレイ、Intel Core i7-1185G7、32GB LPDDR4x RAM、1TB SSD、Intel Iris Xe グラフィックス、1 年間のプレミアム サポート Windows 11 Home - シルバー")</f>
        <v>Dell XPS 13 9310 ラップトップ - 13.4 インチ OLED 3.5K (3456x2160) タッチスクリーン ディスプレイ、Intel Core i7-1185G7、32GB LPDDR4x RAM、1TB SSD、Intel Iris Xe グラフィックス、1 年間のプレミアム サポート Windows 11 Home - シルバー</v>
      </c>
    </row>
    <row r="178" ht="15.75" customHeight="1">
      <c r="A178" s="1">
        <v>3511.0</v>
      </c>
      <c r="B178" s="1" t="s">
        <v>6</v>
      </c>
      <c r="C178" s="1" t="s">
        <v>178</v>
      </c>
      <c r="D178" s="1" t="str">
        <f>IFERROR(__xludf.DUMMYFUNCTION("CONCATENATE(GOOGLETRANSLATE(C178, ""en"", ""zh-cn""))
"),"戴尔 XPS 8940 游戏塔式电脑 - Intel i7-11700 - 32GB RAM，512GB NVMe SSD + 1TB HDD - Nvidia Geforce RTX 3060 Ti 8GB 4K，DisplayPort，HDMI，DVD，AX Wi-Fi，蓝牙，SD 卡 - Windows 10 Pro（更新版）")</f>
        <v>戴尔 XPS 8940 游戏塔式电脑 - Intel i7-11700 - 32GB RAM，512GB NVMe SSD + 1TB HDD - Nvidia Geforce RTX 3060 Ti 8GB 4K，DisplayPort，HDMI，DVD，AX Wi-Fi，蓝牙，SD 卡 - Windows 10 Pro（更新版）</v>
      </c>
      <c r="E178" s="1" t="str">
        <f>IFERROR(__xludf.DUMMYFUNCTION("CONCATENATE(GOOGLETRANSLATE(C178, ""en"", ""ko""))"),"Dell XPS 8940 게이밍 타워 PC - Intel i7-11700 - 32GB RAM, 512GB NVMe SSD + 1TB HDD - Nvidia Geforce RTX 3060 Ti 8GB 4K, DisplayPort, HDMI, DVD, AX Wi-Fi, Bluetooth, SD 카드 - Windows 10 Pro(갱신)")</f>
        <v>Dell XPS 8940 게이밍 타워 PC - Intel i7-11700 - 32GB RAM, 512GB NVMe SSD + 1TB HDD - Nvidia Geforce RTX 3060 Ti 8GB 4K, DisplayPort, HDMI, DVD, AX Wi-Fi, Bluetooth, SD 카드 - Windows 10 Pro(갱신)</v>
      </c>
      <c r="F178" s="1" t="str">
        <f>IFERROR(__xludf.DUMMYFUNCTION("CONCATENATE(GOOGLETRANSLATE(C178, ""en"", ""ja""))"),"Dell XPS 8940 ゲーミング タワー PC - Intel i7-11700 - 32GB RAM、512GB NVMe SSD + 1TB HDD - Nvidia Geforce RTX 3060 Ti 8GB 4K、DisplayPort、HDMI、DVD、AX Wi-Fi、Bluetooth、SD カード - Windows 10 Pro (更新済み)")</f>
        <v>Dell XPS 8940 ゲーミング タワー PC - Intel i7-11700 - 32GB RAM、512GB NVMe SSD + 1TB HDD - Nvidia Geforce RTX 3060 Ti 8GB 4K、DisplayPort、HDMI、DVD、AX Wi-Fi、Bluetooth、SD カード - Windows 10 Pro (更新済み)</v>
      </c>
    </row>
    <row r="179" ht="15.75" customHeight="1">
      <c r="A179" s="1">
        <v>3514.0</v>
      </c>
      <c r="B179" s="1" t="s">
        <v>6</v>
      </c>
      <c r="C179" s="1" t="s">
        <v>179</v>
      </c>
      <c r="D179" s="1" t="str">
        <f>IFERROR(__xludf.DUMMYFUNCTION("CONCATENATE(GOOGLETRANSLATE(C179, ""en"", ""zh-cn""))
"),"HP Envy 商务笔记本电脑，17.3英寸全高清触摸屏，英特尔酷睿 i7-1260P 处理器，32GB RAM，2TB SSD，红外摄像头，背光键盘，Wi-Fi 6，HDMI，Windows 11 Pro，银色")</f>
        <v>HP Envy 商务笔记本电脑，17.3英寸全高清触摸屏，英特尔酷睿 i7-1260P 处理器，32GB RAM，2TB SSD，红外摄像头，背光键盘，Wi-Fi 6，HDMI，Windows 11 Pro，银色</v>
      </c>
      <c r="E179" s="1" t="str">
        <f>IFERROR(__xludf.DUMMYFUNCTION("CONCATENATE(GOOGLETRANSLATE(C179, ""en"", ""ko""))"),"HP Envy 비즈니스 노트북, 17.3 FHD 터치스크린, Intel Core i7-1260P 프로세서, 32GB RAM, 2TB SSD, IR 카메라, 백라이트 키보드, Wi-Fi 6, HDMI, Windows 11 Pro, 실버")</f>
        <v>HP Envy 비즈니스 노트북, 17.3 FHD 터치스크린, Intel Core i7-1260P 프로세서, 32GB RAM, 2TB SSD, IR 카메라, 백라이트 키보드, Wi-Fi 6, HDMI, Windows 11 Pro, 실버</v>
      </c>
      <c r="F179" s="1" t="str">
        <f>IFERROR(__xludf.DUMMYFUNCTION("CONCATENATE(GOOGLETRANSLATE(C179, ""en"", ""ja""))"),"HP Envy ビジネス ラップトップ、17.3 FHD タッチスクリーン、Intel Core i7-1260P プロセッサー、32GB RAM、2TB SSD、IR カメラ、バックライト付きキーボード、Wi-Fi 6、HDMI、Windows 11 Pro、シルバー")</f>
        <v>HP Envy ビジネス ラップトップ、17.3 FHD タッチスクリーン、Intel Core i7-1260P プロセッサー、32GB RAM、2TB SSD、IR カメラ、バックライト付きキーボード、Wi-Fi 6、HDMI、Windows 11 Pro、シルバー</v>
      </c>
    </row>
    <row r="180" ht="15.75" customHeight="1">
      <c r="A180" s="1">
        <v>3526.0</v>
      </c>
      <c r="B180" s="1" t="s">
        <v>6</v>
      </c>
      <c r="C180" s="1" t="s">
        <v>180</v>
      </c>
      <c r="D180" s="1" t="str">
        <f>IFERROR(__xludf.DUMMYFUNCTION("CONCATENATE(GOOGLETRANSLATE(C180, ""en"", ""zh-cn""))
"),"华硕 ROG Strix G15 游戏笔记本电脑 2023 最新，15.6 IPS 144Hz 显示屏，NVIDIA GeForce RTX 3060，AMD Ryzen 7 4800H（8 核），16GB RAM，1TB SSD，背光键盘，Windows 11 Home，捆绑 Cefesfy")</f>
        <v>华硕 ROG Strix G15 游戏笔记本电脑 2023 最新，15.6 IPS 144Hz 显示屏，NVIDIA GeForce RTX 3060，AMD Ryzen 7 4800H（8 核），16GB RAM，1TB SSD，背光键盘，Windows 11 Home，捆绑 Cefesfy</v>
      </c>
      <c r="E180" s="1" t="str">
        <f>IFERROR(__xludf.DUMMYFUNCTION("CONCATENATE(GOOGLETRANSLATE(C180, ""en"", ""ko""))"),"ASUS ROG Strix G15 게이밍 노트북 2023 최신, 15.6 IPS 144Hz 디스플레이, NVIDIA GeForce RTX 3060, AMD Ryzen 7 4800H(8코어), 16GB RAM, 1TB SSD, 백라이트 키보드, Windows 11 Home, Cefesfy 번들")</f>
        <v>ASUS ROG Strix G15 게이밍 노트북 2023 최신, 15.6 IPS 144Hz 디스플레이, NVIDIA GeForce RTX 3060, AMD Ryzen 7 4800H(8코어), 16GB RAM, 1TB SSD, 백라이트 키보드, Windows 11 Home, Cefesfy 번들</v>
      </c>
      <c r="F180" s="1" t="str">
        <f>IFERROR(__xludf.DUMMYFUNCTION("CONCATENATE(GOOGLETRANSLATE(C180, ""en"", ""ja""))"),"ASUS ROG Strix G15 ゲーミング ラップトップ 2023 最新、15.6 IPS 144Hz ディスプレイ、NVIDIA GeForce RTX 3060、AMD Ryzen 7 4800H (8 コア)、16GB RAM、1TB SSD、バックライト付きキーボード、Windows 11 Home、Cefesfy バンドル")</f>
        <v>ASUS ROG Strix G15 ゲーミング ラップトップ 2023 最新、15.6 IPS 144Hz ディスプレイ、NVIDIA GeForce RTX 3060、AMD Ryzen 7 4800H (8 コア)、16GB RAM、1TB SSD、バックライト付きキーボード、Windows 11 Home、Cefesfy バンドル</v>
      </c>
    </row>
    <row r="181" ht="15.75" customHeight="1">
      <c r="A181" s="1">
        <v>3587.0</v>
      </c>
      <c r="B181" s="1" t="s">
        <v>6</v>
      </c>
      <c r="C181" s="1" t="s">
        <v>181</v>
      </c>
      <c r="D181" s="1" t="str">
        <f>IFERROR(__xludf.DUMMYFUNCTION("CONCATENATE(GOOGLETRANSLATE(C181, ""en"", ""zh-cn""))
"),"宏碁 Aspire XC-1760 (i512R8512G03) 台式机，配备第 12 代英特尔酷睿处理器和 8GB RAM")</f>
        <v>宏碁 Aspire XC-1760 (i512R8512G03) 台式机，配备第 12 代英特尔酷睿处理器和 8GB RAM</v>
      </c>
      <c r="E181" s="1" t="str">
        <f>IFERROR(__xludf.DUMMYFUNCTION("CONCATENATE(GOOGLETRANSLATE(C181, ""en"", ""ko""))"),"12세대 Intel Core 프로세서 및 8GB RAM을 탑재한 Acer Aspire XC-1760(i512R8512G03) 데스크탑")</f>
        <v>12세대 Intel Core 프로세서 및 8GB RAM을 탑재한 Acer Aspire XC-1760(i512R8512G03) 데스크탑</v>
      </c>
      <c r="F181" s="1" t="str">
        <f>IFERROR(__xludf.DUMMYFUNCTION("CONCATENATE(GOOGLETRANSLATE(C181, ""en"", ""ja""))"),"第 12 世代 Intel Core プロセッサーと 8GB RAM を搭載した Acer Aspire XC-1760 (i512R8512G03) デスクトップ")</f>
        <v>第 12 世代 Intel Core プロセッサーと 8GB RAM を搭載した Acer Aspire XC-1760 (i512R8512G03) デスクトップ</v>
      </c>
    </row>
    <row r="182" ht="15.75" customHeight="1">
      <c r="A182" s="1">
        <v>3593.0</v>
      </c>
      <c r="B182" s="1" t="s">
        <v>6</v>
      </c>
      <c r="C182" s="1" t="s">
        <v>182</v>
      </c>
      <c r="D182" s="1" t="str">
        <f>IFERROR(__xludf.DUMMYFUNCTION("CONCATENATE(GOOGLETRANSLATE(C182, ""en"", ""zh-cn""))
"),"2020 Apple iPad Pro（12.9 英寸，Wi-Fi，256GB）- 深空灰色（续订）")</f>
        <v>2020 Apple iPad Pro（12.9 英寸，Wi-Fi，256GB）- 深空灰色（续订）</v>
      </c>
      <c r="E182" s="1" t="str">
        <f>IFERROR(__xludf.DUMMYFUNCTION("CONCATENATE(GOOGLETRANSLATE(C182, ""en"", ""ko""))"),"2020 애플 아이패드 프로(12.9인치, Wi-Fi, 256GB) - 스페이스 그레이(리뉴얼)")</f>
        <v>2020 애플 아이패드 프로(12.9인치, Wi-Fi, 256GB) - 스페이스 그레이(리뉴얼)</v>
      </c>
      <c r="F182" s="1" t="str">
        <f>IFERROR(__xludf.DUMMYFUNCTION("CONCATENATE(GOOGLETRANSLATE(C182, ""en"", ""ja""))"),"2020 Apple iPad Pro (12.9 インチ、Wi-Fi、256GB) - スペース グレイ (リニューアル)")</f>
        <v>2020 Apple iPad Pro (12.9 インチ、Wi-Fi、256GB) - スペース グレイ (リニューアル)</v>
      </c>
    </row>
    <row r="183" ht="15.75" customHeight="1">
      <c r="A183" s="1">
        <v>3613.0</v>
      </c>
      <c r="B183" s="1" t="s">
        <v>6</v>
      </c>
      <c r="C183" s="1" t="s">
        <v>183</v>
      </c>
      <c r="D183" s="1" t="str">
        <f>IFERROR(__xludf.DUMMYFUNCTION("CONCATENATE(GOOGLETRANSLATE(C183, ""en"", ""zh-cn""))
"),"Lenovo IdeaCentre AIO 3i - 2022 - 一体化台式机 - 27 FHD 触摸显示屏 - 5MP 摄像头 - Windows 11 Home - 8GB 内存 - 512GB 存储 - Intel Core i5-1240P - 黑色 - 包括鼠标和键盘")</f>
        <v>Lenovo IdeaCentre AIO 3i - 2022 - 一体化台式机 - 27 FHD 触摸显示屏 - 5MP 摄像头 - Windows 11 Home - 8GB 内存 - 512GB 存储 - Intel Core i5-1240P - 黑色 - 包括鼠标和键盘</v>
      </c>
      <c r="E183" s="1" t="str">
        <f>IFERROR(__xludf.DUMMYFUNCTION("CONCATENATE(GOOGLETRANSLATE(C183, ""en"", ""ko""))"),"Lenovo IdeaCentre AIO 3i - 2022 - 올인원 데스크탑 - 27 FHD 터치 디스플레이 - 5MP 카메라 - Windows 11 Home - 8GB 메모리 - 512GB 스토리지 - Intel Core i5-1240P - 블랙 - 마우스 및 키보드 포함")</f>
        <v>Lenovo IdeaCentre AIO 3i - 2022 - 올인원 데스크탑 - 27 FHD 터치 디스플레이 - 5MP 카메라 - Windows 11 Home - 8GB 메모리 - 512GB 스토리지 - Intel Core i5-1240P - 블랙 - 마우스 및 키보드 포함</v>
      </c>
      <c r="F183" s="1" t="str">
        <f>IFERROR(__xludf.DUMMYFUNCTION("CONCATENATE(GOOGLETRANSLATE(C183, ""en"", ""ja""))"),"Lenovo IdeaCentre AIO 3i - 2022 - オールインワン デスクトップ - 27 FHD タッチ ディスプレイ - 5MP カメラ - Windows 11 Home - 8GB メモリ - 512GB ストレージ - Intel Core i5-1240P - ブラック - マウスとキーボード付属")</f>
        <v>Lenovo IdeaCentre AIO 3i - 2022 - オールインワン デスクトップ - 27 FHD タッチ ディスプレイ - 5MP カメラ - Windows 11 Home - 8GB メモリ - 512GB ストレージ - Intel Core i5-1240P - ブラック - マウスとキーボード付属</v>
      </c>
    </row>
    <row r="184" ht="15.75" customHeight="1">
      <c r="A184" s="1">
        <v>3616.0</v>
      </c>
      <c r="B184" s="1" t="s">
        <v>6</v>
      </c>
      <c r="C184" s="1" t="s">
        <v>184</v>
      </c>
      <c r="D184" s="1" t="str">
        <f>IFERROR(__xludf.DUMMYFUNCTION("CONCATENATE(GOOGLETRANSLATE(C184, ""en"", ""zh-cn""))
"),"HP Pavilion 15 笔记本电脑，第 12 代英特尔酷睿 i7-1255U 处理器，16 GB RAM，512 GB SSD，15.6 全高清显示屏，Windows 11 Pro，指纹识别器，Wi-Fi 和蓝牙，高清网络摄像头 (15-eg2025nr 2022)")</f>
        <v>HP Pavilion 15 笔记本电脑，第 12 代英特尔酷睿 i7-1255U 处理器，16 GB RAM，512 GB SSD，15.6 全高清显示屏，Windows 11 Pro，指纹识别器，Wi-Fi 和蓝牙，高清网络摄像头 (15-eg2025nr 2022)</v>
      </c>
      <c r="E184" s="1" t="str">
        <f>IFERROR(__xludf.DUMMYFUNCTION("CONCATENATE(GOOGLETRANSLATE(C184, ""en"", ""ko""))"),"HP Pavilion 15 노트북, 12세대 Intel Core i7-1255U 프로세서, 16GB RAM, 512GB SSD, 15.6 풀 HD 디스플레이, Windows 11 Pro, 지문 인식기, Wi-Fi 및 Bluetooth, HD 웹캠(15-eg2025nr 2022)")</f>
        <v>HP Pavilion 15 노트북, 12세대 Intel Core i7-1255U 프로세서, 16GB RAM, 512GB SSD, 15.6 풀 HD 디스플레이, Windows 11 Pro, 지문 인식기, Wi-Fi 및 Bluetooth, HD 웹캠(15-eg2025nr 2022)</v>
      </c>
      <c r="F184" s="1" t="str">
        <f>IFERROR(__xludf.DUMMYFUNCTION("CONCATENATE(GOOGLETRANSLATE(C184, ""en"", ""ja""))"),"HP Pavilion 15 ラップトップ、第 12 世代インテル Core i7-1255U プロセッサー、16 GB RAM、512 GB SSD、15.6 フル HD ディスプレイ、Windows 11 Pro、指紋リーダー、Wi-Fi および Bluetooth、HD ウェブカメラ (15-eg2025nr 2022)")</f>
        <v>HP Pavilion 15 ラップトップ、第 12 世代インテル Core i7-1255U プロセッサー、16 GB RAM、512 GB SSD、15.6 フル HD ディスプレイ、Windows 11 Pro、指紋リーダー、Wi-Fi および Bluetooth、HD ウェブカメラ (15-eg2025nr 2022)</v>
      </c>
    </row>
    <row r="185" ht="15.75" customHeight="1">
      <c r="A185" s="1">
        <v>3654.0</v>
      </c>
      <c r="B185" s="1" t="s">
        <v>6</v>
      </c>
      <c r="C185" s="1" t="s">
        <v>185</v>
      </c>
      <c r="D185" s="1" t="str">
        <f>IFERROR(__xludf.DUMMYFUNCTION("CONCATENATE(GOOGLETRANSLATE(C185, ""en"", ""zh-cn""))
"),"华硕 PN51 准系统迷你电脑 / AMD Ryzen 7 5700U / 5 5500U NUC 适用于办公媒体研究 Win 10 Pro NUC")</f>
        <v>华硕 PN51 准系统迷你电脑 / AMD Ryzen 7 5700U / 5 5500U NUC 适用于办公媒体研究 Win 10 Pro NUC</v>
      </c>
      <c r="E185" s="1" t="str">
        <f>IFERROR(__xludf.DUMMYFUNCTION("CONCATENATE(GOOGLETRANSLATE(C185, ""en"", ""ko""))"),"ASUS PN51 베어본 미니 PC / AMD Ryzen 7 5700U / 5 5500U NUC Office 미디어 연구용 Win 10 Pro NUC")</f>
        <v>ASUS PN51 베어본 미니 PC / AMD Ryzen 7 5700U / 5 5500U NUC Office 미디어 연구용 Win 10 Pro NUC</v>
      </c>
      <c r="F185" s="1" t="str">
        <f>IFERROR(__xludf.DUMMYFUNCTION("CONCATENATE(GOOGLETRANSLATE(C185, ""en"", ""ja""))"),"ASUS PN51 ベアボーン ミニ PC / AMD Ryzen 7 5700U / 5 5500U NUC for Office Media Study Win 10 Pro NUC")</f>
        <v>ASUS PN51 ベアボーン ミニ PC / AMD Ryzen 7 5700U / 5 5500U NUC for Office Media Study Win 10 Pro NUC</v>
      </c>
    </row>
    <row r="186" ht="15.75" customHeight="1">
      <c r="A186" s="1">
        <v>3669.0</v>
      </c>
      <c r="B186" s="1" t="s">
        <v>6</v>
      </c>
      <c r="C186" s="1" t="s">
        <v>186</v>
      </c>
      <c r="D186" s="1" t="str">
        <f>IFERROR(__xludf.DUMMYFUNCTION("CONCATENATE(GOOGLETRANSLATE(C186, ""en"", ""zh-cn""))
"),"(ALLSTARS : 我们回来了/迷你电脑促销) ASUS PN51 / PN51-S1-B Ryzen7 5700U / PN51-S1-B-B7216MD 准系统​​ (无 RAM 无 SSD) (AMD Ryzen 7 5700U / Intel WiFi 6 / BT5.0 / 2.5G LAN / HDMI+DP / USB3.2 Type-C x")</f>
        <v>(ALLSTARS : 我们回来了/迷你电脑促销) ASUS PN51 / PN51-S1-B Ryzen7 5700U / PN51-S1-B-B7216MD 准系统​​ (无 RAM 无 SSD) (AMD Ryzen 7 5700U / Intel WiFi 6 / BT5.0 / 2.5G LAN / HDMI+DP / USB3.2 Type-C x</v>
      </c>
      <c r="E186" s="1" t="str">
        <f>IFERROR(__xludf.DUMMYFUNCTION("CONCATENATE(GOOGLETRANSLATE(C186, ""en"", ""ko""))"),"(ALLSTARS : We are Back/ 미니 PC 프로모션) ASUS PN51 / PN51-S1-B Ryzen7 5700U / PN51-S1-B-B7216MD Barebone (RAM 없음 SSD 없음) (AMD Ryzen 7 5700U / Intel WiFi 6 / BT5.0 / 2.5G LAN / HDMI+DP / USB3.2 Type-C x")</f>
        <v>(ALLSTARS : We are Back/ 미니 PC 프로모션) ASUS PN51 / PN51-S1-B Ryzen7 5700U / PN51-S1-B-B7216MD Barebone (RAM 없음 SSD 없음) (AMD Ryzen 7 5700U / Intel WiFi 6 / BT5.0 / 2.5G LAN / HDMI+DP / USB3.2 Type-C x</v>
      </c>
      <c r="F186" s="1" t="str">
        <f>IFERROR(__xludf.DUMMYFUNCTION("CONCATENATE(GOOGLETRANSLATE(C186, ""en"", ""ja""))"),"(ALLSTARS : We are Back/ ミニ PC プロモーション) ASUS PN51 / PN51-S1-B Ryzen7 5700U / PN51-S1-B-B7216MD ベアボーン (RAM なし SSD なし) (AMD Ryzen 7 5700U / Intel WiFi 6 / BT5.0 / 2.5G LAN / HDMI+DP / USB3.2 Type-C x")</f>
        <v>(ALLSTARS : We are Back/ ミニ PC プロモーション) ASUS PN51 / PN51-S1-B Ryzen7 5700U / PN51-S1-B-B7216MD ベアボーン (RAM なし SSD なし) (AMD Ryzen 7 5700U / Intel WiFi 6 / BT5.0 / 2.5G LAN / HDMI+DP / USB3.2 Type-C x</v>
      </c>
    </row>
    <row r="187" ht="15.75" customHeight="1">
      <c r="A187" s="1">
        <v>3685.0</v>
      </c>
      <c r="B187" s="1" t="s">
        <v>6</v>
      </c>
      <c r="C187" s="1" t="s">
        <v>187</v>
      </c>
      <c r="D187" s="1" t="str">
        <f>IFERROR(__xludf.DUMMYFUNCTION("CONCATENATE(GOOGLETRANSLATE(C187, ""en"", ""zh-cn""))
"),"Lenovo Flex 5 笔记本电脑，14.0 FHD 触摸屏，AMD Ryzen 5 5500U，16GB RAM，512GB 存储，AMD Radeon 显卡，Windows 11 Home，石墨灰")</f>
        <v>Lenovo Flex 5 笔记本电脑，14.0 FHD 触摸屏，AMD Ryzen 5 5500U，16GB RAM，512GB 存储，AMD Radeon 显卡，Windows 11 Home，石墨灰</v>
      </c>
      <c r="E187" s="1" t="str">
        <f>IFERROR(__xludf.DUMMYFUNCTION("CONCATENATE(GOOGLETRANSLATE(C187, ""en"", ""ko""))"),"Lenovo Flex 5 노트북, 14.0 FHD 터치 디스플레이, AMD Ryzen 5 5500U, 16GB RAM, 512GB 스토리지, AMD Radeon 그래픽, Windows 11 Home, 그래파이트 그레이")</f>
        <v>Lenovo Flex 5 노트북, 14.0 FHD 터치 디스플레이, AMD Ryzen 5 5500U, 16GB RAM, 512GB 스토리지, AMD Radeon 그래픽, Windows 11 Home, 그래파이트 그레이</v>
      </c>
      <c r="F187" s="1" t="str">
        <f>IFERROR(__xludf.DUMMYFUNCTION("CONCATENATE(GOOGLETRANSLATE(C187, ""en"", ""ja""))"),"Lenovo Flex 5 ラップトップ、14.0 FHD タッチ ディスプレイ、AMD Ryzen 5 5500U、16GB RAM、512GB ストレージ、AMD Radeon グラフィックス、Windows 11 Home、グラファイト グレー")</f>
        <v>Lenovo Flex 5 ラップトップ、14.0 FHD タッチ ディスプレイ、AMD Ryzen 5 5500U、16GB RAM、512GB ストレージ、AMD Radeon グラフィックス、Windows 11 Home、グラファイト グレー</v>
      </c>
    </row>
    <row r="188" ht="15.75" customHeight="1">
      <c r="A188" s="1">
        <v>3708.0</v>
      </c>
      <c r="B188" s="1" t="s">
        <v>6</v>
      </c>
      <c r="C188" s="1" t="s">
        <v>188</v>
      </c>
      <c r="D188" s="1" t="str">
        <f>IFERROR(__xludf.DUMMYFUNCTION("CONCATENATE(GOOGLETRANSLATE(C188, ""en"", ""zh-cn""))
"),"2022 最新戴尔 Inspiron 灵越 15.6 FHD 触摸屏笔记本电脑，英特尔第 10 代酷睿 i5-1035G1（高达 3.60GHz，击败 i7-8550U），16GB 内存，512GB PCIe SSD，英特尔 UHD 显卡，WiFi，网络摄像头，HDMI，Win11 S")</f>
        <v>2022 最新戴尔 Inspiron 灵越 15.6 FHD 触摸屏笔记本电脑，英特尔第 10 代酷睿 i5-1035G1（高达 3.60GHz，击败 i7-8550U），16GB 内存，512GB PCIe SSD，英特尔 UHD 显卡，WiFi，网络摄像头，HDMI，Win11 S</v>
      </c>
      <c r="E188" s="1" t="str">
        <f>IFERROR(__xludf.DUMMYFUNCTION("CONCATENATE(GOOGLETRANSLATE(C188, ""en"", ""ko""))"),"2022 최신 Dell Inspiron 15.6 FHD 터치스크린 노트북, Intel 10세대 Core i5-1035G1(최대 3.60GHz, Beat i7-8550U), 16GB 메모리, 512GB PCIe SSD, Intel UHD 그래픽, WiFi, 웹캠, HDMI, Win11 S")</f>
        <v>2022 최신 Dell Inspiron 15.6 FHD 터치스크린 노트북, Intel 10세대 Core i5-1035G1(최대 3.60GHz, Beat i7-8550U), 16GB 메모리, 512GB PCIe SSD, Intel UHD 그래픽, WiFi, 웹캠, HDMI, Win11 S</v>
      </c>
      <c r="F188" s="1" t="str">
        <f>IFERROR(__xludf.DUMMYFUNCTION("CONCATENATE(GOOGLETRANSLATE(C188, ""en"", ""ja""))"),"2022年最新のDell Inspiron 15.6 FHDタッチスクリーンノートパソコン、Intel第10世代Core i5-1035G1(最大3.60GHz、Beat i7-8550U)、16GBメモリ、512GB PCIe SSD、Intel UHDグラフィックス、WiFi、ウェブカメラ、HDMI、Win11 S")</f>
        <v>2022年最新のDell Inspiron 15.6 FHDタッチスクリーンノートパソコン、Intel第10世代Core i5-1035G1(最大3.60GHz、Beat i7-8550U)、16GBメモリ、512GB PCIe SSD、Intel UHDグラフィックス、WiFi、ウェブカメラ、HDMI、Win11 S</v>
      </c>
    </row>
    <row r="189" ht="15.75" customHeight="1">
      <c r="A189" s="1">
        <v>3722.0</v>
      </c>
      <c r="B189" s="1" t="s">
        <v>6</v>
      </c>
      <c r="C189" s="1" t="s">
        <v>189</v>
      </c>
      <c r="D189" s="1" t="str">
        <f>IFERROR(__xludf.DUMMYFUNCTION("CONCATENATE(GOOGLETRANSLATE(C189, ""en"", ""zh-cn""))
"),"戴尔 Inspiron 灵越 3891 紧凑型塔式台式机 - Intel Core i5-11400，12GB DDR4 RAM，1TB HDD，Intel UHD Graphics 730（带共享显存），Windows 10 Home - 黑色（最新型号）（更新）")</f>
        <v>戴尔 Inspiron 灵越 3891 紧凑型塔式台式机 - Intel Core i5-11400，12GB DDR4 RAM，1TB HDD，Intel UHD Graphics 730（带共享显存），Windows 10 Home - 黑色（最新型号）（更新）</v>
      </c>
      <c r="E189" s="1" t="str">
        <f>IFERROR(__xludf.DUMMYFUNCTION("CONCATENATE(GOOGLETRANSLATE(C189, ""en"", ""ko""))"),"Dell Inspiron 3891 컴팩트 타워 데스크탑 - Intel Core i5-11400, 12GB DDR4 RAM, 1TB HDD, Intel UHD 그래픽 730(공유 그래픽 메모리 포함), Windows 10 Home - 블랙(최신 모델)(리뉴얼)")</f>
        <v>Dell Inspiron 3891 컴팩트 타워 데스크탑 - Intel Core i5-11400, 12GB DDR4 RAM, 1TB HDD, Intel UHD 그래픽 730(공유 그래픽 메모리 포함), Windows 10 Home - 블랙(최신 모델)(리뉴얼)</v>
      </c>
      <c r="F189" s="1" t="str">
        <f>IFERROR(__xludf.DUMMYFUNCTION("CONCATENATE(GOOGLETRANSLATE(C189, ""en"", ""ja""))"),"Dell Inspiron 3891 コンパクト タワー デスクトップ - Intel Core i5-11400、12GB DDR4 RAM、1TB HDD、Intel UHD Graphics 730 (共有グラフィックス メモリ付き)、Windows 10 Home - ブラック (最新モデル) (リニューアル)")</f>
        <v>Dell Inspiron 3891 コンパクト タワー デスクトップ - Intel Core i5-11400、12GB DDR4 RAM、1TB HDD、Intel UHD Graphics 730 (共有グラフィックス メモリ付き)、Windows 10 Home - ブラック (最新モデル) (リニューアル)</v>
      </c>
    </row>
    <row r="190" ht="15.75" customHeight="1">
      <c r="A190" s="1">
        <v>3742.0</v>
      </c>
      <c r="B190" s="1" t="s">
        <v>6</v>
      </c>
      <c r="C190" s="1" t="s">
        <v>190</v>
      </c>
      <c r="D190" s="1" t="str">
        <f>IFERROR(__xludf.DUMMYFUNCTION("CONCATENATE(GOOGLETRANSLATE(C190, ""en"", ""zh-cn""))
"),"Night Owl 8 通道蓝牙视频家庭安全摄像头系统，配备 (4) 个带音频的有线 IP 4K 高清室内/室外聚光灯摄像头和 2TB 硬盘（最多可扩展 12 个摄像头）")</f>
        <v>Night Owl 8 通道蓝牙视频家庭安全摄像头系统，配备 (4) 个带音频的有线 IP 4K 高清室内/室外聚光灯摄像头和 2TB 硬盘（最多可扩展 12 个摄像头）</v>
      </c>
      <c r="E190" s="1" t="str">
        <f>IFERROR(__xludf.DUMMYFUNCTION("CONCATENATE(GOOGLETRANSLATE(C190, ""en"", ""ko""))"),"Night Owl 8채널 Bluetooth 비디오 홈 보안 카메라 시스템(4) 유선 IP 4K HD 실내/실외 스포트라이트 카메라(오디오 및 2TB 하드 드라이브 포함)(최대 12개 카메라로 확장 가능)")</f>
        <v>Night Owl 8채널 Bluetooth 비디오 홈 보안 카메라 시스템(4) 유선 IP 4K HD 실내/실외 스포트라이트 카메라(오디오 및 2TB 하드 드라이브 포함)(최대 12개 카메라로 확장 가능)</v>
      </c>
      <c r="F190" s="1" t="str">
        <f>IFERROR(__xludf.DUMMYFUNCTION("CONCATENATE(GOOGLETRANSLATE(C190, ""en"", ""ja""))"),"Night Owl 8 チャンネル Bluetooth ビデオ ホームセキュリティ カメラ システム (4 台の有線 IP 4K HD 屋内/屋外スポットライト カメラ、オーディオおよび 2TB ハードドライブ付き) (最大 12 台のカメラまで拡張可能)")</f>
        <v>Night Owl 8 チャンネル Bluetooth ビデオ ホームセキュリティ カメラ システム (4 台の有線 IP 4K HD 屋内/屋外スポットライト カメラ、オーディオおよび 2TB ハードドライブ付き) (最大 12 台のカメラまで拡張可能)</v>
      </c>
    </row>
    <row r="191" ht="15.75" customHeight="1">
      <c r="A191" s="1">
        <v>3761.0</v>
      </c>
      <c r="B191" s="1" t="s">
        <v>6</v>
      </c>
      <c r="C191" s="1" t="s">
        <v>191</v>
      </c>
      <c r="D191" s="1" t="str">
        <f>IFERROR(__xludf.DUMMYFUNCTION("CONCATENATE(GOOGLETRANSLATE(C191, ""en"", ""zh-cn""))
"),"戴尔 Inspiron 灵越 15 3525 轻薄学生笔记本电脑 - 15.6 英寸 FHD (1920 x 1080) 120Hz 显示屏，AMD Ryzen 5 5625U，8GB DDR4 RAM，256GB SSD，AMD Radeon 显卡，USB-C，HDMI，Windows 11 Home - 黑色")</f>
        <v>戴尔 Inspiron 灵越 15 3525 轻薄学生笔记本电脑 - 15.6 英寸 FHD (1920 x 1080) 120Hz 显示屏，AMD Ryzen 5 5625U，8GB DDR4 RAM，256GB SSD，AMD Radeon 显卡，USB-C，HDMI，Windows 11 Home - 黑色</v>
      </c>
      <c r="E191" s="1" t="str">
        <f>IFERROR(__xludf.DUMMYFUNCTION("CONCATENATE(GOOGLETRANSLATE(C191, ""en"", ""ko""))"),"Dell Inspiron 15 3525 경량 학생용 노트북 - 15.6인치 FHD(1920 x 1080) 120Hz 디스플레이, AMD Ryzen 5 5625U, 8GB DDR4 RAM, 256GB SSD, AMD Radeon 그래픽, USB-C, HDMI, Windows 11 Home - 블랙")</f>
        <v>Dell Inspiron 15 3525 경량 학생용 노트북 - 15.6인치 FHD(1920 x 1080) 120Hz 디스플레이, AMD Ryzen 5 5625U, 8GB DDR4 RAM, 256GB SSD, AMD Radeon 그래픽, USB-C, HDMI, Windows 11 Home - 블랙</v>
      </c>
      <c r="F191" s="1" t="str">
        <f>IFERROR(__xludf.DUMMYFUNCTION("CONCATENATE(GOOGLETRANSLATE(C191, ""en"", ""ja""))"),"Dell Inspiron 15 3525 軽量学生ノートパソコン - 15.6 インチ FHD (1920 x 1080) 120Hz ディスプレイ、AMD Ryzen 5 5625U、8GB DDR4 RAM、256GB SSD、AMD Radeon グラフィックス、USB-C、HDMI、Windows 11 Home - ブラック")</f>
        <v>Dell Inspiron 15 3525 軽量学生ノートパソコン - 15.6 インチ FHD (1920 x 1080) 120Hz ディスプレイ、AMD Ryzen 5 5625U、8GB DDR4 RAM、256GB SSD、AMD Radeon グラフィックス、USB-C、HDMI、Windows 11 Home - ブラック</v>
      </c>
    </row>
    <row r="192" ht="15.75" customHeight="1">
      <c r="A192" s="1">
        <v>3922.0</v>
      </c>
      <c r="B192" s="1" t="s">
        <v>6</v>
      </c>
      <c r="C192" s="1" t="s">
        <v>192</v>
      </c>
      <c r="D192" s="1" t="str">
        <f>IFERROR(__xludf.DUMMYFUNCTION("CONCATENATE(GOOGLETRANSLATE(C192, ""en"", ""zh-cn""))
"),"全新 Bose QuietComfort 耳塞 II，无线，蓝牙，世界上最好的降噪入耳式耳机，具有个性化降噪和声音，三重黑色")</f>
        <v>全新 Bose QuietComfort 耳塞 II，无线，蓝牙，世界上最好的降噪入耳式耳机，具有个性化降噪和声音，三重黑色</v>
      </c>
      <c r="E192" s="1" t="str">
        <f>IFERROR(__xludf.DUMMYFUNCTION("CONCATENATE(GOOGLETRANSLATE(C192, ""en"", ""ko""))"),"새로운 Bose QuietComfort 이어버드 II, 무선, Bluetooth, 맞춤형 소음 제거 및 사운드를 갖춘 세계 최고의 소음 제거 인이어 헤드폰, 트리플 블랙")</f>
        <v>새로운 Bose QuietComfort 이어버드 II, 무선, Bluetooth, 맞춤형 소음 제거 및 사운드를 갖춘 세계 최고의 소음 제거 인이어 헤드폰, 트리플 블랙</v>
      </c>
      <c r="F192" s="1" t="str">
        <f>IFERROR(__xludf.DUMMYFUNCTION("CONCATENATE(GOOGLETRANSLATE(C192, ""en"", ""ja""))"),"新しい Bose QuietComfort Earbuds II、ワイヤレス、Bluetooth、パーソナライズされたノイズ キャンセリングとサウンドを備えた世界最高のノイズ キャンセリング インイヤー ヘッドフォン、トリプル ブラック")</f>
        <v>新しい Bose QuietComfort Earbuds II、ワイヤレス、Bluetooth、パーソナライズされたノイズ キャンセリングとサウンドを備えた世界最高のノイズ キャンセリング インイヤー ヘッドフォン、トリプル ブラック</v>
      </c>
    </row>
    <row r="193" ht="15.75" customHeight="1">
      <c r="A193" s="1">
        <v>3934.0</v>
      </c>
      <c r="B193" s="1" t="s">
        <v>6</v>
      </c>
      <c r="C193" s="1" t="s">
        <v>193</v>
      </c>
      <c r="D193" s="1" t="str">
        <f>IFERROR(__xludf.DUMMYFUNCTION("CONCATENATE(GOOGLETRANSLATE(C193, ""en"", ""zh-cn""))
"),"Apple iPhone XS，美国版，64GB，深空灰色 - AT&amp;T（续订）")</f>
        <v>Apple iPhone XS，美国版，64GB，深空灰色 - AT&amp;T（续订）</v>
      </c>
      <c r="E193" s="1" t="str">
        <f>IFERROR(__xludf.DUMMYFUNCTION("CONCATENATE(GOOGLETRANSLATE(C193, ""en"", ""ko""))"),"Apple iPhone XS, 미국 버전, 64GB, 스페이스 그레이 - AT&amp;T(리뉴얼)")</f>
        <v>Apple iPhone XS, 미국 버전, 64GB, 스페이스 그레이 - AT&amp;T(리뉴얼)</v>
      </c>
      <c r="F193" s="1" t="str">
        <f>IFERROR(__xludf.DUMMYFUNCTION("CONCATENATE(GOOGLETRANSLATE(C193, ""en"", ""ja""))"),"Apple iPhone XS、US ​​バージョン、64GB、スペース グレイ - AT&amp;T (リニューアル)")</f>
        <v>Apple iPhone XS、US ​​バージョン、64GB、スペース グレイ - AT&amp;T (リニューアル)</v>
      </c>
    </row>
    <row r="194" ht="15.75" customHeight="1">
      <c r="A194" s="1">
        <v>3959.0</v>
      </c>
      <c r="B194" s="1" t="s">
        <v>6</v>
      </c>
      <c r="C194" s="1" t="s">
        <v>194</v>
      </c>
      <c r="D194" s="1" t="str">
        <f>IFERROR(__xludf.DUMMYFUNCTION("CONCATENATE(GOOGLETRANSLATE(C194, ""en"", ""zh-cn""))
"),"欧米茄超霸计时自动黑色表盘男士手表 324.30.38.50.01.001")</f>
        <v>欧米茄超霸计时自动黑色表盘男士手表 324.30.38.50.01.001</v>
      </c>
      <c r="E194" s="1" t="str">
        <f>IFERROR(__xludf.DUMMYFUNCTION("CONCATENATE(GOOGLETRANSLATE(C194, ""en"", ""ko""))"),"오메가 스피드마스터 크로노그래프 오토매틱 블랙 다이얼 남성용 시계 324.30.38.50.01.001")</f>
        <v>오메가 스피드마스터 크로노그래프 오토매틱 블랙 다이얼 남성용 시계 324.30.38.50.01.001</v>
      </c>
      <c r="F194" s="1" t="str">
        <f>IFERROR(__xludf.DUMMYFUNCTION("CONCATENATE(GOOGLETRANSLATE(C194, ""en"", ""ja""))"),"オメガ スピードマスター クロノグラフ 自動巻き ブラック文字盤 メンズ腕時計 324.30.38.50.01.001")</f>
        <v>オメガ スピードマスター クロノグラフ 自動巻き ブラック文字盤 メンズ腕時計 324.30.38.50.01.001</v>
      </c>
    </row>
    <row r="195" ht="15.75" customHeight="1">
      <c r="A195" s="1">
        <v>3973.0</v>
      </c>
      <c r="B195" s="1" t="s">
        <v>6</v>
      </c>
      <c r="C195" s="1" t="s">
        <v>195</v>
      </c>
      <c r="D195" s="1" t="str">
        <f>IFERROR(__xludf.DUMMYFUNCTION("CONCATENATE(GOOGLETRANSLATE(C195, ""en"", ""zh-cn""))
"),"欧米茄海马 Railmaster 自动男士不锈钢手表 220.10.40.20.01.001")</f>
        <v>欧米茄海马 Railmaster 自动男士不锈钢手表 220.10.40.20.01.001</v>
      </c>
      <c r="E195" s="1" t="str">
        <f>IFERROR(__xludf.DUMMYFUNCTION("CONCATENATE(GOOGLETRANSLATE(C195, ""en"", ""ko""))"),"오메가 씨마스터 레일마스터 오토매틱 남성용 스테인레스 스틸 시계 220.10.40.20.01.001")</f>
        <v>오메가 씨마스터 레일마스터 오토매틱 남성용 스테인레스 스틸 시계 220.10.40.20.01.001</v>
      </c>
      <c r="F195" s="1" t="str">
        <f>IFERROR(__xludf.DUMMYFUNCTION("CONCATENATE(GOOGLETRANSLATE(C195, ""en"", ""ja""))"),"オメガ シーマスター レイルマスター 自動巻き メンズ ステンレススチール ウォッチ 220.10.40.20.01.001")</f>
        <v>オメガ シーマスター レイルマスター 自動巻き メンズ ステンレススチール ウォッチ 220.10.40.20.01.001</v>
      </c>
    </row>
    <row r="196" ht="15.75" customHeight="1">
      <c r="A196" s="1">
        <v>3983.0</v>
      </c>
      <c r="B196" s="1" t="s">
        <v>6</v>
      </c>
      <c r="C196" s="1" t="s">
        <v>196</v>
      </c>
      <c r="D196" s="1" t="str">
        <f>IFERROR(__xludf.DUMMYFUNCTION("CONCATENATE(GOOGLETRANSLATE(C196, ""en"", ""zh-cn""))
"),"精工 Prospex 1965 62MAS 再版潜水员休闲灰色表盘蓝宝石自动手表 SPB143J1")</f>
        <v>精工 Prospex 1965 62MAS 再版潜水员休闲灰色表盘蓝宝石自动手表 SPB143J1</v>
      </c>
      <c r="E196" s="1" t="str">
        <f>IFERROR(__xludf.DUMMYFUNCTION("CONCATENATE(GOOGLETRANSLATE(C196, ""en"", ""ko""))"),"세이코 Prospex 1965 62MAS 재발행 Diver's Recreation 그레이 다이얼 사파이어 오토매틱 시계 SPB143J1")</f>
        <v>세이코 Prospex 1965 62MAS 재발행 Diver's Recreation 그레이 다이얼 사파이어 오토매틱 시계 SPB143J1</v>
      </c>
      <c r="F196" s="1" t="str">
        <f>IFERROR(__xludf.DUMMYFUNCTION("CONCATENATE(GOOGLETRANSLATE(C196, ""en"", ""ja""))"),"セイコー プロスペックス 1965 62MAS 復刻ダイバーズ レクリエーション グレーダイヤル サファイア自動巻き時計 SPB143J1")</f>
        <v>セイコー プロスペックス 1965 62MAS 復刻ダイバーズ レクリエーション グレーダイヤル サファイア自動巻き時計 SPB143J1</v>
      </c>
    </row>
    <row r="197" ht="15.75" customHeight="1">
      <c r="A197" s="1">
        <v>3987.0</v>
      </c>
      <c r="B197" s="1" t="s">
        <v>6</v>
      </c>
      <c r="C197" s="1" t="s">
        <v>197</v>
      </c>
      <c r="D197" s="1" t="str">
        <f>IFERROR(__xludf.DUMMYFUNCTION("CONCATENATE(GOOGLETRANSLATE(C197, ""en"", ""zh-cn""))
"),"汉密尔顿男士 Intra-Matic 自动计时自动计时美国经典手表 - H38416711")</f>
        <v>汉密尔顿男士 Intra-Matic 自动计时自动计时美国经典手表 - H38416711</v>
      </c>
      <c r="E197" s="1" t="str">
        <f>IFERROR(__xludf.DUMMYFUNCTION("CONCATENATE(GOOGLETRANSLATE(C197, ""en"", ""ko""))"),"해밀턴 남성용 인트라매틱 오토 크로노 오토 크로노 아메리칸 클래식 시계 - H38416711")</f>
        <v>해밀턴 남성용 인트라매틱 오토 크로노 오토 크로노 아메리칸 클래식 시계 - H38416711</v>
      </c>
      <c r="F197" s="1" t="str">
        <f>IFERROR(__xludf.DUMMYFUNCTION("CONCATENATE(GOOGLETRANSLATE(C197, ""en"", ""ja""))"),"ハミルトン メンズ イントラマティック オート クロノ オート クロノ アメリカン クラシック ウォッチ - H38416711")</f>
        <v>ハミルトン メンズ イントラマティック オート クロノ オート クロノ アメリカン クラシック ウォッチ - H38416711</v>
      </c>
    </row>
    <row r="198" ht="15.75" customHeight="1">
      <c r="A198" s="1">
        <v>4037.0</v>
      </c>
      <c r="B198" s="1" t="s">
        <v>6</v>
      </c>
      <c r="C198" s="1" t="s">
        <v>198</v>
      </c>
      <c r="D198" s="1" t="str">
        <f>IFERROR(__xludf.DUMMYFUNCTION("CONCATENATE(GOOGLETRANSLATE(C198, ""en"", ""zh-cn""))
"),"Luminox Master Carbon Seal XS.3813.L 男士手表 46 毫米 - 军用潜水手表黑色/绿色日期功能 300 米防水蓝宝石玻璃")</f>
        <v>Luminox Master Carbon Seal XS.3813.L 男士手表 46 毫米 - 军用潜水手表黑色/绿色日期功能 300 米防水蓝宝石玻璃</v>
      </c>
      <c r="E198" s="1" t="str">
        <f>IFERROR(__xludf.DUMMYFUNCTION("CONCATENATE(GOOGLETRANSLATE(C198, ""en"", ""ko""))"),"Luminox Master Carbon Seal XS.3813.L 남성용 시계 46mm - 블랙/그린 날짜 기능 300m 방수 사파이어 글래스 군용 다이빙 시계")</f>
        <v>Luminox Master Carbon Seal XS.3813.L 남성용 시계 46mm - 블랙/그린 날짜 기능 300m 방수 사파이어 글래스 군용 다이빙 시계</v>
      </c>
      <c r="F198" s="1" t="str">
        <f>IFERROR(__xludf.DUMMYFUNCTION("CONCATENATE(GOOGLETRANSLATE(C198, ""en"", ""ja""))"),"ルミノックス マスター カーボン シール XS.3813.L メンズ ウォッチ 46mm - ミリタリー ダイビング ウォッチ ブラック/グリーン 日付機能 300m 防水 サファイアガラス")</f>
        <v>ルミノックス マスター カーボン シール XS.3813.L メンズ ウォッチ 46mm - ミリタリー ダイビング ウォッチ ブラック/グリーン 日付機能 300m 防水 サファイアガラス</v>
      </c>
    </row>
    <row r="199" ht="15.75" customHeight="1">
      <c r="A199" s="1">
        <v>4078.0</v>
      </c>
      <c r="B199" s="1" t="s">
        <v>6</v>
      </c>
      <c r="C199" s="1" t="s">
        <v>199</v>
      </c>
      <c r="D199" s="1" t="str">
        <f>IFERROR(__xludf.DUMMYFUNCTION("CONCATENATE(GOOGLETRANSLATE(C199, ""en"", ""zh-cn""))
"),"Luminox Commando Frogman XS.3301 男士手表 46 毫米 - 军用潜水手表黑色/灰色日期功能 200 米防水蓝宝石玻璃")</f>
        <v>Luminox Commando Frogman XS.3301 男士手表 46 毫米 - 军用潜水手表黑色/灰色日期功能 200 米防水蓝宝石玻璃</v>
      </c>
      <c r="E199" s="1" t="str">
        <f>IFERROR(__xludf.DUMMYFUNCTION("CONCATENATE(GOOGLETRANSLATE(C199, ""en"", ""ko""))"),"Luminox Commando Frogman XS.3301 남성용 시계 46mm - 블랙/그레이 날짜 기능 200m 방수 사파이어 글래스 군용 다이브 시계")</f>
        <v>Luminox Commando Frogman XS.3301 남성용 시계 46mm - 블랙/그레이 날짜 기능 200m 방수 사파이어 글래스 군용 다이브 시계</v>
      </c>
      <c r="F199" s="1" t="str">
        <f>IFERROR(__xludf.DUMMYFUNCTION("CONCATENATE(GOOGLETRANSLATE(C199, ""en"", ""ja""))"),"ルミノックス コマンド フロッグマン XS.3301 メンズ ウォッチ 46mm - ミリタリー ダイブウォッチ ブラック/グレー 日付機能 200m 防水 サファイアガラス")</f>
        <v>ルミノックス コマンド フロッグマン XS.3301 メンズ ウォッチ 46mm - ミリタリー ダイブウォッチ ブラック/グレー 日付機能 200m 防水 サファイアガラス</v>
      </c>
    </row>
    <row r="200" ht="15.75" customHeight="1">
      <c r="A200" s="1">
        <v>4084.0</v>
      </c>
      <c r="B200" s="1" t="s">
        <v>6</v>
      </c>
      <c r="C200" s="1" t="s">
        <v>200</v>
      </c>
      <c r="D200" s="1" t="str">
        <f>IFERROR(__xludf.DUMMYFUNCTION("CONCATENATE(GOOGLETRANSLATE(C200, ""en"", ""zh-cn""))
"),"Seiko Prospex 特别版 SRPF77 蓝色硅胶自动日历潜水腕表")</f>
        <v>Seiko Prospex 特别版 SRPF77 蓝色硅胶自动日历潜水腕表</v>
      </c>
      <c r="E200" s="1" t="str">
        <f>IFERROR(__xludf.DUMMYFUNCTION("CONCATENATE(GOOGLETRANSLATE(C200, ""en"", ""ko""))"),"세이코 Prospex 스페셜 에디션 SRPF77 블루 실리콘 오토매틱 데이 데이트 다이버 시계")</f>
        <v>세이코 Prospex 스페셜 에디션 SRPF77 블루 실리콘 오토매틱 데이 데이트 다이버 시계</v>
      </c>
      <c r="F200" s="1" t="str">
        <f>IFERROR(__xludf.DUMMYFUNCTION("CONCATENATE(GOOGLETRANSLATE(C200, ""en"", ""ja""))"),"セイコー プロスペックス スペシャル エディション SRPF77 ブルー シリコン オートマティック デイデイト ダイバーズウォッチ")</f>
        <v>セイコー プロスペックス スペシャル エディション SRPF77 ブルー シリコン オートマティック デイデイト ダイバーズウォッチ</v>
      </c>
    </row>
    <row r="201" ht="15.75" customHeight="1">
      <c r="A201" s="1">
        <v>4095.0</v>
      </c>
      <c r="B201" s="1" t="s">
        <v>6</v>
      </c>
      <c r="C201" s="1" t="s">
        <v>201</v>
      </c>
      <c r="D201" s="1" t="str">
        <f>IFERROR(__xludf.DUMMYFUNCTION("CONCATENATE(GOOGLETRANSLATE(C201, ""en"", ""zh-cn""))
"),"1/3 克拉钻石，槽镶 14K 白金新娘婚戒戒指（H-I，SI1-SI2），La4ve Diamonds 出品|女式真钻石首饰|含礼盒（圆形钻石，长方形宝石，蓝色蓝宝石长方形宝石）")</f>
        <v>1/3 克拉钻石，槽镶 14K 白金新娘婚戒戒指（H-I，SI1-SI2），La4ve Diamonds 出品|女式真钻石首饰|含礼盒（圆形钻石，长方形宝石，蓝色蓝宝石长方形宝石）</v>
      </c>
      <c r="E201" s="1" t="str">
        <f>IFERROR(__xludf.DUMMYFUNCTION("CONCATENATE(GOOGLETRANSLATE(C201, ""en"", ""ko""))"),"1/3 캐럿 다이아몬드, 채널 세트 14K 화이트 골드 신부 웨딩 밴드 링(H-I, SI1-SI2) by La4ve Diamonds|여성용 실제 다이아몬드 주얼리|선물 상자 포함(라운드 다이아몬드, 바게트, 블루 사파이어 바게트)")</f>
        <v>1/3 캐럿 다이아몬드, 채널 세트 14K 화이트 골드 신부 웨딩 밴드 링(H-I, SI1-SI2) by La4ve Diamonds|여성용 실제 다이아몬드 주얼리|선물 상자 포함(라운드 다이아몬드, 바게트, 블루 사파이어 바게트)</v>
      </c>
      <c r="F201" s="1" t="str">
        <f>IFERROR(__xludf.DUMMYFUNCTION("CONCATENATE(GOOGLETRANSLATE(C201, ""en"", ""ja""))"),"1/3 カラット ダイヤモンド、チャネルセット 14K ホワイト ゴールド ブライダル ウェディング バンド リング (H-I、SI1-SI2) La4ve Diamonds 製|本物のダイヤモンド ジュエリー 女性用|ギフトボックス付き (ラウンド ダイヤモンド、バゲット、ブルー サファイア バゲット)")</f>
        <v>1/3 カラット ダイヤモンド、チャネルセット 14K ホワイト ゴールド ブライダル ウェディング バンド リング (H-I、SI1-SI2) La4ve Diamonds 製|本物のダイヤモンド ジュエリー 女性用|ギフトボックス付き (ラウンド ダイヤモンド、バゲット、ブルー サファイア バゲット)</v>
      </c>
    </row>
    <row r="202" ht="15.75" customHeight="1">
      <c r="A202" s="1">
        <v>4145.0</v>
      </c>
      <c r="B202" s="1" t="s">
        <v>6</v>
      </c>
      <c r="C202" s="1" t="s">
        <v>202</v>
      </c>
      <c r="D202" s="1" t="str">
        <f>IFERROR(__xludf.DUMMYFUNCTION("CONCATENATE(GOOGLETRANSLATE(C202, ""en"", ""zh-cn""))
"),"卡西欧 G-Shock G-Steel GST-B300-1AJF 碳芯卫士太阳能男士手表（日本国内正品）")</f>
        <v>卡西欧 G-Shock G-Steel GST-B300-1AJF 碳芯卫士太阳能男士手表（日本国内正品）</v>
      </c>
      <c r="E202" s="1" t="str">
        <f>IFERROR(__xludf.DUMMYFUNCTION("CONCATENATE(GOOGLETRANSLATE(C202, ""en"", ""ko""))"),"카시오 G-Shock G-스틸 GST-B300-1AJF Carbon Core Guard Solar 남성용 시계 (일본 국내 정품 제품)")</f>
        <v>카시오 G-Shock G-스틸 GST-B300-1AJF Carbon Core Guard Solar 남성용 시계 (일본 국내 정품 제품)</v>
      </c>
      <c r="F202" s="1" t="str">
        <f>IFERROR(__xludf.DUMMYFUNCTION("CONCATENATE(GOOGLETRANSLATE(C202, ""en"", ""ja""))"),"[カシオ] 腕時計 Gショック Gスチール GST-B300-1AJF カーボンコアガード ソーラー メンズ (日本国内正規品)")</f>
        <v>[カシオ] 腕時計 Gショック Gスチール GST-B300-1AJF カーボンコアガード ソーラー メンズ (日本国内正規品)</v>
      </c>
    </row>
    <row r="203" ht="15.75" customHeight="1">
      <c r="A203" s="1">
        <v>4168.0</v>
      </c>
      <c r="B203" s="1" t="s">
        <v>6</v>
      </c>
      <c r="C203" s="1" t="s">
        <v>203</v>
      </c>
      <c r="D203" s="1" t="str">
        <f>IFERROR(__xludf.DUMMYFUNCTION("CONCATENATE(GOOGLETRANSLATE(C203, ""en"", ""zh-cn""))
"),"Seiko 男士 SSC139 Excelsior 青铜色和银色不锈钢太阳能手表")</f>
        <v>Seiko 男士 SSC139 Excelsior 青铜色和银色不锈钢太阳能手表</v>
      </c>
      <c r="E203" s="1" t="str">
        <f>IFERROR(__xludf.DUMMYFUNCTION("CONCATENATE(GOOGLETRANSLATE(C203, ""en"", ""ko""))"),"세이코 남성용 SSC139 엑셀시어 건메탈 및 실버 톤 스테인리스 스틸 태양광 시계")</f>
        <v>세이코 남성용 SSC139 엑셀시어 건메탈 및 실버 톤 스테인리스 스틸 태양광 시계</v>
      </c>
      <c r="F203" s="1" t="str">
        <f>IFERROR(__xludf.DUMMYFUNCTION("CONCATENATE(GOOGLETRANSLATE(C203, ""en"", ""ja""))"),"セイコー メンズ SSC139 エクセルシオール ガンメタルとシルバートーンのステンレススチール ソーラー ウォッチ")</f>
        <v>セイコー メンズ SSC139 エクセルシオール ガンメタルとシルバートーンのステンレススチール ソーラー ウォッチ</v>
      </c>
    </row>
    <row r="204" ht="15.75" customHeight="1">
      <c r="A204" s="1">
        <v>4170.0</v>
      </c>
      <c r="B204" s="1" t="s">
        <v>6</v>
      </c>
      <c r="C204" s="1" t="s">
        <v>204</v>
      </c>
      <c r="D204" s="1" t="str">
        <f>IFERROR(__xludf.DUMMYFUNCTION("CONCATENATE(GOOGLETRANSLATE(C204, ""en"", ""zh-cn""))
"),"三星 Galaxy Watch 5 44 毫米蓝牙智能手表带身体，健康、健身和睡眠追踪器，改进的电池，蓝宝石水晶玻璃，增强型 GPS 跟踪，美国版，蓝色")</f>
        <v>三星 Galaxy Watch 5 44 毫米蓝牙智能手表带身体，健康、健身和睡眠追踪器，改进的电池，蓝宝石水晶玻璃，增强型 GPS 跟踪，美国版，蓝色</v>
      </c>
      <c r="E204" s="1" t="str">
        <f>IFERROR(__xludf.DUMMYFUNCTION("CONCATENATE(GOOGLETRANSLATE(C204, ""en"", ""ko""))"),"SAMSUNG Galaxy Watch 5 44mm 블루투스 스마트워치 신체, 건강, 피트니스 및 수면 추적기 포함, 향상된 배터리, 사파이어 크리스탈 유리, 향상된 GPS 추적, 미국 버전, 블루")</f>
        <v>SAMSUNG Galaxy Watch 5 44mm 블루투스 스마트워치 신체, 건강, 피트니스 및 수면 추적기 포함, 향상된 배터리, 사파이어 크리스탈 유리, 향상된 GPS 추적, 미국 버전, 블루</v>
      </c>
      <c r="F204" s="1" t="str">
        <f>IFERROR(__xludf.DUMMYFUNCTION("CONCATENATE(GOOGLETRANSLATE(C204, ""en"", ""ja""))"),"SAMSUNG Galaxy Watch 5 44mm Bluetooth スマートウォッチ、ボディ、健康、フィットネス、睡眠トラッカー、改良されたバッテリー、サファイアクリスタルガラス、強化された GPS 追跡、米国バージョン、ブルー")</f>
        <v>SAMSUNG Galaxy Watch 5 44mm Bluetooth スマートウォッチ、ボディ、健康、フィットネス、睡眠トラッカー、改良されたバッテリー、サファイアクリスタルガラス、強化された GPS 追跡、米国バージョン、ブルー</v>
      </c>
    </row>
    <row r="205" ht="15.75" customHeight="1">
      <c r="A205" s="1">
        <v>4206.0</v>
      </c>
      <c r="B205" s="1" t="s">
        <v>6</v>
      </c>
      <c r="C205" s="1" t="s">
        <v>205</v>
      </c>
      <c r="D205" s="1" t="str">
        <f>IFERROR(__xludf.DUMMYFUNCTION("CONCATENATE(GOOGLETRANSLATE(C205, ""en"", ""zh-cn""))
"),"Seiko 男士模拟自动手表 Seiko 5 运动")</f>
        <v>Seiko 男士模拟自动手表 Seiko 5 运动</v>
      </c>
      <c r="E205" s="1" t="str">
        <f>IFERROR(__xludf.DUMMYFUNCTION("CONCATENATE(GOOGLETRANSLATE(C205, ""en"", ""ko""))"),"세이코 남성용 아날로그 오토매틱 시계 세이코 5 스포츠")</f>
        <v>세이코 남성용 아날로그 오토매틱 시계 세이코 5 스포츠</v>
      </c>
      <c r="F205" s="1" t="str">
        <f>IFERROR(__xludf.DUMMYFUNCTION("CONCATENATE(GOOGLETRANSLATE(C205, ""en"", ""ja""))"),"セイコー メンズ アナログ自動巻き時計 セイコー 5 スポーツ")</f>
        <v>セイコー メンズ アナログ自動巻き時計 セイコー 5 スポーツ</v>
      </c>
    </row>
    <row r="206" ht="15.75" customHeight="1">
      <c r="A206" s="1">
        <v>4213.0</v>
      </c>
      <c r="B206" s="1" t="s">
        <v>6</v>
      </c>
      <c r="C206" s="1" t="s">
        <v>206</v>
      </c>
      <c r="D206" s="1" t="str">
        <f>IFERROR(__xludf.DUMMYFUNCTION("CONCATENATE(GOOGLETRANSLATE(C206, ""en"", ""zh-cn""))
"),"SEIKO SRPD59 5 运动男士手表银色 42.5 毫米不锈钢")</f>
        <v>SEIKO SRPD59 5 运动男士手表银色 42.5 毫米不锈钢</v>
      </c>
      <c r="E206" s="1" t="str">
        <f>IFERROR(__xludf.DUMMYFUNCTION("CONCATENATE(GOOGLETRANSLATE(C206, ""en"", ""ko""))"),"SEIKO SRPD59 5 스포츠 남성용 시계 실버톤 42.5mm 스테인리스 스틸")</f>
        <v>SEIKO SRPD59 5 스포츠 남성용 시계 실버톤 42.5mm 스테인리스 스틸</v>
      </c>
      <c r="F206" s="1" t="str">
        <f>IFERROR(__xludf.DUMMYFUNCTION("CONCATENATE(GOOGLETRANSLATE(C206, ""en"", ""ja""))"),"セイコー SRPD59 5 スポーツ メンズ ウォッチ シルバートーン 42.5mm ステンレススチール")</f>
        <v>セイコー SRPD59 5 スポーツ メンズ ウォッチ シルバートーン 42.5mm ステンレススチール</v>
      </c>
    </row>
    <row r="207" ht="15.75" customHeight="1">
      <c r="A207" s="1">
        <v>4219.0</v>
      </c>
      <c r="B207" s="1" t="s">
        <v>6</v>
      </c>
      <c r="C207" s="1" t="s">
        <v>207</v>
      </c>
      <c r="D207" s="1" t="str">
        <f>IFERROR(__xludf.DUMMYFUNCTION("CONCATENATE(GOOGLETRANSLATE(C207, ""en"", ""zh-cn""))
"),"Amazfit T-Rex 2 男士智能手表，双频6卫星定位，24天续航，超低温运行，坚固耐用的户外GPS军用智能手表，实时导航-黑色")</f>
        <v>Amazfit T-Rex 2 男士智能手表，双频6卫星定位，24天续航，超低温运行，坚固耐用的户外GPS军用智能手表，实时导航-黑色</v>
      </c>
      <c r="E207" s="1" t="str">
        <f>IFERROR(__xludf.DUMMYFUNCTION("CONCATENATE(GOOGLETRANSLATE(C207, ""en"", ""ko""))"),"남성용 Amazfit T-Rex 2 스마트 시계, 듀얼 밴드 및 6개의 위성 위치 확인, 24일 배터리 수명, 초저온 작동, 견고한 실외 GPS 군용 스마트시계, 실시간 내비게이션-블랙")</f>
        <v>남성용 Amazfit T-Rex 2 스마트 시계, 듀얼 밴드 및 6개의 위성 위치 확인, 24일 배터리 수명, 초저온 작동, 견고한 실외 GPS 군용 스마트시계, 실시간 내비게이션-블랙</v>
      </c>
      <c r="F207" s="1" t="str">
        <f>IFERROR(__xludf.DUMMYFUNCTION("CONCATENATE(GOOGLETRANSLATE(C207, ""en"", ""ja""))"),"Amazfit T-Rex 2 スマートウォッチ男性用、デュアルバンド &amp; 6 衛星測位、24 日間のバッテリー寿命、超低温動作、頑丈な屋外 GPS ミリタリースマートウォッチ、リアルタイムナビゲーション-ブラック")</f>
        <v>Amazfit T-Rex 2 スマートウォッチ男性用、デュアルバンド &amp; 6 衛星測位、24 日間のバッテリー寿命、超低温動作、頑丈な屋外 GPS ミリタリースマートウォッチ、リアルタイムナビゲーション-ブラック</v>
      </c>
    </row>
    <row r="208" ht="15.75" customHeight="1">
      <c r="A208" s="1">
        <v>4235.0</v>
      </c>
      <c r="B208" s="1" t="s">
        <v>6</v>
      </c>
      <c r="C208" s="1" t="s">
        <v>208</v>
      </c>
      <c r="D208" s="1" t="str">
        <f>IFERROR(__xludf.DUMMYFUNCTION("CONCATENATE(GOOGLETRANSLATE(C208, ""en"", ""zh-cn""))
"),"LOBINNI 时尚商务男士手表不锈钢防水自动机械手表男士，自动日期星期")</f>
        <v>LOBINNI 时尚商务男士手表不锈钢防水自动机械手表男士，自动日期星期</v>
      </c>
      <c r="E208" s="1" t="str">
        <f>IFERROR(__xludf.DUMMYFUNCTION("CONCATENATE(GOOGLETRANSLATE(C208, ""en"", ""ko""))"),"LOBINNI 패션 비즈니스 남성용 시계, 남성용 스테인레스 스틸 방수 자동 기계 시계, 자동 날짜 주간")</f>
        <v>LOBINNI 패션 비즈니스 남성용 시계, 남성용 스테인레스 스틸 방수 자동 기계 시계, 자동 날짜 주간</v>
      </c>
      <c r="F208" s="1" t="str">
        <f>IFERROR(__xludf.DUMMYFUNCTION("CONCATENATE(GOOGLETRANSLATE(C208, ""en"", ""ja""))"),"LOBINNI ファッション ビジネス メンズ腕時計、ステンレス鋼防水自動機械時計、自動日付週")</f>
        <v>LOBINNI ファッション ビジネス メンズ腕時計、ステンレス鋼防水自動機械時計、自動日付週</v>
      </c>
    </row>
    <row r="209" ht="15.75" customHeight="1">
      <c r="A209" s="1">
        <v>4238.0</v>
      </c>
      <c r="B209" s="1" t="s">
        <v>6</v>
      </c>
      <c r="C209" s="1" t="s">
        <v>209</v>
      </c>
      <c r="D209" s="1" t="str">
        <f>IFERROR(__xludf.DUMMYFUNCTION("CONCATENATE(GOOGLETRANSLATE(C209, ""en"", ""zh-cn""))
"),"施华洛世奇 (SWAROVSKI) 女士都市水晶腕表系列")</f>
        <v>施华洛世奇 (SWAROVSKI) 女士都市水晶腕表系列</v>
      </c>
      <c r="E209" s="1" t="str">
        <f>IFERROR(__xludf.DUMMYFUNCTION("CONCATENATE(GOOGLETRANSLATE(C209, ""en"", ""ko""))"),"SWAROVSKI 여성용 코스모폴리탄 크리스탈 시계 컬렉션")</f>
        <v>SWAROVSKI 여성용 코스모폴리탄 크리스탈 시계 컬렉션</v>
      </c>
      <c r="F209" s="1" t="str">
        <f>IFERROR(__xludf.DUMMYFUNCTION("CONCATENATE(GOOGLETRANSLATE(C209, ""en"", ""ja""))"),"スワロフスキー レディース コスモポリタン クリスタル ウォッチ コレクション")</f>
        <v>スワロフスキー レディース コスモポリタン クリスタル ウォッチ コレクション</v>
      </c>
    </row>
    <row r="210" ht="15.75" customHeight="1">
      <c r="A210" s="1">
        <v>4252.0</v>
      </c>
      <c r="B210" s="1" t="s">
        <v>6</v>
      </c>
      <c r="C210" s="1" t="s">
        <v>210</v>
      </c>
      <c r="D210" s="1" t="str">
        <f>IFERROR(__xludf.DUMMYFUNCTION("CONCATENATE(GOOGLETRANSLATE(C210, ""en"", ""zh-cn""))
"),"Timex 男士探险潮汐温度指南针 45 毫米 TW2V22200VQ 石英手表")</f>
        <v>Timex 男士探险潮汐温度指南针 45 毫米 TW2V22200VQ 石英手表</v>
      </c>
      <c r="E210" s="1" t="str">
        <f>IFERROR(__xludf.DUMMYFUNCTION("CONCATENATE(GOOGLETRANSLATE(C210, ""en"", ""ko""))"),"타이멕스 남성용 원정 조수-온도-나침반 45mm TW2V22200VQ 쿼츠 시계")</f>
        <v>타이멕스 남성용 원정 조수-온도-나침반 45mm TW2V22200VQ 쿼츠 시계</v>
      </c>
      <c r="F210" s="1" t="str">
        <f>IFERROR(__xludf.DUMMYFUNCTION("CONCATENATE(GOOGLETRANSLATE(C210, ""en"", ""ja""))"),"タイメックス メンズ エクスペディション潮温コンパス 45mm TW2V22200VQ クォーツ時計")</f>
        <v>タイメックス メンズ エクスペディション潮温コンパス 45mm TW2V22200VQ クォーツ時計</v>
      </c>
    </row>
    <row r="211" ht="15.75" customHeight="1">
      <c r="A211" s="1">
        <v>4261.0</v>
      </c>
      <c r="B211" s="1" t="s">
        <v>6</v>
      </c>
      <c r="C211" s="1" t="s">
        <v>211</v>
      </c>
      <c r="D211" s="1" t="str">
        <f>IFERROR(__xludf.DUMMYFUNCTION("CONCATENATE(GOOGLETRANSLATE(C211, ""en"", ""zh-cn""))
"),"SEIKO 男士模拟自动手表带织物表带 SNZG11K1")</f>
        <v>SEIKO 男士模拟自动手表带织物表带 SNZG11K1</v>
      </c>
      <c r="E211" s="1" t="str">
        <f>IFERROR(__xludf.DUMMYFUNCTION("CONCATENATE(GOOGLETRANSLATE(C211, ""en"", ""ko""))"),"SEIKO 남성용 아날로그 오토매틱 시계(텍스타일 스트랩 포함) SNZG11K1")</f>
        <v>SEIKO 남성용 아날로그 오토매틱 시계(텍스타일 스트랩 포함) SNZG11K1</v>
      </c>
      <c r="F211" s="1" t="str">
        <f>IFERROR(__xludf.DUMMYFUNCTION("CONCATENATE(GOOGLETRANSLATE(C211, ""en"", ""ja""))"),"SEIKO メンズ アナログ自動巻き時計 テキスタイルストラップ付き SNZG11K1")</f>
        <v>SEIKO メンズ アナログ自動巻き時計 テキスタイルストラップ付き SNZG11K1</v>
      </c>
    </row>
    <row r="212" ht="15.75" customHeight="1">
      <c r="A212" s="1">
        <v>4271.0</v>
      </c>
      <c r="B212" s="1" t="s">
        <v>6</v>
      </c>
      <c r="C212" s="1" t="s">
        <v>212</v>
      </c>
      <c r="D212" s="1" t="str">
        <f>IFERROR(__xludf.DUMMYFUNCTION("CONCATENATE(GOOGLETRANSLATE(C212, ""en"", ""zh-cn""))
"),"Kendra Scott 长方形 Elle 吊式耳环")</f>
        <v>Kendra Scott 长方形 Elle 吊式耳环</v>
      </c>
      <c r="E212" s="1" t="str">
        <f>IFERROR(__xludf.DUMMYFUNCTION("CONCATENATE(GOOGLETRANSLATE(C212, ""en"", ""ko""))"),"Kendra Scott 바게트 엘르 드롭 이어링")</f>
        <v>Kendra Scott 바게트 엘르 드롭 이어링</v>
      </c>
      <c r="F212" s="1" t="str">
        <f>IFERROR(__xludf.DUMMYFUNCTION("CONCATENATE(GOOGLETRANSLATE(C212, ""en"", ""ja""))"),"ケンドラ スコット バゲット エル ドロップ イヤリング")</f>
        <v>ケンドラ スコット バゲット エル ドロップ イヤリング</v>
      </c>
    </row>
    <row r="213" ht="15.75" customHeight="1">
      <c r="A213" s="1">
        <v>4282.0</v>
      </c>
      <c r="B213" s="1" t="s">
        <v>6</v>
      </c>
      <c r="C213" s="1" t="s">
        <v>213</v>
      </c>
      <c r="D213" s="1" t="str">
        <f>IFERROR(__xludf.DUMMYFUNCTION("CONCATENATE(GOOGLETRANSLATE(C213, ""en"", ""zh-cn""))
"),"施华洛世奇儿童，曼达洛雕像，绿色和金色水晶，施华洛世奇星球大战系列的一部分")</f>
        <v>施华洛世奇儿童，曼达洛雕像，绿色和金色水晶，施华洛世奇星球大战系列的一部分</v>
      </c>
      <c r="E213" s="1" t="str">
        <f>IFERROR(__xludf.DUMMYFUNCTION("CONCATENATE(GOOGLETRANSLATE(C213, ""en"", ""ko""))"),"스와로브스키 더 차일드, 만달로리안 조각상, 녹색 및 금색 톤 크리스털, 스와로브스키 스타워즈 컬렉션의 일부")</f>
        <v>스와로브스키 더 차일드, 만달로리안 조각상, 녹색 및 금색 톤 크리스털, 스와로브스키 스타워즈 컬렉션의 일부</v>
      </c>
      <c r="F213" s="1" t="str">
        <f>IFERROR(__xludf.DUMMYFUNCTION("CONCATENATE(GOOGLETRANSLATE(C213, ""en"", ""ja""))"),"スワロフスキー・ザ・チャイルド、マンダロリアンの置物、グリーンとゴールドトーンのクリスタル、スワロフスキー・スター・ウォーズ・コレクションの一部")</f>
        <v>スワロフスキー・ザ・チャイルド、マンダロリアンの置物、グリーンとゴールドトーンのクリスタル、スワロフスキー・スター・ウォーズ・コレクションの一部</v>
      </c>
    </row>
    <row r="214" ht="15.75" customHeight="1">
      <c r="A214" s="1">
        <v>4310.0</v>
      </c>
      <c r="B214" s="1" t="s">
        <v>6</v>
      </c>
      <c r="C214" s="1" t="s">
        <v>214</v>
      </c>
      <c r="D214" s="1" t="str">
        <f>IFERROR(__xludf.DUMMYFUNCTION("CONCATENATE(GOOGLETRANSLATE(C214, ""en"", ""zh-cn""))
"),"肯德拉·斯科特·雷顿 (Kendra Scott Layton) 个性耳环")</f>
        <v>肯德拉·斯科特·雷顿 (Kendra Scott Layton) 个性耳环</v>
      </c>
      <c r="E214" s="1" t="str">
        <f>IFERROR(__xludf.DUMMYFUNCTION("CONCATENATE(GOOGLETRANSLATE(C214, ""en"", ""ko""))"),"Kendra Scott 레이튼 스테이트먼트 귀걸이")</f>
        <v>Kendra Scott 레이튼 스테이트먼트 귀걸이</v>
      </c>
      <c r="F214" s="1" t="str">
        <f>IFERROR(__xludf.DUMMYFUNCTION("CONCATENATE(GOOGLETRANSLATE(C214, ""en"", ""ja""))"),"ケンドラ スコット レイトン ステートメント イヤリング")</f>
        <v>ケンドラ スコット レイトン ステートメント イヤリング</v>
      </c>
    </row>
    <row r="215" ht="15.75" customHeight="1">
      <c r="A215" s="1">
        <v>4325.0</v>
      </c>
      <c r="B215" s="1" t="s">
        <v>6</v>
      </c>
      <c r="C215" s="1" t="s">
        <v>215</v>
      </c>
      <c r="D215" s="1" t="str">
        <f>IFERROR(__xludf.DUMMYFUNCTION("CONCATENATE(GOOGLETRANSLATE(C215, ""en"", ""zh-cn""))
"),"Casio G-Shock DW-5600WM-5JF [实用波浪大理石纹]")</f>
        <v>Casio G-Shock DW-5600WM-5JF [实用波浪大理石纹]</v>
      </c>
      <c r="E215" s="1" t="str">
        <f>IFERROR(__xludf.DUMMYFUNCTION("CONCATENATE(GOOGLETRANSLATE(C215, ""en"", ""ko""))"),"카시오 G-Shock DW-5600WM-5JF [유틸리티 웨이브 대리석]")</f>
        <v>카시오 G-Shock DW-5600WM-5JF [유틸리티 웨이브 대리석]</v>
      </c>
      <c r="F215" s="1" t="str">
        <f>IFERROR(__xludf.DUMMYFUNCTION("CONCATENATE(GOOGLETRANSLATE(C215, ""en"", ""ja""))"),"カシオ Gショック DW-5600WM-5JF [ユーティリティ ウェイビーマーブル]")</f>
        <v>カシオ Gショック DW-5600WM-5JF [ユーティリティ ウェイビーマーブル]</v>
      </c>
    </row>
    <row r="216" ht="15.75" customHeight="1">
      <c r="A216" s="1">
        <v>4338.0</v>
      </c>
      <c r="B216" s="1" t="s">
        <v>6</v>
      </c>
      <c r="C216" s="1" t="s">
        <v>216</v>
      </c>
      <c r="D216" s="1" t="str">
        <f>IFERROR(__xludf.DUMMYFUNCTION("CONCATENATE(GOOGLETRANSLATE(C216, ""en"", ""zh-cn""))
"),"Luminox 男士 0201.SL Sentry 0200 黑色表壳带夜光装饰，黑色橡胶表带手表")</f>
        <v>Luminox 男士 0201.SL Sentry 0200 黑色表壳带夜光装饰，黑色橡胶表带手表</v>
      </c>
      <c r="E216" s="1" t="str">
        <f>IFERROR(__xludf.DUMMYFUNCTION("CONCATENATE(GOOGLETRANSLATE(C216, ""en"", ""ko""))"),"Luminox 남성용 0201.SL Sentry 0200 야광 액센트가 있는 블랙 케이스, 블랙 고무 밴드 시계")</f>
        <v>Luminox 남성용 0201.SL Sentry 0200 야광 액센트가 있는 블랙 케이스, 블랙 고무 밴드 시계</v>
      </c>
      <c r="F216" s="1" t="str">
        <f>IFERROR(__xludf.DUMMYFUNCTION("CONCATENATE(GOOGLETRANSLATE(C216, ""en"", ""ja""))"),"ルミノックス メンズ 0201.SL セントリー 0200 ブラックケース、発光アクセント、ブラックラバーバンドウォッチ")</f>
        <v>ルミノックス メンズ 0201.SL セントリー 0200 ブラックケース、発光アクセント、ブラックラバーバンドウォッチ</v>
      </c>
    </row>
    <row r="217" ht="15.75" customHeight="1">
      <c r="A217" s="1">
        <v>4357.0</v>
      </c>
      <c r="B217" s="1" t="s">
        <v>6</v>
      </c>
      <c r="C217" s="1" t="s">
        <v>217</v>
      </c>
      <c r="D217" s="1" t="str">
        <f>IFERROR(__xludf.DUMMYFUNCTION("CONCATENATE(GOOGLETRANSLATE(C217, ""en"", ""zh-cn""))
"),"Casa Andrea Milano 现代大型天鹅绒布艺组合沙发，L 形沙发，带超宽躺椅，黑色")</f>
        <v>Casa Andrea Milano 现代大型天鹅绒布艺组合沙发，L 形沙发，带超宽躺椅，黑色</v>
      </c>
      <c r="E217" s="1" t="str">
        <f>IFERROR(__xludf.DUMMYFUNCTION("CONCATENATE(GOOGLETRANSLATE(C217, ""en"", ""ko""))"),"Casa Andrea Milano 현대적인 대형 벨벳 패브릭 단면 소파, 매우 넓은 긴 의자 라운지가 있는 L자형 소파, 블랙")</f>
        <v>Casa Andrea Milano 현대적인 대형 벨벳 패브릭 단면 소파, 매우 넓은 긴 의자 라운지가 있는 L자형 소파, 블랙</v>
      </c>
      <c r="F217" s="1" t="str">
        <f>IFERROR(__xludf.DUMMYFUNCTION("CONCATENATE(GOOGLETRANSLATE(C217, ""en"", ""ja""))"),"Casa Andrea Milano モダンな大型ベルベット生地セクショナルソファ、L字型ソファ、幅広の長椅子付き、ブラック")</f>
        <v>Casa Andrea Milano モダンな大型ベルベット生地セクショナルソファ、L字型ソファ、幅広の長椅子付き、ブラック</v>
      </c>
    </row>
    <row r="218" ht="15.75" customHeight="1">
      <c r="A218" s="1">
        <v>4394.0</v>
      </c>
      <c r="B218" s="1" t="s">
        <v>6</v>
      </c>
      <c r="C218" s="1" t="s">
        <v>218</v>
      </c>
      <c r="D218" s="1" t="str">
        <f>IFERROR(__xludf.DUMMYFUNCTION("CONCATENATE(GOOGLETRANSLATE(C218, ""en"", ""zh-cn""))
"),"Edenbrook Jensen 软垫沙发 - 客厅沙发 - 木炭软垫沙发 - 客厅家具 - 小沙发 - 三人座 - 勺臂现代沙发")</f>
        <v>Edenbrook Jensen 软垫沙发 - 客厅沙发 - 木炭软垫沙发 - 客厅家具 - 小沙发 - 三人座 - 勺臂现代沙发</v>
      </c>
      <c r="E218" s="1" t="str">
        <f>IFERROR(__xludf.DUMMYFUNCTION("CONCATENATE(GOOGLETRANSLATE(C218, ""en"", ""ko""))"),"Edenbrook Jensen 덮개를 씌운 소파 - 거실용 소파 - 차콜 덮개를 씌운 소파 - 거실 가구 - 소형 소파 - 3인용 - 스쿠프 암 모던 소파")</f>
        <v>Edenbrook Jensen 덮개를 씌운 소파 - 거실용 소파 - 차콜 덮개를 씌운 소파 - 거실 가구 - 소형 소파 - 3인용 - 스쿠프 암 모던 소파</v>
      </c>
      <c r="F218" s="1" t="str">
        <f>IFERROR(__xludf.DUMMYFUNCTION("CONCATENATE(GOOGLETRANSLATE(C218, ""en"", ""ja""))"),"エデンブルック ジェンセン 布張りソファ - リビングルーム用ソファ - チャコール布張りソファ - リビングルーム家具 - 小さなソファ - 3人掛け - スクープアームモダンソファ")</f>
        <v>エデンブルック ジェンセン 布張りソファ - リビングルーム用ソファ - チャコール布張りソファ - リビングルーム家具 - 小さなソファ - 3人掛け - スクープアームモダンソファ</v>
      </c>
    </row>
    <row r="219" ht="15.75" customHeight="1">
      <c r="A219" s="1">
        <v>4436.0</v>
      </c>
      <c r="B219" s="1" t="s">
        <v>6</v>
      </c>
      <c r="C219" s="1" t="s">
        <v>219</v>
      </c>
      <c r="D219" s="1" t="str">
        <f>IFERROR(__xludf.DUMMYFUNCTION("CONCATENATE(GOOGLETRANSLATE(C219, ""en"", ""zh-cn""))
"),"Acme 家具 1 个抽屉和 4 个门木服务器，仿古白色")</f>
        <v>Acme 家具 1 个抽屉和 4 个门木服务器，仿古白色</v>
      </c>
      <c r="E219" s="1" t="str">
        <f>IFERROR(__xludf.DUMMYFUNCTION("CONCATENATE(GOOGLETRANSLATE(C219, ""en"", ""ko""))"),"Acme 가구 서랍 1개 및 문 4개 목재 서버, 앤티크 화이트")</f>
        <v>Acme 가구 서랍 1개 및 문 4개 목재 서버, 앤티크 화이트</v>
      </c>
      <c r="F219" s="1" t="str">
        <f>IFERROR(__xludf.DUMMYFUNCTION("CONCATENATE(GOOGLETRANSLATE(C219, ""en"", ""ja""))"),"Acme Furniture 1 引き出しと 4 ドアの木製サーバー、アンティーク ホワイト")</f>
        <v>Acme Furniture 1 引き出しと 4 ドアの木製サーバー、アンティーク ホワイト</v>
      </c>
    </row>
    <row r="220" ht="15.75" customHeight="1">
      <c r="A220" s="1">
        <v>4452.0</v>
      </c>
      <c r="B220" s="1" t="s">
        <v>6</v>
      </c>
      <c r="C220" s="1" t="s">
        <v>220</v>
      </c>
      <c r="D220" s="1" t="str">
        <f>IFERROR(__xludf.DUMMYFUNCTION("CONCATENATE(GOOGLETRANSLATE(C220, ""en"", ""zh-cn""))
"),"香奈儿 Sublimage La Creme Yeux 终极再生。 15克")</f>
        <v>香奈儿 Sublimage La Creme Yeux 终极再生。 15克</v>
      </c>
      <c r="E220" s="1" t="str">
        <f>IFERROR(__xludf.DUMMYFUNCTION("CONCATENATE(GOOGLETRANSLATE(C220, ""en"", ""ko""))"),"샤넬 수블리마지 라 크렘 이으 얼티미트 리제너. 15gr")</f>
        <v>샤넬 수블리마지 라 크렘 이으 얼티미트 리제너. 15gr</v>
      </c>
      <c r="F220" s="1" t="str">
        <f>IFERROR(__xludf.DUMMYFUNCTION("CONCATENATE(GOOGLETRANSLATE(C220, ""en"", ""ja""))"),"シャネル サブリマージュ ラ クレーム ユー アルティメット リジェネ。 15グラム")</f>
        <v>シャネル サブリマージュ ラ クレーム ユー アルティメット リジェネ。 15グラム</v>
      </c>
    </row>
    <row r="221" ht="15.75" customHeight="1">
      <c r="A221" s="1">
        <v>4465.0</v>
      </c>
      <c r="B221" s="1" t="s">
        <v>6</v>
      </c>
      <c r="C221" s="1" t="s">
        <v>221</v>
      </c>
      <c r="D221" s="1" t="str">
        <f>IFERROR(__xludf.DUMMYFUNCTION("CONCATENATE(GOOGLETRANSLATE(C221, ""en"", ""zh-cn""))
"),"toyshi Hi_Friend LED 睫毛延长灯，26 - 纹身艺术家、美甲技术、美容师的睫毛灯 - 冷色、暖色照明灯，可调节亮度和高度（白色）")</f>
        <v>toyshi Hi_Friend LED 睫毛延长灯，26 - 纹身艺术家、美甲技术、美容师的睫毛灯 - 冷色、暖色照明灯，可调节亮度和高度（白色）</v>
      </c>
      <c r="E221" s="1" t="str">
        <f>IFERROR(__xludf.DUMMYFUNCTION("CONCATENATE(GOOGLETRANSLATE(C221, ""en"", ""ko""))"),"속눈썹 연장용 toyshi Hi_Friend LED 램프, 26 - 문신 예술가용 속눈썹 램프, 네일 기술, 미용사 - 밝기 및 높이 조절이 가능한 시원하고 따뜻한 조명 램프(흰색)")</f>
        <v>속눈썹 연장용 toyshi Hi_Friend LED 램프, 26 - 문신 예술가용 속눈썹 램프, 네일 기술, 미용사 - 밝기 및 높이 조절이 가능한 시원하고 따뜻한 조명 램프(흰색)</v>
      </c>
      <c r="F221" s="1" t="str">
        <f>IFERROR(__xludf.DUMMYFUNCTION("CONCATENATE(GOOGLETRANSLATE(C221, ""en"", ""ja""))"),"toyshi Hi_Friend LED ランプ まつげエクステ用 26 - タトゥー アーティスト、ネイル テック、エステティシャン用ラッシュ ランプ - 明るさと高さを調整できるクールで温かみのある照明ランプ (ホワイト)")</f>
        <v>toyshi Hi_Friend LED ランプ まつげエクステ用 26 - タトゥー アーティスト、ネイル テック、エステティシャン用ラッシュ ランプ - 明るさと高さを調整できるクールで温かみのある照明ランプ (ホワイト)</v>
      </c>
    </row>
    <row r="222" ht="15.75" customHeight="1">
      <c r="A222" s="1">
        <v>4471.0</v>
      </c>
      <c r="B222" s="1" t="s">
        <v>6</v>
      </c>
      <c r="C222" s="1" t="s">
        <v>222</v>
      </c>
      <c r="D222" s="1" t="str">
        <f>IFERROR(__xludf.DUMMYFUNCTION("CONCATENATE(GOOGLETRANSLATE(C222, ""en"", ""zh-cn""))
"),"SISLEY 希思黎 Supremya Eyes at Night 至尊抗衰老眼部精华液，0.52 盎司，0.52 液体盎司 () (3473311540508)")</f>
        <v>SISLEY 希思黎 Supremya Eyes at Night 至尊抗衰老眼部精华液，0.52 盎司，0.52 液体盎司 () (3473311540508)</v>
      </c>
      <c r="E222" s="1" t="str">
        <f>IFERROR(__xludf.DUMMYFUNCTION("CONCATENATE(GOOGLETRANSLATE(C222, ""en"", ""ko""))"),"SISLEY Sisley Supremya Eyes at Night 더 슈프림 안티 에이징 아이 세럼, 0.52 온스, 0.52 Fl 온스 () (3473311540508)")</f>
        <v>SISLEY Sisley Supremya Eyes at Night 더 슈프림 안티 에이징 아이 세럼, 0.52 온스, 0.52 Fl 온스 () (3473311540508)</v>
      </c>
      <c r="F222" s="1" t="str">
        <f>IFERROR(__xludf.DUMMYFUNCTION("CONCATENATE(GOOGLETRANSLATE(C222, ""en"", ""ja""))"),"SISLEY シスレー スプレミア アイズ アット ナイト ザ スプリーム アンチエイジング アイ セラム、0.52 オンス、0.52 液量オンス () (3473311540508)")</f>
        <v>SISLEY シスレー スプレミア アイズ アット ナイト ザ スプリーム アンチエイジング アイ セラム、0.52 オンス、0.52 液量オンス () (3473311540508)</v>
      </c>
    </row>
    <row r="223" ht="15.75" customHeight="1">
      <c r="A223" s="1">
        <v>4491.0</v>
      </c>
      <c r="B223" s="1" t="s">
        <v>6</v>
      </c>
      <c r="C223" s="1" t="s">
        <v>223</v>
      </c>
      <c r="D223" s="1" t="str">
        <f>IFERROR(__xludf.DUMMYFUNCTION("CONCATENATE(GOOGLETRANSLATE(C223, ""en"", ""zh-cn""))
"),"香奈儿 LES BEIGES 健康光泽粉底 SPF 25 / PA++ # 32 玫瑰红")</f>
        <v>香奈儿 LES BEIGES 健康光泽粉底 SPF 25 / PA++ # 32 玫瑰红</v>
      </c>
      <c r="E223" s="1" t="str">
        <f>IFERROR(__xludf.DUMMYFUNCTION("CONCATENATE(GOOGLETRANSLATE(C223, ""en"", ""ko""))"),"샤넬 레 베쥬 헬시 글로우 파운데이션 SPF 25 / PA++ # 32 로제")</f>
        <v>샤넬 레 베쥬 헬시 글로우 파운데이션 SPF 25 / PA++ # 32 로제</v>
      </c>
      <c r="F223" s="1" t="str">
        <f>IFERROR(__xludf.DUMMYFUNCTION("CONCATENATE(GOOGLETRANSLATE(C223, ""en"", ""ja""))"),"シャネル レ ベージュ ヘルシー グロウ ファンデーション SPF 25 / PA++ # 32 ロゼ")</f>
        <v>シャネル レ ベージュ ヘルシー グロウ ファンデーション SPF 25 / PA++ # 32 ロゼ</v>
      </c>
    </row>
    <row r="224" ht="15.75" customHeight="1">
      <c r="A224" s="1">
        <v>4497.0</v>
      </c>
      <c r="B224" s="1" t="s">
        <v>6</v>
      </c>
      <c r="C224" s="1" t="s">
        <v>224</v>
      </c>
      <c r="D224" s="1" t="str">
        <f>IFERROR(__xludf.DUMMYFUNCTION("CONCATENATE(GOOGLETRANSLATE(C224, ""en"", ""zh-cn""))
"),"Valmont 黑玫瑰抗衰老营养珍贵面部油，0.59 磅")</f>
        <v>Valmont 黑玫瑰抗衰老营养珍贵面部油，0.59 磅</v>
      </c>
      <c r="E224" s="1" t="str">
        <f>IFERROR(__xludf.DUMMYFUNCTION("CONCATENATE(GOOGLETRANSLATE(C224, ""en"", ""ko""))"),"Valmont Black Rose 안티 에이징 뉴트리션 프레셔스 페이스 오일, 0.59파운드")</f>
        <v>Valmont Black Rose 안티 에이징 뉴트리션 프레셔스 페이스 오일, 0.59파운드</v>
      </c>
      <c r="F224" s="1" t="str">
        <f>IFERROR(__xludf.DUMMYFUNCTION("CONCATENATE(GOOGLETRANSLATE(C224, ""en"", ""ja""))"),"Valmont ブラック ローズ アンチエイジング ニュートリション プレシャス フェイス オイル、0.59 ポンド")</f>
        <v>Valmont ブラック ローズ アンチエイジング ニュートリション プレシャス フェイス オイル、0.59 ポンド</v>
      </c>
    </row>
    <row r="225" ht="15.75" customHeight="1">
      <c r="A225" s="1">
        <v>4505.0</v>
      </c>
      <c r="B225" s="1" t="s">
        <v>6</v>
      </c>
      <c r="C225" s="1" t="s">
        <v>225</v>
      </c>
      <c r="D225" s="1" t="str">
        <f>IFERROR(__xludf.DUMMYFUNCTION("CONCATENATE(GOOGLETRANSLATE(C225, ""en"", ""zh-cn""))
"),"面部护理面膜/10片")</f>
        <v>面部护理面膜/10片</v>
      </c>
      <c r="E225" s="1" t="str">
        <f>IFERROR(__xludf.DUMMYFUNCTION("CONCATENATE(GOOGLETRANSLATE(C225, ""en"", ""ko""))"),"페이셜 트리트먼트 마스크/10개")</f>
        <v>페이셜 트리트먼트 마스크/10개</v>
      </c>
      <c r="F225" s="1" t="str">
        <f>IFERROR(__xludf.DUMMYFUNCTION("CONCATENATE(GOOGLETRANSLATE(C225, ""en"", ""ja""))"),"フェイシャルトリートメントマスク/10枚入")</f>
        <v>フェイシャルトリートメントマスク/10枚入</v>
      </c>
    </row>
    <row r="226" ht="15.75" customHeight="1">
      <c r="A226" s="1">
        <v>4527.0</v>
      </c>
      <c r="B226" s="1" t="s">
        <v>6</v>
      </c>
      <c r="C226" s="1" t="s">
        <v>226</v>
      </c>
      <c r="D226" s="1" t="str">
        <f>IFERROR(__xludf.DUMMYFUNCTION("CONCATENATE(GOOGLETRANSLATE(C226, ""en"", ""zh-cn""))
"),"娇韵诗 V-Facial 密集裹敷面膜 |屡获殊荣的面部轮廓面膜 |明显减少因压力、高温和荷尔蒙变化引起的浮肿和肿胀 |促进均匀肤色 | 2.5盎司")</f>
        <v>娇韵诗 V-Facial 密集裹敷面膜 |屡获殊荣的面部轮廓面膜 |明显减少因压力、高温和荷尔蒙变化引起的浮肿和肿胀 |促进均匀肤色 | 2.5盎司</v>
      </c>
      <c r="E226" s="1" t="str">
        <f>IFERROR(__xludf.DUMMYFUNCTION("CONCATENATE(GOOGLETRANSLATE(C226, ""en"", ""ko""))"),"클라란스 V-페이셜 인텐시브 랩 페이스 마스크 | 수상 경력에 빛나는 페이셜 컨투어링 마스크 | 스트레스, 열 및 호르몬 변화로 인한 붓기와 붓기를 눈에 띄게 감소 | 균일한 피부톤을 촉진 | 2.5온스")</f>
        <v>클라란스 V-페이셜 인텐시브 랩 페이스 마스크 | 수상 경력에 빛나는 페이셜 컨투어링 마스크 | 스트레스, 열 및 호르몬 변화로 인한 붓기와 붓기를 눈에 띄게 감소 | 균일한 피부톤을 촉진 | 2.5온스</v>
      </c>
      <c r="F226" s="1" t="str">
        <f>IFERROR(__xludf.DUMMYFUNCTION("CONCATENATE(GOOGLETRANSLATE(C226, ""en"", ""ja""))"),"クラランス V フェイシャル インテンシブ ラップ フェイス マスク |受賞歴のある顔面輪郭マスク |ストレス、熱、ホルモンの変化によって引き起こされるむくみや腫れを目に見えて軽減します |均一な肌のトーンを促進 | 2.5オンス")</f>
        <v>クラランス V フェイシャル インテンシブ ラップ フェイス マスク |受賞歴のある顔面輪郭マスク |ストレス、熱、ホルモンの変化によって引き起こされるむくみや腫れを目に見えて軽減します |均一な肌のトーンを促進 | 2.5オンス</v>
      </c>
    </row>
    <row r="227" ht="15.75" customHeight="1">
      <c r="A227" s="1">
        <v>4546.0</v>
      </c>
      <c r="B227" s="1" t="s">
        <v>6</v>
      </c>
      <c r="C227" s="1" t="s">
        <v>227</v>
      </c>
      <c r="D227" s="1" t="str">
        <f>IFERROR(__xludf.DUMMYFUNCTION("CONCATENATE(GOOGLETRANSLATE(C227, ""en"", ""zh-cn""))
"),"用于睫毛延长的 LED 灯，28 - 纹身艺术家、美甲技术、美容师的睫毛灯 - 酷炫、360° 温暖照明灯，可调节亮度和高度卧室，派对礼物 Tiktok LED 壁灯")</f>
        <v>用于睫毛延长的 LED 灯，28 - 纹身艺术家、美甲技术、美容师的睫毛灯 - 酷炫、360° 温暖照明灯，可调节亮度和高度卧室，派对礼物 Tiktok LED 壁灯</v>
      </c>
      <c r="E227" s="1" t="str">
        <f>IFERROR(__xludf.DUMMYFUNCTION("CONCATENATE(GOOGLETRANSLATE(C227, ""en"", ""ko""))"),"속눈썹 연장용 LED 램프, 28 - 문신 예술가용 속눈썹 램프, 네일 기술, 미용사 - 쿨, 밝기 및 높이 조절이 가능한 360° 따뜻한 조명 램프 침실, 파티 선물 Tiktok LED 벽 램프")</f>
        <v>속눈썹 연장용 LED 램프, 28 - 문신 예술가용 속눈썹 램프, 네일 기술, 미용사 - 쿨, 밝기 및 높이 조절이 가능한 360° 따뜻한 조명 램프 침실, 파티 선물 Tiktok LED 벽 램프</v>
      </c>
      <c r="F227" s="1" t="str">
        <f>IFERROR(__xludf.DUMMYFUNCTION("CONCATENATE(GOOGLETRANSLATE(C227, ""en"", ""ja""))"),"まつげエクステ用LEDランプ、28 - タトゥーアーティスト、ネイルテック、エステティシャン用ラッシュランプ - クール、明るさと高さ調節可能な360°暖かい照明ランプ寝室、パーティーギフト Tiktok LEDウォールランプ")</f>
        <v>まつげエクステ用LEDランプ、28 - タトゥーアーティスト、ネイルテック、エステティシャン用ラッシュランプ - クール、明るさと高さ調節可能な360°暖かい照明ランプ寝室、パーティーギフト Tiktok LEDウォールランプ</v>
      </c>
    </row>
    <row r="228" ht="15.75" customHeight="1">
      <c r="A228" s="1">
        <v>4549.0</v>
      </c>
      <c r="B228" s="1" t="s">
        <v>6</v>
      </c>
      <c r="C228" s="1" t="s">
        <v>228</v>
      </c>
      <c r="D228" s="1" t="str">
        <f>IFERROR(__xludf.DUMMYFUNCTION("CONCATENATE(GOOGLETRANSLATE(C228, ""en"", ""zh-cn""))
"),"GKTG 客厅落地灯，带遥控器的可调光落地灯，含 10W 变色 LED 灯泡，现代立灯高灯，适用于卧室、办公室、阅读（黑色）")</f>
        <v>GKTG 客厅落地灯，带遥控器的可调光落地灯，含 10W 变色 LED 灯泡，现代立灯高灯，适用于卧室、办公室、阅读（黑色）</v>
      </c>
      <c r="E228" s="1" t="str">
        <f>IFERROR(__xludf.DUMMYFUNCTION("CONCATENATE(GOOGLETRANSLATE(C228, ""en"", ""ko""))"),"거실용 GKTG 플로어 램프, 리모콘이 있는 조도 조절이 가능한 플로어 램프, 10W 색상 변경 LED 전구 포함, 침실용 현대식 스탠딩 램프 키 큰 램프, 사무실, 독서용(검은색)")</f>
        <v>거실용 GKTG 플로어 램프, 리모콘이 있는 조도 조절이 가능한 플로어 램프, 10W 색상 변경 LED 전구 포함, 침실용 현대식 스탠딩 램프 키 큰 램프, 사무실, 독서용(검은색)</v>
      </c>
      <c r="F228" s="1" t="str">
        <f>IFERROR(__xludf.DUMMYFUNCTION("CONCATENATE(GOOGLETRANSLATE(C228, ""en"", ""ja""))"),"GKTG リビングルーム用フロアランプ、リモコン付き調光可能なフロアランプ、10W変色LED電球付属、モダンなスタンディングランプ、寝室、オフィス、読書用の背の高いランプ (ブラック)")</f>
        <v>GKTG リビングルーム用フロアランプ、リモコン付き調光可能なフロアランプ、10W変色LED電球付属、モダンなスタンディングランプ、寝室、オフィス、読書用の背の高いランプ (ブラック)</v>
      </c>
    </row>
    <row r="229" ht="15.75" customHeight="1">
      <c r="A229" s="1">
        <v>4641.0</v>
      </c>
      <c r="B229" s="1" t="s">
        <v>6</v>
      </c>
      <c r="C229" s="1" t="s">
        <v>229</v>
      </c>
      <c r="D229" s="1" t="str">
        <f>IFERROR(__xludf.DUMMYFUNCTION("CONCATENATE(GOOGLETRANSLATE(C229, ""en"", ""zh-cn""))
"),"3G Cardio Elite UB 立式健身车 - 商业级 - 占地面积紧凑 - 超舒适座椅 - 抗磁 - 350 磅用户容量")</f>
        <v>3G Cardio Elite UB 立式健身车 - 商业级 - 占地面积紧凑 - 超舒适座椅 - 抗磁 - 350 磅用户容量</v>
      </c>
      <c r="E229" s="1" t="str">
        <f>IFERROR(__xludf.DUMMYFUNCTION("CONCATENATE(GOOGLETRANSLATE(C229, ""en"", ""ko""))"),"3G Cardio Elite UB 직립 자전거 - 상업용 등급 - 컴팩트한 설치 공간 - 매우 편안한 시트 - 자기 저항 - 350 LB 사용자 용량")</f>
        <v>3G Cardio Elite UB 직립 자전거 - 상업용 등급 - 컴팩트한 설치 공간 - 매우 편안한 시트 - 자기 저항 - 350 LB 사용자 용량</v>
      </c>
      <c r="F229" s="1" t="str">
        <f>IFERROR(__xludf.DUMMYFUNCTION("CONCATENATE(GOOGLETRANSLATE(C229, ""en"", ""ja""))"),"3G カーディオ エリート UB アップライト バイク - 商用グレード - コンパクトな設置面積 - 超快適なシート - 磁気抵抗 - 350 ポンドのユーザー容量")</f>
        <v>3G カーディオ エリート UB アップライト バイク - 商用グレード - コンパクトな設置面積 - 超快適なシート - 磁気抵抗 - 350 ポンドのユーザー容量</v>
      </c>
    </row>
    <row r="230" ht="15.75" customHeight="1">
      <c r="A230" s="1">
        <v>4642.0</v>
      </c>
      <c r="B230" s="1" t="s">
        <v>6</v>
      </c>
      <c r="C230" s="1" t="s">
        <v>230</v>
      </c>
      <c r="D230" s="1" t="str">
        <f>IFERROR(__xludf.DUMMYFUNCTION("CONCATENATE(GOOGLETRANSLATE(C230, ""en"", ""zh-cn""))
"),"卡车 2 的 Supertop - '09-10 Ram 1500； ’11-21 1500；适用于 5.5 英尺床；不带 RamBox")</f>
        <v>卡车 2 的 Supertop - '09-10 Ram 1500； ’11-21 1500；适用于 5.5 英尺床；不带 RamBox</v>
      </c>
      <c r="E230" s="1" t="str">
        <f>IFERROR(__xludf.DUMMYFUNCTION("CONCATENATE(GOOGLETRANSLATE(C230, ""en"", ""ko""))"),"트럭 2용 슈퍼탑 - ’09-10 Ram 1500; ’11-21 1500; 5.5피트 침대용; RamBox 없음")</f>
        <v>트럭 2용 슈퍼탑 - ’09-10 Ram 1500; ’11-21 1500; 5.5피트 침대용; RamBox 없음</v>
      </c>
      <c r="F230" s="1" t="str">
        <f>IFERROR(__xludf.DUMMYFUNCTION("CONCATENATE(GOOGLETRANSLATE(C230, ""en"", ""ja""))"),"トラック 2 用スーパートップ - '09-10 Ram 1500; ’11-21 1500; 5.5フィートのベッド用。 RamBoxなし")</f>
        <v>トラック 2 用スーパートップ - '09-10 Ram 1500; ’11-21 1500; 5.5フィートのベッド用。 RamBoxなし</v>
      </c>
    </row>
    <row r="231" ht="15.75" customHeight="1">
      <c r="A231" s="1">
        <v>4647.0</v>
      </c>
      <c r="B231" s="1" t="s">
        <v>6</v>
      </c>
      <c r="C231" s="1" t="s">
        <v>231</v>
      </c>
      <c r="D231" s="1" t="str">
        <f>IFERROR(__xludf.DUMMYFUNCTION("CONCATENATE(GOOGLETRANSLATE(C231, ""en"", ""zh-cn""))
"),"Sidi 男子现代自行车赛，美国 2-4（亚洲）")</f>
        <v>Sidi 男子现代自行车赛，美国 2-4（亚洲）</v>
      </c>
      <c r="E231" s="1" t="str">
        <f>IFERROR(__xludf.DUMMYFUNCTION("CONCATENATE(GOOGLETRANSLATE(C231, ""en"", ""ko""))"),"Sidi 남성용 모던 사이클링 스케이프, 미국 2-4(아시아)")</f>
        <v>Sidi 남성용 모던 사이클링 스케이프, 미국 2-4(아시아)</v>
      </c>
      <c r="F231" s="1" t="str">
        <f>IFERROR(__xludf.DUMMYFUNCTION("CONCATENATE(GOOGLETRANSLATE(C231, ""en"", ""ja""))"),"シディメンズモダンサイクリングスケープ、米国 2-4 (アジア)")</f>
        <v>シディメンズモダンサイクリングスケープ、米国 2-4 (アジア)</v>
      </c>
    </row>
    <row r="232" ht="15.75" customHeight="1">
      <c r="A232" s="1">
        <v>4650.0</v>
      </c>
      <c r="B232" s="1" t="s">
        <v>6</v>
      </c>
      <c r="C232" s="1" t="s">
        <v>232</v>
      </c>
      <c r="D232" s="1" t="str">
        <f>IFERROR(__xludf.DUMMYFUNCTION("CONCATENATE(GOOGLETRANSLATE(C232, ""en"", ""zh-cn""))
"),"EF ECOFLOW RIVER Pro 额外电池 720Wh，RIVER Pro 可扩展电源，适用于露营、家庭备用应急、户外、房车、离网")</f>
        <v>EF ECOFLOW RIVER Pro 额外电池 720Wh，RIVER Pro 可扩展电源，适用于露营、家庭备用应急、户外、房车、离网</v>
      </c>
      <c r="E232" s="1" t="str">
        <f>IFERROR(__xludf.DUMMYFUNCTION("CONCATENATE(GOOGLETRANSLATE(C232, ""en"", ""ko""))"),"EF ECOFLOW RIVER Pro 추가 배터리 720Wh, RIVER Pro용 확장 가능한 전력, 캠핑, 홈 백업 비상, 야외, RV, 오프 그리드용")</f>
        <v>EF ECOFLOW RIVER Pro 추가 배터리 720Wh, RIVER Pro용 확장 가능한 전력, 캠핑, 홈 백업 비상, 야외, RV, 오프 그리드용</v>
      </c>
      <c r="F232" s="1" t="str">
        <f>IFERROR(__xludf.DUMMYFUNCTION("CONCATENATE(GOOGLETRANSLATE(C232, ""en"", ""ja""))"),"EF ECOFLOW RIVER Pro 予備バッテリー 720Wh、RIVER Pro 用の拡張可能な電源、キャンプ、ホームバックアップ緊急時、アウトドア、RV、オフグリッド用")</f>
        <v>EF ECOFLOW RIVER Pro 予備バッテリー 720Wh、RIVER Pro 用の拡張可能な電源、キャンプ、ホームバックアップ緊急時、アウトドア、RV、オフグリッド用</v>
      </c>
    </row>
    <row r="233" ht="15.75" customHeight="1">
      <c r="A233" s="1">
        <v>4668.0</v>
      </c>
      <c r="B233" s="1" t="s">
        <v>6</v>
      </c>
      <c r="C233" s="1" t="s">
        <v>233</v>
      </c>
      <c r="D233" s="1" t="str">
        <f>IFERROR(__xludf.DUMMYFUNCTION("CONCATENATE(GOOGLETRANSLATE(C233, ""en"", ""zh-cn""))
"),"Alexia D371-CU001 冥想座椅（纯素皮革，深灰色）")</f>
        <v>Alexia D371-CU001 冥想座椅（纯素皮革，深灰色）</v>
      </c>
      <c r="E233" s="1" t="str">
        <f>IFERROR(__xludf.DUMMYFUNCTION("CONCATENATE(GOOGLETRANSLATE(C233, ""en"", ""ko""))"),"알렉시아 D371-CU001 명상 시트 (비건 가죽, 다크 그레이)")</f>
        <v>알렉시아 D371-CU001 명상 시트 (비건 가죽, 다크 그레이)</v>
      </c>
      <c r="F233" s="1" t="str">
        <f>IFERROR(__xludf.DUMMYFUNCTION("CONCATENATE(GOOGLETRANSLATE(C233, ""en"", ""ja""))"),"Alexia D371-CU001 瞑想シート (ヴィーガンレザー、ダークグレー)")</f>
        <v>Alexia D371-CU001 瞑想シート (ヴィーガンレザー、ダークグレー)</v>
      </c>
    </row>
    <row r="234" ht="15.75" customHeight="1">
      <c r="A234" s="1">
        <v>4678.0</v>
      </c>
      <c r="B234" s="1" t="s">
        <v>6</v>
      </c>
      <c r="C234" s="1" t="s">
        <v>234</v>
      </c>
      <c r="D234" s="1" t="str">
        <f>IFERROR(__xludf.DUMMYFUNCTION("CONCATENATE(GOOGLETRANSLATE(C234, ""en"", ""zh-cn""))
"),"罗林斯| Renegade 系列棒球接球手套装 | NOCSAE 认证 |成人 |中级|青年|多种颜色")</f>
        <v>罗林斯| Renegade 系列棒球接球手套装 | NOCSAE 认证 |成人 |中级|青年|多种颜色</v>
      </c>
      <c r="E234" s="1" t="str">
        <f>IFERROR(__xludf.DUMMYFUNCTION("CONCATENATE(GOOGLETRANSLATE(C234, ""en"", ""ko""))"),"롤링스 | 레니게이드 시리즈 야구 포수 세트 | NOCSAE 인증 | 성인 | 중급 | 청소년 | 다양한 색상")</f>
        <v>롤링스 | 레니게이드 시리즈 야구 포수 세트 | NOCSAE 인증 | 성인 | 중급 | 청소년 | 다양한 색상</v>
      </c>
      <c r="F234" s="1" t="str">
        <f>IFERROR(__xludf.DUMMYFUNCTION("CONCATENATE(GOOGLETRANSLATE(C234, ""en"", ""ja""))"),"ローリングス | Renegade シリーズ野球キャッチャーセット | NOCSAE 認定 |アダルト |中級 |若者 |複数の色")</f>
        <v>ローリングス | Renegade シリーズ野球キャッチャーセット | NOCSAE 認定 |アダルト |中級 |若者 |複数の色</v>
      </c>
    </row>
    <row r="235" ht="15.75" customHeight="1">
      <c r="A235" s="1">
        <v>4683.0</v>
      </c>
      <c r="B235" s="1" t="s">
        <v>6</v>
      </c>
      <c r="C235" s="1" t="s">
        <v>235</v>
      </c>
      <c r="D235" s="1" t="str">
        <f>IFERROR(__xludf.DUMMYFUNCTION("CONCATENATE(GOOGLETRANSLATE(C235, ""en"", ""zh-cn""))
"),"Oakley 男士 Flak 2.0 XL 哑光矩形偏光太阳镜")</f>
        <v>Oakley 男士 Flak 2.0 XL 哑光矩形偏光太阳镜</v>
      </c>
      <c r="E235" s="1" t="str">
        <f>IFERROR(__xludf.DUMMYFUNCTION("CONCATENATE(GOOGLETRANSLATE(C235, ""en"", ""ko""))"),"오클리 남성용 플랙 2.0 XL 무광 직사각형 선글라스 편광")</f>
        <v>오클리 남성용 플랙 2.0 XL 무광 직사각형 선글라스 편광</v>
      </c>
      <c r="F235" s="1" t="str">
        <f>IFERROR(__xludf.DUMMYFUNCTION("CONCATENATE(GOOGLETRANSLATE(C235, ""en"", ""ja""))"),"オークリー メンズ Flak 2.0 XL マット レクタンギュラー サングラス 偏光")</f>
        <v>オークリー メンズ Flak 2.0 XL マット レクタンギュラー サングラス 偏光</v>
      </c>
    </row>
    <row r="236" ht="15.75" customHeight="1">
      <c r="A236" s="1">
        <v>4806.0</v>
      </c>
      <c r="B236" s="1" t="s">
        <v>6</v>
      </c>
      <c r="C236" s="1" t="s">
        <v>236</v>
      </c>
      <c r="D236" s="1" t="str">
        <f>IFERROR(__xludf.DUMMYFUNCTION("CONCATENATE(GOOGLETRANSLATE(C236, ""en"", ""zh-cn""))
"),"Apple 2024 MacBook Air 13 英寸笔记本电脑，配备 M3 芯片：13.6 英寸 Liquid Retina 显示屏、8GB 统一内存、256GB SSD 存储、背光键盘、1080p FaceTime 高清摄像头、Touch ID；星光")</f>
        <v>Apple 2024 MacBook Air 13 英寸笔记本电脑，配备 M3 芯片：13.6 英寸 Liquid Retina 显示屏、8GB 统一内存、256GB SSD 存储、背光键盘、1080p FaceTime 高清摄像头、Touch ID；星光</v>
      </c>
      <c r="E236" s="1" t="str">
        <f>IFERROR(__xludf.DUMMYFUNCTION("CONCATENATE(GOOGLETRANSLATE(C236, ""en"", ""ko""))"),"M3 칩을 탑재한 Apple 2024 MacBook Air 13인치 노트북: 13.6인치 Liquid Retina 디스플레이, 8GB 통합 메모리, 256GB SSD 스토리지, 백라이트 키보드, 1080p FaceTime HD 카메라, Touch ID; 별빛")</f>
        <v>M3 칩을 탑재한 Apple 2024 MacBook Air 13인치 노트북: 13.6인치 Liquid Retina 디스플레이, 8GB 통합 메모리, 256GB SSD 스토리지, 백라이트 키보드, 1080p FaceTime HD 카메라, Touch ID; 별빛</v>
      </c>
      <c r="F236" s="1" t="str">
        <f>IFERROR(__xludf.DUMMYFUNCTION("CONCATENATE(GOOGLETRANSLATE(C236, ""en"", ""ja""))"),"M3 チップ搭載 Apple 2024 MacBook Air 13 インチ ラップトップ: 13.6 インチ Liquid Retina ディスプレイ、8GB ユニファイド メモリ、256GB SSD ストレージ、バックライト付きキーボード、1080p FaceTime HD カメラ、Touch ID。スターライト")</f>
        <v>M3 チップ搭載 Apple 2024 MacBook Air 13 インチ ラップトップ: 13.6 インチ Liquid Retina ディスプレイ、8GB ユニファイド メモリ、256GB SSD ストレージ、バックライト付きキーボード、1080p FaceTime HD カメラ、Touch ID。スターライト</v>
      </c>
    </row>
    <row r="237" ht="15.75" customHeight="1">
      <c r="A237" s="1">
        <v>4814.0</v>
      </c>
      <c r="B237" s="1" t="s">
        <v>6</v>
      </c>
      <c r="C237" s="1" t="s">
        <v>237</v>
      </c>
      <c r="D237" s="1" t="str">
        <f>IFERROR(__xludf.DUMMYFUNCTION("CONCATENATE(GOOGLETRANSLATE(C237, ""en"", ""zh-cn""))
"),"Apple 2024 MacBook Air 13 英寸笔记本电脑，配备 M3 芯片：13.6 英寸 Liquid Retina 显示屏、8GB 统一内存、512GB SSD 存储、背光键盘、1080p FaceTime 高清摄像头、Touch ID；深空灰色")</f>
        <v>Apple 2024 MacBook Air 13 英寸笔记本电脑，配备 M3 芯片：13.6 英寸 Liquid Retina 显示屏、8GB 统一内存、512GB SSD 存储、背光键盘、1080p FaceTime 高清摄像头、Touch ID；深空灰色</v>
      </c>
      <c r="E237" s="1" t="str">
        <f>IFERROR(__xludf.DUMMYFUNCTION("CONCATENATE(GOOGLETRANSLATE(C237, ""en"", ""ko""))"),"M3 칩을 탑재한 Apple 2024 MacBook Air 13인치 노트북: 13.6인치 Liquid Retina 디스플레이, 8GB 통합 메모리, 512GB SSD 스토리지, 백라이트 키보드, 1080p FaceTime HD 카메라, Touch ID; 스페이스 그레이")</f>
        <v>M3 칩을 탑재한 Apple 2024 MacBook Air 13인치 노트북: 13.6인치 Liquid Retina 디스플레이, 8GB 통합 메모리, 512GB SSD 스토리지, 백라이트 키보드, 1080p FaceTime HD 카메라, Touch ID; 스페이스 그레이</v>
      </c>
      <c r="F237" s="1" t="str">
        <f>IFERROR(__xludf.DUMMYFUNCTION("CONCATENATE(GOOGLETRANSLATE(C237, ""en"", ""ja""))"),"Apple 2024 MacBook Air 13 インチ ラップトップ (M3 チップ搭載): 13.6 インチ Liquid Retina ディスプレイ、8GB ユニファイド メモリ、512GB SSD ストレージ、バックライト付きキーボード、1080p FaceTime HD カメラ、Touch ID。スペースグレイ")</f>
        <v>Apple 2024 MacBook Air 13 インチ ラップトップ (M3 チップ搭載): 13.6 インチ Liquid Retina ディスプレイ、8GB ユニファイド メモリ、512GB SSD ストレージ、バックライト付きキーボード、1080p FaceTime HD カメラ、Touch ID。スペースグレイ</v>
      </c>
    </row>
    <row r="238" ht="15.75" customHeight="1">
      <c r="A238" s="1">
        <v>4818.0</v>
      </c>
      <c r="B238" s="1" t="s">
        <v>6</v>
      </c>
      <c r="C238" s="1" t="s">
        <v>238</v>
      </c>
      <c r="D238" s="1" t="str">
        <f>IFERROR(__xludf.DUMMYFUNCTION("CONCATENATE(GOOGLETRANSLATE(C238, ""en"", ""zh-cn""))
"),"Apple 2024 MacBook Air 15 英寸笔记本电脑，配备 M3 芯片：15.3 英寸 Liquid Retina 显示屏、8GB 统一内存、512GB SSD 存储、背光键盘、1080p FaceTime 高清摄像头、Touch ID；深空灰色")</f>
        <v>Apple 2024 MacBook Air 15 英寸笔记本电脑，配备 M3 芯片：15.3 英寸 Liquid Retina 显示屏、8GB 统一内存、512GB SSD 存储、背光键盘、1080p FaceTime 高清摄像头、Touch ID；深空灰色</v>
      </c>
      <c r="E238" s="1" t="str">
        <f>IFERROR(__xludf.DUMMYFUNCTION("CONCATENATE(GOOGLETRANSLATE(C238, ""en"", ""ko""))"),"M3 칩이 탑재된 Apple 2024 MacBook Air 15인치 노트북: 15.3인치 Liquid Retina 디스플레이, 8GB 통합 메모리, 512GB SSD 스토리지, 백라이트 키보드, 1080p FaceTime HD 카메라, Touch ID; 스페이스 그레이")</f>
        <v>M3 칩이 탑재된 Apple 2024 MacBook Air 15인치 노트북: 15.3인치 Liquid Retina 디스플레이, 8GB 통합 메모리, 512GB SSD 스토리지, 백라이트 키보드, 1080p FaceTime HD 카메라, Touch ID; 스페이스 그레이</v>
      </c>
      <c r="F238" s="1" t="str">
        <f>IFERROR(__xludf.DUMMYFUNCTION("CONCATENATE(GOOGLETRANSLATE(C238, ""en"", ""ja""))"),"Apple 2024 MacBook Air 15 インチ ラップトップ (M3 チップ搭載): 15.3 インチ Liquid Retina ディスプレイ、8GB ユニファイド メモリ、512GB SSD ストレージ、バックライト付きキーボード、1080p FaceTime HD カメラ、Touch ID。スペースグレイ")</f>
        <v>Apple 2024 MacBook Air 15 インチ ラップトップ (M3 チップ搭載): 15.3 インチ Liquid Retina ディスプレイ、8GB ユニファイド メモリ、512GB SSD ストレージ、バックライト付きキーボード、1080p FaceTime HD カメラ、Touch ID。スペースグレイ</v>
      </c>
    </row>
    <row r="239" ht="15.75" customHeight="1">
      <c r="A239" s="1">
        <v>4834.0</v>
      </c>
      <c r="B239" s="1" t="s">
        <v>6</v>
      </c>
      <c r="C239" s="1" t="s">
        <v>239</v>
      </c>
      <c r="D239" s="1" t="str">
        <f>IFERROR(__xludf.DUMMYFUNCTION("CONCATENATE(GOOGLETRANSLATE(C239, ""en"", ""zh-cn""))
"),"Apple 2023 款 MacBook Pro 笔记本电脑 M3 Pro 芯片，配备 12 核 CPU、18 核 GPU：14.2 英寸 Liquid Retina XDR 显示屏、18GB 统一内存、1TB SSD 存储。适用于 iPhone/iPad；深空黑")</f>
        <v>Apple 2023 款 MacBook Pro 笔记本电脑 M3 Pro 芯片，配备 12 核 CPU、18 核 GPU：14.2 英寸 Liquid Retina XDR 显示屏、18GB 统一内存、1TB SSD 存储。适用于 iPhone/iPad；深空黑</v>
      </c>
      <c r="E239" s="1" t="str">
        <f>IFERROR(__xludf.DUMMYFUNCTION("CONCATENATE(GOOGLETRANSLATE(C239, ""en"", ""ko""))"),"Apple 2023 MacBook Pro 노트북 M3 Pro 칩, 12코어 CPU, 18코어 GPU: 14.2인치 Liquid Retina XDR 디스플레이, 18GB 통합 메모리, 1TB SSD 스토리지. iPhone/iPad에서 작동합니다. 스페이스 블랙")</f>
        <v>Apple 2023 MacBook Pro 노트북 M3 Pro 칩, 12코어 CPU, 18코어 GPU: 14.2인치 Liquid Retina XDR 디스플레이, 18GB 통합 메모리, 1TB SSD 스토리지. iPhone/iPad에서 작동합니다. 스페이스 블랙</v>
      </c>
      <c r="F239" s="1" t="str">
        <f>IFERROR(__xludf.DUMMYFUNCTION("CONCATENATE(GOOGLETRANSLATE(C239, ""en"", ""ja""))"),"12 コア CPU、18 コア GPU を搭載した Apple 2023 MacBook Pro ラップトップ M3 Pro チップ: 14.2 インチ Liquid Retina XDR ディスプレイ、18GB ユニファイド メモリ、1TB SSD ストレージ。 iPhone/iPad で動作します。スペースブラック")</f>
        <v>12 コア CPU、18 コア GPU を搭載した Apple 2023 MacBook Pro ラップトップ M3 Pro チップ: 14.2 インチ Liquid Retina XDR ディスプレイ、18GB ユニファイド メモリ、1TB SSD ストレージ。 iPhone/iPad で動作します。スペースブラック</v>
      </c>
    </row>
    <row r="240" ht="15.75" customHeight="1">
      <c r="A240" s="1">
        <v>5048.0</v>
      </c>
      <c r="B240" s="1" t="s">
        <v>6</v>
      </c>
      <c r="C240" s="1" t="s">
        <v>240</v>
      </c>
      <c r="D240" s="1" t="str">
        <f>IFERROR(__xludf.DUMMYFUNCTION("CONCATENATE(GOOGLETRANSLATE(C240, ""en"", ""zh-cn""))
"),"iPhone 13， 128GB，星光 - 解锁（续订高级版）")</f>
        <v>iPhone 13， 128GB，星光 - 解锁（续订高级版）</v>
      </c>
      <c r="E240" s="1" t="str">
        <f>IFERROR(__xludf.DUMMYFUNCTION("CONCATENATE(GOOGLETRANSLATE(C240, ""en"", ""ko""))"),"iPhone 13, 128GB, Starlight - 언락(리뉴얼 프리미엄)")</f>
        <v>iPhone 13, 128GB, Starlight - 언락(리뉴얼 프리미엄)</v>
      </c>
      <c r="F240" s="1" t="str">
        <f>IFERROR(__xludf.DUMMYFUNCTION("CONCATENATE(GOOGLETRANSLATE(C240, ""en"", ""ja""))"),"iPhone 13、128GB、スターライト - ロック解除済み (更新プレミアム)")</f>
        <v>iPhone 13、128GB、スターライト - ロック解除済み (更新プレミアム)</v>
      </c>
    </row>
    <row r="241" ht="15.75" customHeight="1">
      <c r="A241" s="1">
        <v>5050.0</v>
      </c>
      <c r="B241" s="1" t="s">
        <v>6</v>
      </c>
      <c r="C241" s="1" t="s">
        <v>241</v>
      </c>
      <c r="D241" s="1" t="str">
        <f>IFERROR(__xludf.DUMMYFUNCTION("CONCATENATE(GOOGLETRANSLATE(C241, ""en"", ""zh-cn""))
"),"Apple iPhone 13，128GB，蓝色 - 无锁版（续订）")</f>
        <v>Apple iPhone 13，128GB，蓝色 - 无锁版（续订）</v>
      </c>
      <c r="E241" s="1" t="str">
        <f>IFERROR(__xludf.DUMMYFUNCTION("CONCATENATE(GOOGLETRANSLATE(C241, ""en"", ""ko""))"),"Apple iPhone 13, 128GB, 블루 - 공기계(리뉴얼)")</f>
        <v>Apple iPhone 13, 128GB, 블루 - 공기계(리뉴얼)</v>
      </c>
      <c r="F241" s="1" t="str">
        <f>IFERROR(__xludf.DUMMYFUNCTION("CONCATENATE(GOOGLETRANSLATE(C241, ""en"", ""ja""))"),"Apple iPhone 13、128GB、ブルー - ロック解除済み (更新済み)")</f>
        <v>Apple iPhone 13、128GB、ブルー - ロック解除済み (更新済み)</v>
      </c>
    </row>
    <row r="242" ht="15.75" customHeight="1">
      <c r="A242" s="1">
        <v>5095.0</v>
      </c>
      <c r="B242" s="1" t="s">
        <v>51</v>
      </c>
      <c r="C242" s="1" t="s">
        <v>242</v>
      </c>
      <c r="D242" s="1" t="str">
        <f>IFERROR(__xludf.DUMMYFUNCTION("CONCATENATE(GOOGLETRANSLATE(C242, ""en"", ""zh-cn""))
"),"女式方领褶皱纽扣休闲超长复古连衣裙（带侧袋）")</f>
        <v>女式方领褶皱纽扣休闲超长复古连衣裙（带侧袋）</v>
      </c>
      <c r="E242" s="1" t="str">
        <f>IFERROR(__xludf.DUMMYFUNCTION("CONCATENATE(GOOGLETRANSLATE(C242, ""en"", ""ko""))"),"여성 스퀘어 넥 주름 단추 캐주얼 맥시 빈티지 드레스(사이드 포켓 ​​포함)")</f>
        <v>여성 스퀘어 넥 주름 단추 캐주얼 맥시 빈티지 드레스(사이드 포켓 ​​포함)</v>
      </c>
      <c r="F242" s="1" t="str">
        <f>IFERROR(__xludf.DUMMYFUNCTION("CONCATENATE(GOOGLETRANSLATE(C242, ""en"", ""ja""))"),"女性スクエアネックプリーツボタンカジュアルマキシヴィンテージドレスサイドポケット付き")</f>
        <v>女性スクエアネックプリーツボタンカジュアルマキシヴィンテージドレスサイドポケット付き</v>
      </c>
    </row>
    <row r="243" ht="15.75" customHeight="1">
      <c r="A243" s="1">
        <v>5153.0</v>
      </c>
      <c r="B243" s="1" t="s">
        <v>6</v>
      </c>
      <c r="C243" s="1" t="s">
        <v>243</v>
      </c>
      <c r="D243" s="1" t="str">
        <f>IFERROR(__xludf.DUMMYFUNCTION("CONCATENATE(GOOGLETRANSLATE(C243, ""en"", ""zh-cn""))
"),"Giro Vanquish MIPS 成人公路骑行头盔")</f>
        <v>Giro Vanquish MIPS 成人公路骑行头盔</v>
      </c>
      <c r="E243" s="1" t="str">
        <f>IFERROR(__xludf.DUMMYFUNCTION("CONCATENATE(GOOGLETRANSLATE(C243, ""en"", ""ko""))"),"Giro Vanquish MIPS 성인용 로드 사이클링 헬멧")</f>
        <v>Giro Vanquish MIPS 성인용 로드 사이클링 헬멧</v>
      </c>
      <c r="F243" s="1" t="str">
        <f>IFERROR(__xludf.DUMMYFUNCTION("CONCATENATE(GOOGLETRANSLATE(C243, ""en"", ""ja""))"),"Giro Vanquish MIPS 大人用ロードサイクリング ヘルメット")</f>
        <v>Giro Vanquish MIPS 大人用ロードサイクリング ヘルメット</v>
      </c>
    </row>
    <row r="244" ht="15.75" customHeight="1">
      <c r="A244" s="1">
        <v>5157.0</v>
      </c>
      <c r="B244" s="1" t="s">
        <v>6</v>
      </c>
      <c r="C244" s="1" t="s">
        <v>244</v>
      </c>
      <c r="D244" s="1" t="str">
        <f>IFERROR(__xludf.DUMMYFUNCTION("CONCATENATE(GOOGLETRANSLATE(C244, ""en"", ""zh-cn""))
"),"Cyclace 固定式健身车 - 承重能力 330 磅 - 室内骑行车，配有舒适座垫、平板电脑支架和液晶显示屏，适合家庭锻炼")</f>
        <v>Cyclace 固定式健身车 - 承重能力 330 磅 - 室内骑行车，配有舒适座垫、平板电脑支架和液晶显示屏，适合家庭锻炼</v>
      </c>
      <c r="E244" s="1" t="str">
        <f>IFERROR(__xludf.DUMMYFUNCTION("CONCATENATE(GOOGLETRANSLATE(C244, ""en"", ""ko""))"),"사이클레이스 운동용 자전거 고정식 - 330파운드 무게 용량 - 편안한 시트 쿠션, 태블릿 홀더 및 가정 운동용 LCD 모니터를 갖춘 실내 사이클링 자전거")</f>
        <v>사이클레이스 운동용 자전거 고정식 - 330파운드 무게 용량 - 편안한 시트 쿠션, 태블릿 홀더 및 가정 운동용 LCD 모니터를 갖춘 실내 사이클링 자전거</v>
      </c>
      <c r="F244" s="1" t="str">
        <f>IFERROR(__xludf.DUMMYFUNCTION("CONCATENATE(GOOGLETRANSLATE(C244, ""en"", ""ja""))"),"Cyclace エアロバイク ステーショナリー - 耐荷重 330 ポンド - 快適なシートクッション、タブレットホルダー、自宅トレーニング用 LCD モニター付き屋内サイクリングバイク")</f>
        <v>Cyclace エアロバイク ステーショナリー - 耐荷重 330 ポンド - 快適なシートクッション、タブレットホルダー、自宅トレーニング用 LCD モニター付き屋内サイクリングバイク</v>
      </c>
    </row>
    <row r="245" ht="15.75" customHeight="1">
      <c r="A245" s="1">
        <v>5186.0</v>
      </c>
      <c r="B245" s="1" t="s">
        <v>51</v>
      </c>
      <c r="C245" s="1" t="s">
        <v>245</v>
      </c>
      <c r="D245" s="1" t="str">
        <f>IFERROR(__xludf.DUMMYFUNCTION("CONCATENATE(GOOGLETRANSLATE(C245, ""en"", ""zh-cn""))
"),"男式两色拼接立领拉链前抓绒夹克")</f>
        <v>男式两色拼接立领拉链前抓绒夹克</v>
      </c>
      <c r="E245" s="1" t="str">
        <f>IFERROR(__xludf.DUMMYFUNCTION("CONCATENATE(GOOGLETRANSLATE(C245, ""en"", ""ko""))"),"남성 투톤 패치워크 스탠드 칼라 지퍼 프론트 플리스 재킷")</f>
        <v>남성 투톤 패치워크 스탠드 칼라 지퍼 프론트 플리스 재킷</v>
      </c>
      <c r="F245" s="1" t="str">
        <f>IFERROR(__xludf.DUMMYFUNCTION("CONCATENATE(GOOGLETRANSLATE(C245, ""en"", ""ja""))"),"メンズ ツートーン パッチワーク スタンド カラー ジップ フロント フリース ジャケット")</f>
        <v>メンズ ツートーン パッチワーク スタンド カラー ジップ フロント フリース ジャケット</v>
      </c>
    </row>
    <row r="246" ht="15.75" customHeight="1">
      <c r="A246" s="1">
        <v>5290.0</v>
      </c>
      <c r="B246" s="1" t="s">
        <v>6</v>
      </c>
      <c r="C246" s="1" t="s">
        <v>42</v>
      </c>
      <c r="D246" s="1" t="str">
        <f>IFERROR(__xludf.DUMMYFUNCTION("CONCATENATE(GOOGLETRANSLATE(C246, ""en"", ""zh-cn""))
"),"Ravensburger Space Odyssey 5000 片成人拼图 - 16720 - 每一块都是独一无二的，Softclick 技术意味着各块完美地组合在一起")</f>
        <v>Ravensburger Space Odyssey 5000 片成人拼图 - 16720 - 每一块都是独一无二的，Softclick 技术意味着各块完美地组合在一起</v>
      </c>
      <c r="E246" s="1" t="str">
        <f>IFERROR(__xludf.DUMMYFUNCTION("CONCATENATE(GOOGLETRANSLATE(C246, ""en"", ""ko""))"),"Ravensburger Space Odyssey 성인용 5000피스 직소 퍼즐 - 16720 - 모든 조각은 독특하며 소프트클릭 기술로 조각이 완벽하게 들어맞습니다.")</f>
        <v>Ravensburger Space Odyssey 성인용 5000피스 직소 퍼즐 - 16720 - 모든 조각은 독특하며 소프트클릭 기술로 조각이 완벽하게 들어맞습니다.</v>
      </c>
      <c r="F246" s="1" t="str">
        <f>IFERROR(__xludf.DUMMYFUNCTION("CONCATENATE(GOOGLETRANSLATE(C246, ""en"", ""ja""))"),"Ravensburger 宇宙の旅 大人用 5000 ピース ジグソーパズル - 16720 - すべてのピースはユニークで、ソフトクリックテクノロジーによりピースが完璧にフィットします。")</f>
        <v>Ravensburger 宇宙の旅 大人用 5000 ピース ジグソーパズル - 16720 - すべてのピースはユニークで、ソフトクリックテクノロジーによりピースが完璧にフィットします。</v>
      </c>
    </row>
    <row r="247" ht="15.75" customHeight="1">
      <c r="A247" s="1">
        <v>5318.0</v>
      </c>
      <c r="B247" s="1" t="s">
        <v>6</v>
      </c>
      <c r="C247" s="1" t="s">
        <v>246</v>
      </c>
      <c r="D247" s="1" t="str">
        <f>IFERROR(__xludf.DUMMYFUNCTION("CONCATENATE(GOOGLETRANSLATE(C247, ""en"", ""zh-cn""))
"),"Fitnessandfun 33 英尺巨大户外充气电影屏幕，包括鼓风机 - 无缝正投影和背投影 - 便携式吹爆投影仪屏幕，适用于教堂、盛大派对、后院泳池乐趣（33 英尺）")</f>
        <v>Fitnessandfun 33 英尺巨大户外充气电影屏幕，包括鼓风机 - 无缝正投影和背投影 - 便携式吹爆投影仪屏幕，适用于教堂、盛大派对、后院泳池乐趣（33 英尺）</v>
      </c>
      <c r="E247" s="1" t="str">
        <f>IFERROR(__xludf.DUMMYFUNCTION("CONCATENATE(GOOGLETRANSLATE(C247, ""en"", ""ko""))"),"Fitnessandfun 33' 야외용 대형 풍선 영화 스크린 송풍기 포함 - 원활한 전면 및 후면 프로젝션 - 교회, 대규모 파티, 뒷마당 수영장 놀이용 휴대용 팽창 프로젝터 스크린(33피트)")</f>
        <v>Fitnessandfun 33' 야외용 대형 풍선 영화 스크린 송풍기 포함 - 원활한 전면 및 후면 프로젝션 - 교회, 대규모 파티, 뒷마당 수영장 놀이용 휴대용 팽창 프로젝터 스크린(33피트)</v>
      </c>
      <c r="F247" s="1" t="str">
        <f>IFERROR(__xludf.DUMMYFUNCTION("CONCATENATE(GOOGLETRANSLATE(C247, ""en"", ""ja""))"),"fitnessandfun 33フィートの巨大なインフレータブルムービースクリーン屋外用送風機付き - シームレスなフロントとリアの投影 - 教会、グランドパーティー、裏庭のプールファン用のポータブルブローアッププロジェクタースクリーン(33フィート)")</f>
        <v>fitnessandfun 33フィートの巨大なインフレータブルムービースクリーン屋外用送風機付き - シームレスなフロントとリアの投影 - 教会、グランドパーティー、裏庭のプールファン用のポータブルブローアッププロジェクタースクリーン(33フィート)</v>
      </c>
    </row>
    <row r="248" ht="15.75" customHeight="1">
      <c r="A248" s="1">
        <v>5323.0</v>
      </c>
      <c r="B248" s="1" t="s">
        <v>6</v>
      </c>
      <c r="C248" s="1" t="s">
        <v>247</v>
      </c>
      <c r="D248" s="1" t="str">
        <f>IFERROR(__xludf.DUMMYFUNCTION("CONCATENATE(GOOGLETRANSLATE(C248, ""en"", ""zh-cn""))
"),"Dell Latitude 7420 14 Intel Core i5-1145G7 256GB PCIe SSD 16GB FHD Touch (1920X1080) 300 NIT 红外摄像头 Win 11 Pro（经过认证的翻新机）")</f>
        <v>Dell Latitude 7420 14 Intel Core i5-1145G7 256GB PCIe SSD 16GB FHD Touch (1920X1080) 300 NIT 红外摄像头 Win 11 Pro（经过认证的翻新机）</v>
      </c>
      <c r="E248" s="1" t="str">
        <f>IFERROR(__xludf.DUMMYFUNCTION("CONCATENATE(GOOGLETRANSLATE(C248, ""en"", ""ko""))"),"Dell Latitude 7420 14 Intel Core i5-1145G7 256GB PCIe SSD 16GB FHD 터치(1920X1080) 300 NIT IR Cam Win 11 Pro(인증 리퍼브)")</f>
        <v>Dell Latitude 7420 14 Intel Core i5-1145G7 256GB PCIe SSD 16GB FHD 터치(1920X1080) 300 NIT IR Cam Win 11 Pro(인증 리퍼브)</v>
      </c>
      <c r="F248" s="1" t="str">
        <f>IFERROR(__xludf.DUMMYFUNCTION("CONCATENATE(GOOGLETRANSLATE(C248, ""en"", ""ja""))"),"Dell Latitude 7420 14 Intel Core i5-1145G7 256GB PCIe SSD 16GB FHD Touch (1920X1080) 300 NIT IR Cam Win 11 Pro (認定再生品)")</f>
        <v>Dell Latitude 7420 14 Intel Core i5-1145G7 256GB PCIe SSD 16GB FHD Touch (1920X1080) 300 NIT IR Cam Win 11 Pro (認定再生品)</v>
      </c>
    </row>
    <row r="249" ht="15.75" customHeight="1">
      <c r="A249" s="1">
        <v>5329.0</v>
      </c>
      <c r="B249" s="1" t="s">
        <v>6</v>
      </c>
      <c r="C249" s="1" t="s">
        <v>248</v>
      </c>
      <c r="D249" s="1" t="str">
        <f>IFERROR(__xludf.DUMMYFUNCTION("CONCATENATE(GOOGLETRANSLATE(C249, ""en"", ""zh-cn""))
"),"联想 15 触摸屏商务笔记本电脑，15.6 全高清触摸屏，英特尔四核 i5-1135G7，8GB RAM，512GB SSD，背光键盘，WiFi 6，Windows 11，YSC 配件，深渊蓝")</f>
        <v>联想 15 触摸屏商务笔记本电脑，15.6 全高清触摸屏，英特尔四核 i5-1135G7，8GB RAM，512GB SSD，背光键盘，WiFi 6，Windows 11，YSC 配件，深渊蓝</v>
      </c>
      <c r="E249" s="1" t="str">
        <f>IFERROR(__xludf.DUMMYFUNCTION("CONCATENATE(GOOGLETRANSLATE(C249, ""en"", ""ko""))"),"Lenovo 15 터치스크린 비즈니스 노트북, 15.6 풀 HD 터치스크린, Intel 쿼드 코어 i5-1135G7, 8GB RAM, 512GB SSD, 백라이트 키보드, WiFi 6, Windows 11, YSC 액세서리, Abyss Blue")</f>
        <v>Lenovo 15 터치스크린 비즈니스 노트북, 15.6 풀 HD 터치스크린, Intel 쿼드 코어 i5-1135G7, 8GB RAM, 512GB SSD, 백라이트 키보드, WiFi 6, Windows 11, YSC 액세서리, Abyss Blue</v>
      </c>
      <c r="F249" s="1" t="str">
        <f>IFERROR(__xludf.DUMMYFUNCTION("CONCATENATE(GOOGLETRANSLATE(C249, ""en"", ""ja""))"),"Lenovo 15 タッチスクリーン ビジネス ラップトップ、15.6 フル HD タッチ スクリーン、Intel クアッドコア i5-1135G7、8GB RAM、512GB SSD、バックライト付きキーボード、WiFi 6、Windows 11、YSC アクセサリ、アビス ブルー")</f>
        <v>Lenovo 15 タッチスクリーン ビジネス ラップトップ、15.6 フル HD タッチ スクリーン、Intel クアッドコア i5-1135G7、8GB RAM、512GB SSD、バックライト付きキーボード、WiFi 6、Windows 11、YSC アクセサリ、アビス ブルー</v>
      </c>
    </row>
    <row r="250" ht="15.75" customHeight="1">
      <c r="A250" s="1">
        <v>5354.0</v>
      </c>
      <c r="B250" s="1" t="s">
        <v>6</v>
      </c>
      <c r="C250" s="1" t="s">
        <v>249</v>
      </c>
      <c r="D250" s="1" t="str">
        <f>IFERROR(__xludf.DUMMYFUNCTION("CONCATENATE(GOOGLETRANSLATE(C250, ""en"", ""zh-cn""))
"),"博克芬诺 GAN12 磁悬浮 UV 速度魔方 3x3 磁性无贴纸 GAN12 M MagLev 紫外线拼图魔术 3x3x3 儿童玩具立方体 UV 涂层光面")</f>
        <v>博克芬诺 GAN12 磁悬浮 UV 速度魔方 3x3 磁性无贴纸 GAN12 M MagLev 紫外线拼图魔术 3x3x3 儿童玩具立方体 UV 涂层光面</v>
      </c>
      <c r="E250" s="1" t="str">
        <f>IFERROR(__xludf.DUMMYFUNCTION("CONCATENATE(GOOGLETRANSLATE(C250, ""en"", ""ko""))"),"Bokefenuo GAN12 자기 부상 UV 스피드 큐브 3x3 자기 스티커가 없는 GAN12 M 자기 부상 UV 퍼즐 매직 3x3x3 장난감 키즈 큐브 UV 코팅 광택")</f>
        <v>Bokefenuo GAN12 자기 부상 UV 스피드 큐브 3x3 자기 스티커가 없는 GAN12 M 자기 부상 UV 퍼즐 매직 3x3x3 장난감 키즈 큐브 UV 코팅 광택</v>
      </c>
      <c r="F250" s="1" t="str">
        <f>IFERROR(__xludf.DUMMYFUNCTION("CONCATENATE(GOOGLETRANSLATE(C250, ""en"", ""ja""))"),"Bokefenuo GAN12 マグレブ UV スピードキューブ 3x3 磁気ステッカーレス GAN12 M MagLev UV パズルマジック 3x3x3 おもちゃ子供キューブ UV コーティングされた光沢のある")</f>
        <v>Bokefenuo GAN12 マグレブ UV スピードキューブ 3x3 磁気ステッカーレス GAN12 M MagLev UV パズルマジック 3x3x3 おもちゃ子供キューブ UV コーティングされた光沢のある</v>
      </c>
    </row>
    <row r="251" ht="15.75" customHeight="1">
      <c r="A251" s="1">
        <v>5357.0</v>
      </c>
      <c r="B251" s="1" t="s">
        <v>6</v>
      </c>
      <c r="C251" s="1" t="s">
        <v>250</v>
      </c>
      <c r="D251" s="1" t="str">
        <f>IFERROR(__xludf.DUMMYFUNCTION("CONCATENATE(GOOGLETRANSLATE(C251, ""en"", ""zh-cn""))
"),"GAN 460 M， Gan 4x4 磁性速度魔方， gan 460 m 4 x 4 儿童和成人无贴纸拼图玩具")</f>
        <v>GAN 460 M， Gan 4x4 磁性速度魔方， gan 460 m 4 x 4 儿童和成人无贴纸拼图玩具</v>
      </c>
      <c r="E251" s="1" t="str">
        <f>IFERROR(__xludf.DUMMYFUNCTION("CONCATENATE(GOOGLETRANSLATE(C251, ""en"", ""ko""))"),"GAN 460 M, Gan 4x4 자기 속도 큐브, gan 460 m 4 by 4 어린이와 성인을 위한 스티커 없는 퍼즐 장난감")</f>
        <v>GAN 460 M, Gan 4x4 자기 속도 큐브, gan 460 m 4 by 4 어린이와 성인을 위한 스티커 없는 퍼즐 장난감</v>
      </c>
      <c r="F251" s="1" t="str">
        <f>IFERROR(__xludf.DUMMYFUNCTION("CONCATENATE(GOOGLETRANSLATE(C251, ""en"", ""ja""))"),"GAN 460 M、Gan 4x4 磁気スピードキューブ、GAN 460 m 4 by 4 ステッカーレスパズルおもちゃ子供と大人向け")</f>
        <v>GAN 460 M、Gan 4x4 磁気スピードキューブ、GAN 460 m 4 by 4 ステッカーレスパズルおもちゃ子供と大人向け</v>
      </c>
    </row>
    <row r="252" ht="15.75" customHeight="1">
      <c r="A252" s="1">
        <v>5362.0</v>
      </c>
      <c r="B252" s="1" t="s">
        <v>6</v>
      </c>
      <c r="C252" s="1" t="s">
        <v>251</v>
      </c>
      <c r="D252" s="1" t="str">
        <f>IFERROR(__xludf.DUMMYFUNCTION("CONCATENATE(GOOGLETRANSLATE(C252, ""en"", ""zh-cn""))
"),"Apple iPhone 12 Pro Max，512GB，石墨色 - 解锁（续订高级版）")</f>
        <v>Apple iPhone 12 Pro Max，512GB，石墨色 - 解锁（续订高级版）</v>
      </c>
      <c r="E252" s="1" t="str">
        <f>IFERROR(__xludf.DUMMYFUNCTION("CONCATENATE(GOOGLETRANSLATE(C252, ""en"", ""ko""))"),"Apple iPhone 12 Pro Max, 512GB, 그래파이트 - 공기계(리뉴얼 프리미엄)")</f>
        <v>Apple iPhone 12 Pro Max, 512GB, 그래파이트 - 공기계(리뉴얼 프리미엄)</v>
      </c>
      <c r="F252" s="1" t="str">
        <f>IFERROR(__xludf.DUMMYFUNCTION("CONCATENATE(GOOGLETRANSLATE(C252, ""en"", ""ja""))"),"Apple iPhone 12 Pro Max、512GB、グラファイト - ロック解除済み (更新プレミアム)")</f>
        <v>Apple iPhone 12 Pro Max、512GB、グラファイト - ロック解除済み (更新プレミアム)</v>
      </c>
    </row>
    <row r="253" ht="15.75" customHeight="1">
      <c r="A253" s="1">
        <v>5391.0</v>
      </c>
      <c r="B253" s="1" t="s">
        <v>6</v>
      </c>
      <c r="C253" s="1" t="s">
        <v>252</v>
      </c>
      <c r="D253" s="1" t="str">
        <f>IFERROR(__xludf.DUMMYFUNCTION("CONCATENATE(GOOGLETRANSLATE(C253, ""en"", ""zh-cn""))
"),"带抽屉和盖垫的拼图板 - 拼图桌，带防滑表面，可容纳 1500 块 35x27 便携式拼图板，适合成人和儿童，用于存放正在进行的拼图")</f>
        <v>带抽屉和盖垫的拼图板 - 拼图桌，带防滑表面，可容纳 1500 块 35x27 便携式拼图板，适合成人和儿童，用于存放正在进行的拼图</v>
      </c>
      <c r="E253" s="1" t="str">
        <f>IFERROR(__xludf.DUMMYFUNCTION("CONCATENATE(GOOGLETRANSLATE(C253, ""en"", ""ko""))"),"서랍과 커버가 있는 퍼즐 보드 미끄럼 방지 표면이 있는 매트 직소 퍼즐 테이블은 1500개 조각을 지탱합니다. 35x27 진행 중인 퍼즐 보관을 위한 성인 및 어린이용 휴대용 퍼즐 보드")</f>
        <v>서랍과 커버가 있는 퍼즐 보드 미끄럼 방지 표면이 있는 매트 직소 퍼즐 테이블은 1500개 조각을 지탱합니다. 35x27 진행 중인 퍼즐 보관을 위한 성인 및 어린이용 휴대용 퍼즐 보드</v>
      </c>
      <c r="F253" s="1" t="str">
        <f>IFERROR(__xludf.DUMMYFUNCTION("CONCATENATE(GOOGLETRANSLATE(C253, ""en"", ""ja""))"),"引き出しとカバー付きパズルボード マットジグソーパズルテーブル 滑り止め表面付き 1500ピースまで保持可能 35x27 ポータブルパズルボード 大人と子供向け 進行中のパズルの保管用")</f>
        <v>引き出しとカバー付きパズルボード マットジグソーパズルテーブル 滑り止め表面付き 1500ピースまで保持可能 35x27 ポータブルパズルボード 大人と子供向け 進行中のパズルの保管用</v>
      </c>
    </row>
    <row r="254" ht="15.75" customHeight="1">
      <c r="A254" s="1">
        <v>5411.0</v>
      </c>
      <c r="B254" s="1" t="s">
        <v>6</v>
      </c>
      <c r="C254" s="1" t="s">
        <v>253</v>
      </c>
      <c r="D254" s="1" t="str">
        <f>IFERROR(__xludf.DUMMYFUNCTION("CONCATENATE(GOOGLETRANSLATE(C254, ""en"", ""zh-cn""))
"),"GAN 13 磁悬浮 UV 涂层，磁性速度魔方 3x3 无贴纸 56 毫米磁铁魔方拼图玩具，GAN 2022 旗舰")</f>
        <v>GAN 13 磁悬浮 UV 涂层，磁性速度魔方 3x3 无贴纸 56 毫米磁铁魔方拼图玩具，GAN 2022 旗舰</v>
      </c>
      <c r="E254" s="1" t="str">
        <f>IFERROR(__xludf.DUMMYFUNCTION("CONCATENATE(GOOGLETRANSLATE(C254, ""en"", ""ko""))"),"GAN 13 자기 부상 UV 코팅, 자기 속도 큐브 3x3 스티커 없는 56mm 자석 매직 큐브 퍼즐 장난감, GAN 2022 플래그십")</f>
        <v>GAN 13 자기 부상 UV 코팅, 자기 속도 큐브 3x3 스티커 없는 56mm 자석 매직 큐브 퍼즐 장난감, GAN 2022 플래그십</v>
      </c>
      <c r="F254" s="1" t="str">
        <f>IFERROR(__xludf.DUMMYFUNCTION("CONCATENATE(GOOGLETRANSLATE(C254, ""en"", ""ja""))"),"GAN 13 リニアモーターカー UV コーティング、磁気スピード キューブ 3x3 ステッカーレス 56mm マグネット マジック キューブ パズル おもちゃ、GAN 2022 フラッグシップ")</f>
        <v>GAN 13 リニアモーターカー UV コーティング、磁気スピード キューブ 3x3 ステッカーレス 56mm マグネット マジック キューブ パズル おもちゃ、GAN 2022 フラッグシップ</v>
      </c>
    </row>
    <row r="255" ht="15.75" customHeight="1">
      <c r="A255" s="1">
        <v>5412.0</v>
      </c>
      <c r="B255" s="1" t="s">
        <v>6</v>
      </c>
      <c r="C255" s="1" t="s">
        <v>254</v>
      </c>
      <c r="D255" s="1" t="str">
        <f>IFERROR(__xludf.DUMMYFUNCTION("CONCATENATE(GOOGLETRANSLATE(C255, ""en"", ""zh-cn""))
"),"CuberShop GAN 12 MagLev UV 涂层， GAN 12 M MagLev 2021 旗舰 3x3 磁力速度立方体无贴纸， GAN 12 M Pro 3x3 （GAN12 MagLev UV 速度立方体，UV 涂层光面和初级内部）")</f>
        <v>CuberShop GAN 12 MagLev UV 涂层， GAN 12 M MagLev 2021 旗舰 3x3 磁力速度立方体无贴纸， GAN 12 M Pro 3x3 （GAN12 MagLev UV 速度立方体，UV 涂层光面和初级内部）</v>
      </c>
      <c r="E255" s="1" t="str">
        <f>IFERROR(__xludf.DUMMYFUNCTION("CONCATENATE(GOOGLETRANSLATE(C255, ""en"", ""ko""))"),"CuberShop GAN 12 MagLev UV 코팅, GAN 12 M MagLev 2021 플래그십 3x3 자기 속도 큐브 스티커 없음, GAN 12 M Pro 3x3(GAN12 MagLev UV 속도 큐브, UV 코팅 광택 및 기본 내부)")</f>
        <v>CuberShop GAN 12 MagLev UV 코팅, GAN 12 M MagLev 2021 플래그십 3x3 자기 속도 큐브 스티커 없음, GAN 12 M Pro 3x3(GAN12 MagLev UV 속도 큐브, UV 코팅 광택 및 기본 내부)</v>
      </c>
      <c r="F255" s="1" t="str">
        <f>IFERROR(__xludf.DUMMYFUNCTION("CONCATENATE(GOOGLETRANSLATE(C255, ""en"", ""ja""))"),"CuberShop GAN 12 MagLev UV コーティング、GAN 12 M MagLev 2021 フラッグシップ 3x3 磁気スピード キューブ ステッカーレス、GAN 12 M Pro 3x3 (GAN12 MagLev UV スピード キューブ、UV コーティング光沢 &amp; プライマリ内部)")</f>
        <v>CuberShop GAN 12 MagLev UV コーティング、GAN 12 M MagLev 2021 フラッグシップ 3x3 磁気スピード キューブ ステッカーレス、GAN 12 M Pro 3x3 (GAN12 MagLev UV スピード キューブ、UV コーティング光沢 &amp; プライマリ内部)</v>
      </c>
    </row>
    <row r="256" ht="15.75" customHeight="1">
      <c r="A256" s="1">
        <v>5470.0</v>
      </c>
      <c r="B256" s="1" t="s">
        <v>6</v>
      </c>
      <c r="C256" s="1" t="s">
        <v>255</v>
      </c>
      <c r="D256" s="1" t="str">
        <f>IFERROR(__xludf.DUMMYFUNCTION("CONCATENATE(GOOGLETRANSLATE(C256, ""en"", ""zh-cn""))
"),"Drako 2 SRS 山地自行车鞋")</f>
        <v>Drako 2 SRS 山地自行车鞋</v>
      </c>
      <c r="E256" s="1" t="str">
        <f>IFERROR(__xludf.DUMMYFUNCTION("CONCATENATE(GOOGLETRANSLATE(C256, ""en"", ""ko""))"),"Drako 2 SRS 산악 자전거 신발")</f>
        <v>Drako 2 SRS 산악 자전거 신발</v>
      </c>
      <c r="F256" s="1" t="str">
        <f>IFERROR(__xludf.DUMMYFUNCTION("CONCATENATE(GOOGLETRANSLATE(C256, ""en"", ""ja""))"),"Drako 2 SRS マウンテン バイク シューズ")</f>
        <v>Drako 2 SRS マウンテン バイク シューズ</v>
      </c>
    </row>
    <row r="257" ht="15.75" customHeight="1">
      <c r="A257" s="1">
        <v>5505.0</v>
      </c>
      <c r="B257" s="1" t="s">
        <v>6</v>
      </c>
      <c r="C257" s="1" t="s">
        <v>256</v>
      </c>
      <c r="D257" s="1" t="str">
        <f>IFERROR(__xludf.DUMMYFUNCTION("CONCATENATE(GOOGLETRANSLATE(C257, ""en"", ""zh-cn""))
"),"板球运动便携式板球套装，带板、排球和手动泵")</f>
        <v>板球运动便携式板球套装，带板、排球和手动泵</v>
      </c>
      <c r="E257" s="1" t="str">
        <f>IFERROR(__xludf.DUMMYFUNCTION("CONCATENATE(GOOGLETRANSLATE(C257, ""en"", ""ko""))"),"보드볼 스포츠 휴대용 보드볼 세트(보드, 배구, 핸드 펌프 포함)")</f>
        <v>보드볼 스포츠 휴대용 보드볼 세트(보드, 배구, 핸드 펌프 포함)</v>
      </c>
      <c r="F257" s="1" t="str">
        <f>IFERROR(__xludf.DUMMYFUNCTION("CONCATENATE(GOOGLETRANSLATE(C257, ""en"", ""ja""))"),"ボードボール スポーツ ポータブル ボードボール セット (ボード、バレーボール、ハンドポンプ付き)")</f>
        <v>ボードボール スポーツ ポータブル ボードボール セット (ボード、バレーボール、ハンドポンプ付き)</v>
      </c>
    </row>
    <row r="258" ht="15.75" customHeight="1">
      <c r="A258" s="1">
        <v>5514.0</v>
      </c>
      <c r="B258" s="1" t="s">
        <v>6</v>
      </c>
      <c r="C258" s="1" t="s">
        <v>257</v>
      </c>
      <c r="D258" s="1" t="str">
        <f>IFERROR(__xludf.DUMMYFUNCTION("CONCATENATE(GOOGLETRANSLATE(C258, ""en"", ""zh-cn""))
"),"狂野运动尾门抛掷")</f>
        <v>狂野运动尾门抛掷</v>
      </c>
      <c r="E258" s="1" t="str">
        <f>IFERROR(__xludf.DUMMYFUNCTION("CONCATENATE(GOOGLETRANSLATE(C258, ""en"", ""ko""))"),"와일드 스포츠 테일게이트 던지기")</f>
        <v>와일드 스포츠 테일게이트 던지기</v>
      </c>
      <c r="F258" s="1" t="str">
        <f>IFERROR(__xludf.DUMMYFUNCTION("CONCATENATE(GOOGLETRANSLATE(C258, ""en"", ""ja""))"),"ワイルド スポーツ テールゲート トス")</f>
        <v>ワイルド スポーツ テールゲート トス</v>
      </c>
    </row>
    <row r="259" ht="15.75" customHeight="1">
      <c r="A259" s="1">
        <v>5518.0</v>
      </c>
      <c r="B259" s="1" t="s">
        <v>6</v>
      </c>
      <c r="C259" s="1" t="s">
        <v>258</v>
      </c>
      <c r="D259" s="1" t="str">
        <f>IFERROR(__xludf.DUMMYFUNCTION("CONCATENATE(GOOGLETRANSLATE(C259, ""en"", ""zh-cn""))
"),"学院运动+户外足球敏捷训练套件")</f>
        <v>学院运动+户外足球敏捷训练套件</v>
      </c>
      <c r="E259" s="1" t="str">
        <f>IFERROR(__xludf.DUMMYFUNCTION("CONCATENATE(GOOGLETRANSLATE(C259, ""en"", ""ko""))"),"아카데미 스포츠 + 야외 축구 민첩성 훈련 키트")</f>
        <v>아카데미 스포츠 + 야외 축구 민첩성 훈련 키트</v>
      </c>
      <c r="F259" s="1" t="str">
        <f>IFERROR(__xludf.DUMMYFUNCTION("CONCATENATE(GOOGLETRANSLATE(C259, ""en"", ""ja""))"),"アカデミー スポーツ + アウトドア フットボール アジリティ トレーニング キット")</f>
        <v>アカデミー スポーツ + アウトドア フットボール アジリティ トレーニング キット</v>
      </c>
    </row>
    <row r="260" ht="15.75" customHeight="1">
      <c r="A260" s="1">
        <v>5533.0</v>
      </c>
      <c r="B260" s="1" t="s">
        <v>6</v>
      </c>
      <c r="C260" s="1" t="s">
        <v>259</v>
      </c>
      <c r="D260" s="1" t="str">
        <f>IFERROR(__xludf.DUMMYFUNCTION("CONCATENATE(GOOGLETRANSLATE(C260, ""en"", ""zh-cn""))
"),"分形设计北案")</f>
        <v>分形设计北案</v>
      </c>
      <c r="E260" s="1" t="str">
        <f>IFERROR(__xludf.DUMMYFUNCTION("CONCATENATE(GOOGLETRANSLATE(C260, ""en"", ""ko""))"),"프랙탈 디자인 노스 케이스")</f>
        <v>프랙탈 디자인 노스 케이스</v>
      </c>
      <c r="F260" s="1" t="str">
        <f>IFERROR(__xludf.DUMMYFUNCTION("CONCATENATE(GOOGLETRANSLATE(C260, ""en"", ""ja""))"),"フラクタル デザイン ノース ケース")</f>
        <v>フラクタル デザイン ノース ケース</v>
      </c>
    </row>
    <row r="261" ht="15.75" customHeight="1">
      <c r="A261" s="1">
        <v>5544.0</v>
      </c>
      <c r="B261" s="1" t="s">
        <v>6</v>
      </c>
      <c r="C261" s="1" t="s">
        <v>260</v>
      </c>
      <c r="D261" s="1" t="str">
        <f>IFERROR(__xludf.DUMMYFUNCTION("CONCATENATE(GOOGLETRANSLATE(C261, ""en"", ""zh-cn""))
"),"三星 Essential S3 24 FHD 1800R 曲面电脑显示器")</f>
        <v>三星 Essential S3 24 FHD 1800R 曲面电脑显示器</v>
      </c>
      <c r="E261" s="1" t="str">
        <f>IFERROR(__xludf.DUMMYFUNCTION("CONCATENATE(GOOGLETRANSLATE(C261, ""en"", ""ko""))"),"삼성 에센셜 S3 24 FHD 1800R 커브드 컴퓨터 모니터")</f>
        <v>삼성 에센셜 S3 24 FHD 1800R 커브드 컴퓨터 모니터</v>
      </c>
      <c r="F261" s="1" t="str">
        <f>IFERROR(__xludf.DUMMYFUNCTION("CONCATENATE(GOOGLETRANSLATE(C261, ""en"", ""ja""))"),"Samsung Essential S3 24 FHD 1800R 曲面コンピューター モニター")</f>
        <v>Samsung Essential S3 24 FHD 1800R 曲面コンピューター モニター</v>
      </c>
    </row>
    <row r="262" ht="15.75" customHeight="1">
      <c r="A262" s="1">
        <v>5552.0</v>
      </c>
      <c r="B262" s="1" t="s">
        <v>6</v>
      </c>
      <c r="C262" s="1" t="s">
        <v>261</v>
      </c>
      <c r="D262" s="1" t="str">
        <f>IFERROR(__xludf.DUMMYFUNCTION("CONCATENATE(GOOGLETRANSLATE(C262, ""en"", ""zh-cn""))
"),"微软 Surface 笔记本电脑 Copilot+ PC 13.8 Snapdragon X Elite 16GB")</f>
        <v>微软 Surface 笔记本电脑 Copilot+ PC 13.8 Snapdragon X Elite 16GB</v>
      </c>
      <c r="E262" s="1" t="str">
        <f>IFERROR(__xludf.DUMMYFUNCTION("CONCATENATE(GOOGLETRANSLATE(C262, ""en"", ""ko""))"),"마이크로소프트 서피스 노트북 코파일럿+ PC 13.8 스냅드래곤 X 엘리트 16GB")</f>
        <v>마이크로소프트 서피스 노트북 코파일럿+ PC 13.8 스냅드래곤 X 엘리트 16GB</v>
      </c>
      <c r="F262" s="1" t="str">
        <f>IFERROR(__xludf.DUMMYFUNCTION("CONCATENATE(GOOGLETRANSLATE(C262, ""en"", ""ja""))"),"Microsoft Surface Laptop Copilot+ PC 13.8 Snapdragon X Elite 16GB")</f>
        <v>Microsoft Surface Laptop Copilot+ PC 13.8 Snapdragon X Elite 16GB</v>
      </c>
    </row>
    <row r="263" ht="15.75" customHeight="1">
      <c r="A263" s="1">
        <v>5572.0</v>
      </c>
      <c r="B263" s="1" t="s">
        <v>6</v>
      </c>
      <c r="C263" s="1" t="s">
        <v>262</v>
      </c>
      <c r="D263" s="1" t="str">
        <f>IFERROR(__xludf.DUMMYFUNCTION("CONCATENATE(GOOGLETRANSLATE(C263, ""en"", ""zh-cn""))
"),"32 Degrees 女式酷T恤连衣裙")</f>
        <v>32 Degrees 女式酷T恤连衣裙</v>
      </c>
      <c r="E263" s="1" t="str">
        <f>IFERROR(__xludf.DUMMYFUNCTION("CONCATENATE(GOOGLETRANSLATE(C263, ""en"", ""ko""))"),"32도 여성용 쿨 티셔츠 드레스")</f>
        <v>32도 여성용 쿨 티셔츠 드레스</v>
      </c>
      <c r="F263" s="1" t="str">
        <f>IFERROR(__xludf.DUMMYFUNCTION("CONCATENATE(GOOGLETRANSLATE(C263, ""en"", ""ja""))"),"32 Degrees レディース クール T シャツ ドレス")</f>
        <v>32 Degrees レディース クール T シャツ ドレス</v>
      </c>
    </row>
    <row r="264" ht="15.75" customHeight="1">
      <c r="A264" s="1">
        <v>5575.0</v>
      </c>
      <c r="B264" s="1" t="s">
        <v>6</v>
      </c>
      <c r="C264" s="1" t="s">
        <v>263</v>
      </c>
      <c r="D264" s="1" t="str">
        <f>IFERROR(__xludf.DUMMYFUNCTION("CONCATENATE(GOOGLETRANSLATE(C264, ""en"", ""zh-cn""))
"),"Free People Milley 双面套装")</f>
        <v>Free People Milley 双面套装</v>
      </c>
      <c r="E264" s="1" t="str">
        <f>IFERROR(__xludf.DUMMYFUNCTION("CONCATENATE(GOOGLETRANSLATE(C264, ""en"", ""ko""))"),"Free People Milley 양면 세트")</f>
        <v>Free People Milley 양면 세트</v>
      </c>
      <c r="F264" s="1" t="str">
        <f>IFERROR(__xludf.DUMMYFUNCTION("CONCATENATE(GOOGLETRANSLATE(C264, ""en"", ""ja""))"),"フリーピープル ミリー リバーシブル セット")</f>
        <v>フリーピープル ミリー リバーシブル セット</v>
      </c>
    </row>
    <row r="265" ht="15.75" customHeight="1">
      <c r="A265" s="1">
        <v>5580.0</v>
      </c>
      <c r="B265" s="1" t="s">
        <v>6</v>
      </c>
      <c r="C265" s="1" t="s">
        <v>264</v>
      </c>
      <c r="D265" s="1" t="str">
        <f>IFERROR(__xludf.DUMMYFUNCTION("CONCATENATE(GOOGLETRANSLATE(C265, ""en"", ""zh-cn""))
"),"Duluth Trading Company 女式 Ponte Pro 针织 3/4 袖连衣裙")</f>
        <v>Duluth Trading Company 女式 Ponte Pro 针织 3/4 袖连衣裙</v>
      </c>
      <c r="E265" s="1" t="str">
        <f>IFERROR(__xludf.DUMMYFUNCTION("CONCATENATE(GOOGLETRANSLATE(C265, ""en"", ""ko""))"),"Duluth Trading Company 여성 Ponte Pro 니트 3/4 슬리브 드레스")</f>
        <v>Duluth Trading Company 여성 Ponte Pro 니트 3/4 슬리브 드레스</v>
      </c>
      <c r="F265" s="1" t="str">
        <f>IFERROR(__xludf.DUMMYFUNCTION("CONCATENATE(GOOGLETRANSLATE(C265, ""en"", ""ja""))"),"Duluth Trading Company レディース ポンテ プロ ニット 3/4 スリーブ ドレス")</f>
        <v>Duluth Trading Company レディース ポンテ プロ ニット 3/4 スリーブ ドレス</v>
      </c>
    </row>
    <row r="266" ht="15.75" customHeight="1">
      <c r="A266" s="1">
        <v>5586.0</v>
      </c>
      <c r="B266" s="1" t="s">
        <v>6</v>
      </c>
      <c r="C266" s="1" t="s">
        <v>265</v>
      </c>
      <c r="D266" s="1" t="str">
        <f>IFERROR(__xludf.DUMMYFUNCTION("CONCATENATE(GOOGLETRANSLATE(C266, ""en"", ""zh-cn""))
"),"Fashion Nova All for Look 中长连衣裙")</f>
        <v>Fashion Nova All for Look 中长连衣裙</v>
      </c>
      <c r="E266" s="1" t="str">
        <f>IFERROR(__xludf.DUMMYFUNCTION("CONCATENATE(GOOGLETRANSLATE(C266, ""en"", ""ko""))"),"패션 노바 올 포 룩스 미디 드레스")</f>
        <v>패션 노바 올 포 룩스 미디 드레스</v>
      </c>
      <c r="F266" s="1" t="str">
        <f>IFERROR(__xludf.DUMMYFUNCTION("CONCATENATE(GOOGLETRANSLATE(C266, ""en"", ""ja""))"),"ファッションノヴァオールフォールックスミディドレス")</f>
        <v>ファッションノヴァオールフォールックスミディドレス</v>
      </c>
    </row>
    <row r="267" ht="15.75" customHeight="1">
      <c r="A267" s="1">
        <v>5595.0</v>
      </c>
      <c r="B267" s="1" t="s">
        <v>6</v>
      </c>
      <c r="C267" s="1" t="s">
        <v>266</v>
      </c>
      <c r="D267" s="1" t="str">
        <f>IFERROR(__xludf.DUMMYFUNCTION("CONCATENATE(GOOGLETRANSLATE(C267, ""en"", ""zh-cn""))
"),"Spanx 女式 AirEssentials 圆领连衣裙")</f>
        <v>Spanx 女式 AirEssentials 圆领连衣裙</v>
      </c>
      <c r="E267" s="1" t="str">
        <f>IFERROR(__xludf.DUMMYFUNCTION("CONCATENATE(GOOGLETRANSLATE(C267, ""en"", ""ko""))"),"Spanx 여성용 AirEssentials 크루넥 드레스")</f>
        <v>Spanx 여성용 AirEssentials 크루넥 드레스</v>
      </c>
      <c r="F267" s="1" t="str">
        <f>IFERROR(__xludf.DUMMYFUNCTION("CONCATENATE(GOOGLETRANSLATE(C267, ""en"", ""ja""))"),"Spanx レディース AirEssentials クルーネックドレス")</f>
        <v>Spanx レディース AirEssentials クルーネックドレス</v>
      </c>
    </row>
    <row r="268" ht="15.75" customHeight="1">
      <c r="A268" s="1">
        <v>5625.0</v>
      </c>
      <c r="B268" s="1" t="s">
        <v>6</v>
      </c>
      <c r="C268" s="1" t="s">
        <v>267</v>
      </c>
      <c r="D268" s="1" t="str">
        <f>IFERROR(__xludf.DUMMYFUNCTION("CONCATENATE(GOOGLETRANSLATE(C268, ""en"", ""zh-cn""))
"),"Kate Spade Monroe 心形不锈钢戒指手表")</f>
        <v>Kate Spade Monroe 心形不锈钢戒指手表</v>
      </c>
      <c r="E268" s="1" t="str">
        <f>IFERROR(__xludf.DUMMYFUNCTION("CONCATENATE(GOOGLETRANSLATE(C268, ""en"", ""ko""))"),"케이트 스페이드 먼로 하트 스테인레스 스틸 링 시계")</f>
        <v>케이트 스페이드 먼로 하트 스테인레스 스틸 링 시계</v>
      </c>
      <c r="F268" s="1" t="str">
        <f>IFERROR(__xludf.DUMMYFUNCTION("CONCATENATE(GOOGLETRANSLATE(C268, ""en"", ""ja""))"),"ケイト・スペード モンロー ハート ステンレススチール リング ウォッチ")</f>
        <v>ケイト・スペード モンロー ハート ステンレススチール リング ウォッチ</v>
      </c>
    </row>
    <row r="269" ht="15.75" customHeight="1">
      <c r="A269" s="1">
        <v>5662.0</v>
      </c>
      <c r="B269" s="1" t="s">
        <v>6</v>
      </c>
      <c r="C269" s="1" t="s">
        <v>268</v>
      </c>
      <c r="D269" s="1" t="str">
        <f>IFERROR(__xludf.DUMMYFUNCTION("CONCATENATE(GOOGLETRANSLATE(C269, ""en"", ""zh-cn""))
"),"Roxenda [15 件装] 速度立方体套装 - 2x2x2 3x3x3 4x4x4 2x2x3 X 立方体六点立方体斜轴风车费舍尔镜子 2x2-Megaminx 3x3-Megaminx 金字塔常春藤立方体光滑魔方拼图系列")</f>
        <v>Roxenda [15 件装] 速度立方体套装 - 2x2x2 3x3x3 4x4x4 2x2x3 X 立方体六点立方体斜轴风车费舍尔镜子 2x2-Megaminx 3x3-Megaminx 金字塔常春藤立方体光滑魔方拼图系列</v>
      </c>
      <c r="E269" s="1" t="str">
        <f>IFERROR(__xludf.DUMMYFUNCTION("CONCATENATE(GOOGLETRANSLATE(C269, ""en"", ""ko""))"),"Roxenda [15 팩] 스피드 큐브 세트 - 2x2x2 3x3x3 4x4x4 2x2x3 X-Cube 6스팟 큐브 Skew Axis Windmill Fisher Mirror 2x2-Megaminx 3x3-Megaminx Pyramid Ivy Cube Smooth Magic Cube 퍼즐 컬렉션")</f>
        <v>Roxenda [15 팩] 스피드 큐브 세트 - 2x2x2 3x3x3 4x4x4 2x2x3 X-Cube 6스팟 큐브 Skew Axis Windmill Fisher Mirror 2x2-Megaminx 3x3-Megaminx Pyramid Ivy Cube Smooth Magic Cube 퍼즐 컬렉션</v>
      </c>
      <c r="F269" s="1" t="str">
        <f>IFERROR(__xludf.DUMMYFUNCTION("CONCATENATE(GOOGLETRANSLATE(C269, ""en"", ""ja""))"),"Roxenda [15 パック] スピード キューブ セット - 2x2x2 3x3x3 4x4x4 2x2x3 X-Cube 6 スポット キューブ スキュー軸 風車 フィッシャー ミラー 2x2-メガミンクス 3x3-メガミンクス ピラミッド アイビー キューブ スムーズ マジック キューブ パズル コレクション")</f>
        <v>Roxenda [15 パック] スピード キューブ セット - 2x2x2 3x3x3 4x4x4 2x2x3 X-Cube 6 スポット キューブ スキュー軸 風車 フィッシャー ミラー 2x2-メガミンクス 3x3-メガミンクス ピラミッド アイビー キューブ スムーズ マジック キューブ パズル コレクション</v>
      </c>
    </row>
    <row r="270" ht="15.75" customHeight="1">
      <c r="A270" s="1">
        <v>5677.0</v>
      </c>
      <c r="B270" s="1" t="s">
        <v>6</v>
      </c>
      <c r="C270" s="1" t="s">
        <v>58</v>
      </c>
      <c r="D270" s="1" t="str">
        <f>IFERROR(__xludf.DUMMYFUNCTION("CONCATENATE(GOOGLETRANSLATE(C270, ""en"", ""zh-cn""))
"),"GAN 13 磁悬浮磨砂涂层，磁性速度魔方 3x3 无贴纸 56 毫米磁铁魔方拼图玩具，GAN 2022 旗舰")</f>
        <v>GAN 13 磁悬浮磨砂涂层，磁性速度魔方 3x3 无贴纸 56 毫米磁铁魔方拼图玩具，GAN 2022 旗舰</v>
      </c>
      <c r="E270" s="1" t="str">
        <f>IFERROR(__xludf.DUMMYFUNCTION("CONCATENATE(GOOGLETRANSLATE(C270, ""en"", ""ko""))"),"GAN 13 자기 부상 프로스트 코팅, 자기 속도 큐브 3x3 스티커 없는 56mm 자석 매직 큐브 퍼즐 장난감, GAN 2022 플래그십")</f>
        <v>GAN 13 자기 부상 프로스트 코팅, 자기 속도 큐브 3x3 스티커 없는 56mm 자석 매직 큐브 퍼즐 장난감, GAN 2022 플래그십</v>
      </c>
      <c r="F270" s="1" t="str">
        <f>IFERROR(__xludf.DUMMYFUNCTION("CONCATENATE(GOOGLETRANSLATE(C270, ""en"", ""ja""))"),"GAN 13 リニアモーターカー フロストコーティング、磁気スピードキューブ 3x3 ステッカーレス 56mm マグネット マジックキューブ パズルおもちゃ、GAN 2022 フラッグシップ")</f>
        <v>GAN 13 リニアモーターカー フロストコーティング、磁気スピードキューブ 3x3 ステッカーレス 56mm マグネット マジックキューブ パズルおもちゃ、GAN 2022 フラッグシップ</v>
      </c>
    </row>
    <row r="271" ht="15.75" customHeight="1">
      <c r="A271" s="1">
        <v>5710.0</v>
      </c>
      <c r="B271" s="1" t="s">
        <v>6</v>
      </c>
      <c r="C271" s="1" t="s">
        <v>65</v>
      </c>
      <c r="D271" s="1" t="str">
        <f>IFERROR(__xludf.DUMMYFUNCTION("CONCATENATE(GOOGLETRANSLATE(C271, ""en"", ""zh-cn""))
"),"LiangCuber GAN 13磁悬浮旗舰磁力3x3无贴纸GAN13 M速度魔方（磨砂版）")</f>
        <v>LiangCuber GAN 13磁悬浮旗舰磁力3x3无贴纸GAN13 M速度魔方（磨砂版）</v>
      </c>
      <c r="E271" s="1" t="str">
        <f>IFERROR(__xludf.DUMMYFUNCTION("CONCATENATE(GOOGLETRANSLATE(C271, ""en"", ""ko""))"),"LiangCuber GAN 13 자기 부상 플래그십 마그네틱 3x3 스티커 없는 GAN13 M 스피드 큐브(반투명 버전)")</f>
        <v>LiangCuber GAN 13 자기 부상 플래그십 마그네틱 3x3 스티커 없는 GAN13 M 스피드 큐브(반투명 버전)</v>
      </c>
      <c r="F271" s="1" t="str">
        <f>IFERROR(__xludf.DUMMYFUNCTION("CONCATENATE(GOOGLETRANSLATE(C271, ""en"", ""ja""))"),"LiangCuber GAN 13 マグレブ旗艦 磁気 3x3 ステッカーレス GAN13 M スピード キューブ (つや消しバージョン)")</f>
        <v>LiangCuber GAN 13 マグレブ旗艦 磁気 3x3 ステッカーレス GAN13 M スピード キューブ (つや消しバージョン)</v>
      </c>
    </row>
    <row r="272" ht="15.75" customHeight="1">
      <c r="A272" s="1">
        <v>5716.0</v>
      </c>
      <c r="B272" s="1" t="s">
        <v>6</v>
      </c>
      <c r="C272" s="1" t="s">
        <v>269</v>
      </c>
      <c r="D272" s="1" t="str">
        <f>IFERROR(__xludf.DUMMYFUNCTION("CONCATENATE(GOOGLETRANSLATE(C272, ""en"", ""zh-cn""))
"),"Calvin Klein 女式羊毛混纺束带裹身大衣")</f>
        <v>Calvin Klein 女式羊毛混纺束带裹身大衣</v>
      </c>
      <c r="E272" s="1" t="str">
        <f>IFERROR(__xludf.DUMMYFUNCTION("CONCATENATE(GOOGLETRANSLATE(C272, ""en"", ""ko""))"),"Calvin Klein 여성용 울 블렌드 벨티드 랩 코트")</f>
        <v>Calvin Klein 여성용 울 블렌드 벨티드 랩 코트</v>
      </c>
      <c r="F272" s="1" t="str">
        <f>IFERROR(__xludf.DUMMYFUNCTION("CONCATENATE(GOOGLETRANSLATE(C272, ""en"", ""ja""))"),"Calvin Klein レディース ウール ブレンド ベルテッド ラップ コート")</f>
        <v>Calvin Klein レディース ウール ブレンド ベルテッド ラップ コート</v>
      </c>
    </row>
    <row r="273" ht="15.75" customHeight="1">
      <c r="A273" s="1">
        <v>5750.0</v>
      </c>
      <c r="B273" s="1" t="s">
        <v>6</v>
      </c>
      <c r="C273" s="1" t="s">
        <v>270</v>
      </c>
      <c r="D273" s="1" t="str">
        <f>IFERROR(__xludf.DUMMYFUNCTION("CONCATENATE(GOOGLETRANSLATE(C273, ""en"", ""zh-cn""))
"),"女式轻质针织短袖圆领短袖上衣")</f>
        <v>女式轻质针织短袖圆领短袖上衣</v>
      </c>
      <c r="E273" s="1" t="str">
        <f>IFERROR(__xludf.DUMMYFUNCTION("CONCATENATE(GOOGLETRANSLATE(C273, ""en"", ""ko""))"),"여성용 경량 니트 반팔 크루넥 반팔 탑")</f>
        <v>여성용 경량 니트 반팔 크루넥 반팔 탑</v>
      </c>
      <c r="F273" s="1" t="str">
        <f>IFERROR(__xludf.DUMMYFUNCTION("CONCATENATE(GOOGLETRANSLATE(C273, ""en"", ""ja""))"),"レディース軽量ニット半袖クルーネック半袖トップス")</f>
        <v>レディース軽量ニット半袖クルーネック半袖トップス</v>
      </c>
    </row>
    <row r="274" ht="15.75" customHeight="1">
      <c r="A274" s="1">
        <v>5755.0</v>
      </c>
      <c r="B274" s="1" t="s">
        <v>6</v>
      </c>
      <c r="C274" s="1" t="s">
        <v>271</v>
      </c>
      <c r="D274" s="1" t="str">
        <f>IFERROR(__xludf.DUMMYFUNCTION("CONCATENATE(GOOGLETRANSLATE(C274, ""en"", ""zh-cn""))
"),"Fashion Nova 男士 Skyline 衬衫组合")</f>
        <v>Fashion Nova 男士 Skyline 衬衫组合</v>
      </c>
      <c r="E274" s="1" t="str">
        <f>IFERROR(__xludf.DUMMYFUNCTION("CONCATENATE(GOOGLETRANSLATE(C274, ""en"", ""ko""))"),"패션 노바 남성용 스카이라인 셔츠 콤보")</f>
        <v>패션 노바 남성용 스카이라인 셔츠 콤보</v>
      </c>
      <c r="F274" s="1" t="str">
        <f>IFERROR(__xludf.DUMMYFUNCTION("CONCATENATE(GOOGLETRANSLATE(C274, ""en"", ""ja""))"),"ファッション ノヴァ メンズ スカイライン シャツ コンボ")</f>
        <v>ファッション ノヴァ メンズ スカイライン シャツ コンボ</v>
      </c>
    </row>
    <row r="275" ht="15.75" customHeight="1">
      <c r="A275" s="1">
        <v>5757.0</v>
      </c>
      <c r="B275" s="1" t="s">
        <v>6</v>
      </c>
      <c r="C275" s="1" t="s">
        <v>272</v>
      </c>
      <c r="D275" s="1" t="str">
        <f>IFERROR(__xludf.DUMMYFUNCTION("CONCATENATE(GOOGLETRANSLATE(C275, ""en"", ""zh-cn""))
"),"Zara 男士宽松针织 T 恤")</f>
        <v>Zara 男士宽松针织 T 恤</v>
      </c>
      <c r="E275" s="1" t="str">
        <f>IFERROR(__xludf.DUMMYFUNCTION("CONCATENATE(GOOGLETRANSLATE(C275, ""en"", ""ko""))"),"Zara 남성 릴렉스핏 니트 티셔츠")</f>
        <v>Zara 남성 릴렉스핏 니트 티셔츠</v>
      </c>
      <c r="F275" s="1" t="str">
        <f>IFERROR(__xludf.DUMMYFUNCTION("CONCATENATE(GOOGLETRANSLATE(C275, ""en"", ""ja""))"),"ZARA メンズ リラックスフィット ニット Tシャツ")</f>
        <v>ZARA メンズ リラックスフィット ニット Tシャツ</v>
      </c>
    </row>
    <row r="276" ht="15.75" customHeight="1">
      <c r="A276" s="1">
        <v>5761.0</v>
      </c>
      <c r="B276" s="1" t="s">
        <v>6</v>
      </c>
      <c r="C276" s="1" t="s">
        <v>273</v>
      </c>
      <c r="D276" s="1" t="str">
        <f>IFERROR(__xludf.DUMMYFUNCTION("CONCATENATE(GOOGLETRANSLATE(C276, ""en"", ""zh-cn""))
"),"Abercrombie &amp; Fitch 男士斜纹拉链衬衫夹克")</f>
        <v>Abercrombie &amp; Fitch 男士斜纹拉链衬衫夹克</v>
      </c>
      <c r="E276" s="1" t="str">
        <f>IFERROR(__xludf.DUMMYFUNCTION("CONCATENATE(GOOGLETRANSLATE(C276, ""en"", ""ko""))"),"Abercrombie &amp; Fitch 남성 트윌 지퍼 셔츠 재킷")</f>
        <v>Abercrombie &amp; Fitch 남성 트윌 지퍼 셔츠 재킷</v>
      </c>
      <c r="F276" s="1" t="str">
        <f>IFERROR(__xludf.DUMMYFUNCTION("CONCATENATE(GOOGLETRANSLATE(C276, ""en"", ""ja""))"),"アバクロ メンズ ツイル ジップ シャツ ジャケット")</f>
        <v>アバクロ メンズ ツイル ジップ シャツ ジャケット</v>
      </c>
    </row>
    <row r="277" ht="15.75" customHeight="1">
      <c r="A277" s="1">
        <v>5764.0</v>
      </c>
      <c r="B277" s="1" t="s">
        <v>6</v>
      </c>
      <c r="C277" s="1" t="s">
        <v>274</v>
      </c>
      <c r="D277" s="1" t="str">
        <f>IFERROR(__xludf.DUMMYFUNCTION("CONCATENATE(GOOGLETRANSLATE(C277, ""en"", ""zh-cn""))
"),"Bonobos 男士 Watson 格纹日常休闲衬衫")</f>
        <v>Bonobos 男士 Watson 格纹日常休闲衬衫</v>
      </c>
      <c r="E277" s="1" t="str">
        <f>IFERROR(__xludf.DUMMYFUNCTION("CONCATENATE(GOOGLETRANSLATE(C277, ""en"", ""ko""))"),"보노보스 남성 왓슨 체크 무늬 에브리데이 캐주얼 셔츠")</f>
        <v>보노보스 남성 왓슨 체크 무늬 에브리데이 캐주얼 셔츠</v>
      </c>
      <c r="F277" s="1" t="str">
        <f>IFERROR(__xludf.DUMMYFUNCTION("CONCATENATE(GOOGLETRANSLATE(C277, ""en"", ""ja""))"),"Bonobos メンズ ワトソン チェック柄 エブリデイ カジュアル シャツ")</f>
        <v>Bonobos メンズ ワトソン チェック柄 エブリデイ カジュアル シャツ</v>
      </c>
    </row>
    <row r="278" ht="15.75" customHeight="1">
      <c r="A278" s="1">
        <v>5796.0</v>
      </c>
      <c r="B278" s="1" t="s">
        <v>6</v>
      </c>
      <c r="C278" s="1" t="s">
        <v>275</v>
      </c>
      <c r="D278" s="1" t="str">
        <f>IFERROR(__xludf.DUMMYFUNCTION("CONCATENATE(GOOGLETRANSLATE(C278, ""en"", ""zh-cn""))
"),"可插拔 Thunderbolt 4 扩展坞")</f>
        <v>可插拔 Thunderbolt 4 扩展坞</v>
      </c>
      <c r="E278" s="1" t="str">
        <f>IFERROR(__xludf.DUMMYFUNCTION("CONCATENATE(GOOGLETRANSLATE(C278, ""en"", ""ko""))"),"플러그형 Thunderbolt 4 도크")</f>
        <v>플러그형 Thunderbolt 4 도크</v>
      </c>
      <c r="F278" s="1" t="str">
        <f>IFERROR(__xludf.DUMMYFUNCTION("CONCATENATE(GOOGLETRANSLATE(C278, ""en"", ""ja""))"),"プラグイン可能な Thunderbolt 4 ドック")</f>
        <v>プラグイン可能な Thunderbolt 4 ドック</v>
      </c>
    </row>
    <row r="279" ht="15.75" customHeight="1">
      <c r="A279" s="1">
        <v>5809.0</v>
      </c>
      <c r="B279" s="1" t="s">
        <v>6</v>
      </c>
      <c r="C279" s="1" t="s">
        <v>276</v>
      </c>
      <c r="D279" s="1" t="str">
        <f>IFERROR(__xludf.DUMMYFUNCTION("CONCATENATE(GOOGLETRANSLATE(C279, ""en"", ""zh-cn""))
"),"安静！ Light Base 600 LX 中型塔式机箱")</f>
        <v>安静！ Light Base 600 LX 中型塔式机箱</v>
      </c>
      <c r="E279" s="1" t="str">
        <f>IFERROR(__xludf.DUMMYFUNCTION("CONCATENATE(GOOGLETRANSLATE(C279, ""en"", ""ko""))"),"조용히 해! Light Base 600 LX 미디 타워 케이스")</f>
        <v>조용히 해! Light Base 600 LX 미디 타워 케이스</v>
      </c>
      <c r="F279" s="1" t="str">
        <f>IFERROR(__xludf.DUMMYFUNCTION("CONCATENATE(GOOGLETRANSLATE(C279, ""en"", ""ja""))"),"静かに！ライトベース 600 LX ミディタワーケース")</f>
        <v>静かに！ライトベース 600 LX ミディタワーケース</v>
      </c>
    </row>
    <row r="280" ht="15.75" customHeight="1">
      <c r="A280" s="1">
        <v>5818.0</v>
      </c>
      <c r="B280" s="1" t="s">
        <v>6</v>
      </c>
      <c r="C280" s="1" t="s">
        <v>277</v>
      </c>
      <c r="D280" s="1" t="str">
        <f>IFERROR(__xludf.DUMMYFUNCTION("CONCATENATE(GOOGLETRANSLATE(C280, ""en"", ""zh-cn""))
"),"Corsair iCUE 5000D RGB 中塔式机箱")</f>
        <v>Corsair iCUE 5000D RGB 中塔式机箱</v>
      </c>
      <c r="E280" s="1" t="str">
        <f>IFERROR(__xludf.DUMMYFUNCTION("CONCATENATE(GOOGLETRANSLATE(C280, ""en"", ""ko""))"),"Corsair iCUE 5000D RGB 미드 타워 케이스")</f>
        <v>Corsair iCUE 5000D RGB 미드 타워 케이스</v>
      </c>
      <c r="F280" s="1" t="str">
        <f>IFERROR(__xludf.DUMMYFUNCTION("CONCATENATE(GOOGLETRANSLATE(C280, ""en"", ""ja""))"),"Corsair iCUE 5000D RGB ミッドタワー ケース")</f>
        <v>Corsair iCUE 5000D RGB ミッドタワー ケース</v>
      </c>
    </row>
    <row r="281" ht="15.75" customHeight="1">
      <c r="A281" s="1">
        <v>5821.0</v>
      </c>
      <c r="B281" s="1" t="s">
        <v>6</v>
      </c>
      <c r="C281" s="1" t="s">
        <v>278</v>
      </c>
      <c r="D281" s="1" t="str">
        <f>IFERROR(__xludf.DUMMYFUNCTION("CONCATENATE(GOOGLETRANSLATE(C281, ""en"", ""zh-cn""))
"),"CORSAIR FRAME 4000D 模块化中塔式 PC 机箱")</f>
        <v>CORSAIR FRAME 4000D 模块化中塔式 PC 机箱</v>
      </c>
      <c r="E281" s="1" t="str">
        <f>IFERROR(__xludf.DUMMYFUNCTION("CONCATENATE(GOOGLETRANSLATE(C281, ""en"", ""ko""))"),"CORSAIR FRAME 4000D 모듈형 미드 타워 PC 케이스")</f>
        <v>CORSAIR FRAME 4000D 모듈형 미드 타워 PC 케이스</v>
      </c>
      <c r="F281" s="1" t="str">
        <f>IFERROR(__xludf.DUMMYFUNCTION("CONCATENATE(GOOGLETRANSLATE(C281, ""en"", ""ja""))"),"CORSAIR FRAME 4000D モジュラー ミッドタワー PC ケース")</f>
        <v>CORSAIR FRAME 4000D モジュラー ミッドタワー PC ケース</v>
      </c>
    </row>
    <row r="282" ht="15.75" customHeight="1">
      <c r="A282" s="1">
        <v>5831.0</v>
      </c>
      <c r="B282" s="1" t="s">
        <v>6</v>
      </c>
      <c r="C282" s="1" t="s">
        <v>279</v>
      </c>
      <c r="D282" s="1" t="str">
        <f>IFERROR(__xludf.DUMMYFUNCTION("CONCATENATE(GOOGLETRANSLATE(C282, ""en"", ""zh-cn""))
"),"HP 通用 USB-C 集线器和笔记本电脑充电器组合")</f>
        <v>HP 通用 USB-C 集线器和笔记本电脑充电器组合</v>
      </c>
      <c r="E282" s="1" t="str">
        <f>IFERROR(__xludf.DUMMYFUNCTION("CONCATENATE(GOOGLETRANSLATE(C282, ""en"", ""ko""))"),"HP 범용 USB-C 허브 및 노트북 충전기 콤보")</f>
        <v>HP 범용 USB-C 허브 및 노트북 충전기 콤보</v>
      </c>
      <c r="F282" s="1" t="str">
        <f>IFERROR(__xludf.DUMMYFUNCTION("CONCATENATE(GOOGLETRANSLATE(C282, ""en"", ""ja""))"),"HP ユニバーサル USB-C ハブとラップトップ充電器のコンボ")</f>
        <v>HP ユニバーサル USB-C ハブとラップトップ充電器のコンボ</v>
      </c>
    </row>
    <row r="283" ht="15.75" customHeight="1">
      <c r="A283" s="1">
        <v>5835.0</v>
      </c>
      <c r="B283" s="1" t="s">
        <v>6</v>
      </c>
      <c r="C283" s="1" t="s">
        <v>280</v>
      </c>
      <c r="D283" s="1" t="str">
        <f>IFERROR(__xludf.DUMMYFUNCTION("CONCATENATE(GOOGLETRANSLATE(C283, ""en"", ""zh-cn""))
"),"Susuchens 无线鼠标即插即用长待机时间符合人体工程学 6 按钮灵敏电脑配件无线 2.4GHz 无线光学鼠标")</f>
        <v>Susuchens 无线鼠标即插即用长待机时间符合人体工程学 6 按钮灵敏电脑配件无线 2.4GHz 无线光学鼠标</v>
      </c>
      <c r="E283" s="1" t="str">
        <f>IFERROR(__xludf.DUMMYFUNCTION("CONCATENATE(GOOGLETRANSLATE(C283, ""en"", ""ko""))"),"Susuchens 무선 마우스 플러그 앤 플레이 긴 대기 시간 인체 공학적 6 버튼 민감한 컴퓨터 액세서리 무선 2.4GHz 무선 광 마우스")</f>
        <v>Susuchens 무선 마우스 플러그 앤 플레이 긴 대기 시간 인체 공학적 6 버튼 민감한 컴퓨터 액세서리 무선 2.4GHz 무선 광 마우스</v>
      </c>
      <c r="F283" s="1" t="str">
        <f>IFERROR(__xludf.DUMMYFUNCTION("CONCATENATE(GOOGLETRANSLATE(C283, ""en"", ""ja""))"),"Susuchens ワイヤレスマウス プラグアンドプレイ 長いスタンバイ時間 人間工学に基づいた 6 ボタン高感度コンピュータアクセサリー ワイヤレス 2.4GHz ワイヤレス光学式マウス")</f>
        <v>Susuchens ワイヤレスマウス プラグアンドプレイ 長いスタンバイ時間 人間工学に基づいた 6 ボタン高感度コンピュータアクセサリー ワイヤレス 2.4GHz ワイヤレス光学式マウス</v>
      </c>
    </row>
    <row r="284" ht="15.75" customHeight="1">
      <c r="A284" s="1">
        <v>5836.0</v>
      </c>
      <c r="B284" s="1" t="s">
        <v>6</v>
      </c>
      <c r="C284" s="1" t="s">
        <v>281</v>
      </c>
      <c r="D284" s="1" t="str">
        <f>IFERROR(__xludf.DUMMYFUNCTION("CONCATENATE(GOOGLETRANSLATE(C284, ""en"", ""zh-cn""))
"),"Corsair 6500D 气流中塔双室 PC 机箱")</f>
        <v>Corsair 6500D 气流中塔双室 PC 机箱</v>
      </c>
      <c r="E284" s="1" t="str">
        <f>IFERROR(__xludf.DUMMYFUNCTION("CONCATENATE(GOOGLETRANSLATE(C284, ""en"", ""ko""))"),"Corsair 6500D Airflow 미드 타워 듀얼 챔버 PC 케이스")</f>
        <v>Corsair 6500D Airflow 미드 타워 듀얼 챔버 PC 케이스</v>
      </c>
      <c r="F284" s="1" t="str">
        <f>IFERROR(__xludf.DUMMYFUNCTION("CONCATENATE(GOOGLETRANSLATE(C284, ""en"", ""ja""))"),"Corsair 6500D エアフロー ミッドタワー デュアル チャンバー PC ケース")</f>
        <v>Corsair 6500D エアフロー ミッドタワー デュアル チャンバー PC ケース</v>
      </c>
    </row>
    <row r="285" ht="15.75" customHeight="1">
      <c r="A285" s="1">
        <v>5841.0</v>
      </c>
      <c r="B285" s="1" t="s">
        <v>6</v>
      </c>
      <c r="C285" s="1" t="s">
        <v>282</v>
      </c>
      <c r="D285" s="1" t="str">
        <f>IFERROR(__xludf.DUMMYFUNCTION("CONCATENATE(GOOGLETRANSLATE(C285, ""en"", ""zh-cn""))
"),"Cooler Master HAF 700 Evo 全塔式机箱")</f>
        <v>Cooler Master HAF 700 Evo 全塔式机箱</v>
      </c>
      <c r="E285" s="1" t="str">
        <f>IFERROR(__xludf.DUMMYFUNCTION("CONCATENATE(GOOGLETRANSLATE(C285, ""en"", ""ko""))"),"Cooler Master HAF 700 Evo 풀 타워 케이스")</f>
        <v>Cooler Master HAF 700 Evo 풀 타워 케이스</v>
      </c>
      <c r="F285" s="1" t="str">
        <f>IFERROR(__xludf.DUMMYFUNCTION("CONCATENATE(GOOGLETRANSLATE(C285, ""en"", ""ja""))"),"Cooler Master HAF 700 Evo フルタワーケース")</f>
        <v>Cooler Master HAF 700 Evo フルタワーケース</v>
      </c>
    </row>
    <row r="286" ht="15.75" customHeight="1">
      <c r="A286" s="1">
        <v>5853.0</v>
      </c>
      <c r="B286" s="1" t="s">
        <v>6</v>
      </c>
      <c r="C286" s="1" t="s">
        <v>283</v>
      </c>
      <c r="D286" s="1" t="str">
        <f>IFERROR(__xludf.DUMMYFUNCTION("CONCATENATE(GOOGLETRANSLATE(C286, ""en"", ""zh-cn""))
"),"罗技 K380s Pebble Key 2 无线键盘")</f>
        <v>罗技 K380s Pebble Key 2 无线键盘</v>
      </c>
      <c r="E286" s="1" t="str">
        <f>IFERROR(__xludf.DUMMYFUNCTION("CONCATENATE(GOOGLETRANSLATE(C286, ""en"", ""ko""))"),"로지텍 K380s 페블 키 2 무선 키보드")</f>
        <v>로지텍 K380s 페블 키 2 무선 키보드</v>
      </c>
      <c r="F286" s="1" t="str">
        <f>IFERROR(__xludf.DUMMYFUNCTION("CONCATENATE(GOOGLETRANSLATE(C286, ""en"", ""ja""))"),"Logitech K380s Pebble Keys 2 ワイヤレス キーボード")</f>
        <v>Logitech K380s Pebble Keys 2 ワイヤレス キーボード</v>
      </c>
    </row>
    <row r="287" ht="15.75" customHeight="1">
      <c r="A287" s="1">
        <v>5857.0</v>
      </c>
      <c r="B287" s="1" t="s">
        <v>6</v>
      </c>
      <c r="C287" s="1" t="s">
        <v>284</v>
      </c>
      <c r="D287" s="1" t="str">
        <f>IFERROR(__xludf.DUMMYFUNCTION("CONCATENATE(GOOGLETRANSLATE(C287, ""en"", ""zh-cn""))
"),"Abacus 科技超薄电脑机箱")</f>
        <v>Abacus 科技超薄电脑机箱</v>
      </c>
      <c r="E287" s="1" t="str">
        <f>IFERROR(__xludf.DUMMYFUNCTION("CONCATENATE(GOOGLETRANSLATE(C287, ""en"", ""ko""))"),"Abacus Technology 슬림 컴퓨터 케이스")</f>
        <v>Abacus Technology 슬림 컴퓨터 케이스</v>
      </c>
      <c r="F287" s="1" t="str">
        <f>IFERROR(__xludf.DUMMYFUNCTION("CONCATENATE(GOOGLETRANSLATE(C287, ""en"", ""ja""))"),"そろばんテクノロジースリムコンピュータケース")</f>
        <v>そろばんテクノロジースリムコンピュータケース</v>
      </c>
    </row>
    <row r="288" ht="15.75" customHeight="1">
      <c r="A288" s="1">
        <v>5858.0</v>
      </c>
      <c r="B288" s="1" t="s">
        <v>6</v>
      </c>
      <c r="C288" s="1" t="s">
        <v>285</v>
      </c>
      <c r="D288" s="1" t="str">
        <f>IFERROR(__xludf.DUMMYFUNCTION("CONCATENATE(GOOGLETRANSLATE(C288, ""en"", ""zh-cn""))
"),"批发计算机硬件和软件准系统 8GPU 机器完整等带显卡其他计算机配件，1 件")</f>
        <v>批发计算机硬件和软件准系统 8GPU 机器完整等带显卡其他计算机配件，1 件</v>
      </c>
      <c r="E288" s="1" t="str">
        <f>IFERROR(__xludf.DUMMYFUNCTION("CONCATENATE(GOOGLETRANSLATE(C288, ""en"", ""ko""))"),"도매 컴퓨터 하드웨어 및 하드웨어 베어본 시스템 8GPU 기계 전체 및 그래픽 카드 포함 기타 컴퓨터 액세서리, 1개")</f>
        <v>도매 컴퓨터 하드웨어 및 하드웨어 베어본 시스템 8GPU 기계 전체 및 그래픽 카드 포함 기타 컴퓨터 액세서리, 1개</v>
      </c>
      <c r="F288" s="1" t="str">
        <f>IFERROR(__xludf.DUMMYFUNCTION("CONCATENATE(GOOGLETRANSLATE(C288, ""en"", ""ja""))"),"卸売コンピュータハードウェアおよびハードウェアベアボーンシステム8GPUマシンコンプリート、グラフィックスカード付きその他のコンピュータアクセサリ、1個")</f>
        <v>卸売コンピュータハードウェアおよびハードウェアベアボーンシステム8GPUマシンコンプリート、グラフィックスカード付きその他のコンピュータアクセサリ、1個</v>
      </c>
    </row>
    <row r="289" ht="15.75" customHeight="1">
      <c r="A289" s="1">
        <v>5869.0</v>
      </c>
      <c r="B289" s="1" t="s">
        <v>6</v>
      </c>
      <c r="C289" s="1" t="s">
        <v>286</v>
      </c>
      <c r="D289" s="1" t="str">
        <f>IFERROR(__xludf.DUMMYFUNCTION("CONCATENATE(GOOGLETRANSLATE(C289, ""en"", ""zh-cn""))
"),"Hp 14 英特尔四核笔记本电脑")</f>
        <v>Hp 14 英特尔四核笔记本电脑</v>
      </c>
      <c r="E289" s="1" t="str">
        <f>IFERROR(__xludf.DUMMYFUNCTION("CONCATENATE(GOOGLETRANSLATE(C289, ""en"", ""ko""))"),"Hp 14 Intel 쿼드 코어 노트북")</f>
        <v>Hp 14 Intel 쿼드 코어 노트북</v>
      </c>
      <c r="F289" s="1" t="str">
        <f>IFERROR(__xludf.DUMMYFUNCTION("CONCATENATE(GOOGLETRANSLATE(C289, ""en"", ""ja""))"),"HP 14 インテル クアッドコア ラップトップ")</f>
        <v>HP 14 インテル クアッドコア ラップトップ</v>
      </c>
    </row>
    <row r="290" ht="15.75" customHeight="1">
      <c r="A290" s="1">
        <v>5882.0</v>
      </c>
      <c r="B290" s="1" t="s">
        <v>6</v>
      </c>
      <c r="C290" s="1" t="s">
        <v>287</v>
      </c>
      <c r="D290" s="1" t="str">
        <f>IFERROR(__xludf.DUMMYFUNCTION("CONCATENATE(GOOGLETRANSLATE(C290, ""en"", ""zh-cn""))
"),"Crate &amp; Kids 毛绒篝火儿童玩具套装")</f>
        <v>Crate &amp; Kids 毛绒篝火儿童玩具套装</v>
      </c>
      <c r="E290" s="1" t="str">
        <f>IFERROR(__xludf.DUMMYFUNCTION("CONCATENATE(GOOGLETRANSLATE(C290, ""en"", ""ko""))"),"상자 및 어린이 봉제 인형 캠프파이어 어린이 플레이 세트")</f>
        <v>상자 및 어린이 봉제 인형 캠프파이어 어린이 플레이 세트</v>
      </c>
      <c r="F290" s="1" t="str">
        <f>IFERROR(__xludf.DUMMYFUNCTION("CONCATENATE(GOOGLETRANSLATE(C290, ""en"", ""ja""))"),"クレート＆キッズ ぬいぐるみ キャンプファイヤー キッズ プレイセット")</f>
        <v>クレート＆キッズ ぬいぐるみ キャンプファイヤー キッズ プレイセット</v>
      </c>
    </row>
    <row r="291" ht="15.75" customHeight="1">
      <c r="A291" s="1">
        <v>5891.0</v>
      </c>
      <c r="B291" s="1" t="s">
        <v>6</v>
      </c>
      <c r="C291" s="1" t="s">
        <v>288</v>
      </c>
      <c r="D291" s="1" t="str">
        <f>IFERROR(__xludf.DUMMYFUNCTION("CONCATENATE(GOOGLETRANSLATE(C291, ""en"", ""zh-cn""))
"),"最佳选择产品 3 合 1 儿童推踩踏板幼儿骑车玩具婴儿车带声音")</f>
        <v>最佳选择产品 3 合 1 儿童推踩踏板幼儿骑车玩具婴儿车带声音</v>
      </c>
      <c r="E291" s="1" t="str">
        <f>IFERROR(__xludf.DUMMYFUNCTION("CONCATENATE(GOOGLETRANSLATE(C291, ""en"", ""ko""))"),"최고의 선택 제품 3-in-1 어린이 푸시 및 페달 유아용 마차 놀이용 장난감 유모차(소리 포함)")</f>
        <v>최고의 선택 제품 3-in-1 어린이 푸시 및 페달 유아용 마차 놀이용 장난감 유모차(소리 포함)</v>
      </c>
      <c r="F291" s="1" t="str">
        <f>IFERROR(__xludf.DUMMYFUNCTION("CONCATENATE(GOOGLETRANSLATE(C291, ""en"", ""ja""))"),"Best Choice Products 3-in-1 キッズプッシュ＆ペダル幼児用ワゴンプレイトイベビーカー サウンド付き")</f>
        <v>Best Choice Products 3-in-1 キッズプッシュ＆ペダル幼児用ワゴンプレイトイベビーカー サウンド付き</v>
      </c>
    </row>
    <row r="292" ht="15.75" customHeight="1">
      <c r="A292" s="1">
        <v>5896.0</v>
      </c>
      <c r="B292" s="1" t="s">
        <v>6</v>
      </c>
      <c r="C292" s="1" t="s">
        <v>289</v>
      </c>
      <c r="D292" s="1" t="str">
        <f>IFERROR(__xludf.DUMMYFUNCTION("CONCATENATE(GOOGLETRANSLATE(C292, ""en"", ""zh-cn""))
"),"麦格纳太空瓷砖 32 件套")</f>
        <v>麦格纳太空瓷砖 32 件套</v>
      </c>
      <c r="E292" s="1" t="str">
        <f>IFERROR(__xludf.DUMMYFUNCTION("CONCATENATE(GOOGLETRANSLATE(C292, ""en"", ""ko""))"),"마그나 타일 스페이스 32피스 세트")</f>
        <v>마그나 타일 스페이스 32피스 세트</v>
      </c>
      <c r="F292" s="1" t="str">
        <f>IFERROR(__xludf.DUMMYFUNCTION("CONCATENATE(GOOGLETRANSLATE(C292, ""en"", ""ja""))"),"マグナタイル スペース 32枚セット")</f>
        <v>マグナタイル スペース 32枚セット</v>
      </c>
    </row>
    <row r="293" ht="15.75" customHeight="1">
      <c r="A293" s="1">
        <v>5925.0</v>
      </c>
      <c r="B293" s="1" t="s">
        <v>6</v>
      </c>
      <c r="C293" s="1" t="s">
        <v>290</v>
      </c>
      <c r="D293" s="1" t="str">
        <f>IFERROR(__xludf.DUMMYFUNCTION("CONCATENATE(GOOGLETRANSLATE(C293, ""en"", ""zh-cn""))
"),"Sportneer运动帐篷")</f>
        <v>Sportneer运动帐篷</v>
      </c>
      <c r="E293" s="1" t="str">
        <f>IFERROR(__xludf.DUMMYFUNCTION("CONCATENATE(GOOGLETRANSLATE(C293, ""en"", ""ko""))"),"Sportneer 스포츠 텐트")</f>
        <v>Sportneer 스포츠 텐트</v>
      </c>
      <c r="F293" s="1" t="str">
        <f>IFERROR(__xludf.DUMMYFUNCTION("CONCATENATE(GOOGLETRANSLATE(C293, ""en"", ""ja""))"),"スポーツニア スポーツ テント")</f>
        <v>スポーツニア スポーツ テント</v>
      </c>
    </row>
    <row r="294" ht="15.75" customHeight="1">
      <c r="A294" s="1">
        <v>5948.0</v>
      </c>
      <c r="B294" s="1" t="s">
        <v>6</v>
      </c>
      <c r="C294" s="1" t="s">
        <v>291</v>
      </c>
      <c r="D294" s="1" t="str">
        <f>IFERROR(__xludf.DUMMYFUNCTION("CONCATENATE(GOOGLETRANSLATE(C294, ""en"", ""zh-cn""))
"),"学院运动 + 户外一键式 10 英尺 x 10 英尺德克萨斯直腿顶篷")</f>
        <v>学院运动 + 户外一键式 10 英尺 x 10 英尺德克萨斯直腿顶篷</v>
      </c>
      <c r="E294" s="1" t="str">
        <f>IFERROR(__xludf.DUMMYFUNCTION("CONCATENATE(GOOGLETRANSLATE(C294, ""en"", ""ko""))"),"아카데미 스포츠 + 야외 원푸시 10피트 x 10피트 텍사스 직선 다리 캐노피")</f>
        <v>아카데미 스포츠 + 야외 원푸시 10피트 x 10피트 텍사스 직선 다리 캐노피</v>
      </c>
      <c r="F294" s="1" t="str">
        <f>IFERROR(__xludf.DUMMYFUNCTION("CONCATENATE(GOOGLETRANSLATE(C294, ""en"", ""ja""))"),"アカデミー スポーツ + アウトドア ワン プッシュ 10 フィート x 10 フィート テキサス ストレート レッグ キャノピー")</f>
        <v>アカデミー スポーツ + アウトドア ワン プッシュ 10 フィート x 10 フィート テキサス ストレート レッグ キャノピー</v>
      </c>
    </row>
    <row r="295" ht="15.75" customHeight="1">
      <c r="A295" s="1">
        <v>5966.0</v>
      </c>
      <c r="B295" s="1" t="s">
        <v>6</v>
      </c>
      <c r="C295" s="1" t="s">
        <v>292</v>
      </c>
      <c r="D295" s="1" t="str">
        <f>IFERROR(__xludf.DUMMYFUNCTION("CONCATENATE(GOOGLETRANSLATE(C295, ""en"", ""zh-cn""))
"),"对比 Versace 女士 Les Docks 手链手表")</f>
        <v>对比 Versace 女士 Les Docks 手链手表</v>
      </c>
      <c r="E295" s="1" t="str">
        <f>IFERROR(__xludf.DUMMYFUNCTION("CONCATENATE(GOOGLETRANSLATE(C295, ""en"", ""ko""))"),"vs 베르사체 여성용 레 도크 브레이슬릿 시계")</f>
        <v>vs 베르사체 여성용 레 도크 브레이슬릿 시계</v>
      </c>
      <c r="F295" s="1" t="str">
        <f>IFERROR(__xludf.DUMMYFUNCTION("CONCATENATE(GOOGLETRANSLATE(C295, ""en"", ""ja""))"),"vs ヴェルサーチ レディース Les Docks ブレスレット ウォッチ")</f>
        <v>vs ヴェルサーチ レディース Les Docks ブレスレット ウォッチ</v>
      </c>
    </row>
    <row r="296" ht="15.75" customHeight="1">
      <c r="A296" s="1">
        <v>5982.0</v>
      </c>
      <c r="B296" s="1" t="s">
        <v>6</v>
      </c>
      <c r="C296" s="1" t="s">
        <v>293</v>
      </c>
      <c r="D296" s="1" t="str">
        <f>IFERROR(__xludf.DUMMYFUNCTION("CONCATENATE(GOOGLETRANSLATE(C296, ""en"", ""zh-cn""))
"),"Michael Kors 女士 Pyper 三指针皮革手表和珠宝礼品套装")</f>
        <v>Michael Kors 女士 Pyper 三指针皮革手表和珠宝礼品套装</v>
      </c>
      <c r="E296" s="1" t="str">
        <f>IFERROR(__xludf.DUMMYFUNCTION("CONCATENATE(GOOGLETRANSLATE(C296, ""en"", ""ko""))"),"마이클 코어스 여성용 파이퍼 쓰리 핸드 가죽 시계 및 주얼리 선물 세트")</f>
        <v>마이클 코어스 여성용 파이퍼 쓰리 핸드 가죽 시계 및 주얼리 선물 세트</v>
      </c>
      <c r="F296" s="1" t="str">
        <f>IFERROR(__xludf.DUMMYFUNCTION("CONCATENATE(GOOGLETRANSLATE(C296, ""en"", ""ja""))"),"Michael Kors レディース パイパー スリーハンド レザー ウォッチ ジュエリー ギフト セット")</f>
        <v>Michael Kors レディース パイパー スリーハンド レザー ウォッチ ジュエリー ギフト セット</v>
      </c>
    </row>
    <row r="297" ht="15.75" customHeight="1">
      <c r="A297" s="1">
        <v>6011.0</v>
      </c>
      <c r="B297" s="1" t="s">
        <v>6</v>
      </c>
      <c r="C297" s="1" t="s">
        <v>294</v>
      </c>
      <c r="D297" s="1" t="str">
        <f>IFERROR(__xludf.DUMMYFUNCTION("CONCATENATE(GOOGLETRANSLATE(C297, ""en"", ""zh-cn""))
"),"Custype定制手机配件，斜挎带-定制版")</f>
        <v>Custype定制手机配件，斜挎带-定制版</v>
      </c>
      <c r="E297" s="1" t="str">
        <f>IFERROR(__xludf.DUMMYFUNCTION("CONCATENATE(GOOGLETRANSLATE(C297, ""en"", ""ko""))"),"Custype 맞춤형 휴대폰 액세서리, 크로스바디 스트랩 - 맞춤형 버전")</f>
        <v>Custype 맞춤형 휴대폰 액세서리, 크로스바디 스트랩 - 맞춤형 버전</v>
      </c>
      <c r="F297" s="1" t="str">
        <f>IFERROR(__xludf.DUMMYFUNCTION("CONCATENATE(GOOGLETRANSLATE(C297, ""en"", ""ja""))"),"Custype カスタマイズされた電話アクセサリー、クロスボディ ストラップ - カスタマイズされたバージョン")</f>
        <v>Custype カスタマイズされた電話アクセサリー、クロスボディ ストラップ - カスタマイズされたバージョン</v>
      </c>
    </row>
    <row r="298" ht="15.75" customHeight="1">
      <c r="A298" s="1">
        <v>6015.0</v>
      </c>
      <c r="B298" s="1" t="s">
        <v>6</v>
      </c>
      <c r="C298" s="1" t="s">
        <v>295</v>
      </c>
      <c r="D298" s="1" t="str">
        <f>IFERROR(__xludf.DUMMYFUNCTION("CONCATENATE(GOOGLETRANSLATE(C298, ""en"", ""zh-cn""))
"),"PopSockets PopGrip 珐琅精致 Cosmic")</f>
        <v>PopSockets PopGrip 珐琅精致 Cosmic</v>
      </c>
      <c r="E298" s="1" t="str">
        <f>IFERROR(__xludf.DUMMYFUNCTION("CONCATENATE(GOOGLETRANSLATE(C298, ""en"", ""ko""))"),"팝소켓 팝그립 에나멜 데인티 코스믹")</f>
        <v>팝소켓 팝그립 에나멜 데인티 코스믹</v>
      </c>
      <c r="F298" s="1" t="str">
        <f>IFERROR(__xludf.DUMMYFUNCTION("CONCATENATE(GOOGLETRANSLATE(C298, ""en"", ""ja""))"),"ポップソケッツ ポップグリップ エナメル デインティ コズミック")</f>
        <v>ポップソケッツ ポップグリップ エナメル デインティ コズミック</v>
      </c>
    </row>
    <row r="299" ht="15.75" customHeight="1">
      <c r="A299" s="1">
        <v>6056.0</v>
      </c>
      <c r="B299" s="1" t="s">
        <v>6</v>
      </c>
      <c r="C299" s="1" t="s">
        <v>296</v>
      </c>
      <c r="D299" s="1" t="str">
        <f>IFERROR(__xludf.DUMMYFUNCTION("CONCATENATE(GOOGLETRANSLATE(C299, ""en"", ""zh-cn""))
"),"Frigidaire 24 混合型桶式洗碗机")</f>
        <v>Frigidaire 24 混合型桶式洗碗机</v>
      </c>
      <c r="E299" s="1" t="str">
        <f>IFERROR(__xludf.DUMMYFUNCTION("CONCATENATE(GOOGLETRANSLATE(C299, ""en"", ""ko""))"),"Frigidaire 24 하이브리드 욕조 식기세척기")</f>
        <v>Frigidaire 24 하이브리드 욕조 식기세척기</v>
      </c>
      <c r="F299" s="1" t="str">
        <f>IFERROR(__xludf.DUMMYFUNCTION("CONCATENATE(GOOGLETRANSLATE(C299, ""en"", ""ja""))"),"Frigidaire 24 ハイブリッド浴槽食器洗い機")</f>
        <v>Frigidaire 24 ハイブリッド浴槽食器洗い機</v>
      </c>
    </row>
    <row r="300" ht="15.75" customHeight="1">
      <c r="A300" s="1">
        <v>6073.0</v>
      </c>
      <c r="B300" s="1" t="s">
        <v>6</v>
      </c>
      <c r="C300" s="1" t="s">
        <v>297</v>
      </c>
      <c r="D300" s="1" t="str">
        <f>IFERROR(__xludf.DUMMYFUNCTION("CONCATENATE(GOOGLETRANSLATE(C300, ""en"", ""zh-cn""))
"),"Herbalosophy 生物素含摩洛哥坚果油和维生素 B7 洗发水和护发素套装")</f>
        <v>Herbalosophy 生物素含摩洛哥坚果油和维生素 B7 洗发水和护发素套装</v>
      </c>
      <c r="E300" s="1" t="str">
        <f>IFERROR(__xludf.DUMMYFUNCTION("CONCATENATE(GOOGLETRANSLATE(C300, ""en"", ""ko""))"),"아르간 오일과 비타민 B7이 함유된 허벌로소피 비오틴 샴푸 &amp; 컨디셔너 세트")</f>
        <v>아르간 오일과 비타민 B7이 함유된 허벌로소피 비오틴 샴푸 &amp; 컨디셔너 세트</v>
      </c>
      <c r="F300" s="1" t="str">
        <f>IFERROR(__xludf.DUMMYFUNCTION("CONCATENATE(GOOGLETRANSLATE(C300, ""en"", ""ja""))"),"Herbalosophy ビオチン アルガン オイルとビタミン B7 シャンプー &amp; コンディショナー セット")</f>
        <v>Herbalosophy ビオチン アルガン オイルとビタミン B7 シャンプー &amp; コンディショナー セット</v>
      </c>
    </row>
    <row r="301" ht="15.75" customHeight="1">
      <c r="A301" s="1">
        <v>6104.0</v>
      </c>
      <c r="B301" s="1" t="s">
        <v>6</v>
      </c>
      <c r="C301" s="1" t="s">
        <v>298</v>
      </c>
      <c r="D301" s="1" t="str">
        <f>IFERROR(__xludf.DUMMYFUNCTION("CONCATENATE(GOOGLETRANSLATE(C301, ""en"", ""zh-cn""))
"),"The Hair、Skin &amp; Nails 抗氧化剂 120 片")</f>
        <v>The Hair、Skin &amp; Nails 抗氧化剂 120 片</v>
      </c>
      <c r="E301" s="1" t="str">
        <f>IFERROR(__xludf.DUMMYFUNCTION("CONCATENATE(GOOGLETRANSLATE(C301, ""en"", ""ko""))"),"헤어, 스킨 &amp; 네일 항산화제 120정")</f>
        <v>헤어, 스킨 &amp; 네일 항산화제 120정</v>
      </c>
      <c r="F301" s="1" t="str">
        <f>IFERROR(__xludf.DUMMYFUNCTION("CONCATENATE(GOOGLETRANSLATE(C301, ""en"", ""ja""))"),"髪、肌、爪の抗酸化物質 120 錠")</f>
        <v>髪、肌、爪の抗酸化物質 120 錠</v>
      </c>
    </row>
    <row r="302" ht="15.75" customHeight="1">
      <c r="A302" s="1">
        <v>6106.0</v>
      </c>
      <c r="B302" s="1" t="s">
        <v>6</v>
      </c>
      <c r="C302" s="1" t="s">
        <v>299</v>
      </c>
      <c r="D302" s="1" t="str">
        <f>IFERROR(__xludf.DUMMYFUNCTION("CONCATENATE(GOOGLETRANSLATE(C302, ""en"", ""zh-cn""))
"),"Beaute Blossom 高级发套")</f>
        <v>Beaute Blossom 高级发套</v>
      </c>
      <c r="E302" s="1" t="str">
        <f>IFERROR(__xludf.DUMMYFUNCTION("CONCATENATE(GOOGLETRANSLATE(C302, ""en"", ""ko""))"),"보떼 블라썸 프리미엄 헤어세트")</f>
        <v>보떼 블라썸 프리미엄 헤어세트</v>
      </c>
      <c r="F302" s="1" t="str">
        <f>IFERROR(__xludf.DUMMYFUNCTION("CONCATENATE(GOOGLETRANSLATE(C302, ""en"", ""ja""))"),"ボーテ ブロッサム プレミアム ヘアセット")</f>
        <v>ボーテ ブロッサム プレミアム ヘアセット</v>
      </c>
    </row>
    <row r="303" ht="15.75" customHeight="1">
      <c r="A303" s="1">
        <v>6108.0</v>
      </c>
      <c r="B303" s="1" t="s">
        <v>6</v>
      </c>
      <c r="C303" s="1" t="s">
        <v>300</v>
      </c>
      <c r="D303" s="1" t="str">
        <f>IFERROR(__xludf.DUMMYFUNCTION("CONCATENATE(GOOGLETRANSLATE(C303, ""en"", ""zh-cn""))
"),"自然之宝生物素")</f>
        <v>自然之宝生物素</v>
      </c>
      <c r="E303" s="1" t="str">
        <f>IFERROR(__xludf.DUMMYFUNCTION("CONCATENATE(GOOGLETRANSLATE(C303, ""en"", ""ko""))"),"비오틴 자연의 현상금")</f>
        <v>비오틴 자연의 현상금</v>
      </c>
      <c r="F303" s="1" t="str">
        <f>IFERROR(__xludf.DUMMYFUNCTION("CONCATENATE(GOOGLETRANSLATE(C303, ""en"", ""ja""))"),"ビオチン自然の恵み")</f>
        <v>ビオチン自然の恵み</v>
      </c>
    </row>
    <row r="304" ht="15.75" customHeight="1">
      <c r="A304" s="1">
        <v>6140.0</v>
      </c>
      <c r="B304" s="1" t="s">
        <v>6</v>
      </c>
      <c r="C304" s="1" t="s">
        <v>301</v>
      </c>
      <c r="D304" s="1" t="str">
        <f>IFERROR(__xludf.DUMMYFUNCTION("CONCATENATE(GOOGLETRANSLATE(C304, ""en"", ""zh-cn""))
"),"Hers 头发再生泡沫护理")</f>
        <v>Hers 头发再生泡沫护理</v>
      </c>
      <c r="E304" s="1" t="str">
        <f>IFERROR(__xludf.DUMMYFUNCTION("CONCATENATE(GOOGLETRANSLATE(C304, ""en"", ""ko""))"),"Hers 헤어 재성장 폼 트리트먼트")</f>
        <v>Hers 헤어 재성장 폼 트리트먼트</v>
      </c>
      <c r="F304" s="1" t="str">
        <f>IFERROR(__xludf.DUMMYFUNCTION("CONCATENATE(GOOGLETRANSLATE(C304, ""en"", ""ja""))"),"ハーズ ヘア リグロース フォーム トリートメント")</f>
        <v>ハーズ ヘア リグロース フォーム トリートメント</v>
      </c>
    </row>
    <row r="305" ht="15.75" customHeight="1">
      <c r="A305" s="1">
        <v>6171.0</v>
      </c>
      <c r="B305" s="1" t="s">
        <v>6</v>
      </c>
      <c r="C305" s="1" t="s">
        <v>302</v>
      </c>
      <c r="D305" s="1" t="str">
        <f>IFERROR(__xludf.DUMMYFUNCTION("CONCATENATE(GOOGLETRANSLATE(C305, ""en"", ""zh-cn""))
"),"为你疯狂[电子书]")</f>
        <v>为你疯狂[电子书]</v>
      </c>
      <c r="E305" s="1" t="str">
        <f>IFERROR(__xludf.DUMMYFUNCTION("CONCATENATE(GOOGLETRANSLATE(C305, ""en"", ""ko""))"),"당신에 대해 미쳤어요 [eBook]")</f>
        <v>당신에 대해 미쳤어요 [eBook]</v>
      </c>
      <c r="F305" s="1" t="str">
        <f>IFERROR(__xludf.DUMMYFUNCTION("CONCATENATE(GOOGLETRANSLATE(C305, ""en"", ""ja""))"),"クレイジー・アバウト・ユー [電子書籍]")</f>
        <v>クレイジー・アバウト・ユー [電子書籍]</v>
      </c>
    </row>
    <row r="306" ht="15.75" customHeight="1">
      <c r="A306" s="1">
        <v>6203.0</v>
      </c>
      <c r="B306" s="1" t="s">
        <v>6</v>
      </c>
      <c r="C306" s="1" t="s">
        <v>303</v>
      </c>
      <c r="D306" s="1" t="str">
        <f>IFERROR(__xludf.DUMMYFUNCTION("CONCATENATE(GOOGLETRANSLATE(C306, ""en"", ""zh-cn""))
"),"成长心态电子书职业和个人成长指南")</f>
        <v>成长心态电子书职业和个人成长指南</v>
      </c>
      <c r="E306" s="1" t="str">
        <f>IFERROR(__xludf.DUMMYFUNCTION("CONCATENATE(GOOGLETRANSLATE(C306, ""en"", ""ko""))"),"성장 사고방식 E-Book 직업적, 개인적 성장을 위한 가이드")</f>
        <v>성장 사고방식 E-Book 직업적, 개인적 성장을 위한 가이드</v>
      </c>
      <c r="F306" s="1" t="str">
        <f>IFERROR(__xludf.DUMMYFUNCTION("CONCATENATE(GOOGLETRANSLATE(C306, ""en"", ""ja""))"),"成長マインドセット電子書籍 職業的および個人的な成長へのガイド")</f>
        <v>成長マインドセット電子書籍 職業的および個人的な成長へのガイド</v>
      </c>
    </row>
    <row r="307" ht="15.75" customHeight="1">
      <c r="A307" s="1">
        <v>6241.0</v>
      </c>
      <c r="B307" s="1" t="s">
        <v>6</v>
      </c>
      <c r="C307" s="1" t="s">
        <v>304</v>
      </c>
      <c r="D307" s="1" t="str">
        <f>IFERROR(__xludf.DUMMYFUNCTION("CONCATENATE(GOOGLETRANSLATE(C307, ""en"", ""zh-cn""))
"),"可短信苹果电子礼品卡 |礼品雅")</f>
        <v>可短信苹果电子礼品卡 |礼品雅</v>
      </c>
      <c r="E307" s="1" t="str">
        <f>IFERROR(__xludf.DUMMYFUNCTION("CONCATENATE(GOOGLETRANSLATE(C307, ""en"", ""ko""))"),"문자가 가능한 Apple E-기프트 카드 | 기프트야")</f>
        <v>문자가 가능한 Apple E-기프트 카드 | 기프트야</v>
      </c>
      <c r="F307" s="1" t="str">
        <f>IFERROR(__xludf.DUMMYFUNCTION("CONCATENATE(GOOGLETRANSLATE(C307, ""en"", ""ja""))"),"テキスト可能な Apple E ギフト カード |ギフトや")</f>
        <v>テキスト可能な Apple E ギフト カード |ギフトや</v>
      </c>
    </row>
    <row r="308" ht="15.75" customHeight="1">
      <c r="A308" s="1">
        <v>6248.0</v>
      </c>
      <c r="B308" s="1" t="s">
        <v>6</v>
      </c>
      <c r="C308" s="1" t="s">
        <v>305</v>
      </c>
      <c r="D308" s="1" t="str">
        <f>IFERROR(__xludf.DUMMYFUNCTION("CONCATENATE(GOOGLETRANSLATE(C308, ""en"", ""zh-cn""))
"),"Apple 礼品卡 App Store Itunes 值：10.25.50。 100. 仅限我们")</f>
        <v>Apple 礼品卡 App Store Itunes 值：10.25.50。 100. 仅限我们</v>
      </c>
      <c r="E308" s="1" t="str">
        <f>IFERROR(__xludf.DUMMYFUNCTION("CONCATENATE(GOOGLETRANSLATE(C308, ""en"", ""ko""))"),"Apple 기프트 카드 앱 스토어 Itunes 값:10.25.50. 100. 우리만을 위한 것")</f>
        <v>Apple 기프트 카드 앱 스토어 Itunes 값:10.25.50. 100. 우리만을 위한 것</v>
      </c>
      <c r="F308" s="1" t="str">
        <f>IFERROR(__xludf.DUMMYFUNCTION("CONCATENATE(GOOGLETRANSLATE(C308, ""en"", ""ja""))"),"Apple Gift Card App Store Itunes 値:10.25.50。 100.私たちだけのために")</f>
        <v>Apple Gift Card App Store Itunes 値:10.25.50。 100.私たちだけのために</v>
      </c>
    </row>
    <row r="309" ht="15.75" customHeight="1">
      <c r="A309" s="1">
        <v>6251.0</v>
      </c>
      <c r="B309" s="1" t="s">
        <v>6</v>
      </c>
      <c r="C309" s="1" t="s">
        <v>306</v>
      </c>
      <c r="D309" s="1" t="str">
        <f>IFERROR(__xludf.DUMMYFUNCTION("CONCATENATE(GOOGLETRANSLATE(C309, ""en"", ""zh-cn""))
"),"Apple 礼品卡（美国）")</f>
        <v>Apple 礼品卡（美国）</v>
      </c>
      <c r="E309" s="1" t="str">
        <f>IFERROR(__xludf.DUMMYFUNCTION("CONCATENATE(GOOGLETRANSLATE(C309, ""en"", ""ko""))"),"Apple 기프트 카드(미국)")</f>
        <v>Apple 기프트 카드(미국)</v>
      </c>
      <c r="F309" s="1" t="str">
        <f>IFERROR(__xludf.DUMMYFUNCTION("CONCATENATE(GOOGLETRANSLATE(C309, ""en"", ""ja""))"),"Apple ギフトカード (米国)")</f>
        <v>Apple ギフトカード (米国)</v>
      </c>
    </row>
    <row r="310" ht="15.75" customHeight="1">
      <c r="A310" s="1">
        <v>6278.0</v>
      </c>
      <c r="B310" s="1" t="s">
        <v>6</v>
      </c>
      <c r="C310" s="1" t="s">
        <v>307</v>
      </c>
      <c r="D310" s="1" t="str">
        <f>IFERROR(__xludf.DUMMYFUNCTION("CONCATENATE(GOOGLETRANSLATE(C310, ""en"", ""zh-cn""))
"),"索尼 PlayStation Store 蝴蝶结礼品卡")</f>
        <v>索尼 PlayStation Store 蝴蝶结礼品卡</v>
      </c>
      <c r="E310" s="1" t="str">
        <f>IFERROR(__xludf.DUMMYFUNCTION("CONCATENATE(GOOGLETRANSLATE(C310, ""en"", ""ko""))"),"Sony PlayStation Store 보우 기프트 카드")</f>
        <v>Sony PlayStation Store 보우 기프트 카드</v>
      </c>
      <c r="F310" s="1" t="str">
        <f>IFERROR(__xludf.DUMMYFUNCTION("CONCATENATE(GOOGLETRANSLATE(C310, ""en"", ""ja""))"),"Sony PlayStation Store バウ ギフトカード")</f>
        <v>Sony PlayStation Store バウ ギフトカード</v>
      </c>
    </row>
    <row r="311" ht="15.75" customHeight="1">
      <c r="A311" s="1">
        <v>6300.0</v>
      </c>
      <c r="B311" s="1" t="s">
        <v>6</v>
      </c>
      <c r="C311" s="1" t="s">
        <v>308</v>
      </c>
      <c r="D311" s="1" t="str">
        <f>IFERROR(__xludf.DUMMYFUNCTION("CONCATENATE(GOOGLETRANSLATE(C311, ""en"", ""zh-cn""))
"),"Inside - Sony PlayStation 4 [数字下载]")</f>
        <v>Inside - Sony PlayStation 4 [数字下载]</v>
      </c>
      <c r="E311" s="1" t="str">
        <f>IFERROR(__xludf.DUMMYFUNCTION("CONCATENATE(GOOGLETRANSLATE(C311, ""en"", ""ko""))"),"내부 - Sony PlayStation 4 [디지털 다운로드]")</f>
        <v>내부 - Sony PlayStation 4 [디지털 다운로드]</v>
      </c>
      <c r="F311" s="1" t="str">
        <f>IFERROR(__xludf.DUMMYFUNCTION("CONCATENATE(GOOGLETRANSLATE(C311, ""en"", ""ja""))"),"Inside - Sony PlayStation 4 [デジタルダウンロード]")</f>
        <v>Inside - Sony PlayStation 4 [デジタルダウンロード]</v>
      </c>
    </row>
    <row r="312" ht="15.75" customHeight="1">
      <c r="A312" s="1">
        <v>6314.0</v>
      </c>
      <c r="B312" s="1" t="s">
        <v>6</v>
      </c>
      <c r="C312" s="1" t="s">
        <v>309</v>
      </c>
      <c r="D312" s="1" t="str">
        <f>IFERROR(__xludf.DUMMYFUNCTION("CONCATENATE(GOOGLETRANSLATE(C312, ""en"", ""zh-cn""))
"),"任天堂 eShop 礼品卡")</f>
        <v>任天堂 eShop 礼品卡</v>
      </c>
      <c r="E312" s="1" t="str">
        <f>IFERROR(__xludf.DUMMYFUNCTION("CONCATENATE(GOOGLETRANSLATE(C312, ""en"", ""ko""))"),"Nintendo eShop 기프트 카드")</f>
        <v>Nintendo eShop 기프트 카드</v>
      </c>
      <c r="F312" s="1" t="str">
        <f>IFERROR(__xludf.DUMMYFUNCTION("CONCATENATE(GOOGLETRANSLATE(C312, ""en"", ""ja""))"),"ニンテンドーeショップギフトカード")</f>
        <v>ニンテンドーeショップギフトカード</v>
      </c>
    </row>
    <row r="313" ht="15.75" customHeight="1">
      <c r="A313" s="1">
        <v>6319.0</v>
      </c>
      <c r="B313" s="1" t="s">
        <v>6</v>
      </c>
      <c r="C313" s="1" t="s">
        <v>310</v>
      </c>
      <c r="D313" s="1" t="str">
        <f>IFERROR(__xludf.DUMMYFUNCTION("CONCATENATE(GOOGLETRANSLATE(C313, ""en"", ""zh-cn""))
"),"任天堂 Switch 内部")</f>
        <v>任天堂 Switch 内部</v>
      </c>
      <c r="E313" s="1" t="str">
        <f>IFERROR(__xludf.DUMMYFUNCTION("CONCATENATE(GOOGLETRANSLATE(C313, ""en"", ""ko""))"),"닌텐도 스위치 내부")</f>
        <v>닌텐도 스위치 내부</v>
      </c>
      <c r="F313" s="1" t="str">
        <f>IFERROR(__xludf.DUMMYFUNCTION("CONCATENATE(GOOGLETRANSLATE(C313, ""en"", ""ja""))"),"Nintendo Switchの内部")</f>
        <v>Nintendo Switchの内部</v>
      </c>
    </row>
    <row r="314" ht="15.75" customHeight="1">
      <c r="A314" s="1">
        <v>6321.0</v>
      </c>
      <c r="B314" s="1" t="s">
        <v>6</v>
      </c>
      <c r="C314" s="1" t="s">
        <v>311</v>
      </c>
      <c r="D314" s="1" t="str">
        <f>IFERROR(__xludf.DUMMYFUNCTION("CONCATENATE(GOOGLETRANSLATE(C314, ""en"", ""zh-cn""))
"),"任天堂礼品卡")</f>
        <v>任天堂礼品卡</v>
      </c>
      <c r="E314" s="1" t="str">
        <f>IFERROR(__xludf.DUMMYFUNCTION("CONCATENATE(GOOGLETRANSLATE(C314, ""en"", ""ko""))"),"닌텐도 기프트 카드")</f>
        <v>닌텐도 기프트 카드</v>
      </c>
      <c r="F314" s="1" t="str">
        <f>IFERROR(__xludf.DUMMYFUNCTION("CONCATENATE(GOOGLETRANSLATE(C314, ""en"", ""ja""))"),"ニンテンドーギフトカード")</f>
        <v>ニンテンドーギフトカード</v>
      </c>
    </row>
    <row r="315" ht="15.75" customHeight="1">
      <c r="A315" s="1">
        <v>6344.0</v>
      </c>
      <c r="B315" s="1" t="s">
        <v>6</v>
      </c>
      <c r="C315" s="1" t="s">
        <v>312</v>
      </c>
      <c r="D315" s="1" t="str">
        <f>IFERROR(__xludf.DUMMYFUNCTION("CONCATENATE(GOOGLETRANSLATE(C315, ""en"", ""zh-cn""))
"),"马里奥网球王牌")</f>
        <v>马里奥网球王牌</v>
      </c>
      <c r="E315" s="1" t="str">
        <f>IFERROR(__xludf.DUMMYFUNCTION("CONCATENATE(GOOGLETRANSLATE(C315, ""en"", ""ko""))"),"마리오 테니스 에이스")</f>
        <v>마리오 테니스 에이스</v>
      </c>
      <c r="F315" s="1" t="str">
        <f>IFERROR(__xludf.DUMMYFUNCTION("CONCATENATE(GOOGLETRANSLATE(C315, ""en"", ""ja""))"),"マリオテニス エース")</f>
        <v>マリオテニス エース</v>
      </c>
    </row>
    <row r="316" ht="15.75" customHeight="1">
      <c r="A316" s="1">
        <v>6372.0</v>
      </c>
      <c r="B316" s="1" t="s">
        <v>6</v>
      </c>
      <c r="C316" s="1" t="s">
        <v>313</v>
      </c>
      <c r="D316" s="1" t="str">
        <f>IFERROR(__xludf.DUMMYFUNCTION("CONCATENATE(GOOGLETRANSLATE(C316, ""en"", ""zh-cn""))
"),"阿迪达斯男式三条纹经编锥形运动裤")</f>
        <v>阿迪达斯男式三条纹经编锥形运动裤</v>
      </c>
      <c r="E316" s="1" t="str">
        <f>IFERROR(__xludf.DUMMYFUNCTION("CONCATENATE(GOOGLETRANSLATE(C316, ""en"", ""ko""))"),"adidas 남성용 3-스트라이프 트리코 테이퍼드 트랙 팬츠")</f>
        <v>adidas 남성용 3-스트라이프 트리코 테이퍼드 트랙 팬츠</v>
      </c>
      <c r="F316" s="1" t="str">
        <f>IFERROR(__xludf.DUMMYFUNCTION("CONCATENATE(GOOGLETRANSLATE(C316, ""en"", ""ja""))"),"adidas メンズ 3 ストライプ トリコット テーパード トラック パンツ")</f>
        <v>adidas メンズ 3 ストライプ トリコット テーパード トラック パンツ</v>
      </c>
    </row>
    <row r="317" ht="15.75" customHeight="1">
      <c r="A317" s="1">
        <v>6388.0</v>
      </c>
      <c r="B317" s="1" t="s">
        <v>6</v>
      </c>
      <c r="C317" s="1" t="s">
        <v>314</v>
      </c>
      <c r="D317" s="1" t="str">
        <f>IFERROR(__xludf.DUMMYFUNCTION("CONCATENATE(GOOGLETRANSLATE(C317, ""en"", ""zh-cn""))
"),"阿迪达斯男式设计 2 Move 3 条纹 Primeblue 短裤")</f>
        <v>阿迪达斯男式设计 2 Move 3 条纹 Primeblue 短裤</v>
      </c>
      <c r="E317" s="1" t="str">
        <f>IFERROR(__xludf.DUMMYFUNCTION("CONCATENATE(GOOGLETRANSLATE(C317, ""en"", ""ko""))"),"Adidas 남성용 디자인 2 Move 3-스트라이프 프라임블루 반바지")</f>
        <v>Adidas 남성용 디자인 2 Move 3-스트라이프 프라임블루 반바지</v>
      </c>
      <c r="F317" s="1" t="str">
        <f>IFERROR(__xludf.DUMMYFUNCTION("CONCATENATE(GOOGLETRANSLATE(C317, ""en"", ""ja""))"),"Adidas メンズ デザイン 2 ムーブ 3 ストライプ プライムブルー ショーツ")</f>
        <v>Adidas メンズ デザイン 2 ムーブ 3 ストライプ プライムブルー ショーツ</v>
      </c>
    </row>
    <row r="318" ht="15.75" customHeight="1">
      <c r="A318" s="1">
        <v>6405.0</v>
      </c>
      <c r="B318" s="1" t="s">
        <v>6</v>
      </c>
      <c r="C318" s="1" t="s">
        <v>315</v>
      </c>
      <c r="D318" s="1" t="str">
        <f>IFERROR(__xludf.DUMMYFUNCTION("CONCATENATE(GOOGLETRANSLATE(C318, ""en"", ""zh-cn""))
"),"ASICS 女士活动针织裤")</f>
        <v>ASICS 女士活动针织裤</v>
      </c>
      <c r="E318" s="1" t="str">
        <f>IFERROR(__xludf.DUMMYFUNCTION("CONCATENATE(GOOGLETRANSLATE(C318, ""en"", ""ko""))"),"ASICS 여성용 모빌리티 니트 팬츠")</f>
        <v>ASICS 여성용 모빌리티 니트 팬츠</v>
      </c>
      <c r="F318" s="1" t="str">
        <f>IFERROR(__xludf.DUMMYFUNCTION("CONCATENATE(GOOGLETRANSLATE(C318, ""en"", ""ja""))"),"アシックス モビリティニットパンツ レディース")</f>
        <v>アシックス モビリティニットパンツ レディース</v>
      </c>
    </row>
    <row r="319" ht="15.75" customHeight="1">
      <c r="A319" s="1">
        <v>6424.0</v>
      </c>
      <c r="B319" s="1" t="s">
        <v>6</v>
      </c>
      <c r="C319" s="1" t="s">
        <v>316</v>
      </c>
      <c r="D319" s="1" t="str">
        <f>IFERROR(__xludf.DUMMYFUNCTION("CONCATENATE(GOOGLETRANSLATE(C319, ""en"", ""zh-cn""))
"),"ASICS 男士机动性针织长裤")</f>
        <v>ASICS 男士机动性针织长裤</v>
      </c>
      <c r="E319" s="1" t="str">
        <f>IFERROR(__xludf.DUMMYFUNCTION("CONCATENATE(GOOGLETRANSLATE(C319, ""en"", ""ko""))"),"아식스 남성 모빌리티 니트 팬츠")</f>
        <v>아식스 남성 모빌리티 니트 팬츠</v>
      </c>
      <c r="F319" s="1" t="str">
        <f>IFERROR(__xludf.DUMMYFUNCTION("CONCATENATE(GOOGLETRANSLATE(C319, ""en"", ""ja""))"),"アシックス メンズ モビリティニットパンツ")</f>
        <v>アシックス メンズ モビリティニットパンツ</v>
      </c>
    </row>
    <row r="320" ht="15.75" customHeight="1">
      <c r="A320" s="1">
        <v>6442.0</v>
      </c>
      <c r="B320" s="1" t="s">
        <v>6</v>
      </c>
      <c r="C320" s="1" t="s">
        <v>317</v>
      </c>
      <c r="D320" s="1" t="str">
        <f>IFERROR(__xludf.DUMMYFUNCTION("CONCATENATE(GOOGLETRANSLATE(C320, ""en"", ""zh-cn""))
"),"Gymshark 速度护腿")</f>
        <v>Gymshark 速度护腿</v>
      </c>
      <c r="E320" s="1" t="str">
        <f>IFERROR(__xludf.DUMMYFUNCTION("CONCATENATE(GOOGLETRANSLATE(C320, ""en"", ""ko""))"),"Gymshark 스피드 레깅스")</f>
        <v>Gymshark 스피드 레깅스</v>
      </c>
      <c r="F320" s="1" t="str">
        <f>IFERROR(__xludf.DUMMYFUNCTION("CONCATENATE(GOOGLETRANSLATE(C320, ""en"", ""ja""))"),"ジムシャーク スピード レギンス")</f>
        <v>ジムシャーク スピード レギンス</v>
      </c>
    </row>
    <row r="321" ht="15.75" customHeight="1">
      <c r="A321" s="1">
        <v>6445.0</v>
      </c>
      <c r="B321" s="1" t="s">
        <v>6</v>
      </c>
      <c r="C321" s="1" t="s">
        <v>318</v>
      </c>
      <c r="D321" s="1" t="str">
        <f>IFERROR(__xludf.DUMMYFUNCTION("CONCATENATE(GOOGLETRANSLATE(C321, ""en"", ""zh-cn""))
"),"GYMSHARK Geo 无缝黑色/炭灰色")</f>
        <v>GYMSHARK Geo 无缝黑色/炭灰色</v>
      </c>
      <c r="E321" s="1" t="str">
        <f>IFERROR(__xludf.DUMMYFUNCTION("CONCATENATE(GOOGLETRANSLATE(C321, ""en"", ""ko""))"),"GYMSHARK 지오 심리스 블랙/차콜 그레이")</f>
        <v>GYMSHARK 지오 심리스 블랙/차콜 그레이</v>
      </c>
      <c r="F321" s="1" t="str">
        <f>IFERROR(__xludf.DUMMYFUNCTION("CONCATENATE(GOOGLETRANSLATE(C321, ""en"", ""ja""))"),"ジムシャーク ジオ シームレス ブラック/チャコール グレー")</f>
        <v>ジムシャーク ジオ シームレス ブラック/チャコール グレー</v>
      </c>
    </row>
    <row r="322" ht="15.75" customHeight="1">
      <c r="A322" s="1">
        <v>6450.0</v>
      </c>
      <c r="B322" s="1" t="s">
        <v>6</v>
      </c>
      <c r="C322" s="1" t="s">
        <v>319</v>
      </c>
      <c r="D322" s="1" t="str">
        <f>IFERROR(__xludf.DUMMYFUNCTION("CONCATENATE(GOOGLETRANSLATE(C322, ""en"", ""zh-cn""))
"),"Gymshark Lift 无缝拉链夹克")</f>
        <v>Gymshark Lift 无缝拉链夹克</v>
      </c>
      <c r="E322" s="1" t="str">
        <f>IFERROR(__xludf.DUMMYFUNCTION("CONCATENATE(GOOGLETRANSLATE(C322, ""en"", ""ko""))"),"Gymshark 리프트 심리스 집업 재킷")</f>
        <v>Gymshark 리프트 심리스 집업 재킷</v>
      </c>
      <c r="F322" s="1" t="str">
        <f>IFERROR(__xludf.DUMMYFUNCTION("CONCATENATE(GOOGLETRANSLATE(C322, ""en"", ""ja""))"),"ジムシャーク リフト シームレス ジップアップ ジャケット")</f>
        <v>ジムシャーク リフト シームレス ジップアップ ジャケット</v>
      </c>
    </row>
    <row r="323" ht="15.75" customHeight="1">
      <c r="A323" s="1">
        <v>6451.0</v>
      </c>
      <c r="B323" s="1" t="s">
        <v>6</v>
      </c>
      <c r="C323" s="1" t="s">
        <v>320</v>
      </c>
      <c r="D323" s="1" t="str">
        <f>IFERROR(__xludf.DUMMYFUNCTION("CONCATENATE(GOOGLETRANSLATE(C323, ""en"", ""zh-cn""))
"),"Gymshark 日常无缝打底裤")</f>
        <v>Gymshark 日常无缝打底裤</v>
      </c>
      <c r="E323" s="1" t="str">
        <f>IFERROR(__xludf.DUMMYFUNCTION("CONCATENATE(GOOGLETRANSLATE(C323, ""en"", ""ko""))"),"Gymshark 에브리데이 심리스 레깅스")</f>
        <v>Gymshark 에브리데이 심리스 레깅스</v>
      </c>
      <c r="F323" s="1" t="str">
        <f>IFERROR(__xludf.DUMMYFUNCTION("CONCATENATE(GOOGLETRANSLATE(C323, ""en"", ""ja""))"),"Gymshark エブリデイ シームレス レギンス")</f>
        <v>Gymshark エブリデイ シームレス レギンス</v>
      </c>
    </row>
    <row r="324" ht="15.75" customHeight="1">
      <c r="A324" s="1">
        <v>6495.0</v>
      </c>
      <c r="B324" s="1" t="s">
        <v>6</v>
      </c>
      <c r="C324" s="1" t="s">
        <v>321</v>
      </c>
      <c r="D324" s="1" t="str">
        <f>IFERROR(__xludf.DUMMYFUNCTION("CONCATENATE(GOOGLETRANSLATE(C324, ""en"", ""zh-cn""))
"),"lululemon 女式舞蹈工作室中腰慢跑裤全长")</f>
        <v>lululemon 女式舞蹈工作室中腰慢跑裤全长</v>
      </c>
      <c r="E324" s="1" t="str">
        <f>IFERROR(__xludf.DUMMYFUNCTION("CONCATENATE(GOOGLETRANSLATE(C324, ""en"", ""ko""))"),"lululemon 여성 댄스 스튜디오 미드라이즈 조깅 전체 길이")</f>
        <v>lululemon 여성 댄스 스튜디오 미드라이즈 조깅 전체 길이</v>
      </c>
      <c r="F324" s="1" t="str">
        <f>IFERROR(__xludf.DUMMYFUNCTION("CONCATENATE(GOOGLETRANSLATE(C324, ""en"", ""ja""))"),"ルルレモン レディース ダンススタジオ ミッドライズ ジョガー フルレングス")</f>
        <v>ルルレモン レディース ダンススタジオ ミッドライズ ジョガー フルレングス</v>
      </c>
    </row>
    <row r="325" ht="15.75" customHeight="1">
      <c r="A325" s="1">
        <v>6519.0</v>
      </c>
      <c r="B325" s="1" t="s">
        <v>6</v>
      </c>
      <c r="C325" s="1" t="s">
        <v>322</v>
      </c>
      <c r="D325" s="1" t="str">
        <f>IFERROR(__xludf.DUMMYFUNCTION("CONCATENATE(GOOGLETRANSLATE(C325, ""en"", ""zh-cn""))
"),"耐克男士俱乐部抓绒套头连帽衫")</f>
        <v>耐克男士俱乐部抓绒套头连帽衫</v>
      </c>
      <c r="E325" s="1" t="str">
        <f>IFERROR(__xludf.DUMMYFUNCTION("CONCATENATE(GOOGLETRANSLATE(C325, ""en"", ""ko""))"),"나이키 남성 클럽 플리스 풀오버 후디")</f>
        <v>나이키 남성 클럽 플리스 풀오버 후디</v>
      </c>
      <c r="F325" s="1" t="str">
        <f>IFERROR(__xludf.DUMMYFUNCTION("CONCATENATE(GOOGLETRANSLATE(C325, ""en"", ""ja""))"),"ナイキ メンズ クラブ フリース プルオーバー パーカー")</f>
        <v>ナイキ メンズ クラブ フリース プルオーバー パーカー</v>
      </c>
    </row>
    <row r="326" ht="15.75" customHeight="1">
      <c r="A326" s="1">
        <v>6521.0</v>
      </c>
      <c r="B326" s="1" t="s">
        <v>6</v>
      </c>
      <c r="C326" s="1" t="s">
        <v>323</v>
      </c>
      <c r="D326" s="1" t="str">
        <f>IFERROR(__xludf.DUMMYFUNCTION("CONCATENATE(GOOGLETRANSLATE(C326, ""en"", ""zh-cn""))
"),"耐克女式中腰斜纹长裤")</f>
        <v>耐克女式中腰斜纹长裤</v>
      </c>
      <c r="E326" s="1" t="str">
        <f>IFERROR(__xludf.DUMMYFUNCTION("CONCATENATE(GOOGLETRANSLATE(C326, ""en"", ""ko""))"),"나이키 여성용 미드라이즈 트윌 바지")</f>
        <v>나이키 여성용 미드라이즈 트윌 바지</v>
      </c>
      <c r="F326" s="1" t="str">
        <f>IFERROR(__xludf.DUMMYFUNCTION("CONCATENATE(GOOGLETRANSLATE(C326, ""en"", ""ja""))"),"ナイキ ウィメンズ ミッドライズ ツイル パンツ")</f>
        <v>ナイキ ウィメンズ ミッドライズ ツイル パンツ</v>
      </c>
    </row>
    <row r="327" ht="15.75" customHeight="1">
      <c r="A327" s="1">
        <v>6535.0</v>
      </c>
      <c r="B327" s="1" t="s">
        <v>6</v>
      </c>
      <c r="C327" s="1" t="s">
        <v>324</v>
      </c>
      <c r="D327" s="1" t="str">
        <f>IFERROR(__xludf.DUMMYFUNCTION("CONCATENATE(GOOGLETRANSLATE(C327, ""en"", ""zh-cn""))
"),"耐克女式中腰超大俱乐部抓绒运动裤")</f>
        <v>耐克女式中腰超大俱乐部抓绒运动裤</v>
      </c>
      <c r="E327" s="1" t="str">
        <f>IFERROR(__xludf.DUMMYFUNCTION("CONCATENATE(GOOGLETRANSLATE(C327, ""en"", ""ko""))"),"나이키 여성용 미드라이즈 오버사이즈 클럽 플리스 스웨트팬츠")</f>
        <v>나이키 여성용 미드라이즈 오버사이즈 클럽 플리스 스웨트팬츠</v>
      </c>
      <c r="F327" s="1" t="str">
        <f>IFERROR(__xludf.DUMMYFUNCTION("CONCATENATE(GOOGLETRANSLATE(C327, ""en"", ""ja""))"),"ナイキ レディース ミッドライズ オーバーサイズ クラブ フリース スウェットパンツ")</f>
        <v>ナイキ レディース ミッドライズ オーバーサイズ クラブ フリース スウェットパンツ</v>
      </c>
    </row>
    <row r="328" ht="15.75" customHeight="1">
      <c r="A328" s="1">
        <v>6547.0</v>
      </c>
      <c r="B328" s="1" t="s">
        <v>6</v>
      </c>
      <c r="C328" s="1" t="s">
        <v>325</v>
      </c>
      <c r="D328" s="1" t="str">
        <f>IFERROR(__xludf.DUMMYFUNCTION("CONCATENATE(GOOGLETRANSLATE(C328, ""en"", ""zh-cn""))
"),"男士 Nike Therma-FIT 长裤")</f>
        <v>男士 Nike Therma-FIT 长裤</v>
      </c>
      <c r="E328" s="1" t="str">
        <f>IFERROR(__xludf.DUMMYFUNCTION("CONCATENATE(GOOGLETRANSLATE(C328, ""en"", ""ko""))"),"남성용 나이키 써마핏 팬츠")</f>
        <v>남성용 나이키 써마핏 팬츠</v>
      </c>
      <c r="F328" s="1" t="str">
        <f>IFERROR(__xludf.DUMMYFUNCTION("CONCATENATE(GOOGLETRANSLATE(C328, ""en"", ""ja""))"),"メンズ ナイキ サーマ フィット パンツ")</f>
        <v>メンズ ナイキ サーマ フィット パンツ</v>
      </c>
    </row>
    <row r="329" ht="15.75" customHeight="1">
      <c r="A329" s="1">
        <v>6548.0</v>
      </c>
      <c r="B329" s="1" t="s">
        <v>6</v>
      </c>
      <c r="C329" s="1" t="s">
        <v>326</v>
      </c>
      <c r="D329" s="1" t="str">
        <f>IFERROR(__xludf.DUMMYFUNCTION("CONCATENATE(GOOGLETRANSLATE(C329, ""en"", ""zh-cn""))
"),"耐克男士 Sportswear Club 填充夹克")</f>
        <v>耐克男士 Sportswear Club 填充夹克</v>
      </c>
      <c r="E329" s="1" t="str">
        <f>IFERROR(__xludf.DUMMYFUNCTION("CONCATENATE(GOOGLETRANSLATE(C329, ""en"", ""ko""))"),"나이키 남성 스포츠웨어 클럽 퍼퍼 재킷")</f>
        <v>나이키 남성 스포츠웨어 클럽 퍼퍼 재킷</v>
      </c>
      <c r="F329" s="1" t="str">
        <f>IFERROR(__xludf.DUMMYFUNCTION("CONCATENATE(GOOGLETRANSLATE(C329, ""en"", ""ja""))"),"ナイキ メンズ スポーツウェア クラブ パファー ジャケット")</f>
        <v>ナイキ メンズ スポーツウェア クラブ パファー ジャケット</v>
      </c>
    </row>
    <row r="330" ht="15.75" customHeight="1">
      <c r="A330" s="1">
        <v>6549.0</v>
      </c>
      <c r="B330" s="1" t="s">
        <v>6</v>
      </c>
      <c r="C330" s="1" t="s">
        <v>327</v>
      </c>
      <c r="D330" s="1" t="str">
        <f>IFERROR(__xludf.DUMMYFUNCTION("CONCATENATE(GOOGLETRANSLATE(C330, ""en"", ""zh-cn""))
"),"耐克男式空气涤纶针织运动裤")</f>
        <v>耐克男式空气涤纶针织运动裤</v>
      </c>
      <c r="E330" s="1" t="str">
        <f>IFERROR(__xludf.DUMMYFUNCTION("CONCATENATE(GOOGLETRANSLATE(C330, ""en"", ""ko""))"),"나이키 남성용 에어 폴리니트 트랙 팬츠")</f>
        <v>나이키 남성용 에어 폴리니트 트랙 팬츠</v>
      </c>
      <c r="F330" s="1" t="str">
        <f>IFERROR(__xludf.DUMMYFUNCTION("CONCATENATE(GOOGLETRANSLATE(C330, ""en"", ""ja""))"),"ナイキ メンズ エア ポリニット トラック パンツ")</f>
        <v>ナイキ メンズ エア ポリニット トラック パンツ</v>
      </c>
    </row>
    <row r="331" ht="15.75" customHeight="1">
      <c r="A331" s="1">
        <v>6565.0</v>
      </c>
      <c r="B331" s="1" t="s">
        <v>6</v>
      </c>
      <c r="C331" s="1" t="s">
        <v>328</v>
      </c>
      <c r="D331" s="1" t="str">
        <f>IFERROR(__xludf.DUMMYFUNCTION("CONCATENATE(GOOGLETRANSLATE(C331, ""en"", ""zh-cn""))
"),"Puma 男士 Voltaic Evo 跑鞋")</f>
        <v>Puma 男士 Voltaic Evo 跑鞋</v>
      </c>
      <c r="E331" s="1" t="str">
        <f>IFERROR(__xludf.DUMMYFUNCTION("CONCATENATE(GOOGLETRANSLATE(C331, ""en"", ""ko""))"),"푸마 남성용 볼타익 에보 러닝화")</f>
        <v>푸마 남성용 볼타익 에보 러닝화</v>
      </c>
      <c r="F331" s="1" t="str">
        <f>IFERROR(__xludf.DUMMYFUNCTION("CONCATENATE(GOOGLETRANSLATE(C331, ""en"", ""ja""))"),"プーマ メンズ Voltaic Evo ランニング シューズ")</f>
        <v>プーマ メンズ Voltaic Evo ランニング シューズ</v>
      </c>
    </row>
    <row r="332" ht="15.75" customHeight="1">
      <c r="A332" s="1">
        <v>6566.0</v>
      </c>
      <c r="B332" s="1" t="s">
        <v>6</v>
      </c>
      <c r="C332" s="1" t="s">
        <v>329</v>
      </c>
      <c r="D332" s="1" t="str">
        <f>IFERROR(__xludf.DUMMYFUNCTION("CONCATENATE(GOOGLETRANSLATE(C332, ""en"", ""zh-cn""))
"),"Puma 男士跑步最爱 Velocity T 恤")</f>
        <v>Puma 男士跑步最爱 Velocity T 恤</v>
      </c>
      <c r="E332" s="1" t="str">
        <f>IFERROR(__xludf.DUMMYFUNCTION("CONCATENATE(GOOGLETRANSLATE(C332, ""en"", ""ko""))"),"푸마 남성 런 페이버릿 벨로시티 티셔츠")</f>
        <v>푸마 남성 런 페이버릿 벨로시티 티셔츠</v>
      </c>
      <c r="F332" s="1" t="str">
        <f>IFERROR(__xludf.DUMMYFUNCTION("CONCATENATE(GOOGLETRANSLATE(C332, ""en"", ""ja""))"),"プーマ メンズ ラン フェイバリット ベロシティ T シャツ")</f>
        <v>プーマ メンズ ラン フェイバリット ベロシティ T シャツ</v>
      </c>
    </row>
    <row r="333" ht="15.75" customHeight="1">
      <c r="A333" s="1">
        <v>6581.0</v>
      </c>
      <c r="B333" s="1" t="s">
        <v>6</v>
      </c>
      <c r="C333" s="1" t="s">
        <v>330</v>
      </c>
      <c r="D333" s="1" t="str">
        <f>IFERROR(__xludf.DUMMYFUNCTION("CONCATENATE(GOOGLETRANSLATE(C333, ""en"", ""zh-cn""))
"),"PUMA 男士 You-V Golf 1/4 拉链")</f>
        <v>PUMA 男士 You-V Golf 1/4 拉链</v>
      </c>
      <c r="E333" s="1" t="str">
        <f>IFERROR(__xludf.DUMMYFUNCTION("CONCATENATE(GOOGLETRANSLATE(C333, ""en"", ""ko""))"),"푸마 남성용 You-V 골프 1/4 지퍼")</f>
        <v>푸마 남성용 You-V 골프 1/4 지퍼</v>
      </c>
      <c r="F333" s="1" t="str">
        <f>IFERROR(__xludf.DUMMYFUNCTION("CONCATENATE(GOOGLETRANSLATE(C333, ""en"", ""ja""))"),"プーマ メンズ You-V ゴルフ 1/4 ジップ")</f>
        <v>プーマ メンズ You-V ゴルフ 1/4 ジップ</v>
      </c>
    </row>
    <row r="334" ht="15.75" customHeight="1">
      <c r="A334" s="1">
        <v>6598.0</v>
      </c>
      <c r="B334" s="1" t="s">
        <v>6</v>
      </c>
      <c r="C334" s="1" t="s">
        <v>331</v>
      </c>
      <c r="D334" s="1" t="str">
        <f>IFERROR(__xludf.DUMMYFUNCTION("CONCATENATE(GOOGLETRANSLATE(C334, ""en"", ""zh-cn""))
"),"Reebok 男士 Identity 开口下摆长裤")</f>
        <v>Reebok 男士 Identity 开口下摆长裤</v>
      </c>
      <c r="E334" s="1" t="str">
        <f>IFERROR(__xludf.DUMMYFUNCTION("CONCATENATE(GOOGLETRANSLATE(C334, ""en"", ""ko""))"),"Reebok 남성 아이덴티티 오픈 헴 팬츠")</f>
        <v>Reebok 남성 아이덴티티 오픈 헴 팬츠</v>
      </c>
      <c r="F334" s="1" t="str">
        <f>IFERROR(__xludf.DUMMYFUNCTION("CONCATENATE(GOOGLETRANSLATE(C334, ""en"", ""ja""))"),"リーボック メンズ アイデンティティ オープンヘム パンツ")</f>
        <v>リーボック メンズ アイデンティティ オープンヘム パンツ</v>
      </c>
    </row>
    <row r="335" ht="15.75" customHeight="1">
      <c r="A335" s="1">
        <v>6601.0</v>
      </c>
      <c r="B335" s="1" t="s">
        <v>6</v>
      </c>
      <c r="C335" s="1" t="s">
        <v>332</v>
      </c>
      <c r="D335" s="1" t="str">
        <f>IFERROR(__xludf.DUMMYFUNCTION("CONCATENATE(GOOGLETRANSLATE(C335, ""en"", ""zh-cn""))
"),"Reebok 男士 Active Collective 长袖 T 恤")</f>
        <v>Reebok 男士 Active Collective 长袖 T 恤</v>
      </c>
      <c r="E335" s="1" t="str">
        <f>IFERROR(__xludf.DUMMYFUNCTION("CONCATENATE(GOOGLETRANSLATE(C335, ""en"", ""ko""))"),"Reebok 남성 액티브 컬렉티브 긴팔 티셔츠")</f>
        <v>Reebok 남성 액티브 컬렉티브 긴팔 티셔츠</v>
      </c>
      <c r="F335" s="1" t="str">
        <f>IFERROR(__xludf.DUMMYFUNCTION("CONCATENATE(GOOGLETRANSLATE(C335, ""en"", ""ja""))"),"Reebok メンズ アクティブ コレクティブ ロング スリーブ T シャツ")</f>
        <v>Reebok メンズ アクティブ コレクティブ ロング スリーブ T シャツ</v>
      </c>
    </row>
    <row r="336" ht="15.75" customHeight="1">
      <c r="A336" s="1">
        <v>6602.0</v>
      </c>
      <c r="B336" s="1" t="s">
        <v>6</v>
      </c>
      <c r="C336" s="1" t="s">
        <v>333</v>
      </c>
      <c r="D336" s="1" t="str">
        <f>IFERROR(__xludf.DUMMYFUNCTION("CONCATENATE(GOOGLETRANSLATE(C336, ""en"", ""zh-cn""))
"),"Reebok 女式锻炼裤计划微喇裤")</f>
        <v>Reebok 女式锻炼裤计划微喇裤</v>
      </c>
      <c r="E336" s="1" t="str">
        <f>IFERROR(__xludf.DUMMYFUNCTION("CONCATENATE(GOOGLETRANSLATE(C336, ""en"", ""ko""))"),"Reebok 여성 워크아웃 레디 팬츠 프로그램 부츠컷 팬츠")</f>
        <v>Reebok 여성 워크아웃 레디 팬츠 프로그램 부츠컷 팬츠</v>
      </c>
      <c r="F336" s="1" t="str">
        <f>IFERROR(__xludf.DUMMYFUNCTION("CONCATENATE(GOOGLETRANSLATE(C336, ""en"", ""ja""))"),"リーボック レディース Workout Ready Pant プログラム ブーツカット パンツ")</f>
        <v>リーボック レディース Workout Ready Pant プログラム ブーツカット パンツ</v>
      </c>
    </row>
    <row r="337" ht="15.75" customHeight="1">
      <c r="A337" s="1">
        <v>6607.0</v>
      </c>
      <c r="B337" s="1" t="s">
        <v>6</v>
      </c>
      <c r="C337" s="1" t="s">
        <v>334</v>
      </c>
      <c r="D337" s="1" t="str">
        <f>IFERROR(__xludf.DUMMYFUNCTION("CONCATENATE(GOOGLETRANSLATE(C337, ""en"", ""zh-cn""))
"),"Reebok 女式 Active Collective Sky弹力梭织长裤")</f>
        <v>Reebok 女式 Active Collective Sky弹力梭织长裤</v>
      </c>
      <c r="E337" s="1" t="str">
        <f>IFERROR(__xludf.DUMMYFUNCTION("CONCATENATE(GOOGLETRANSLATE(C337, ""en"", ""ko""))"),"Reebok 여성 액티브 콜렉티브 스카이스트레치 우븐 팬츠")</f>
        <v>Reebok 여성 액티브 콜렉티브 스카이스트레치 우븐 팬츠</v>
      </c>
      <c r="F337" s="1" t="str">
        <f>IFERROR(__xludf.DUMMYFUNCTION("CONCATENATE(GOOGLETRANSLATE(C337, ""en"", ""ja""))"),"Reebok レディース アクティブ コレクティブ スカイストレッチ ウーブン パンツ")</f>
        <v>Reebok レディース アクティブ コレクティブ スカイストレッチ ウーブン パンツ</v>
      </c>
    </row>
    <row r="338" ht="15.75" customHeight="1">
      <c r="A338" s="1">
        <v>6613.0</v>
      </c>
      <c r="B338" s="1" t="s">
        <v>6</v>
      </c>
      <c r="C338" s="1" t="s">
        <v>335</v>
      </c>
      <c r="D338" s="1" t="str">
        <f>IFERROR(__xludf.DUMMYFUNCTION("CONCATENATE(GOOGLETRANSLATE(C338, ""en"", ""zh-cn""))
"),"Reebok 男士运动经典长裤")</f>
        <v>Reebok 男士运动经典长裤</v>
      </c>
      <c r="E338" s="1" t="str">
        <f>IFERROR(__xludf.DUMMYFUNCTION("CONCATENATE(GOOGLETRANSLATE(C338, ""en"", ""ko""))"),"Reebok 남성 스포츠 클래식 바지")</f>
        <v>Reebok 남성 스포츠 클래식 바지</v>
      </c>
      <c r="F338" s="1" t="str">
        <f>IFERROR(__xludf.DUMMYFUNCTION("CONCATENATE(GOOGLETRANSLATE(C338, ""en"", ""ja""))"),"リーボック メンズ スポーツ クラシック パンツ")</f>
        <v>リーボック メンズ スポーツ クラシック パンツ</v>
      </c>
    </row>
    <row r="339" ht="15.75" customHeight="1">
      <c r="A339" s="1">
        <v>6623.0</v>
      </c>
      <c r="B339" s="1" t="s">
        <v>6</v>
      </c>
      <c r="C339" s="1" t="s">
        <v>336</v>
      </c>
      <c r="D339" s="1" t="str">
        <f>IFERROR(__xludf.DUMMYFUNCTION("CONCATENATE(GOOGLETRANSLATE(C339, ""en"", ""zh-cn""))
"),"Reebok 男士跑步裤")</f>
        <v>Reebok 男士跑步裤</v>
      </c>
      <c r="E339" s="1" t="str">
        <f>IFERROR(__xludf.DUMMYFUNCTION("CONCATENATE(GOOGLETRANSLATE(C339, ""en"", ""ko""))"),"Reebok 남성 러닝 팬츠")</f>
        <v>Reebok 남성 러닝 팬츠</v>
      </c>
      <c r="F339" s="1" t="str">
        <f>IFERROR(__xludf.DUMMYFUNCTION("CONCATENATE(GOOGLETRANSLATE(C339, ""en"", ""ja""))"),"リーボック メンズ ランニング パンツ")</f>
        <v>リーボック メンズ ランニング パンツ</v>
      </c>
    </row>
    <row r="340" ht="15.75" customHeight="1">
      <c r="A340" s="1">
        <v>6629.0</v>
      </c>
      <c r="B340" s="1" t="s">
        <v>6</v>
      </c>
      <c r="C340" s="1" t="s">
        <v>337</v>
      </c>
      <c r="D340" s="1" t="str">
        <f>IFERROR(__xludf.DUMMYFUNCTION("CONCATENATE(GOOGLETRANSLATE(C340, ""en"", ""zh-cn""))
"),"Reebok 男士锻炼压缩紧身裤")</f>
        <v>Reebok 男士锻炼压缩紧身裤</v>
      </c>
      <c r="E340" s="1" t="str">
        <f>IFERROR(__xludf.DUMMYFUNCTION("CONCATENATE(GOOGLETRANSLATE(C340, ""en"", ""ko""))"),"Reebok 남성 워크아웃 레디 컴프레션 타이즈")</f>
        <v>Reebok 남성 워크아웃 레디 컴프레션 타이즈</v>
      </c>
      <c r="F340" s="1" t="str">
        <f>IFERROR(__xludf.DUMMYFUNCTION("CONCATENATE(GOOGLETRANSLATE(C340, ""en"", ""ja""))"),"リーボック メンズ Workout Ready コンプレッション タイツ")</f>
        <v>リーボック メンズ Workout Ready コンプレッション タイツ</v>
      </c>
    </row>
    <row r="341" ht="15.75" customHeight="1">
      <c r="A341" s="1">
        <v>6634.0</v>
      </c>
      <c r="C341" s="1" t="s">
        <v>338</v>
      </c>
      <c r="D341" s="1" t="str">
        <f>IFERROR(__xludf.DUMMYFUNCTION("CONCATENATE(GOOGLETRANSLATE(C341, ""en"", ""zh-cn""))
"),"蒙娜丽莎卡")</f>
        <v>蒙娜丽莎卡</v>
      </c>
      <c r="E341" s="1" t="str">
        <f>IFERROR(__xludf.DUMMYFUNCTION("CONCATENATE(GOOGLETRANSLATE(C341, ""en"", ""ko""))"),"모나리 카드")</f>
        <v>모나리 카드</v>
      </c>
      <c r="F341" s="1" t="str">
        <f>IFERROR(__xludf.DUMMYFUNCTION("CONCATENATE(GOOGLETRANSLATE(C341, ""en"", ""ja""))"),"モナリカード")</f>
        <v>モナリカード</v>
      </c>
    </row>
    <row r="342" ht="15.75" customHeight="1">
      <c r="A342" s="1">
        <v>6771.0</v>
      </c>
      <c r="B342" s="1" t="s">
        <v>6</v>
      </c>
      <c r="C342" s="1" t="s">
        <v>339</v>
      </c>
      <c r="D342" s="1" t="str">
        <f>IFERROR(__xludf.DUMMYFUNCTION("CONCATENATE(GOOGLETRANSLATE(C342, ""en"", ""zh-cn""))
"),"Brita 超大 Ultramax 27 杯黑色过滤饮水机，带 1 个标准过滤器")</f>
        <v>Brita 超大 Ultramax 27 杯黑色过滤饮水机，带 1 个标准过滤器</v>
      </c>
      <c r="E342" s="1" t="str">
        <f>IFERROR(__xludf.DUMMYFUNCTION("CONCATENATE(GOOGLETRANSLATE(C342, ""en"", ""ko""))"),"브리타 초대형 울트라맥스 27컵 블랙 정수기 워터 디스펜서(표준 필터 1개 포함)")</f>
        <v>브리타 초대형 울트라맥스 27컵 블랙 정수기 워터 디스펜서(표준 필터 1개 포함)</v>
      </c>
      <c r="F342" s="1" t="str">
        <f>IFERROR(__xludf.DUMMYFUNCTION("CONCATENATE(GOOGLETRANSLATE(C342, ""en"", ""ja""))"),"Brita 特大 ウルトラマックス 27 カップ ブラック フィルター付きウォーターディスペンサー (標準フィルター 1 個付き)")</f>
        <v>Brita 特大 ウルトラマックス 27 カップ ブラック フィルター付きウォーターディスペンサー (標準フィルター 1 個付き)</v>
      </c>
    </row>
    <row r="343" ht="15.75" customHeight="1">
      <c r="A343" s="1">
        <v>6839.0</v>
      </c>
      <c r="B343" s="1" t="s">
        <v>6</v>
      </c>
      <c r="C343" s="1" t="s">
        <v>340</v>
      </c>
      <c r="D343" s="1" t="str">
        <f>IFERROR(__xludf.DUMMYFUNCTION("CONCATENATE(GOOGLETRANSLATE(C343, ""en"", ""zh-cn""))
"),"Equate 三重作用关节健康膳食补充剂")</f>
        <v>Equate 三重作用关节健康膳食补充剂</v>
      </c>
      <c r="E343" s="1" t="str">
        <f>IFERROR(__xludf.DUMMYFUNCTION("CONCATENATE(GOOGLETRANSLATE(C343, ""en"", ""ko""))"),"Equate Triple Action 관절 건강 건강 보조 식품")</f>
        <v>Equate Triple Action 관절 건강 건강 보조 식품</v>
      </c>
      <c r="F343" s="1" t="str">
        <f>IFERROR(__xludf.DUMMYFUNCTION("CONCATENATE(GOOGLETRANSLATE(C343, ""en"", ""ja""))"),"トリプルアクション関節健康栄養補助食品と同等")</f>
        <v>トリプルアクション関節健康栄養補助食品と同等</v>
      </c>
    </row>
    <row r="344" ht="15.75" customHeight="1">
      <c r="A344" s="1">
        <v>6855.0</v>
      </c>
      <c r="B344" s="1" t="s">
        <v>6</v>
      </c>
      <c r="C344" s="1" t="s">
        <v>341</v>
      </c>
      <c r="D344" s="1" t="str">
        <f>IFERROR(__xludf.DUMMYFUNCTION("CONCATENATE(GOOGLETRANSLATE(C344, ""en"", ""zh-cn""))
"),"Equate 超强冷热止痛霜，3 盎司")</f>
        <v>Equate 超强冷热止痛霜，3 盎司</v>
      </c>
      <c r="E344" s="1" t="str">
        <f>IFERROR(__xludf.DUMMYFUNCTION("CONCATENATE(GOOGLETRANSLATE(C344, ""en"", ""ko""))"),"Equate Extra Strength Cool &amp; Heat 통증 완화 크림, 3온스")</f>
        <v>Equate Extra Strength Cool &amp; Heat 통증 완화 크림, 3온스</v>
      </c>
      <c r="F344" s="1" t="str">
        <f>IFERROR(__xludf.DUMMYFUNCTION("CONCATENATE(GOOGLETRANSLATE(C344, ""en"", ""ja""))"),"Equate エクストラストレングス クール＆ヒート鎮痛クリーム、3オンス")</f>
        <v>Equate エクストラストレングス クール＆ヒート鎮痛クリーム、3オンス</v>
      </c>
    </row>
    <row r="345" ht="15.75" customHeight="1">
      <c r="A345" s="1">
        <v>6858.0</v>
      </c>
      <c r="B345" s="1" t="s">
        <v>6</v>
      </c>
      <c r="C345" s="1" t="s">
        <v>342</v>
      </c>
      <c r="D345" s="1" t="str">
        <f>IFERROR(__xludf.DUMMYFUNCTION("CONCATENATE(GOOGLETRANSLATE(C345, ""en"", ""zh-cn""))
"),"2 件装 Equate 男士头发再生治疗（附 Rogaine）6 个月供应")</f>
        <v>2 件装 Equate 男士头发再生治疗（附 Rogaine）6 个月供应</v>
      </c>
      <c r="E345" s="1" t="str">
        <f>IFERROR(__xludf.DUMMYFUNCTION("CONCATENATE(GOOGLETRANSLATE(C345, ""en"", ""ko""))"),"Equate 모발 재성장 치료 남성용 2팩(Rogaine 제품) 6개월 공급")</f>
        <v>Equate 모발 재성장 치료 남성용 2팩(Rogaine 제품) 6개월 공급</v>
      </c>
      <c r="F345" s="1" t="str">
        <f>IFERROR(__xludf.DUMMYFUNCTION("CONCATENATE(GOOGLETRANSLATE(C345, ""en"", ""ja""))"),"2 パック Equate 発毛トリートメント メンズ (ロゲイン配合) 6 か月分")</f>
        <v>2 パック Equate 発毛トリートメント メンズ (ロゲイン配合) 6 か月分</v>
      </c>
    </row>
    <row r="346" ht="15.75" customHeight="1">
      <c r="A346" s="1">
        <v>6922.0</v>
      </c>
      <c r="B346" s="1" t="s">
        <v>6</v>
      </c>
      <c r="C346" s="1" t="s">
        <v>343</v>
      </c>
      <c r="D346" s="1" t="str">
        <f>IFERROR(__xludf.DUMMYFUNCTION("CONCATENATE(GOOGLETRANSLATE(C346, ""en"", ""zh-cn""))
"),"露得清顽固身体痤疮治疗喷雾")</f>
        <v>露得清顽固身体痤疮治疗喷雾</v>
      </c>
      <c r="E346" s="1" t="str">
        <f>IFERROR(__xludf.DUMMYFUNCTION("CONCATENATE(GOOGLETRANSLATE(C346, ""en"", ""ko""))"),"뉴트로지나 스터번 바디 아크네 트리트먼트 스프레이")</f>
        <v>뉴트로지나 스터번 바디 아크네 트리트먼트 스프레이</v>
      </c>
      <c r="F346" s="1" t="str">
        <f>IFERROR(__xludf.DUMMYFUNCTION("CONCATENATE(GOOGLETRANSLATE(C346, ""en"", ""ja""))"),"ニュートロジーナ 頑固なボディニキビ治療スプレー")</f>
        <v>ニュートロジーナ 頑固なボディニキビ治療スプレー</v>
      </c>
    </row>
    <row r="347" ht="15.75" customHeight="1">
      <c r="A347" s="1">
        <v>6959.0</v>
      </c>
      <c r="B347" s="1" t="s">
        <v>6</v>
      </c>
      <c r="C347" s="1" t="s">
        <v>344</v>
      </c>
      <c r="D347" s="1" t="str">
        <f>IFERROR(__xludf.DUMMYFUNCTION("CONCATENATE(GOOGLETRANSLATE(C347, ""en"", ""zh-cn""))
"),"Hi Pro Pac 深层修复发膜摩洛哥修复摩洛哥坚果油")</f>
        <v>Hi Pro Pac 深层修复发膜摩洛哥修复摩洛哥坚果油</v>
      </c>
      <c r="E347" s="1" t="str">
        <f>IFERROR(__xludf.DUMMYFUNCTION("CONCATENATE(GOOGLETRANSLATE(C347, ""en"", ""ko""))"),"하이프로팩 ​​딥 리페어 헤어 마스크 모로칸 멘드 아르간 오일")</f>
        <v>하이프로팩 ​​딥 리페어 헤어 마스크 모로칸 멘드 아르간 오일</v>
      </c>
      <c r="F347" s="1" t="str">
        <f>IFERROR(__xludf.DUMMYFUNCTION("CONCATENATE(GOOGLETRANSLATE(C347, ""en"", ""ja""))"),"ハイプロパックディープリペアヘアマスクモロッカンメンドアルガンオイル")</f>
        <v>ハイプロパックディープリペアヘアマスクモロッカンメンドアルガンオイル</v>
      </c>
    </row>
    <row r="348" ht="15.75" customHeight="1">
      <c r="A348" s="1">
        <v>3148.0</v>
      </c>
      <c r="B348" s="1" t="s">
        <v>51</v>
      </c>
      <c r="C348" s="1" t="s">
        <v>345</v>
      </c>
      <c r="D348" s="1" t="str">
        <f>IFERROR(__xludf.DUMMYFUNCTION("CONCATENATE(GOOGLETRANSLATE(C348, ""en"", ""zh-cn""))
"),"【最新版】多功能双紫外线自动消毒器手机消毒盒牙刷儿童餐具内衣口罩消毒工具")</f>
        <v>【最新版】多功能双紫外线自动消毒器手机消毒盒牙刷儿童餐具内衣口罩消毒工具</v>
      </c>
      <c r="E348" s="1" t="str">
        <f>IFERROR(__xludf.DUMMYFUNCTION("CONCATENATE(GOOGLETRANSLATE(C348, ""en"", ""ko""))"),"[최신 버전] 다기능 이중 자외선 자동 살균기 휴대 전화 살균 상자 칫솔 어린이 식기 속옷 마스크 소독 도구")</f>
        <v>[최신 버전] 다기능 이중 자외선 자동 살균기 휴대 전화 살균 상자 칫솔 어린이 식기 속옷 마스크 소독 도구</v>
      </c>
      <c r="F348" s="1" t="str">
        <f>IFERROR(__xludf.DUMMYFUNCTION("CONCATENATE(GOOGLETRANSLATE(C348, ""en"", ""ja""))"),"[最新バージョン] 多機能デュアル紫外線自動滅菌器携帯電話滅菌ボックス歯ブラシ子供食器下着マスク消毒ツール")</f>
        <v>[最新バージョン] 多機能デュアル紫外線自動滅菌器携帯電話滅菌ボックス歯ブラシ子供食器下着マスク消毒ツール</v>
      </c>
    </row>
    <row r="349" ht="15.75" customHeight="1">
      <c r="A349" s="1">
        <v>3162.0</v>
      </c>
      <c r="B349" s="1" t="s">
        <v>51</v>
      </c>
      <c r="C349" s="1" t="s">
        <v>346</v>
      </c>
      <c r="D349" s="1" t="str">
        <f>IFERROR(__xludf.DUMMYFUNCTION("CONCATENATE(GOOGLETRANSLATE(C349, ""en"", ""zh-cn""))
"),"PTFE 涂层电机丝杠 T8 导程 2/8mm 螺距 2mm POM 螺母适用于 Ender-3 系列/CR-10 系列/Sidewinder 3D 打印机零件")</f>
        <v>PTFE 涂层电机丝杠 T8 导程 2/8mm 螺距 2mm POM 螺母适用于 Ender-3 系列/CR-10 系列/Sidewinder 3D 打印机零件</v>
      </c>
      <c r="E349" s="1" t="str">
        <f>IFERROR(__xludf.DUMMYFUNCTION("CONCATENATE(GOOGLETRANSLATE(C349, ""en"", ""ko""))"),"Ender-3 시리즈/CR-10 시리즈/사이드와인더 3D 프린터 부품용 PTFE 코팅 모터 리드 스크류 T8 리드 2/8mm 피치 2mm POM 너트")</f>
        <v>Ender-3 시리즈/CR-10 시리즈/사이드와인더 3D 프린터 부품용 PTFE 코팅 모터 리드 스크류 T8 리드 2/8mm 피치 2mm POM 너트</v>
      </c>
      <c r="F349" s="1" t="str">
        <f>IFERROR(__xludf.DUMMYFUNCTION("CONCATENATE(GOOGLETRANSLATE(C349, ""en"", ""ja""))"),"PTFE コーティングされたモーターリードネジ T8 リード 2/8mm ピッチ 2mm POM ナット Ender-3 シリーズ/CR-10 シリーズ/サイドワインダー 3D プリンタ部品用")</f>
        <v>PTFE コーティングされたモーターリードネジ T8 リード 2/8mm ピッチ 2mm POM ナット Ender-3 シリーズ/CR-10 シリーズ/サイドワインダー 3D プリンタ部品用</v>
      </c>
    </row>
    <row r="350" ht="15.75" customHeight="1">
      <c r="A350" s="1">
        <v>3194.0</v>
      </c>
      <c r="B350" s="1" t="s">
        <v>6</v>
      </c>
      <c r="C350" s="1" t="s">
        <v>347</v>
      </c>
      <c r="D350" s="1" t="str">
        <f>IFERROR(__xludf.DUMMYFUNCTION("CONCATENATE(GOOGLETRANSLATE(C350, ""en"", ""zh-cn""))
"),"Hooker Furniture Rhapsody 簇绒软垫雪橇床")</f>
        <v>Hooker Furniture Rhapsody 簇绒软垫雪橇床</v>
      </c>
      <c r="E350" s="1" t="str">
        <f>IFERROR(__xludf.DUMMYFUNCTION("CONCATENATE(GOOGLETRANSLATE(C350, ""en"", ""ko""))"),"매춘부 가구 랩소디 술 덮개를 씌운 썰매 침대")</f>
        <v>매춘부 가구 랩소디 술 덮개를 씌운 썰매 침대</v>
      </c>
      <c r="F350" s="1" t="str">
        <f>IFERROR(__xludf.DUMMYFUNCTION("CONCATENATE(GOOGLETRANSLATE(C350, ""en"", ""ja""))"),"フッカー家具ラプソディタフト布張りそりベッド")</f>
        <v>フッカー家具ラプソディタフト布張りそりベッド</v>
      </c>
    </row>
    <row r="351" ht="15.75" customHeight="1">
      <c r="A351" s="1">
        <v>3204.0</v>
      </c>
      <c r="B351" s="1" t="s">
        <v>6</v>
      </c>
      <c r="C351" s="1" t="s">
        <v>348</v>
      </c>
      <c r="D351" s="1" t="str">
        <f>IFERROR(__xludf.DUMMYFUNCTION("CONCATENATE(GOOGLETRANSLATE(C351, ""en"", ""zh-cn""))
"),"Jura X8 Platinum 触摸屏自动浓缩咖啡和卡布奇诺咖啡机")</f>
        <v>Jura X8 Platinum 触摸屏自动浓缩咖啡和卡布奇诺咖啡机</v>
      </c>
      <c r="E351" s="1" t="str">
        <f>IFERROR(__xludf.DUMMYFUNCTION("CONCATENATE(GOOGLETRANSLATE(C351, ""en"", ""ko""))"),"Jura X8 Platinum 자동 에스프레소 &amp; 카푸치노 머신(터치스크린 포함)")</f>
        <v>Jura X8 Platinum 자동 에스프레소 &amp; 카푸치노 머신(터치스크린 포함)</v>
      </c>
      <c r="F351" s="1" t="str">
        <f>IFERROR(__xludf.DUMMYFUNCTION("CONCATENATE(GOOGLETRANSLATE(C351, ""en"", ""ja""))"),"Jura X8 Platinum 自動エスプレッソ &amp; カプチーノ マシン (タッチ スクリーン付き)")</f>
        <v>Jura X8 Platinum 自動エスプレッソ &amp; カプチーノ マシン (タッチ スクリーン付き)</v>
      </c>
    </row>
    <row r="352" ht="15.75" customHeight="1">
      <c r="A352" s="1">
        <v>3213.0</v>
      </c>
      <c r="B352" s="1" t="s">
        <v>6</v>
      </c>
      <c r="C352" s="1" t="s">
        <v>349</v>
      </c>
      <c r="D352" s="1" t="str">
        <f>IFERROR(__xludf.DUMMYFUNCTION("CONCATENATE(GOOGLETRANSLATE(C352, ""en"", ""zh-cn""))
"),"ACME 凡尔赛古玩柜 - - 骨白色")</f>
        <v>ACME 凡尔赛古玩柜 - - 骨白色</v>
      </c>
      <c r="E352" s="1" t="str">
        <f>IFERROR(__xludf.DUMMYFUNCTION("CONCATENATE(GOOGLETRANSLATE(C352, ""en"", ""ko""))"),"ACME 베르사유 골동품 캐비닛 - - 본 화이트")</f>
        <v>ACME 베르사유 골동품 캐비닛 - - 본 화이트</v>
      </c>
      <c r="F352" s="1" t="str">
        <f>IFERROR(__xludf.DUMMYFUNCTION("CONCATENATE(GOOGLETRANSLATE(C352, ""en"", ""ja""))"),"ACME Versailles Curio Cabinet - - ボーン ホワイト")</f>
        <v>ACME Versailles Curio Cabinet - - ボーン ホワイト</v>
      </c>
    </row>
    <row r="353" ht="15.75" customHeight="1">
      <c r="A353" s="1">
        <v>3218.0</v>
      </c>
      <c r="B353" s="1" t="s">
        <v>6</v>
      </c>
      <c r="C353" s="1" t="s">
        <v>350</v>
      </c>
      <c r="D353" s="1" t="str">
        <f>IFERROR(__xludf.DUMMYFUNCTION("CONCATENATE(GOOGLETRANSLATE(C353, ""en"", ""zh-cn""))
"),"Jura E8 咖啡机 15341 钢琴白")</f>
        <v>Jura E8 咖啡机 15341 钢琴白</v>
      </c>
      <c r="E353" s="1" t="str">
        <f>IFERROR(__xludf.DUMMYFUNCTION("CONCATENATE(GOOGLETRANSLATE(C353, ""en"", ""ko""))"),"Jura E8 커피 머신 15341 피아노 화이트")</f>
        <v>Jura E8 커피 머신 15341 피아노 화이트</v>
      </c>
      <c r="F353" s="1" t="str">
        <f>IFERROR(__xludf.DUMMYFUNCTION("CONCATENATE(GOOGLETRANSLATE(C353, ""en"", ""ja""))"),"ジュラ E8 コーヒーマシン 15341 ピアノホワイト")</f>
        <v>ジュラ E8 コーヒーマシン 15341 ピアノホワイト</v>
      </c>
    </row>
    <row r="354" ht="15.75" customHeight="1">
      <c r="A354" s="1">
        <v>3226.0</v>
      </c>
      <c r="B354" s="1" t="s">
        <v>6</v>
      </c>
      <c r="C354" s="1" t="s">
        <v>351</v>
      </c>
      <c r="D354" s="1" t="str">
        <f>IFERROR(__xludf.DUMMYFUNCTION("CONCATENATE(GOOGLETRANSLATE(C354, ""en"", ""zh-cn""))
"),"ACME Chantelle 沙发带 3 个枕头 - 53540 - 玫瑰金 PU/织物和珍珠白")</f>
        <v>ACME Chantelle 沙发带 3 个枕头 - 53540 - 玫瑰金 PU/织物和珍珠白</v>
      </c>
      <c r="E354" s="1" t="str">
        <f>IFERROR(__xludf.DUMMYFUNCTION("CONCATENATE(GOOGLETRANSLATE(C354, ""en"", ""ko""))"),"ACME 샹텔 소파(베개 3개 포함) - 53540 - 로즈 골드 PU/패브릭 &amp; 펄 화이트")</f>
        <v>ACME 샹텔 소파(베개 3개 포함) - 53540 - 로즈 골드 PU/패브릭 &amp; 펄 화이트</v>
      </c>
      <c r="F354" s="1" t="str">
        <f>IFERROR(__xludf.DUMMYFUNCTION("CONCATENATE(GOOGLETRANSLATE(C354, ""en"", ""ja""))"),"ACME シャンテル ソファ 枕 3 個付き - 53540 - ローズゴールド PU/ファブリック &amp; パール ホワイト")</f>
        <v>ACME シャンテル ソファ 枕 3 個付き - 53540 - ローズゴールド PU/ファブリック &amp; パール ホワイト</v>
      </c>
    </row>
    <row r="355" ht="15.75" customHeight="1">
      <c r="A355" s="1">
        <v>3264.0</v>
      </c>
      <c r="B355" s="1" t="s">
        <v>6</v>
      </c>
      <c r="C355" s="1" t="s">
        <v>352</v>
      </c>
      <c r="D355" s="1" t="str">
        <f>IFERROR(__xludf.DUMMYFUNCTION("CONCATENATE(GOOGLETRANSLATE(C355, ""en"", ""zh-cn""))
"),"Jura E6钢琴白15559")</f>
        <v>Jura E6钢琴白15559</v>
      </c>
      <c r="E355" s="1" t="str">
        <f>IFERROR(__xludf.DUMMYFUNCTION("CONCATENATE(GOOGLETRANSLATE(C355, ""en"", ""ko""))"),"쥐라 E6 피아노 화이트 15559")</f>
        <v>쥐라 E6 피아노 화이트 15559</v>
      </c>
      <c r="F355" s="1" t="str">
        <f>IFERROR(__xludf.DUMMYFUNCTION("CONCATENATE(GOOGLETRANSLATE(C355, ""en"", ""ja""))"),"ジュラ E6 ピアノホワイト 15559")</f>
        <v>ジュラ E6 ピアノホワイト 15559</v>
      </c>
    </row>
    <row r="356" ht="15.75" customHeight="1">
      <c r="A356" s="1">
        <v>3299.0</v>
      </c>
      <c r="B356" s="1" t="s">
        <v>6</v>
      </c>
      <c r="C356" s="1" t="s">
        <v>353</v>
      </c>
      <c r="D356" s="1" t="str">
        <f>IFERROR(__xludf.DUMMYFUNCTION("CONCATENATE(GOOGLETRANSLATE(C356, ""en"", ""zh-cn""))
"),"POLY &amp; BARK Lissie 右组合沙发，积云灰")</f>
        <v>POLY &amp; BARK Lissie 右组合沙发，积云灰</v>
      </c>
      <c r="E356" s="1" t="str">
        <f>IFERROR(__xludf.DUMMYFUNCTION("CONCATENATE(GOOGLETRANSLATE(C356, ""en"", ""ko""))"),"POLY &amp; BARK Lissie 오른쪽 단면 소파, Cumulus Grey")</f>
        <v>POLY &amp; BARK Lissie 오른쪽 단면 소파, Cumulus Grey</v>
      </c>
      <c r="F356" s="1" t="str">
        <f>IFERROR(__xludf.DUMMYFUNCTION("CONCATENATE(GOOGLETRANSLATE(C356, ""en"", ""ja""))"),"POLY &amp; BARK Lissie 右セクショナルソファ、Cumulus グレー")</f>
        <v>POLY &amp; BARK Lissie 右セクショナルソファ、Cumulus グレー</v>
      </c>
    </row>
    <row r="357" ht="15.75" customHeight="1">
      <c r="A357" s="1">
        <v>3304.0</v>
      </c>
      <c r="B357" s="1" t="s">
        <v>6</v>
      </c>
      <c r="C357" s="1" t="s">
        <v>354</v>
      </c>
      <c r="D357" s="1" t="str">
        <f>IFERROR(__xludf.DUMMYFUNCTION("CONCATENATE(GOOGLETRANSLATE(C357, ""en"", ""zh-cn""))
"),"ACME Vendome 长凳 - - PU 和樱桃木")</f>
        <v>ACME Vendome 长凳 - - PU 和樱桃木</v>
      </c>
      <c r="E357" s="1" t="str">
        <f>IFERROR(__xludf.DUMMYFUNCTION("CONCATENATE(GOOGLETRANSLATE(C357, ""en"", ""ko""))"),"ACME 방돔 벤치 - - PU &amp; 체리")</f>
        <v>ACME 방돔 벤치 - - PU &amp; 체리</v>
      </c>
      <c r="F357" s="1" t="str">
        <f>IFERROR(__xludf.DUMMYFUNCTION("CONCATENATE(GOOGLETRANSLATE(C357, ""en"", ""ja""))"),"ACME ヴァンドーム ベンチ - - PU &amp; チェリー")</f>
        <v>ACME ヴァンドーム ベンチ - - PU &amp; チェリー</v>
      </c>
    </row>
    <row r="358" ht="15.75" customHeight="1">
      <c r="A358" s="1">
        <v>3342.0</v>
      </c>
      <c r="B358" s="1" t="s">
        <v>6</v>
      </c>
      <c r="C358" s="1" t="s">
        <v>355</v>
      </c>
      <c r="D358" s="1" t="str">
        <f>IFERROR(__xludf.DUMMYFUNCTION("CONCATENATE(GOOGLETRANSLATE(C358, ""en"", ""zh-cn""))
"),"亚马逊品牌 – 铆钉现代沙发，带金属腿，85W，青色天鹅绒")</f>
        <v>亚马逊品牌 – 铆钉现代沙发，带金属腿，85W，青色天鹅绒</v>
      </c>
      <c r="E358" s="1" t="str">
        <f>IFERROR(__xludf.DUMMYFUNCTION("CONCATENATE(GOOGLETRANSLATE(C358, ""en"", ""ko""))"),"아마존 브랜드 – 금속 다리가 있는 리벳 모던 소파 소파, 85W, 청록색 벨벳")</f>
        <v>아마존 브랜드 – 금속 다리가 있는 리벳 모던 소파 소파, 85W, 청록색 벨벳</v>
      </c>
      <c r="F358" s="1" t="str">
        <f>IFERROR(__xludf.DUMMYFUNCTION("CONCATENATE(GOOGLETRANSLATE(C358, ""en"", ""ja""))"),"Amazonブランド – リベットモダンソファカウチ 金属脚付き、85W、ティールベルベット")</f>
        <v>Amazonブランド – リベットモダンソファカウチ 金属脚付き、85W、ティールベルベット</v>
      </c>
    </row>
    <row r="359" ht="15.75" customHeight="1">
      <c r="A359" s="1">
        <v>3357.0</v>
      </c>
      <c r="B359" s="1" t="s">
        <v>6</v>
      </c>
      <c r="C359" s="1" t="s">
        <v>356</v>
      </c>
      <c r="D359" s="1" t="str">
        <f>IFERROR(__xludf.DUMMYFUNCTION("CONCATENATE(GOOGLETRANSLATE(C359, ""en"", ""zh-cn""))
"),"SPINN 浓缩咖啡和咖啡机，智能 WiFi 自动咖啡机，冷萃咖啡机和浓缩咖啡机组合，带可编程离心冲煮和研磨机，兼容供水管，无需补充装，银色")</f>
        <v>SPINN 浓缩咖啡和咖啡机，智能 WiFi 自动咖啡机，冷萃咖啡机和浓缩咖啡机组合，带可编程离心冲煮和研磨机，兼容供水管，无需补充装，银色</v>
      </c>
      <c r="E359" s="1" t="str">
        <f>IFERROR(__xludf.DUMMYFUNCTION("CONCATENATE(GOOGLETRANSLATE(C359, ""en"", ""ko""))"),"SPINN 에스프레소 및 커피 머신, 스마트 WiFi 자동 커피 메이커, 프로그래밍 가능한 원심 추출 및 그라인더가 포함된 콜드브루 및 에스프레소 머신 콤보, 물 공급 라인 호환, 리필 없음, 실버")</f>
        <v>SPINN 에스프레소 및 커피 머신, 스마트 WiFi 자동 커피 메이커, 프로그래밍 가능한 원심 추출 및 그라인더가 포함된 콜드브루 및 에스프레소 머신 콤보, 물 공급 라인 호환, 리필 없음, 실버</v>
      </c>
      <c r="F359" s="1" t="str">
        <f>IFERROR(__xludf.DUMMYFUNCTION("CONCATENATE(GOOGLETRANSLATE(C359, ""en"", ""ja""))"),"SPINN エスプレッソ&amp;コーヒーマシン、スマートWiFi自動コーヒーメーカー、プログラム可能な遠心抽出&amp;グラインダー付き水出し&amp;エスプレッソマシンコンボ、給水ライン対応、詰め替えなし、シルバー")</f>
        <v>SPINN エスプレッソ&amp;コーヒーマシン、スマートWiFi自動コーヒーメーカー、プログラム可能な遠心抽出&amp;グラインダー付き水出し&amp;エスプレッソマシンコンボ、給水ライン対応、詰め替えなし、シルバー</v>
      </c>
    </row>
    <row r="360" ht="15.75" customHeight="1">
      <c r="A360" s="1">
        <v>3364.0</v>
      </c>
      <c r="B360" s="1" t="s">
        <v>6</v>
      </c>
      <c r="C360" s="1" t="s">
        <v>357</v>
      </c>
      <c r="D360" s="1" t="str">
        <f>IFERROR(__xludf.DUMMYFUNCTION("CONCATENATE(GOOGLETRANSLATE(C360, ""en"", ""zh-cn""))
"),"Naomi Home Freya 超大真皮沙发 - 极致舒适 - 现代真皮沙发 - 中世纪客厅沙发，环保沙发沙发，双面靠垫，浓缩咖啡")</f>
        <v>Naomi Home Freya 超大真皮沙发 - 极致舒适 - 现代真皮沙发 - 中世纪客厅沙发，环保沙发沙发，双面靠垫，浓缩咖啡</v>
      </c>
      <c r="E360" s="1" t="str">
        <f>IFERROR(__xludf.DUMMYFUNCTION("CONCATENATE(GOOGLETRANSLATE(C360, ""en"", ""ko""))"),"나오미 홈 프레야 대형 천연 가죽 소파 - 궁극의 편안함 - 현대식 가죽 소파 - 세기 중반 거실 소파, 친환경 소파 소파, 양면 쿠션, 에스프레소")</f>
        <v>나오미 홈 프레야 대형 천연 가죽 소파 - 궁극의 편안함 - 현대식 가죽 소파 - 세기 중반 거실 소파, 친환경 소파 소파, 양면 쿠션, 에스프레소</v>
      </c>
      <c r="F360" s="1" t="str">
        <f>IFERROR(__xludf.DUMMYFUNCTION("CONCATENATE(GOOGLETRANSLATE(C360, ""en"", ""ja""))"),"ナオミ ホーム フレイヤ 特大本革ソファ - 究極の快適さ - モダンなレザーソファ - ミッドセンチュリーのリビングルームソファ、環境に優しいソファソファ、リバーシブルクッション、エスプレッソ")</f>
        <v>ナオミ ホーム フレイヤ 特大本革ソファ - 究極の快適さ - モダンなレザーソファ - ミッドセンチュリーのリビングルームソファ、環境に優しいソファソファ、リバーシブルクッション、エスプレッソ</v>
      </c>
    </row>
    <row r="361" ht="15.75" customHeight="1">
      <c r="A361" s="1">
        <v>3414.0</v>
      </c>
      <c r="B361" s="1" t="s">
        <v>6</v>
      </c>
      <c r="C361" s="1" t="s">
        <v>358</v>
      </c>
      <c r="D361" s="1" t="str">
        <f>IFERROR(__xludf.DUMMYFUNCTION("CONCATENATE(GOOGLETRANSLATE(C361, ""en"", ""zh-cn""))
"),"Lilola Home Zoey 深灰色亚麻可转换沙发床，带侧袋")</f>
        <v>Lilola Home Zoey 深灰色亚麻可转换沙发床，带侧袋</v>
      </c>
      <c r="E361" s="1" t="str">
        <f>IFERROR(__xludf.DUMMYFUNCTION("CONCATENATE(GOOGLETRANSLATE(C361, ""en"", ""ko""))"),"Lilola Home Zoey 다크 그레이 리넨 컨버터블 슬리퍼 소파(사이드 포켓 ​​포함)")</f>
        <v>Lilola Home Zoey 다크 그레이 리넨 컨버터블 슬리퍼 소파(사이드 포켓 ​​포함)</v>
      </c>
      <c r="F361" s="1" t="str">
        <f>IFERROR(__xludf.DUMMYFUNCTION("CONCATENATE(GOOGLETRANSLATE(C361, ""en"", ""ja""))"),"Lilola Home ゾーイ ダークグレー リネン コンバーチブル スリーパー ソファ サイドポケット付き")</f>
        <v>Lilola Home ゾーイ ダークグレー リネン コンバーチブル スリーパー ソファ サイドポケット付き</v>
      </c>
    </row>
    <row r="362" ht="15.75" customHeight="1">
      <c r="A362" s="1">
        <v>3419.0</v>
      </c>
      <c r="B362" s="1" t="s">
        <v>6</v>
      </c>
      <c r="C362" s="1" t="s">
        <v>359</v>
      </c>
      <c r="D362" s="1" t="str">
        <f>IFERROR(__xludf.DUMMYFUNCTION("CONCATENATE(GOOGLETRANSLATE(C362, ""en"", ""zh-cn""))
"),"飞利浦 2200 系列全自动浓缩咖啡机 - 经典奶泡机，2 种咖啡品种，直观触摸显示屏，黑色，(EP2220/14)")</f>
        <v>飞利浦 2200 系列全自动浓缩咖啡机 - 经典奶泡机，2 种咖啡品种，直观触摸显示屏，黑色，(EP2220/14)</v>
      </c>
      <c r="E362" s="1" t="str">
        <f>IFERROR(__xludf.DUMMYFUNCTION("CONCATENATE(GOOGLETRANSLATE(C362, ""en"", ""ko""))"),"PHILIPS 2200 시리즈 전자동 에스프레소 머신 - 클래식 우유 거품기, 2가지 커피 품종, 직관적인 터치 디스플레이, 블랙, (EP2220/14)")</f>
        <v>PHILIPS 2200 시리즈 전자동 에스프레소 머신 - 클래식 우유 거품기, 2가지 커피 품종, 직관적인 터치 디스플레이, 블랙, (EP2220/14)</v>
      </c>
      <c r="F362" s="1" t="str">
        <f>IFERROR(__xludf.DUMMYFUNCTION("CONCATENATE(GOOGLETRANSLATE(C362, ""en"", ""ja""))"),"PHILIPS 2200 シリーズ全自動エスプレッソマシン - クラシックミルク泡立て器、2種類のコーヒー、直感的なタッチディスプレイ、ブラック、(EP2220/14)")</f>
        <v>PHILIPS 2200 シリーズ全自動エスプレッソマシン - クラシックミルク泡立て器、2種類のコーヒー、直感的なタッチディスプレイ、ブラック、(EP2220/14)</v>
      </c>
    </row>
    <row r="363" ht="15.75" customHeight="1">
      <c r="A363" s="1">
        <v>3426.0</v>
      </c>
      <c r="B363" s="1" t="s">
        <v>6</v>
      </c>
      <c r="C363" s="1" t="s">
        <v>360</v>
      </c>
      <c r="D363" s="1" t="str">
        <f>IFERROR(__xludf.DUMMYFUNCTION("CONCATENATE(GOOGLETRANSLATE(C363, ""en"", ""zh-cn""))
"),"COSIKIE 带研磨机的浓缩咖啡机，带蒸奶泡器的半自动浓缩咖啡机，多合一浓缩咖啡机 20 酒吧，家用咖啡师卡布奇诺咖啡机（银色）")</f>
        <v>COSIKIE 带研磨机的浓缩咖啡机，带蒸奶泡器的半自动浓缩咖啡机，多合一浓缩咖啡机 20 酒吧，家用咖啡师卡布奇诺咖啡机（银色）</v>
      </c>
      <c r="E363" s="1" t="str">
        <f>IFERROR(__xludf.DUMMYFUNCTION("CONCATENATE(GOOGLETRANSLATE(C363, ""en"", ""ko""))"),"COSIKIE 에스프레소 머신(그라인더 포함), 반자동 에스프레소 머신(스티머 우유 거품기 포함), 올인원 에스프레소 커피 머신 20바, 홈 바리스타 카푸치노 커피 메이커(실버)")</f>
        <v>COSIKIE 에스프레소 머신(그라인더 포함), 반자동 에스프레소 머신(스티머 우유 거품기 포함), 올인원 에스프레소 커피 머신 20바, 홈 바리스타 카푸치노 커피 메이커(실버)</v>
      </c>
      <c r="F363" s="1" t="str">
        <f>IFERROR(__xludf.DUMMYFUNCTION("CONCATENATE(GOOGLETRANSLATE(C363, ""en"", ""ja""))"),"COSIKIE エスプレッソマシン グラインダー付き 半自動エスプレッソマシン スチーマーミルク泡立て器付き オールインワンエスプレッソコーヒーマシン 20バー ホームバリスタ カプチーノコーヒーメーカー (シルバー)")</f>
        <v>COSIKIE エスプレッソマシン グラインダー付き 半自動エスプレッソマシン スチーマーミルク泡立て器付き オールインワンエスプレッソコーヒーマシン 20バー ホームバリスタ カプチーノコーヒーメーカー (シルバー)</v>
      </c>
    </row>
    <row r="364" ht="15.75" customHeight="1">
      <c r="A364" s="1">
        <v>3432.0</v>
      </c>
      <c r="B364" s="1" t="s">
        <v>6</v>
      </c>
      <c r="C364" s="1" t="s">
        <v>361</v>
      </c>
      <c r="D364" s="1" t="str">
        <f>IFERROR(__xludf.DUMMYFUNCTION("CONCATENATE(GOOGLETRANSLATE(C364, ""en"", ""zh-cn""))
"),"Mjkone 天鹅绒双面沙发床，带大储物躺椅，3 座双面拉出沙发床，L 形组合式沙发床，适用于公寓，客厅，深灰色")</f>
        <v>Mjkone 天鹅绒双面沙发床，带大储物躺椅，3 座双面拉出沙发床，L 形组合式沙发床，适用于公寓，客厅，深灰色</v>
      </c>
      <c r="E364" s="1" t="str">
        <f>IFERROR(__xludf.DUMMYFUNCTION("CONCATENATE(GOOGLETRANSLATE(C364, ""en"", ""ko""))"),"Mjkone 벨벳 양면 슬리퍼 소파 소파(대형 수납 의자 포함), 3인용 양면 풀아웃 소파 소파 침대, 아파트용 L자형 단면 슬리퍼 소파 소파, 거실, 다크 그레이")</f>
        <v>Mjkone 벨벳 양면 슬리퍼 소파 소파(대형 수납 의자 포함), 3인용 양면 풀아웃 소파 소파 침대, 아파트용 L자형 단면 슬리퍼 소파 소파, 거실, 다크 그레이</v>
      </c>
      <c r="F364" s="1" t="str">
        <f>IFERROR(__xludf.DUMMYFUNCTION("CONCATENATE(GOOGLETRANSLATE(C364, ""en"", ""ja""))"),"Mjkone ベルベットリバーシブルスリーパーソファソファ、大容量収納長椅子付き、3人掛けリバーシブル引き出しソファカウチベッド、L字型セクショナルスリーパーソファソファ、アパート、リビングルーム用、ダークグレー")</f>
        <v>Mjkone ベルベットリバーシブルスリーパーソファソファ、大容量収納長椅子付き、3人掛けリバーシブル引き出しソファカウチベッド、L字型セクショナルスリーパーソファソファ、アパート、リビングルーム用、ダークグレー</v>
      </c>
    </row>
    <row r="365" ht="15.75" customHeight="1">
      <c r="A365" s="1">
        <v>3434.0</v>
      </c>
      <c r="B365" s="1" t="s">
        <v>6</v>
      </c>
      <c r="C365" s="1" t="s">
        <v>362</v>
      </c>
      <c r="D365" s="1" t="str">
        <f>IFERROR(__xludf.DUMMYFUNCTION("CONCATENATE(GOOGLETRANSLATE(C365, ""en"", ""zh-cn""))
"),"FDW 组合组合沙发，L 形沙发可转换沙发 4 座沙发带脚凳客厅卧室办公室，深灰色")</f>
        <v>FDW 组合组合沙发，L 形沙发可转换沙发 4 座沙发带脚凳客厅卧室办公室，深灰色</v>
      </c>
      <c r="E365" s="1" t="str">
        <f>IFERROR(__xludf.DUMMYFUNCTION("CONCATENATE(GOOGLETRANSLATE(C365, ""en"", ""ko""))"),"FDW 모듈형 단면 소파 소파, L자형 소파 소파 컨버터블 소파 4인용 소파(거실용 오토만 포함) 침실 사무실, 진한 회색")</f>
        <v>FDW 모듈형 단면 소파 소파, L자형 소파 소파 컨버터블 소파 4인용 소파(거실용 오토만 포함) 침실 사무실, 진한 회색</v>
      </c>
      <c r="F365" s="1" t="str">
        <f>IFERROR(__xludf.DUMMYFUNCTION("CONCATENATE(GOOGLETRANSLATE(C365, ""en"", ""ja""))"),"FDW モジュール式セクショナルソファ カウチ、L 字型ソファ カウチ コンバーチブルソファ 4 人掛けソファ オットマン付き リビングルーム ベッドルーム オフィス用 ダークグレー")</f>
        <v>FDW モジュール式セクショナルソファ カウチ、L 字型ソファ カウチ コンバーチブルソファ 4 人掛けソファ オットマン付き リビングルーム ベッドルーム オフィス用 ダークグレー</v>
      </c>
    </row>
    <row r="366" ht="15.75" customHeight="1">
      <c r="A366" s="1">
        <v>3439.0</v>
      </c>
      <c r="B366" s="1" t="s">
        <v>6</v>
      </c>
      <c r="C366" s="1" t="s">
        <v>363</v>
      </c>
      <c r="D366" s="1" t="str">
        <f>IFERROR(__xludf.DUMMYFUNCTION("CONCATENATE(GOOGLETRANSLATE(C366, ""en"", ""zh-cn""))
"),"Breville BCI600XL 智能勺冰淇淋机，拉丝不锈钢")</f>
        <v>Breville BCI600XL 智能勺冰淇淋机，拉丝不锈钢</v>
      </c>
      <c r="E366" s="1" t="str">
        <f>IFERROR(__xludf.DUMMYFUNCTION("CONCATENATE(GOOGLETRANSLATE(C366, ""en"", ""ko""))"),"Breville BCI600XL 스마트 스쿠프 아이스크림 메이커, 브러시드 스테인레스 스틸")</f>
        <v>Breville BCI600XL 스마트 스쿠프 아이스크림 메이커, 브러시드 스테인레스 스틸</v>
      </c>
      <c r="F366" s="1" t="str">
        <f>IFERROR(__xludf.DUMMYFUNCTION("CONCATENATE(GOOGLETRANSLATE(C366, ""en"", ""ja""))"),"Breville BCI600XL スマート スクープ アイスクリーム メーカー、ブラッシュステンレススチール")</f>
        <v>Breville BCI600XL スマート スクープ アイスクリーム メーカー、ブラッシュステンレススチール</v>
      </c>
    </row>
    <row r="367" ht="15.75" customHeight="1">
      <c r="A367" s="1">
        <v>3465.0</v>
      </c>
      <c r="B367" s="1" t="s">
        <v>6</v>
      </c>
      <c r="C367" s="1" t="s">
        <v>364</v>
      </c>
      <c r="D367" s="1" t="str">
        <f>IFERROR(__xludf.DUMMYFUNCTION("CONCATENATE(GOOGLETRANSLATE(C367, ""en"", ""zh-cn""))
"),"客厅切斯特菲尔德沙发，3 座天鹅绒沙发家庭影院座椅软垫扶手沙发，适用于卧室、办公室、公寓（深绿色）")</f>
        <v>客厅切斯特菲尔德沙发，3 座天鹅绒沙发家庭影院座椅软垫扶手沙发，适用于卧室、办公室、公寓（深绿色）</v>
      </c>
      <c r="E367" s="1" t="str">
        <f>IFERROR(__xludf.DUMMYFUNCTION("CONCATENATE(GOOGLETRANSLATE(C367, ""en"", ""ko""))"),"거실용 체스터필드 소파, 침실, 사무실, 아파트용 3인용 벨벳 소파 홈 시어터 좌석 덮개를 씌운 액센트 암 소파(Drak Green)")</f>
        <v>거실용 체스터필드 소파, 침실, 사무실, 아파트용 3인용 벨벳 소파 홈 시어터 좌석 덮개를 씌운 액센트 암 소파(Drak Green)</v>
      </c>
      <c r="F367" s="1" t="str">
        <f>IFERROR(__xludf.DUMMYFUNCTION("CONCATENATE(GOOGLETRANSLATE(C367, ""en"", ""ja""))"),"リビングルーム用チェスターフィールドソファ、3人掛けベルベットカウチホームシアターシート布張りアクセントアームソファ、寝室、オフィス、アパート用 (ドラックグリーン)")</f>
        <v>リビングルーム用チェスターフィールドソファ、3人掛けベルベットカウチホームシアターシート布張りアクセントアームソファ、寝室、オフィス、アパート用 (ドラックグリーン)</v>
      </c>
    </row>
    <row r="368" ht="15.75" customHeight="1">
      <c r="A368" s="1">
        <v>3491.0</v>
      </c>
      <c r="B368" s="1" t="s">
        <v>6</v>
      </c>
      <c r="C368" s="1" t="s">
        <v>365</v>
      </c>
      <c r="D368" s="1" t="str">
        <f>IFERROR(__xludf.DUMMYFUNCTION("CONCATENATE(GOOGLETRANSLATE(C368, ""en"", ""zh-cn""))
"),"Armer 55’’ 智能白板 4K 超高清交互式白板 办公和课堂一体机/平板电脑，强大的协作应用生态系统（仅白板）")</f>
        <v>Armer 55’’ 智能白板 4K 超高清交互式白板 办公和课堂一体机/平板电脑，强大的协作应用生态系统（仅白板）</v>
      </c>
      <c r="E368" s="1" t="str">
        <f>IFERROR(__xludf.DUMMYFUNCTION("CONCATENATE(GOOGLETRANSLATE(C368, ""en"", ""ko""))"),"Armer 55'' 스마트 보드 4K UHD 대화형 보드 사무실 및 강의실용 컴퓨터/태블릿 일체형, 협업을 위한 강력한 앱 생태계(보드 전용)")</f>
        <v>Armer 55'' 스마트 보드 4K UHD 대화형 보드 사무실 및 강의실용 컴퓨터/태블릿 일체형, 협업을 위한 강력한 앱 생태계(보드 전용)</v>
      </c>
      <c r="F368" s="1" t="str">
        <f>IFERROR(__xludf.DUMMYFUNCTION("CONCATENATE(GOOGLETRANSLATE(C368, ""en"", ""ja""))"),"Armer 55 インチ スマート ボード 4K UHD インタラクティブ ボード オフィスおよび教室用オールインワン コンピュータ/タブレット、コラボレーション用の堅牢なアプリ エコシステム (ボードのみ)")</f>
        <v>Armer 55 インチ スマート ボード 4K UHD インタラクティブ ボード オフィスおよび教室用オールインワン コンピュータ/タブレット、コラボレーション用の堅牢なアプリ エコシステム (ボードのみ)</v>
      </c>
    </row>
    <row r="369" ht="15.75" customHeight="1">
      <c r="A369" s="1">
        <v>3500.0</v>
      </c>
      <c r="B369" s="1" t="s">
        <v>6</v>
      </c>
      <c r="C369" s="1" t="s">
        <v>366</v>
      </c>
      <c r="D369" s="1" t="str">
        <f>IFERROR(__xludf.DUMMYFUNCTION("CONCATENATE(GOOGLETRANSLATE(C369, ""en"", ""zh-cn""))
"),"Elite Screens Yard Master 电动，150 英寸户外电动投影仪屏幕防雨 16:9 遥控 8K 4K 超高清 3D 电影院 150 自动投影屏幕")</f>
        <v>Elite Screens Yard Master 电动，150 英寸户外电动投影仪屏幕防雨 16:9 遥控 8K 4K 超高清 3D 电影院 150 自动投影屏幕</v>
      </c>
      <c r="E369" s="1" t="str">
        <f>IFERROR(__xludf.DUMMYFUNCTION("CONCATENATE(GOOGLETRANSLATE(C369, ""en"", ""ko""))"),"엘리트 스크린 야드 마스터 전기, 150인치 실외 전동 프로젝터 스크린 빗물 보호 16:9 원격 제어 8K 4K 울트라 HD 3D 영화관 150 자동 프로젝션 스크린")</f>
        <v>엘리트 스크린 야드 마스터 전기, 150인치 실외 전동 프로젝터 스크린 빗물 보호 16:9 원격 제어 8K 4K 울트라 HD 3D 영화관 150 자동 프로젝션 스크린</v>
      </c>
      <c r="F369" s="1" t="str">
        <f>IFERROR(__xludf.DUMMYFUNCTION("CONCATENATE(GOOGLETRANSLATE(C369, ""en"", ""ja""))"),"Elite Screens Yard Master Electric、150 インチ屋外電動プロジェクタースクリーン雨水保護 16:9 リモコン 8K 4K ウルトラ HD 3D 映画館 150 自動投影スクリーン")</f>
        <v>Elite Screens Yard Master Electric、150 インチ屋外電動プロジェクタースクリーン雨水保護 16:9 リモコン 8K 4K ウルトラ HD 3D 映画館 150 自動投影スクリーン</v>
      </c>
    </row>
    <row r="370" ht="15.75" customHeight="1">
      <c r="A370" s="1">
        <v>3505.0</v>
      </c>
      <c r="B370" s="1" t="s">
        <v>6</v>
      </c>
      <c r="C370" s="1" t="s">
        <v>367</v>
      </c>
      <c r="D370" s="1" t="str">
        <f>IFERROR(__xludf.DUMMYFUNCTION("CONCATENATE(GOOGLETRANSLATE(C370, ""en"", ""zh-cn""))
"),"Elite Screens Aeon CLR 3 系列，123 英寸投影仪屏幕 Diag 16:9 4K/8K 超高清无边吸顶式环境光抑制固定框架投影仪屏幕家庭影院， AR123H-CLR3")</f>
        <v>Elite Screens Aeon CLR 3 系列，123 英寸投影仪屏幕 Diag 16:9 4K/8K 超高清无边吸顶式环境光抑制固定框架投影仪屏幕家庭影院， AR123H-CLR3</v>
      </c>
      <c r="E370" s="1" t="str">
        <f>IFERROR(__xludf.DUMMYFUNCTION("CONCATENATE(GOOGLETRANSLATE(C370, ""en"", ""ko""))"),"엘리트 스크린 Aeon CLR 3 시리즈,123인치 프로젝터 스크린 Diag 16:9 4K/8K Ultra HD Edge Free 천장 주변 조명 거부 고정 프레임 프로젝터 스크린 홈 시어터, AR123H-CLR3")</f>
        <v>엘리트 스크린 Aeon CLR 3 시리즈,123인치 프로젝터 스크린 Diag 16:9 4K/8K Ultra HD Edge Free 천장 주변 조명 거부 고정 프레임 프로젝터 스크린 홈 시어터, AR123H-CLR3</v>
      </c>
      <c r="F370" s="1" t="str">
        <f>IFERROR(__xludf.DUMMYFUNCTION("CONCATENATE(GOOGLETRANSLATE(C370, ""en"", ""ja""))"),"Elite Screens AEON CLR 3 シリーズ、123 インチプロジェクタースクリーン Diag 16:9 4K/8K ウルトラ HD エッジフリー天井周囲光拒否固定フレームプロジェクタースクリーンホームシアター、AR123H-CLR3")</f>
        <v>Elite Screens AEON CLR 3 シリーズ、123 インチプロジェクタースクリーン Diag 16:9 4K/8K ウルトラ HD エッジフリー天井周囲光拒否固定フレームプロジェクタースクリーンホームシアター、AR123H-CLR3</v>
      </c>
    </row>
    <row r="371" ht="15.75" customHeight="1">
      <c r="A371" s="1">
        <v>3516.0</v>
      </c>
      <c r="B371" s="1" t="s">
        <v>6</v>
      </c>
      <c r="C371" s="1" t="s">
        <v>368</v>
      </c>
      <c r="D371" s="1" t="str">
        <f>IFERROR(__xludf.DUMMYFUNCTION("CONCATENATE(GOOGLETRANSLATE(C371, ""en"", ""zh-cn""))
"),"HP Envy 笔记本电脑， 17.3 FHD IPS 触摸屏，第 12 代英特尔酷睿 i7-1260P，32GB RAM，1TB PCIe SSD，红外摄像头，背光键盘，Wi-Fi 6，Windows 11 Home，银色")</f>
        <v>HP Envy 笔记本电脑， 17.3 FHD IPS 触摸屏，第 12 代英特尔酷睿 i7-1260P，32GB RAM，1TB PCIe SSD，红外摄像头，背光键盘，Wi-Fi 6，Windows 11 Home，银色</v>
      </c>
      <c r="E371" s="1" t="str">
        <f>IFERROR(__xludf.DUMMYFUNCTION("CONCATENATE(GOOGLETRANSLATE(C371, ""en"", ""ko""))"),"HP Envy 노트북, 17.3 FHD IPS 터치스크린, 12세대 인텔 코어 i7-1260P, 32GB RAM, 1TB PCIe SSD, IR 카메라, 백라이트 키보드, Wi-Fi 6, Windows 11 Home, 실버")</f>
        <v>HP Envy 노트북, 17.3 FHD IPS 터치스크린, 12세대 인텔 코어 i7-1260P, 32GB RAM, 1TB PCIe SSD, IR 카메라, 백라이트 키보드, Wi-Fi 6, Windows 11 Home, 실버</v>
      </c>
      <c r="F371" s="1" t="str">
        <f>IFERROR(__xludf.DUMMYFUNCTION("CONCATENATE(GOOGLETRANSLATE(C371, ""en"", ""ja""))"),"HP Envy ラップトップ、17.3 FHD IPS タッチスクリーン、第 12 世代 Intel Core i7-1260P、32GB RAM、1TB PCIe SSD、IR カメラ、バックライト付きキーボード、Wi-Fi 6、Windows 11 Home、シルバー")</f>
        <v>HP Envy ラップトップ、17.3 FHD IPS タッチスクリーン、第 12 世代 Intel Core i7-1260P、32GB RAM、1TB PCIe SSD、IR カメラ、バックライト付きキーボード、Wi-Fi 6、Windows 11 Home、シルバー</v>
      </c>
    </row>
    <row r="372" ht="15.75" customHeight="1">
      <c r="A372" s="1">
        <v>3523.0</v>
      </c>
      <c r="B372" s="1" t="s">
        <v>6</v>
      </c>
      <c r="C372" s="1" t="s">
        <v>369</v>
      </c>
      <c r="D372" s="1" t="str">
        <f>IFERROR(__xludf.DUMMYFUNCTION("CONCATENATE(GOOGLETRANSLATE(C372, ""en"", ""zh-cn""))
"),"LG gram (2022) 14Z90Q 超轻薄笔记本电脑， 14 (1920 x 1200) IPS 显示屏， Intel Evo 第 12 代 i7 1260P 处理器， 16GB LPDDR5， 512GB NVMe SSD， 全高清网络摄像头， WiFi 6E， Thunderbolt 4， Windows 11， 灰色")</f>
        <v>LG gram (2022) 14Z90Q 超轻薄笔记本电脑， 14 (1920 x 1200) IPS 显示屏， Intel Evo 第 12 代 i7 1260P 处理器， 16GB LPDDR5， 512GB NVMe SSD， 全高清网络摄像头， WiFi 6E， Thunderbolt 4， Windows 11， 灰色</v>
      </c>
      <c r="E372" s="1" t="str">
        <f>IFERROR(__xludf.DUMMYFUNCTION("CONCATENATE(GOOGLETRANSLATE(C372, ""en"", ""ko""))"),"LG 그램(2022) 14Z90Q 초경량 노트북, 14(1920 x 1200) IPS 디스플레이, Intel Evo 12세대 i7 1260P 프로세서, 16GB LPDDR5, 512GB NVMe SSD, FHD 웹캠, WiFi 6E, Thunderbolt 4, Windows 11, 그레이")</f>
        <v>LG 그램(2022) 14Z90Q 초경량 노트북, 14(1920 x 1200) IPS 디스플레이, Intel Evo 12세대 i7 1260P 프로세서, 16GB LPDDR5, 512GB NVMe SSD, FHD 웹캠, WiFi 6E, Thunderbolt 4, Windows 11, 그레이</v>
      </c>
      <c r="F372" s="1" t="str">
        <f>IFERROR(__xludf.DUMMYFUNCTION("CONCATENATE(GOOGLETRANSLATE(C372, ""en"", ""ja""))"),"LG gram (2022) 14Z90Q 超軽量ラップトップ、14 (1920 x 1200) IPS ディスプレイ、Intel Evo 第 12 世代 i7 1260P プロセッサー、16GB LPDDR5、512GB NVMe SSD、FHD ウェブカメラ、WiFi 6E、Thunderbolt 4、Windows 11、グレー")</f>
        <v>LG gram (2022) 14Z90Q 超軽量ラップトップ、14 (1920 x 1200) IPS ディスプレイ、Intel Evo 第 12 世代 i7 1260P プロセッサー、16GB LPDDR5、512GB NVMe SSD、FHD ウェブカメラ、WiFi 6E、Thunderbolt 4、Windows 11、グレー</v>
      </c>
    </row>
    <row r="373" ht="15.75" customHeight="1">
      <c r="A373" s="1">
        <v>3543.0</v>
      </c>
      <c r="B373" s="1" t="s">
        <v>6</v>
      </c>
      <c r="C373" s="1" t="s">
        <v>370</v>
      </c>
      <c r="D373" s="1" t="str">
        <f>IFERROR(__xludf.DUMMYFUNCTION("CONCATENATE(GOOGLETRANSLATE(C373, ""en"", ""zh-cn""))
"),"Night Owl 16 通道蓝牙视频家庭安全摄像头系统，配备 (12) 个带音频的有线 4K 超高清室内/室外聚光灯摄像头和 2TB 硬盘（最多可扩展至 16 个摄像头）")</f>
        <v>Night Owl 16 通道蓝牙视频家庭安全摄像头系统，配备 (12) 个带音频的有线 4K 超高清室内/室外聚光灯摄像头和 2TB 硬盘（最多可扩展至 16 个摄像头）</v>
      </c>
      <c r="E373" s="1" t="str">
        <f>IFERROR(__xludf.DUMMYFUNCTION("CONCATENATE(GOOGLETRANSLATE(C373, ""en"", ""ko""))"),"Night Owl 16채널 Bluetooth 비디오 홈 보안 카메라 시스템(12개)의 유선 4K UHD 실내/실외 스포트라이트 카메라(오디오 및 2TB 하드 드라이브 포함)(최대 16개 카메라로 확장 가능)")</f>
        <v>Night Owl 16채널 Bluetooth 비디오 홈 보안 카메라 시스템(12개)의 유선 4K UHD 실내/실외 스포트라이트 카메라(오디오 및 2TB 하드 드라이브 포함)(최대 16개 카메라로 확장 가능)</v>
      </c>
      <c r="F373" s="1" t="str">
        <f>IFERROR(__xludf.DUMMYFUNCTION("CONCATENATE(GOOGLETRANSLATE(C373, ""en"", ""ja""))"),"Night Owl 16 チャンネル Bluetooth ビデオ ホームセキュリティ カメラ システム (12 台) 有線 4K UHD 屋内/屋外スポットライト カメラ (オーディオ付き) および 2TB ハードドライブ (最大 16 台のカメラまで拡張可能)")</f>
        <v>Night Owl 16 チャンネル Bluetooth ビデオ ホームセキュリティ カメラ システム (12 台) 有線 4K UHD 屋内/屋外スポットライト カメラ (オーディオ付き) および 2TB ハードドライブ (最大 16 台のカメラまで拡張可能)</v>
      </c>
    </row>
    <row r="374" ht="15.75" customHeight="1">
      <c r="A374" s="1">
        <v>3547.0</v>
      </c>
      <c r="B374" s="1" t="s">
        <v>6</v>
      </c>
      <c r="C374" s="1" t="s">
        <v>371</v>
      </c>
      <c r="D374" s="1" t="str">
        <f>IFERROR(__xludf.DUMMYFUNCTION("CONCATENATE(GOOGLETRANSLATE(C374, ""en"", ""zh-cn""))
"),"声音设备 MixPre-6 II 便携式 32 位浮点多通道音频录音机/混音器，以及 USB 音频接口")</f>
        <v>声音设备 MixPre-6 II 便携式 32 位浮点多通道音频录音机/混音器，以及 USB 音频接口</v>
      </c>
      <c r="E374" s="1" t="str">
        <f>IFERROR(__xludf.DUMMYFUNCTION("CONCATENATE(GOOGLETRANSLATE(C374, ""en"", ""ko""))"),"사운드 장치 MixPre-6 II 휴대용 32비트 부동 다중 채널 오디오 레코더/믹서 및 USB 오디오 인터페이스")</f>
        <v>사운드 장치 MixPre-6 II 휴대용 32비트 부동 다중 채널 오디오 레코더/믹서 및 USB 오디오 인터페이스</v>
      </c>
      <c r="F374" s="1" t="str">
        <f>IFERROR(__xludf.DUMMYFUNCTION("CONCATENATE(GOOGLETRANSLATE(C374, ""en"", ""ja""))"),"サウンドデバイス MixPre-6 II ポータブル 32 ビット フロート マルチチャンネル オーディオ レコーダー/ミキサー、および USB オーディオ インターフェイス")</f>
        <v>サウンドデバイス MixPre-6 II ポータブル 32 ビット フロート マルチチャンネル オーディオ レコーダー/ミキサー、および USB オーディオ インターフェイス</v>
      </c>
    </row>
    <row r="375" ht="15.75" customHeight="1">
      <c r="A375" s="1">
        <v>3567.0</v>
      </c>
      <c r="B375" s="1" t="s">
        <v>6</v>
      </c>
      <c r="C375" s="1" t="s">
        <v>372</v>
      </c>
      <c r="D375" s="1" t="str">
        <f>IFERROR(__xludf.DUMMYFUNCTION("CONCATENATE(GOOGLETRANSLATE(C375, ""en"", ""zh-cn""))
"),"当天交付 [翻新] HP Eliteone 800 G5/G4 24 英寸全高清 选择触摸或非触摸，i7-9700 8 核或 8700 高达 3.3Ghz 16GB DDR4 RAM 512GB SSD 内置网络摄像头 5G Wifi /扬声器 赢取 11,1 年")</f>
        <v>当天交付 [翻新] HP Eliteone 800 G5/G4 24 英寸全高清 选择触摸或非触摸，i7-9700 8 核或 8700 高达 3.3Ghz 16GB DDR4 RAM 512GB SSD 内置网络摄像头 5G Wifi /扬声器 赢取 11,1 年</v>
      </c>
      <c r="E375" s="1" t="str">
        <f>IFERROR(__xludf.DUMMYFUNCTION("CONCATENATE(GOOGLETRANSLATE(C375, ""en"", ""ko""))"),"당일 배송 [리퍼브 상품] HP Eliteone 800 G5/G4 24인치 FullHD 터치 또는 비터치 선택, i7-9700 8 코어 또는 8700 최대 3.3Ghz 16GB DDR4 RAM 512GB SSD 내장 웹캠 5G Wifi/스피커 Win 11,1년")</f>
        <v>당일 배송 [리퍼브 상품] HP Eliteone 800 G5/G4 24인치 FullHD 터치 또는 비터치 선택, i7-9700 8 코어 또는 8700 최대 3.3Ghz 16GB DDR4 RAM 512GB SSD 내장 웹캠 5G Wifi/스피커 Win 11,1년</v>
      </c>
      <c r="F375" s="1" t="str">
        <f>IFERROR(__xludf.DUMMYFUNCTION("CONCATENATE(GOOGLETRANSLATE(C375, ""en"", ""ja""))"),"即日発送 [整備済] HP Eliteone 800 G5/G4 24 インチ FullHD タッチまたは非タッチを選択、i7-9700 8 コアまたは 8700 最大 3.3Ghz 16GB DDR4 RAM 512GB SSD 内蔵ウェブカメラ 5G Wifi /スピーカー Win 11、1 年")</f>
        <v>即日発送 [整備済] HP Eliteone 800 G5/G4 24 インチ FullHD タッチまたは非タッチを選択、i7-9700 8 コアまたは 8700 最大 3.3Ghz 16GB DDR4 RAM 512GB SSD 内蔵ウェブカメラ 5G Wifi /スピーカー Win 11、1 年</v>
      </c>
    </row>
    <row r="376" ht="15.75" customHeight="1">
      <c r="A376" s="1">
        <v>3603.0</v>
      </c>
      <c r="B376" s="1" t="s">
        <v>6</v>
      </c>
      <c r="C376" s="1" t="s">
        <v>373</v>
      </c>
      <c r="D376" s="1" t="str">
        <f>IFERROR(__xludf.DUMMYFUNCTION("CONCATENATE(GOOGLETRANSLATE(C376, ""en"", ""zh-cn""))
"),"5 件装（2BK+1C+1M+1Y）827A | CF300A CF301A CF302A CF303A 再生碳粉盒 兼容 HP Laserjet Enterprise Flow MFP M880 M880z+ M880z+NFC M880z 打印机墨盒")</f>
        <v>5 件装（2BK+1C+1M+1Y）827A | CF300A CF301A CF302A CF303A 再生碳粉盒 兼容 HP Laserjet Enterprise Flow MFP M880 M880z+ M880z+NFC M880z 打印机墨盒</v>
      </c>
      <c r="E376" s="1" t="str">
        <f>IFERROR(__xludf.DUMMYFUNCTION("CONCATENATE(GOOGLETRANSLATE(C376, ""en"", ""ko""))"),"5팩(2BK+1C+1M+1Y) 827A | CF300A CF301A CF302A CF303A HP Laserjet Enterprise Flow MFP M880 M880z+ M880z+NFC M880z 프린터 잉크 카트리지와 호환되는 재생 토너 카트리지")</f>
        <v>5팩(2BK+1C+1M+1Y) 827A | CF300A CF301A CF302A CF303A HP Laserjet Enterprise Flow MFP M880 M880z+ M880z+NFC M880z 프린터 잉크 카트리지와 호환되는 재생 토너 카트리지</v>
      </c>
      <c r="F376" s="1" t="str">
        <f>IFERROR(__xludf.DUMMYFUNCTION("CONCATENATE(GOOGLETRANSLATE(C376, ""en"", ""ja""))"),"5 パック (2BK+1C+1M+1Y) 827A | CF300A CF301A CF302A CF303A 再生トナーカートリッジ HP Laserjet Enterprise Flow MFP M880 M880z+ M880z+NFC M880z プリンタインクカートリッジと互換性あり")</f>
        <v>5 パック (2BK+1C+1M+1Y) 827A | CF300A CF301A CF302A CF303A 再生トナーカートリッジ HP Laserjet Enterprise Flow MFP M880 M880z+ M880z+NFC M880z プリンタインクカートリッジと互換性あり</v>
      </c>
    </row>
    <row r="377" ht="15.75" customHeight="1">
      <c r="A377" s="1">
        <v>3618.0</v>
      </c>
      <c r="B377" s="1" t="s">
        <v>6</v>
      </c>
      <c r="C377" s="1" t="s">
        <v>374</v>
      </c>
      <c r="D377" s="1" t="str">
        <f>IFERROR(__xludf.DUMMYFUNCTION("CONCATENATE(GOOGLETRANSLATE(C377, ""en"", ""zh-cn""))
"),"Apple Watch Ultra [GPS + 蜂窝网络 49 毫米] 钛金属表壳，带黄色/米色尾环，S/M（续订）")</f>
        <v>Apple Watch Ultra [GPS + 蜂窝网络 49 毫米] 钛金属表壳，带黄色/米色尾环，S/M（续订）</v>
      </c>
      <c r="E377" s="1" t="str">
        <f>IFERROR(__xludf.DUMMYFUNCTION("CONCATENATE(GOOGLETRANSLATE(C377, ""en"", ""ko""))"),"Apple Watch Ultra [GPS + Cellular 49mm] 티타늄 케이스, 옐로우/베이지 트레일 루프, S/M(리뉴얼)")</f>
        <v>Apple Watch Ultra [GPS + Cellular 49mm] 티타늄 케이스, 옐로우/베이지 트레일 루프, S/M(리뉴얼)</v>
      </c>
      <c r="F377" s="1" t="str">
        <f>IFERROR(__xludf.DUMMYFUNCTION("CONCATENATE(GOOGLETRANSLATE(C377, ""en"", ""ja""))"),"Apple Watch Ultra [GPS + Cellular 49mm] チタンケース、イエロー/ベージュのトレイルループ付き、S/M (リニューアル)")</f>
        <v>Apple Watch Ultra [GPS + Cellular 49mm] チタンケース、イエロー/ベージュのトレイルループ付き、S/M (リニューアル)</v>
      </c>
    </row>
    <row r="378" ht="15.75" customHeight="1">
      <c r="A378" s="1">
        <v>3621.0</v>
      </c>
      <c r="B378" s="1" t="s">
        <v>6</v>
      </c>
      <c r="C378" s="1" t="s">
        <v>375</v>
      </c>
      <c r="D378" s="1" t="str">
        <f>IFERROR(__xludf.DUMMYFUNCTION("CONCATENATE(GOOGLETRANSLATE(C378, ""en"", ""zh-cn""))
"),"Blackmagic Design Video Assist 3G SDI/HDMI 7 录像机监视器套装，带锂离子电池组、交流/直流充电器和 6' HDMI 电缆")</f>
        <v>Blackmagic Design Video Assist 3G SDI/HDMI 7 录像机监视器套装，带锂离子电池组、交流/直流充电器和 6' HDMI 电缆</v>
      </c>
      <c r="E378" s="1" t="str">
        <f>IFERROR(__xludf.DUMMYFUNCTION("CONCATENATE(GOOGLETRANSLATE(C378, ""en"", ""ko""))"),"Blackmagic Design Video Assist 3G SDI/HDMI 7 레코더 모니터 번들(리튬 이온 배터리 팩, AC/DC 충전기, 6인치 HDMI 케이블 포함)")</f>
        <v>Blackmagic Design Video Assist 3G SDI/HDMI 7 레코더 모니터 번들(리튬 이온 배터리 팩, AC/DC 충전기, 6인치 HDMI 케이블 포함)</v>
      </c>
      <c r="F378" s="1" t="str">
        <f>IFERROR(__xludf.DUMMYFUNCTION("CONCATENATE(GOOGLETRANSLATE(C378, ""en"", ""ja""))"),"Blackmagic Design Video Assist 3G SDI/HDMI 7 レコーダー モニター バンドル (リチウムイオン バッテリー パック、AC/DC 充電器、6 フィート HDMI ケーブル付き)")</f>
        <v>Blackmagic Design Video Assist 3G SDI/HDMI 7 レコーダー モニター バンドル (リチウムイオン バッテリー パック、AC/DC 充電器、6 フィート HDMI ケーブル付き)</v>
      </c>
    </row>
    <row r="379" ht="15.75" customHeight="1">
      <c r="A379" s="1">
        <v>3640.0</v>
      </c>
      <c r="B379" s="1" t="s">
        <v>6</v>
      </c>
      <c r="C379" s="1" t="s">
        <v>247</v>
      </c>
      <c r="D379" s="1" t="str">
        <f>IFERROR(__xludf.DUMMYFUNCTION("CONCATENATE(GOOGLETRANSLATE(C379, ""en"", ""zh-cn""))
"),"Dell Latitude 7420 14 Intel Core i5-1145G7 256GB PCIe SSD 16GB FHD Touch (1920X1080) 300 NIT 红外摄像头 Win 11 Pro（经过认证的翻新机）")</f>
        <v>Dell Latitude 7420 14 Intel Core i5-1145G7 256GB PCIe SSD 16GB FHD Touch (1920X1080) 300 NIT 红外摄像头 Win 11 Pro（经过认证的翻新机）</v>
      </c>
      <c r="E379" s="1" t="str">
        <f>IFERROR(__xludf.DUMMYFUNCTION("CONCATENATE(GOOGLETRANSLATE(C379, ""en"", ""ko""))"),"Dell Latitude 7420 14 Intel Core i5-1145G7 256GB PCIe SSD 16GB FHD 터치(1920X1080) 300 NIT IR Cam Win 11 Pro(인증 리퍼브)")</f>
        <v>Dell Latitude 7420 14 Intel Core i5-1145G7 256GB PCIe SSD 16GB FHD 터치(1920X1080) 300 NIT IR Cam Win 11 Pro(인증 리퍼브)</v>
      </c>
      <c r="F379" s="1" t="str">
        <f>IFERROR(__xludf.DUMMYFUNCTION("CONCATENATE(GOOGLETRANSLATE(C379, ""en"", ""ja""))"),"Dell Latitude 7420 14 Intel Core i5-1145G7 256GB PCIe SSD 16GB FHD Touch (1920X1080) 300 NIT IR Cam Win 11 Pro (認定再生品)")</f>
        <v>Dell Latitude 7420 14 Intel Core i5-1145G7 256GB PCIe SSD 16GB FHD Touch (1920X1080) 300 NIT IR Cam Win 11 Pro (認定再生品)</v>
      </c>
    </row>
    <row r="380" ht="15.75" customHeight="1">
      <c r="A380" s="1">
        <v>3667.0</v>
      </c>
      <c r="B380" s="1" t="s">
        <v>6</v>
      </c>
      <c r="C380" s="1" t="s">
        <v>376</v>
      </c>
      <c r="D380" s="1" t="str">
        <f>IFERROR(__xludf.DUMMYFUNCTION("CONCATENATE(GOOGLETRANSLATE(C380, ""en"", ""zh-cn""))
"),"Fujitsu fi-7260 ADF + 平板专业扫描仪（认证翻新）")</f>
        <v>Fujitsu fi-7260 ADF + 平板专业扫描仪（认证翻新）</v>
      </c>
      <c r="E380" s="1" t="str">
        <f>IFERROR(__xludf.DUMMYFUNCTION("CONCATENATE(GOOGLETRANSLATE(C380, ""en"", ""ko""))"),"Fujitsu fi-7260 ADF + 평판형 전문 스캐너(인증 리퍼브 제품)")</f>
        <v>Fujitsu fi-7260 ADF + 평판형 전문 스캐너(인증 리퍼브 제품)</v>
      </c>
      <c r="F380" s="1" t="str">
        <f>IFERROR(__xludf.DUMMYFUNCTION("CONCATENATE(GOOGLETRANSLATE(C380, ""en"", ""ja""))"),"富士通 fi-7260 ADF + フラットベッド プロフェッショナル スキャナー (認定再生品)")</f>
        <v>富士通 fi-7260 ADF + フラットベッド プロフェッショナル スキャナー (認定再生品)</v>
      </c>
    </row>
    <row r="381" ht="15.75" customHeight="1">
      <c r="A381" s="1">
        <v>3694.0</v>
      </c>
      <c r="B381" s="1" t="s">
        <v>6</v>
      </c>
      <c r="C381" s="1" t="s">
        <v>377</v>
      </c>
      <c r="D381" s="1" t="str">
        <f>IFERROR(__xludf.DUMMYFUNCTION("CONCATENATE(GOOGLETRANSLATE(C381, ""en"", ""zh-cn""))
"),"家庭和办公室台式电脑！非常适合办公室和学生使用的电脑！ [免费WIFI USB] Z3N™")</f>
        <v>家庭和办公室台式电脑！非常适合办公室和学生使用的电脑！ [免费WIFI USB] Z3N™</v>
      </c>
      <c r="E381" s="1" t="str">
        <f>IFERROR(__xludf.DUMMYFUNCTION("CONCATENATE(GOOGLETRANSLATE(C381, ""en"", ""ko""))"),"가정 및 사무실 데스크탑 컴퓨터! 사무실 및 학생용으로 사용하기 좋은 PC! [무료 WIFI USB] Z3N™")</f>
        <v>가정 및 사무실 데스크탑 컴퓨터! 사무실 및 학생용으로 사용하기 좋은 PC! [무료 WIFI USB] Z3N™</v>
      </c>
      <c r="F381" s="1" t="str">
        <f>IFERROR(__xludf.DUMMYFUNCTION("CONCATENATE(GOOGLETRANSLATE(C381, ""en"", ""ja""))"),"家庭やオフィスのデスクトップコンピュータ!オフィスや学生の使用に最適な PC! [無料WIFI USB] Z3N™")</f>
        <v>家庭やオフィスのデスクトップコンピュータ!オフィスや学生の使用に最適な PC! [無料WIFI USB] Z3N™</v>
      </c>
    </row>
    <row r="382" ht="15.75" customHeight="1">
      <c r="A382" s="1">
        <v>3698.0</v>
      </c>
      <c r="B382" s="1" t="s">
        <v>6</v>
      </c>
      <c r="C382" s="1" t="s">
        <v>378</v>
      </c>
      <c r="D382" s="1" t="str">
        <f>IFERROR(__xludf.DUMMYFUNCTION("CONCATENATE(GOOGLETRANSLATE(C382, ""en"", ""zh-cn""))
"),"当天发货新型号第 9 代 HP 590-p0053w Pavilion i5-9400 6 核 2.9 GHz (4.1 GHz Turbo) 16GB RAM 128GB SSD Win 10 +2TB HDD 配有新 Hp 键盘/HP 鼠标 1 年保修，升级，操作")</f>
        <v>当天发货新型号第 9 代 HP 590-p0053w Pavilion i5-9400 6 核 2.9 GHz (4.1 GHz Turbo) 16GB RAM 128GB SSD Win 10 +2TB HDD 配有新 Hp 键盘/HP 鼠标 1 年保修，升级，操作</v>
      </c>
      <c r="E382" s="1" t="str">
        <f>IFERROR(__xludf.DUMMYFUNCTION("CONCATENATE(GOOGLETRANSLATE(C382, ""en"", ""ko""))"),"당일 배송 새 모델 9세대 HP 590-p0053w Pavilion i5-9400 6코어 2.9GHz(4.1GHz 터보) 16GB RAM 128GB SSD Win 10 +2TB HDD(새 Hp 키보드/HP 마우스 포함) 1년 보증, 업그레이드됨, ope")</f>
        <v>당일 배송 새 모델 9세대 HP 590-p0053w Pavilion i5-9400 6코어 2.9GHz(4.1GHz 터보) 16GB RAM 128GB SSD Win 10 +2TB HDD(새 Hp 키보드/HP 마우스 포함) 1년 보증, 업그레이드됨, ope</v>
      </c>
      <c r="F382" s="1" t="str">
        <f>IFERROR(__xludf.DUMMYFUNCTION("CONCATENATE(GOOGLETRANSLATE(C382, ""en"", ""ja""))"),"即日発送 新モデル第 9 世代 HP 590-p0053w Pavilion i5-9400 6 コア 2.9 GHz (4.1 GHz ターボ) 16GB RAM 128GB SSD Win 10 +2TB HDD (新しい HP キーボード/HP マウス付き) 1 年保証、アップグレード、オペ")</f>
        <v>即日発送 新モデル第 9 世代 HP 590-p0053w Pavilion i5-9400 6 コア 2.9 GHz (4.1 GHz ターボ) 16GB RAM 128GB SSD Win 10 +2TB HDD (新しい HP キーボード/HP マウス付き) 1 年保証、アップグレード、オペ</v>
      </c>
    </row>
    <row r="383" ht="15.75" customHeight="1">
      <c r="A383" s="1">
        <v>3707.0</v>
      </c>
      <c r="B383" s="1" t="s">
        <v>6</v>
      </c>
      <c r="C383" s="1" t="s">
        <v>379</v>
      </c>
      <c r="D383" s="1" t="str">
        <f>IFERROR(__xludf.DUMMYFUNCTION("CONCATENATE(GOOGLETRANSLATE(C383, ""en"", ""zh-cn""))
"),"戴尔最新 Inspiron 15 3511 笔记本电脑，15.6 FHD 触摸屏，Intel Core i5-1035G1，16GB RAM，1TB PCIe NVMe M.2 SSD，SD 读卡器，网络摄像头，HDMI，WiFi，Windows 11 Home，黑色")</f>
        <v>戴尔最新 Inspiron 15 3511 笔记本电脑，15.6 FHD 触摸屏，Intel Core i5-1035G1，16GB RAM，1TB PCIe NVMe M.2 SSD，SD 读卡器，网络摄像头，HDMI，WiFi，Windows 11 Home，黑色</v>
      </c>
      <c r="E383" s="1" t="str">
        <f>IFERROR(__xludf.DUMMYFUNCTION("CONCATENATE(GOOGLETRANSLATE(C383, ""en"", ""ko""))"),"Dell 최신 Inspiron 15 3511 노트북, 15.6 FHD 터치스크린, Intel Core i5-1035G1, 16GB RAM, 1TB PCIe NVMe M.2 SSD, SD 카드 리더기, 웹캠, HDMI, WiFi, Windows 11 Home, 블랙")</f>
        <v>Dell 최신 Inspiron 15 3511 노트북, 15.6 FHD 터치스크린, Intel Core i5-1035G1, 16GB RAM, 1TB PCIe NVMe M.2 SSD, SD 카드 리더기, 웹캠, HDMI, WiFi, Windows 11 Home, 블랙</v>
      </c>
      <c r="F383" s="1" t="str">
        <f>IFERROR(__xludf.DUMMYFUNCTION("CONCATENATE(GOOGLETRANSLATE(C383, ""en"", ""ja""))"),"Dell 最新の Inspiron 15 3511 ラップトップ、15.6 FHD タッチスクリーン、Intel Core i5-1035G1、16GB RAM、1TB PCIe NVMe M.2 SSD、SD カード リーダー、ウェブカメラ、HDMI、WiFi、Windows 11 Home、ブラック")</f>
        <v>Dell 最新の Inspiron 15 3511 ラップトップ、15.6 FHD タッチスクリーン、Intel Core i5-1035G1、16GB RAM、1TB PCIe NVMe M.2 SSD、SD カード リーダー、ウェブカメラ、HDMI、WiFi、Windows 11 Home、ブラック</v>
      </c>
    </row>
    <row r="384" ht="15.75" customHeight="1">
      <c r="A384" s="1">
        <v>3747.0</v>
      </c>
      <c r="B384" s="1" t="s">
        <v>6</v>
      </c>
      <c r="C384" s="1" t="s">
        <v>380</v>
      </c>
      <c r="D384" s="1" t="str">
        <f>IFERROR(__xludf.DUMMYFUNCTION("CONCATENATE(GOOGLETRANSLATE(C384, ""en"", ""zh-cn""))
"),"SINGTRONIC KA-550Pro 专业1500W卡拉OK混音功放，内置录音功能，蓝牙功能（连接智能设备在YouTube上唱歌），光纤/同轴输入")</f>
        <v>SINGTRONIC KA-550Pro 专业1500W卡拉OK混音功放，内置录音功能，蓝牙功能（连接智能设备在YouTube上唱歌），光纤/同轴输入</v>
      </c>
      <c r="E384" s="1" t="str">
        <f>IFERROR(__xludf.DUMMYFUNCTION("CONCATENATE(GOOGLETRANSLATE(C384, ""en"", ""ko""))"),"SINGTRONIC KA-550Pro Professional 1500W 믹싱 앰프 가라오케, 음성 녹음 기능 내장, Bluetooth 기능(YouTube에서 노래하려면 스마트 장치에 연결), 광/동축 입력")</f>
        <v>SINGTRONIC KA-550Pro Professional 1500W 믹싱 앰프 가라오케, 음성 녹음 기능 내장, Bluetooth 기능(YouTube에서 노래하려면 스마트 장치에 연결), 광/동축 입력</v>
      </c>
      <c r="F384" s="1" t="str">
        <f>IFERROR(__xludf.DUMMYFUNCTION("CONCATENATE(GOOGLETRANSLATE(C384, ""en"", ""ja""))"),"SINGTRONIC KA-550Pro プロフェッショナル 1500W ミキシングアンプ カラオケ、音声録音機能内蔵、Bluetooth 機能 (スマートデバイスに接続して YouTube で歌えます)、光/同軸入力")</f>
        <v>SINGTRONIC KA-550Pro プロフェッショナル 1500W ミキシングアンプ カラオケ、音声録音機能内蔵、Bluetooth 機能 (スマートデバイスに接続して YouTube で歌えます)、光/同軸入力</v>
      </c>
    </row>
    <row r="385" ht="15.75" customHeight="1">
      <c r="A385" s="1">
        <v>3751.0</v>
      </c>
      <c r="B385" s="1" t="s">
        <v>6</v>
      </c>
      <c r="C385" s="1" t="s">
        <v>381</v>
      </c>
      <c r="D385" s="1" t="str">
        <f>IFERROR(__xludf.DUMMYFUNCTION("CONCATENATE(GOOGLETRANSLATE(C385, ""en"", ""zh-cn""))
"),"[游戏/CAD 设计] HP EliteDesk 800 G2 SFF Intel Core i7-6700 第 6 代 8GB DDR4 RAM 256GB 全新 SSD，配备 AMD RADEON GPU Windows 10 Pro，MS Office [翻新]")</f>
        <v>[游戏/CAD 设计] HP EliteDesk 800 G2 SFF Intel Core i7-6700 第 6 代 8GB DDR4 RAM 256GB 全新 SSD，配备 AMD RADEON GPU Windows 10 Pro，MS Office [翻新]</v>
      </c>
      <c r="E385" s="1" t="str">
        <f>IFERROR(__xludf.DUMMYFUNCTION("CONCATENATE(GOOGLETRANSLATE(C385, ""en"", ""ko""))"),"[게임/CAD 디자인] HP EliteDesk 800 G2 SFF Intel Core i7-6700 6세대 8GB DDR4 RAM 256GB 새 SSD, AMD RADEON GPU Windows 10 Pro, MS Office [리퍼브 상품]")</f>
        <v>[게임/CAD 디자인] HP EliteDesk 800 G2 SFF Intel Core i7-6700 6세대 8GB DDR4 RAM 256GB 새 SSD, AMD RADEON GPU Windows 10 Pro, MS Office [리퍼브 상품]</v>
      </c>
      <c r="F385" s="1" t="str">
        <f>IFERROR(__xludf.DUMMYFUNCTION("CONCATENATE(GOOGLETRANSLATE(C385, ""en"", ""ja""))"),"[ゲーム/CAD デザイン] HP EliteDesk 800 G2 SFF Intel Core i7-6700 第 6 世代 8GB DDR4 RAM 256GB 新品 SSD、AMD RADEON GPU Windows 10 Pro、MS Office [整備済]")</f>
        <v>[ゲーム/CAD デザイン] HP EliteDesk 800 G2 SFF Intel Core i7-6700 第 6 世代 8GB DDR4 RAM 256GB 新品 SSD、AMD RADEON GPU Windows 10 Pro、MS Office [整備済]</v>
      </c>
    </row>
    <row r="386" ht="15.75" customHeight="1">
      <c r="A386" s="1">
        <v>3766.0</v>
      </c>
      <c r="B386" s="1" t="s">
        <v>6</v>
      </c>
      <c r="C386" s="1" t="s">
        <v>382</v>
      </c>
      <c r="D386" s="1" t="str">
        <f>IFERROR(__xludf.DUMMYFUNCTION("CONCATENATE(GOOGLETRANSLATE(C386, ""en"", ""zh-cn""))
"),"戴尔 Precision 7720 17.3 FHD，酷睿 i7 6820HQ 2.7GHz，32GB RAM，512GB SSD，Windows 10 Pro 64 位，CAM（更新）")</f>
        <v>戴尔 Precision 7720 17.3 FHD，酷睿 i7 6820HQ 2.7GHz，32GB RAM，512GB SSD，Windows 10 Pro 64 位，CAM（更新）</v>
      </c>
      <c r="E386" s="1" t="str">
        <f>IFERROR(__xludf.DUMMYFUNCTION("CONCATENATE(GOOGLETRANSLATE(C386, ""en"", ""ko""))"),"Dell Precision 7720 17.3 FHD, Core i7 6820HQ 2.7GHz, 32GB RAM, 512GB SSD, Windows 10 Pro 64Bit, CAM(리뉴얼)")</f>
        <v>Dell Precision 7720 17.3 FHD, Core i7 6820HQ 2.7GHz, 32GB RAM, 512GB SSD, Windows 10 Pro 64Bit, CAM(리뉴얼)</v>
      </c>
      <c r="F386" s="1" t="str">
        <f>IFERROR(__xludf.DUMMYFUNCTION("CONCATENATE(GOOGLETRANSLATE(C386, ""en"", ""ja""))"),"Dell Precision 7720 17.3 FHD、Core i7 6820HQ 2.7GHz、32GB RAM、512GB SSD、Windows 10 Pro 64Bit、CAM (リニューアル)")</f>
        <v>Dell Precision 7720 17.3 FHD、Core i7 6820HQ 2.7GHz、32GB RAM、512GB SSD、Windows 10 Pro 64Bit、CAM (リニューアル)</v>
      </c>
    </row>
    <row r="387" ht="15.75" customHeight="1">
      <c r="A387" s="1">
        <v>3768.0</v>
      </c>
      <c r="B387" s="1" t="s">
        <v>6</v>
      </c>
      <c r="C387" s="1" t="s">
        <v>383</v>
      </c>
      <c r="D387" s="1" t="str">
        <f>IFERROR(__xludf.DUMMYFUNCTION("CONCATENATE(GOOGLETRANSLATE(C387, ""en"", ""zh-cn""))
"),"Fujitsu ScanSnap PA03603-B005 S1300 Instant PDF 单张纸移动扫描仪")</f>
        <v>Fujitsu ScanSnap PA03603-B005 S1300 Instant PDF 单张纸移动扫描仪</v>
      </c>
      <c r="E387" s="1" t="str">
        <f>IFERROR(__xludf.DUMMYFUNCTION("CONCATENATE(GOOGLETRANSLATE(C387, ""en"", ""ko""))"),"Fujitsu ScanSnap PA03603-B005 S1300 즉석 PDF 시트 급지 모바일 스캐너")</f>
        <v>Fujitsu ScanSnap PA03603-B005 S1300 즉석 PDF 시트 급지 모바일 스캐너</v>
      </c>
      <c r="F387" s="1" t="str">
        <f>IFERROR(__xludf.DUMMYFUNCTION("CONCATENATE(GOOGLETRANSLATE(C387, ""en"", ""ja""))"),"富士通 ScanSnap PA03603-B005 S1300 インスタント PDF シートフィード モバイル スキャナー")</f>
        <v>富士通 ScanSnap PA03603-B005 S1300 インスタント PDF シートフィード モバイル スキャナー</v>
      </c>
    </row>
    <row r="388" ht="15.75" customHeight="1">
      <c r="A388" s="1">
        <v>3775.0</v>
      </c>
      <c r="B388" s="1" t="s">
        <v>6</v>
      </c>
      <c r="C388" s="1" t="s">
        <v>384</v>
      </c>
      <c r="D388" s="1" t="str">
        <f>IFERROR(__xludf.DUMMYFUNCTION("CONCATENATE(GOOGLETRANSLATE(C388, ""en"", ""zh-cn""))
"),"Apple 2022 10.9 英寸 iPad (Wi-Fi，64GB) - 蓝色（第 10 代）")</f>
        <v>Apple 2022 10.9 英寸 iPad (Wi-Fi，64GB) - 蓝色（第 10 代）</v>
      </c>
      <c r="E388" s="1" t="str">
        <f>IFERROR(__xludf.DUMMYFUNCTION("CONCATENATE(GOOGLETRANSLATE(C388, ""en"", ""ko""))"),"애플 2022 10.9인치 아이패드(와이파이, 64GB) - 블루(10세대)")</f>
        <v>애플 2022 10.9인치 아이패드(와이파이, 64GB) - 블루(10세대)</v>
      </c>
      <c r="F388" s="1" t="str">
        <f>IFERROR(__xludf.DUMMYFUNCTION("CONCATENATE(GOOGLETRANSLATE(C388, ""en"", ""ja""))"),"Apple 2022 10.9 インチ iPad (Wi-Fi、64GB) - ブルー (第 10 世代)")</f>
        <v>Apple 2022 10.9 インチ iPad (Wi-Fi、64GB) - ブルー (第 10 世代)</v>
      </c>
    </row>
    <row r="389" ht="15.75" customHeight="1">
      <c r="A389" s="1">
        <v>3783.0</v>
      </c>
      <c r="B389" s="1" t="s">
        <v>6</v>
      </c>
      <c r="C389" s="1" t="s">
        <v>385</v>
      </c>
      <c r="D389" s="1" t="str">
        <f>IFERROR(__xludf.DUMMYFUNCTION("CONCATENATE(GOOGLETRANSLATE(C389, ""en"", ""zh-cn""))
"),"bjyx 鞋架金属旋转鞋柜立式圆形鞋架储物简约现代适合入口（尺寸：50 x 13.8 英寸）9 楼金色")</f>
        <v>bjyx 鞋架金属旋转鞋柜立式圆形鞋架储物简约现代适合入口（尺寸：50 x 13.8 英寸）9 楼金色</v>
      </c>
      <c r="E389" s="1" t="str">
        <f>IFERROR(__xludf.DUMMYFUNCTION("CONCATENATE(GOOGLETRANSLATE(C389, ""en"", ""ko""))"),"bjyx 신발장 금속 회전 신발 캐비닛 수직 원형 신발장 보관 입구용 심플하고 모던함(크기: 50 x 13.8in) 9층 골드")</f>
        <v>bjyx 신발장 금속 회전 신발 캐비닛 수직 원형 신발장 보관 입구용 심플하고 모던함(크기: 50 x 13.8in) 9층 골드</v>
      </c>
      <c r="F389" s="1" t="str">
        <f>IFERROR(__xludf.DUMMYFUNCTION("CONCATENATE(GOOGLETRANSLATE(C389, ""en"", ""ja""))"),"bjyx シューズラック 金属製回転シューズキャビネット 垂直ラウンドシューズラック ストレージ シンプルでモダン 玄関用 (サイズ : 50 x 13.8インチ) 9階ゴールド")</f>
        <v>bjyx シューズラック 金属製回転シューズキャビネット 垂直ラウンドシューズラック ストレージ シンプルでモダン 玄関用 (サイズ : 50 x 13.8インチ) 9階ゴールド</v>
      </c>
    </row>
    <row r="390" ht="15.75" customHeight="1">
      <c r="A390" s="1">
        <v>3794.0</v>
      </c>
      <c r="B390" s="1" t="s">
        <v>6</v>
      </c>
      <c r="C390" s="1" t="s">
        <v>386</v>
      </c>
      <c r="D390" s="1" t="str">
        <f>IFERROR(__xludf.DUMMYFUNCTION("CONCATENATE(GOOGLETRANSLATE(C390, ""en"", ""zh-cn""))
"),"HP 15.6 笔记本电脑，配备 Intel 4 核 CPU、15.6 高清 LED 显示屏、Intel 四核处理器、蓝牙和 Wi-Fi、HDMI、长电池寿命、Windows 11 Home S 模式（16GB RAM | 1TB SSD）")</f>
        <v>HP 15.6 笔记本电脑，配备 Intel 4 核 CPU、15.6 高清 LED 显示屏、Intel 四核处理器、蓝牙和 Wi-Fi、HDMI、长电池寿命、Windows 11 Home S 模式（16GB RAM | 1TB SSD）</v>
      </c>
      <c r="E390" s="1" t="str">
        <f>IFERROR(__xludf.DUMMYFUNCTION("CONCATENATE(GOOGLETRANSLATE(C390, ""en"", ""ko""))"),"Intel 4코어 CPU, 15.6 HD LED 디스플레이, Intel 쿼드 코어 프로세서, Bluetooth 및 Wi-Fi, HDMI, 긴 배터리 수명, S 모드의 Windows 11 Home(16GB RAM | 1TB SSD)을 갖춘 HP 15.6 노트북")</f>
        <v>Intel 4코어 CPU, 15.6 HD LED 디스플레이, Intel 쿼드 코어 프로세서, Bluetooth 및 Wi-Fi, HDMI, 긴 배터리 수명, S 모드의 Windows 11 Home(16GB RAM | 1TB SSD)을 갖춘 HP 15.6 노트북</v>
      </c>
      <c r="F390" s="1" t="str">
        <f>IFERROR(__xludf.DUMMYFUNCTION("CONCATENATE(GOOGLETRANSLATE(C390, ""en"", ""ja""))"),"Intel 4 コア CPU、15.6 HD LED ディスプレイ、Intel クアッドコア プロセッサー、Bluetooth および Wi-Fi、HDMI、長いバッテリー寿命、S モードの Windows 11 Home (16GB RAM | 1TB SSD) を搭載した HP 15.6 ラップトップ")</f>
        <v>Intel 4 コア CPU、15.6 HD LED ディスプレイ、Intel クアッドコア プロセッサー、Bluetooth および Wi-Fi、HDMI、長いバッテリー寿命、S モードの Windows 11 Home (16GB RAM | 1TB SSD) を搭載した HP 15.6 ラップトップ</v>
      </c>
    </row>
    <row r="391" ht="15.75" customHeight="1">
      <c r="A391" s="1">
        <v>3806.0</v>
      </c>
      <c r="B391" s="1" t="s">
        <v>6</v>
      </c>
      <c r="C391" s="1" t="s">
        <v>387</v>
      </c>
      <c r="D391" s="1" t="str">
        <f>IFERROR(__xludf.DUMMYFUNCTION("CONCATENATE(GOOGLETRANSLATE(C391, ""en"", ""zh-cn""))
"),"HIKV DS-7616NI-I2/16P 16 路 16 PoE 4K NVR 网络录像机，高达 12MP 分辨率输入，嵌入式即插即用，支持两路音频和报警输入/输出，英文原版（无硬盘）")</f>
        <v>HIKV DS-7616NI-I2/16P 16 路 16 PoE 4K NVR 网络录像机，高达 12MP 分辨率输入，嵌入式即插即用，支持两路音频和报警输入/输出，英文原版（无硬盘）</v>
      </c>
      <c r="E391" s="1" t="str">
        <f>IFERROR(__xludf.DUMMYFUNCTION("CONCATENATE(GOOGLETRANSLATE(C391, ""en"", ""ko""))"),"HIKV DS-7616NI-I2/16P 16 채널 16 PoE 4K NVR 네트워크 비디오 레코더, 최대 12MP 해상도 입력, 내장형 플러그 앤 플레이, 양방향 오디오 및 알람 입/출력 지원, 원본 영어 버전(HDD 없음)")</f>
        <v>HIKV DS-7616NI-I2/16P 16 채널 16 PoE 4K NVR 네트워크 비디오 레코더, 최대 12MP 해상도 입력, 내장형 플러그 앤 플레이, 양방향 오디오 및 알람 입/출력 지원, 원본 영어 버전(HDD 없음)</v>
      </c>
      <c r="F391" s="1" t="str">
        <f>IFERROR(__xludf.DUMMYFUNCTION("CONCATENATE(GOOGLETRANSLATE(C391, ""en"", ""ja""))"),"HIKV DS-7616NI-I2/16P 16 チャンネル 16 PoE 4K NVR ネットワークビデオレコーダー、最大 12MP 解像度入力、組み込みプラグアンドプレイ、双方向オーディオおよびアラームイン/アウトをサポート、オリジナル英語版 (HDD なし)")</f>
        <v>HIKV DS-7616NI-I2/16P 16 チャンネル 16 PoE 4K NVR ネットワークビデオレコーダー、最大 12MP 解像度入力、組み込みプラグアンドプレイ、双方向オーディオおよびアラームイン/アウトをサポート、オリジナル英語版 (HDD なし)</v>
      </c>
    </row>
    <row r="392" ht="15.75" customHeight="1">
      <c r="A392" s="1">
        <v>3812.0</v>
      </c>
      <c r="B392" s="1" t="s">
        <v>6</v>
      </c>
      <c r="C392" s="1" t="s">
        <v>388</v>
      </c>
      <c r="D392" s="1" t="str">
        <f>IFERROR(__xludf.DUMMYFUNCTION("CONCATENATE(GOOGLETRANSLATE(C392, ""en"", ""zh-cn""))
"),"联想 2022 最新 Ideapad 3 笔记本电脑，15.6 高清触摸屏，第 11 代英特尔酷睿 i3-1115G4 处理器，8GB DDR4 RAM，256GB PCIe NVMe SSD，HDMI，网络摄像头，Wi-Fi 5，蓝牙，Windows 11 Home，杏仁")</f>
        <v>联想 2022 最新 Ideapad 3 笔记本电脑，15.6 高清触摸屏，第 11 代英特尔酷睿 i3-1115G4 处理器，8GB DDR4 RAM，256GB PCIe NVMe SSD，HDMI，网络摄像头，Wi-Fi 5，蓝牙，Windows 11 Home，杏仁</v>
      </c>
      <c r="E392" s="1" t="str">
        <f>IFERROR(__xludf.DUMMYFUNCTION("CONCATENATE(GOOGLETRANSLATE(C392, ""en"", ""ko""))"),"Lenovo 2022 최신 Ideapad 3 노트북, 15.6 HD 터치스크린, 11세대 Intel Core i3-1115G4 프로세서, 8GB DDR4 RAM, 256GB PCIe NVMe SSD, HDMI, 웹캠, Wi-Fi 5, Bluetooth, Windows 11 Home, Almond")</f>
        <v>Lenovo 2022 최신 Ideapad 3 노트북, 15.6 HD 터치스크린, 11세대 Intel Core i3-1115G4 프로세서, 8GB DDR4 RAM, 256GB PCIe NVMe SSD, HDMI, 웹캠, Wi-Fi 5, Bluetooth, Windows 11 Home, Almond</v>
      </c>
      <c r="F392" s="1" t="str">
        <f>IFERROR(__xludf.DUMMYFUNCTION("CONCATENATE(GOOGLETRANSLATE(C392, ""en"", ""ja""))"),"Lenovo 2022 最新 Ideapad 3 ラップトップ、15.6 HD タッチスクリーン、第 11 世代インテル Core i3-1115G4 プロセッサー、8GB DDR4 RAM、256GB PCIe NVMe SSD、HDMI、ウェブカメラ、Wi-Fi 5、Bluetooth、Windows 11 Home、Almond")</f>
        <v>Lenovo 2022 最新 Ideapad 3 ラップトップ、15.6 HD タッチスクリーン、第 11 世代インテル Core i3-1115G4 プロセッサー、8GB DDR4 RAM、256GB PCIe NVMe SSD、HDMI、ウェブカメラ、Wi-Fi 5、Bluetooth、Windows 11 Home、Almond</v>
      </c>
    </row>
    <row r="393" ht="15.75" customHeight="1">
      <c r="A393" s="1">
        <v>3885.0</v>
      </c>
      <c r="B393" s="1" t="s">
        <v>6</v>
      </c>
      <c r="C393" s="1" t="s">
        <v>251</v>
      </c>
      <c r="D393" s="1" t="str">
        <f>IFERROR(__xludf.DUMMYFUNCTION("CONCATENATE(GOOGLETRANSLATE(C393, ""en"", ""zh-cn""))
"),"Apple iPhone 12 Pro Max，512GB，石墨色 - 解锁（续订高级版）")</f>
        <v>Apple iPhone 12 Pro Max，512GB，石墨色 - 解锁（续订高级版）</v>
      </c>
      <c r="E393" s="1" t="str">
        <f>IFERROR(__xludf.DUMMYFUNCTION("CONCATENATE(GOOGLETRANSLATE(C393, ""en"", ""ko""))"),"Apple iPhone 12 Pro Max, 512GB, 그래파이트 - 공기계(리뉴얼 프리미엄)")</f>
        <v>Apple iPhone 12 Pro Max, 512GB, 그래파이트 - 공기계(리뉴얼 프리미엄)</v>
      </c>
      <c r="F393" s="1" t="str">
        <f>IFERROR(__xludf.DUMMYFUNCTION("CONCATENATE(GOOGLETRANSLATE(C393, ""en"", ""ja""))"),"Apple iPhone 12 Pro Max、512GB、グラファイト - ロック解除済み (更新プレミアム)")</f>
        <v>Apple iPhone 12 Pro Max、512GB、グラファイト - ロック解除済み (更新プレミアム)</v>
      </c>
    </row>
    <row r="394" ht="15.75" customHeight="1">
      <c r="A394" s="1">
        <v>3890.0</v>
      </c>
      <c r="B394" s="1" t="s">
        <v>6</v>
      </c>
      <c r="C394" s="1" t="s">
        <v>389</v>
      </c>
      <c r="D394" s="1" t="str">
        <f>IFERROR(__xludf.DUMMYFUNCTION("CONCATENATE(GOOGLETRANSLATE(C394, ""en"", ""zh-cn""))
"),"Apple iPhone 14 Plus，128GB，紫色 - 已解锁（续订）")</f>
        <v>Apple iPhone 14 Plus，128GB，紫色 - 已解锁（续订）</v>
      </c>
      <c r="E394" s="1" t="str">
        <f>IFERROR(__xludf.DUMMYFUNCTION("CONCATENATE(GOOGLETRANSLATE(C394, ""en"", ""ko""))"),"Apple iPhone 14 Plus, 128GB, 퍼플 - 공기계(리뉴얼)")</f>
        <v>Apple iPhone 14 Plus, 128GB, 퍼플 - 공기계(리뉴얼)</v>
      </c>
      <c r="F394" s="1" t="str">
        <f>IFERROR(__xludf.DUMMYFUNCTION("CONCATENATE(GOOGLETRANSLATE(C394, ""en"", ""ja""))"),"Apple iPhone 14 Plus、128GB、パープル - ロック解除済み (更新済み)")</f>
        <v>Apple iPhone 14 Plus、128GB、パープル - ロック解除済み (更新済み)</v>
      </c>
    </row>
    <row r="395" ht="15.75" customHeight="1">
      <c r="A395" s="1">
        <v>3901.0</v>
      </c>
      <c r="B395" s="1" t="s">
        <v>6</v>
      </c>
      <c r="C395" s="1" t="s">
        <v>390</v>
      </c>
      <c r="D395" s="1" t="str">
        <f>IFERROR(__xludf.DUMMYFUNCTION("CONCATENATE(GOOGLETRANSLATE(C395, ""en"", ""zh-cn""))
"),"Apple iPhone 14，128GB，蓝色 - 无锁版（续订）")</f>
        <v>Apple iPhone 14，128GB，蓝色 - 无锁版（续订）</v>
      </c>
      <c r="E395" s="1" t="str">
        <f>IFERROR(__xludf.DUMMYFUNCTION("CONCATENATE(GOOGLETRANSLATE(C395, ""en"", ""ko""))"),"Apple iPhone 14, 128GB, 블루 - 공기계(리뉴얼)")</f>
        <v>Apple iPhone 14, 128GB, 블루 - 공기계(리뉴얼)</v>
      </c>
      <c r="F395" s="1" t="str">
        <f>IFERROR(__xludf.DUMMYFUNCTION("CONCATENATE(GOOGLETRANSLATE(C395, ""en"", ""ja""))"),"Apple iPhone 14、128GB、ブルー - ロック解除済み (更新済み)")</f>
        <v>Apple iPhone 14、128GB、ブルー - ロック解除済み (更新済み)</v>
      </c>
    </row>
    <row r="396" ht="15.75" customHeight="1">
      <c r="A396" s="1">
        <v>3917.0</v>
      </c>
      <c r="B396" s="1" t="s">
        <v>6</v>
      </c>
      <c r="C396" s="1" t="s">
        <v>391</v>
      </c>
      <c r="D396" s="1" t="str">
        <f>IFERROR(__xludf.DUMMYFUNCTION("CONCATENATE(GOOGLETRANSLATE(C396, ""en"", ""zh-cn""))
"),"Apple Iphone X，256GB，深空灰色 - 完全解锁（续订）")</f>
        <v>Apple Iphone X，256GB，深空灰色 - 完全解锁（续订）</v>
      </c>
      <c r="E396" s="1" t="str">
        <f>IFERROR(__xludf.DUMMYFUNCTION("CONCATENATE(GOOGLETRANSLATE(C396, ""en"", ""ko""))"),"Apple Iphone X, 256GB, 스페이스 그레이 - 완전 언락(리뉴얼)")</f>
        <v>Apple Iphone X, 256GB, 스페이스 그레이 - 완전 언락(리뉴얼)</v>
      </c>
      <c r="F396" s="1" t="str">
        <f>IFERROR(__xludf.DUMMYFUNCTION("CONCATENATE(GOOGLETRANSLATE(C396, ""en"", ""ja""))"),"Apple Iphone X、256GB、スペース グレイ - 完全にロック解除済み (更新済み)")</f>
        <v>Apple Iphone X、256GB、スペース グレイ - 完全にロック解除済み (更新済み)</v>
      </c>
    </row>
    <row r="397" ht="15.75" customHeight="1">
      <c r="A397" s="1">
        <v>3932.0</v>
      </c>
      <c r="B397" s="1" t="s">
        <v>6</v>
      </c>
      <c r="C397" s="1" t="s">
        <v>392</v>
      </c>
      <c r="D397" s="1" t="str">
        <f>IFERROR(__xludf.DUMMYFUNCTION("CONCATENATE(GOOGLETRANSLATE(C397, ""en"", ""zh-cn""))
"),"Apple iPhone XR，美国版，64GB，红色 - 已解锁（续订）")</f>
        <v>Apple iPhone XR，美国版，64GB，红色 - 已解锁（续订）</v>
      </c>
      <c r="E397" s="1" t="str">
        <f>IFERROR(__xludf.DUMMYFUNCTION("CONCATENATE(GOOGLETRANSLATE(C397, ""en"", ""ko""))"),"Apple iPhone XR, 미국 버전, 64GB, 레드 - 언락(갱신)")</f>
        <v>Apple iPhone XR, 미국 버전, 64GB, 레드 - 언락(갱신)</v>
      </c>
      <c r="F397" s="1" t="str">
        <f>IFERROR(__xludf.DUMMYFUNCTION("CONCATENATE(GOOGLETRANSLATE(C397, ""en"", ""ja""))"),"Apple iPhone XR、US バージョン、64GB、レッド - ロック解除済み (更新済み)")</f>
        <v>Apple iPhone XR、US バージョン、64GB、レッド - ロック解除済み (更新済み)</v>
      </c>
    </row>
    <row r="398" ht="15.75" customHeight="1">
      <c r="A398" s="1">
        <v>3984.0</v>
      </c>
      <c r="B398" s="1" t="s">
        <v>6</v>
      </c>
      <c r="C398" s="1" t="s">
        <v>393</v>
      </c>
      <c r="D398" s="1" t="str">
        <f>IFERROR(__xludf.DUMMYFUNCTION("CONCATENATE(GOOGLETRANSLATE(C398, ""en"", ""zh-cn""))
"),"美国经典 Intra-Matic 自动计时码表")</f>
        <v>美国经典 Intra-Matic 自动计时码表</v>
      </c>
      <c r="E398" s="1" t="str">
        <f>IFERROR(__xludf.DUMMYFUNCTION("CONCATENATE(GOOGLETRANSLATE(C398, ""en"", ""ko""))"),"아메리칸 클래식 인트라매틱 오토 크로노")</f>
        <v>아메리칸 클래식 인트라매틱 오토 크로노</v>
      </c>
      <c r="F398" s="1" t="str">
        <f>IFERROR(__xludf.DUMMYFUNCTION("CONCATENATE(GOOGLETRANSLATE(C398, ""en"", ""ja""))"),"アメリカン クラシック イントラマティック オート クロノ")</f>
        <v>アメリカン クラシック イントラマティック オート クロノ</v>
      </c>
    </row>
    <row r="399" ht="15.75" customHeight="1">
      <c r="A399" s="1">
        <v>4017.0</v>
      </c>
      <c r="B399" s="1" t="s">
        <v>6</v>
      </c>
      <c r="C399" s="1" t="s">
        <v>394</v>
      </c>
      <c r="D399" s="1" t="str">
        <f>IFERROR(__xludf.DUMMYFUNCTION("CONCATENATE(GOOGLETRANSLATE(C399, ""en"", ""zh-cn""))
"),"摩凡陀男士 Bold Verso 瑞士石英手表，带不锈钢链式表链，蓝色")</f>
        <v>摩凡陀男士 Bold Verso 瑞士石英手表，带不锈钢链式表链，蓝色</v>
      </c>
      <c r="E399" s="1" t="str">
        <f>IFERROR(__xludf.DUMMYFUNCTION("CONCATENATE(GOOGLETRANSLATE(C399, ""en"", ""ko""))"),"Movado 남성용 볼드 베르소 스위스 쿼츠 시계, 스테인리스 스틸 링크 팔찌, 블루")</f>
        <v>Movado 남성용 볼드 베르소 스위스 쿼츠 시계, 스테인리스 스틸 링크 팔찌, 블루</v>
      </c>
      <c r="F399" s="1" t="str">
        <f>IFERROR(__xludf.DUMMYFUNCTION("CONCATENATE(GOOGLETRANSLATE(C399, ""en"", ""ja""))"),"Movado メンズ ボールド バーソ スイス クォーツ ウォッチ ステンレススチール リンク ブレスレット付き ブルー")</f>
        <v>Movado メンズ ボールド バーソ スイス クォーツ ウォッチ ステンレススチール リンク ブレスレット付き ブルー</v>
      </c>
    </row>
    <row r="400" ht="15.75" customHeight="1">
      <c r="A400" s="1">
        <v>4034.0</v>
      </c>
      <c r="B400" s="1" t="s">
        <v>6</v>
      </c>
      <c r="C400" s="1" t="s">
        <v>395</v>
      </c>
      <c r="D400" s="1" t="str">
        <f>IFERROR(__xludf.DUMMYFUNCTION("CONCATENATE(GOOGLETRANSLATE(C400, ""en"", ""zh-cn""))
"),"SEIKO Prospex“黑色系列”太阳能潜水员1965年重新演绎腕表SNE587P1")</f>
        <v>SEIKO Prospex“黑色系列”太阳能潜水员1965年重新演绎腕表SNE587P1</v>
      </c>
      <c r="E400" s="1" t="str">
        <f>IFERROR(__xludf.DUMMYFUNCTION("CONCATENATE(GOOGLETRANSLATE(C400, ""en"", ""ko""))"),"세이코 프로스펙스 '블랙 시리즈' 솔라 다이버의 1965년 재해석 시계 SNE587P1")</f>
        <v>세이코 프로스펙스 '블랙 시리즈' 솔라 다이버의 1965년 재해석 시계 SNE587P1</v>
      </c>
      <c r="F400" s="1" t="str">
        <f>IFERROR(__xludf.DUMMYFUNCTION("CONCATENATE(GOOGLETRANSLATE(C400, ""en"", ""ja""))"),"セイコー プロスペックス 「ブラック シリーズ」 ソーラー ダイバーズ 1965 再解釈時計 SNE587P1")</f>
        <v>セイコー プロスペックス 「ブラック シリーズ」 ソーラー ダイバーズ 1965 再解釈時計 SNE587P1</v>
      </c>
    </row>
    <row r="401" ht="15.75" customHeight="1">
      <c r="A401" s="1">
        <v>4050.0</v>
      </c>
      <c r="B401" s="1" t="s">
        <v>6</v>
      </c>
      <c r="C401" s="1" t="s">
        <v>396</v>
      </c>
      <c r="D401" s="1" t="str">
        <f>IFERROR(__xludf.DUMMYFUNCTION("CONCATENATE(GOOGLETRANSLATE(C401, ""en"", ""zh-cn""))
"),"爵士大师绅士石英")</f>
        <v>爵士大师绅士石英</v>
      </c>
      <c r="E401" s="1" t="str">
        <f>IFERROR(__xludf.DUMMYFUNCTION("CONCATENATE(GOOGLETRANSLATE(C401, ""en"", ""ko""))"),"재즈마스터 젠트 쿼츠")</f>
        <v>재즈마스터 젠트 쿼츠</v>
      </c>
      <c r="F401" s="1" t="str">
        <f>IFERROR(__xludf.DUMMYFUNCTION("CONCATENATE(GOOGLETRANSLATE(C401, ""en"", ""ja""))"),"ジャズマスター ジェント クォーツ")</f>
        <v>ジャズマスター ジェント クォーツ</v>
      </c>
    </row>
    <row r="402" ht="15.75" customHeight="1">
      <c r="A402" s="1">
        <v>4070.0</v>
      </c>
      <c r="B402" s="1" t="s">
        <v>6</v>
      </c>
      <c r="C402" s="1" t="s">
        <v>397</v>
      </c>
      <c r="D402" s="1" t="str">
        <f>IFERROR(__xludf.DUMMYFUNCTION("CONCATENATE(GOOGLETRANSLATE(C402, ""en"", ""zh-cn""))
"),"Luminox ICE-SAR Arctic XL.1002 男士手表 46 毫米 - 军用手表黑色日期功能 200m 防水蓝宝石玻璃")</f>
        <v>Luminox ICE-SAR Arctic XL.1002 男士手表 46 毫米 - 军用手表黑色日期功能 200m 防水蓝宝石玻璃</v>
      </c>
      <c r="E402" s="1" t="str">
        <f>IFERROR(__xludf.DUMMYFUNCTION("CONCATENATE(GOOGLETRANSLATE(C402, ""en"", ""ko""))"),"Luminox ICE-SAR Arctic XL.1002 남성용 시계 46mm - 블랙 날짜 기능 200m 방수 사파이어 글라스 군용 시계")</f>
        <v>Luminox ICE-SAR Arctic XL.1002 남성용 시계 46mm - 블랙 날짜 기능 200m 방수 사파이어 글라스 군용 시계</v>
      </c>
      <c r="F402" s="1" t="str">
        <f>IFERROR(__xludf.DUMMYFUNCTION("CONCATENATE(GOOGLETRANSLATE(C402, ""en"", ""ja""))"),"ルミノックス ICE-SAR アークティック XL.1002 メンズ ウォッチ 46mm - ミリタリーウォッチ ブラック 日付機能 200m 防水 サファイアガラス")</f>
        <v>ルミノックス ICE-SAR アークティック XL.1002 メンズ ウォッチ 46mm - ミリタリーウォッチ ブラック 日付機能 200m 防水 サファイアガラス</v>
      </c>
    </row>
    <row r="403" ht="15.75" customHeight="1">
      <c r="A403" s="1">
        <v>4071.0</v>
      </c>
      <c r="B403" s="1" t="s">
        <v>6</v>
      </c>
      <c r="C403" s="1" t="s">
        <v>398</v>
      </c>
      <c r="D403" s="1" t="str">
        <f>IFERROR(__xludf.DUMMYFUNCTION("CONCATENATE(GOOGLETRANSLATE(C403, ""en"", ""zh-cn""))
"),"Luminox Bear Grylls 男士手表生存之地系列 - 3798：45 毫米黑色/绿色不锈钢黑色伞绳表带")</f>
        <v>Luminox Bear Grylls 男士手表生存之地系列 - 3798：45 毫米黑色/绿色不锈钢黑色伞绳表带</v>
      </c>
      <c r="E403" s="1" t="str">
        <f>IFERROR(__xludf.DUMMYFUNCTION("CONCATENATE(GOOGLETRANSLATE(C403, ""en"", ""ko""))"),"루미녹스 베어 그릴스 남성용 시계 서바이벌 랜드 시리즈 - 3798: 45mm 블랙/그린 스테인레스 스틸 블랙 파라코드 스트랩")</f>
        <v>루미녹스 베어 그릴스 남성용 시계 서바이벌 랜드 시리즈 - 3798: 45mm 블랙/그린 스테인레스 스틸 블랙 파라코드 스트랩</v>
      </c>
      <c r="F403" s="1" t="str">
        <f>IFERROR(__xludf.DUMMYFUNCTION("CONCATENATE(GOOGLETRANSLATE(C403, ""en"", ""ja""))"),"ルミノックス ベア グリルス メンズ ウォッチ サバイバル ランド シリーズ - 3798: 45mm ブラック/グリーン ステンレススチール ブラック パラコード ストラップ")</f>
        <v>ルミノックス ベア グリルス メンズ ウォッチ サバイバル ランド シリーズ - 3798: 45mm ブラック/グリーン ステンレススチール ブラック パラコード ストラップ</v>
      </c>
    </row>
    <row r="404" ht="15.75" customHeight="1">
      <c r="A404" s="1">
        <v>4077.0</v>
      </c>
      <c r="B404" s="1" t="s">
        <v>6</v>
      </c>
      <c r="C404" s="1" t="s">
        <v>399</v>
      </c>
      <c r="D404" s="1" t="str">
        <f>IFERROR(__xludf.DUMMYFUNCTION("CONCATENATE(GOOGLETRANSLATE(C404, ""en"", ""zh-cn""))
"),"Luminox 官方 46 毫米男士斯巴达手表黑色（XL.1001/1000 系列）：限量版，黑色表盘/黑色标志性表带/白色标记")</f>
        <v>Luminox 官方 46 毫米男士斯巴达手表黑色（XL.1001/1000 系列）：限量版，黑色表盘/黑色标志性表带/白色标记</v>
      </c>
      <c r="E404" s="1" t="str">
        <f>IFERROR(__xludf.DUMMYFUNCTION("CONCATENATE(GOOGLETRANSLATE(C404, ""en"", ""ko""))"),"남성용 Luminox 공식 46mm 스파르탄 시계 블랙(XL.1001/1000 시리즈): 블랙 다이얼/블랙 시그니처 스트랩/화이트 마커가 포함된 한정판")</f>
        <v>남성용 Luminox 공식 46mm 스파르탄 시계 블랙(XL.1001/1000 시리즈): 블랙 다이얼/블랙 시그니처 스트랩/화이트 마커가 포함된 한정판</v>
      </c>
      <c r="F404" s="1" t="str">
        <f>IFERROR(__xludf.DUMMYFUNCTION("CONCATENATE(GOOGLETRANSLATE(C404, ""en"", ""ja""))"),"ルミノックス 公式 46mm スパルタン ウォッチ メンズ ブラック (XL.1001/1000 シリーズ): ブラック ダイヤル/ブラック シグネチャー ストラップ/ホワイト マーカー付き限定版")</f>
        <v>ルミノックス 公式 46mm スパルタン ウォッチ メンズ ブラック (XL.1001/1000 シリーズ): ブラック ダイヤル/ブラック シグネチャー ストラップ/ホワイト マーカー付き限定版</v>
      </c>
    </row>
    <row r="405" ht="15.75" customHeight="1">
      <c r="A405" s="1">
        <v>4079.0</v>
      </c>
      <c r="B405" s="1" t="s">
        <v>6</v>
      </c>
      <c r="C405" s="1" t="s">
        <v>400</v>
      </c>
      <c r="D405" s="1" t="str">
        <f>IFERROR(__xludf.DUMMYFUNCTION("CONCATENATE(GOOGLETRANSLATE(C405, ""en"", ""zh-cn""))
"),"卡西欧 GMW-B5000 系列 G-Shock 腕表，蓝牙太阳能电波控制，多色抛光黑色（不锈钢）")</f>
        <v>卡西欧 GMW-B5000 系列 G-Shock 腕表，蓝牙太阳能电波控制，多色抛光黑色（不锈钢）</v>
      </c>
      <c r="E405" s="1" t="str">
        <f>IFERROR(__xludf.DUMMYFUNCTION("CONCATENATE(GOOGLETRANSLATE(C405, ""en"", ""ko""))"),"Casio GMW-B5000 시리즈 G-Shock 손목시계, 블루투스 장착 태양광 무선 제어 장치, 멀티 마감 블랙(스테인리스 스틸)")</f>
        <v>Casio GMW-B5000 시리즈 G-Shock 손목시계, 블루투스 장착 태양광 무선 제어 장치, 멀티 마감 블랙(스테인리스 스틸)</v>
      </c>
      <c r="F405" s="1" t="str">
        <f>IFERROR(__xludf.DUMMYFUNCTION("CONCATENATE(GOOGLETRANSLATE(C405, ""en"", ""ja""))"),"カシオ 腕時計 Gショック Bluetooth搭載 ソーラー電波 マルチフィニッシュ ブラック(ステンレス) GMW-B5000シリーズ")</f>
        <v>カシオ 腕時計 Gショック Bluetooth搭載 ソーラー電波 マルチフィニッシュ ブラック(ステンレス) GMW-B5000シリーズ</v>
      </c>
    </row>
    <row r="406" ht="15.75" customHeight="1">
      <c r="A406" s="1">
        <v>4089.0</v>
      </c>
      <c r="B406" s="1" t="s">
        <v>6</v>
      </c>
      <c r="C406" s="1" t="s">
        <v>401</v>
      </c>
      <c r="D406" s="1" t="str">
        <f>IFERROR(__xludf.DUMMYFUNCTION("CONCATENATE(GOOGLETRANSLATE(C406, ""en"", ""zh-cn""))
"),"Coutura 男士太阳能万年历闹钟计时手表")</f>
        <v>Coutura 男士太阳能万年历闹钟计时手表</v>
      </c>
      <c r="E406" s="1" t="str">
        <f>IFERROR(__xludf.DUMMYFUNCTION("CONCATENATE(GOOGLETRANSLATE(C406, ""en"", ""ko""))"),"Coutura 남성용 솔라 퍼페추얼 캘린더 알람 크로노그래프 시계")</f>
        <v>Coutura 남성용 솔라 퍼페추얼 캘린더 알람 크로노그래프 시계</v>
      </c>
      <c r="F406" s="1" t="str">
        <f>IFERROR(__xludf.DUMMYFUNCTION("CONCATENATE(GOOGLETRANSLATE(C406, ""en"", ""ja""))"),"Coutura メンズ ソーラー パーペチュアル カレンダー アラーム クロノグラフ ウォッチ")</f>
        <v>Coutura メンズ ソーラー パーペチュアル カレンダー アラーム クロノグラフ ウォッチ</v>
      </c>
    </row>
    <row r="407" ht="15.75" customHeight="1">
      <c r="A407" s="1">
        <v>4099.0</v>
      </c>
      <c r="B407" s="1" t="s">
        <v>6</v>
      </c>
      <c r="C407" s="1" t="s">
        <v>402</v>
      </c>
      <c r="D407" s="1" t="str">
        <f>IFERROR(__xludf.DUMMYFUNCTION("CONCATENATE(GOOGLETRANSLATE(C407, ""en"", ""zh-cn""))
"),"SEIKO PROSPEX 太阳能潜水员不锈钢手表 SNE589")</f>
        <v>SEIKO PROSPEX 太阳能潜水员不锈钢手表 SNE589</v>
      </c>
      <c r="E407" s="1" t="str">
        <f>IFERROR(__xludf.DUMMYFUNCTION("CONCATENATE(GOOGLETRANSLATE(C407, ""en"", ""ko""))"),"SEIKO PROSPEX 솔라 다이버용 스테인리스 스틸 시계 SNE589")</f>
        <v>SEIKO PROSPEX 솔라 다이버용 스테인리스 스틸 시계 SNE589</v>
      </c>
      <c r="F407" s="1" t="str">
        <f>IFERROR(__xludf.DUMMYFUNCTION("CONCATENATE(GOOGLETRANSLATE(C407, ""en"", ""ja""))"),"セイコー プロスペックス ソーラーダイバーステンレスウォッチ SNE589")</f>
        <v>セイコー プロスペックス ソーラーダイバーステンレスウォッチ SNE589</v>
      </c>
    </row>
    <row r="408" ht="15.75" customHeight="1">
      <c r="A408" s="1">
        <v>4119.0</v>
      </c>
      <c r="B408" s="1" t="s">
        <v>6</v>
      </c>
      <c r="C408" s="1" t="s">
        <v>403</v>
      </c>
      <c r="D408" s="1" t="str">
        <f>IFERROR(__xludf.DUMMYFUNCTION("CONCATENATE(GOOGLETRANSLATE(C408, ""en"", ""zh-cn""))
"),"施华洛世奇 Passage Chrono 水晶腕表系列，皮表带")</f>
        <v>施华洛世奇 Passage Chrono 水晶腕表系列，皮表带</v>
      </c>
      <c r="E408" s="1" t="str">
        <f>IFERROR(__xludf.DUMMYFUNCTION("CONCATENATE(GOOGLETRANSLATE(C408, ""en"", ""ko""))"),"SWAROVSKI 패시지 크로노 크리스탈 시계 컬렉션, 가죽 스트랩")</f>
        <v>SWAROVSKI 패시지 크로노 크리스탈 시계 컬렉션, 가죽 스트랩</v>
      </c>
      <c r="F408" s="1" t="str">
        <f>IFERROR(__xludf.DUMMYFUNCTION("CONCATENATE(GOOGLETRANSLATE(C408, ""en"", ""ja""))"),"スワロフスキー パッセージ クロノ クリスタル ウォッチ コレクション、レザーストラップ")</f>
        <v>スワロフスキー パッセージ クロノ クリスタル ウォッチ コレクション、レザーストラップ</v>
      </c>
    </row>
    <row r="409" ht="15.75" customHeight="1">
      <c r="A409" s="1">
        <v>4129.0</v>
      </c>
      <c r="B409" s="1" t="s">
        <v>6</v>
      </c>
      <c r="C409" s="1" t="s">
        <v>404</v>
      </c>
      <c r="D409" s="1" t="str">
        <f>IFERROR(__xludf.DUMMYFUNCTION("CONCATENATE(GOOGLETRANSLATE(C409, ""en"", ""zh-cn""))
"),"西铁城男士光动能运动奢华世界计时原子计时不锈钢手表，蓝色聚氨酯表带，蓝色表盘（型号：AT8020-03L）")</f>
        <v>西铁城男士光动能运动奢华世界计时原子计时不锈钢手表，蓝色聚氨酯表带，蓝色表盘（型号：AT8020-03L）</v>
      </c>
      <c r="E409" s="1" t="str">
        <f>IFERROR(__xludf.DUMMYFUNCTION("CONCATENATE(GOOGLETRANSLATE(C409, ""en"", ""ko""))"),"시티즌 남성용 에코드라이브 스포츠 럭셔리 월드 크로노그래프 원자 시간 유지 시계, 스테인리스 스틸, 블루 폴리우레탄 스트랩, 블루 다이얼(모델: AT8020-03L)")</f>
        <v>시티즌 남성용 에코드라이브 스포츠 럭셔리 월드 크로노그래프 원자 시간 유지 시계, 스테인리스 스틸, 블루 폴리우레탄 스트랩, 블루 다이얼(모델: AT8020-03L)</v>
      </c>
      <c r="F409" s="1" t="str">
        <f>IFERROR(__xludf.DUMMYFUNCTION("CONCATENATE(GOOGLETRANSLATE(C409, ""en"", ""ja""))"),"シチズン メンズ エコドライブ スポーツ ラグジュアリー ワールド クロノグラフ アトミック タイムキーピング ウォッチ ステンレススチール、ブルー ポリウレタン ストラップ、ブルー ダイヤル (モデル: AT8020-03L)")</f>
        <v>シチズン メンズ エコドライブ スポーツ ラグジュアリー ワールド クロノグラフ アトミック タイムキーピング ウォッチ ステンレススチール、ブルー ポリウレタン ストラップ、ブルー ダイヤル (モデル: AT8020-03L)</v>
      </c>
    </row>
    <row r="410" ht="15.75" customHeight="1">
      <c r="A410" s="1">
        <v>4131.0</v>
      </c>
      <c r="B410" s="1" t="s">
        <v>6</v>
      </c>
      <c r="C410" s="1" t="s">
        <v>405</v>
      </c>
      <c r="D410" s="1" t="str">
        <f>IFERROR(__xludf.DUMMYFUNCTION("CONCATENATE(GOOGLETRANSLATE(C410, ""en"", ""zh-cn""))
"),"女士施华洛世奇水晶纯玫瑰金色调手表 5269250")</f>
        <v>女士施华洛世奇水晶纯玫瑰金色调手表 5269250</v>
      </c>
      <c r="E410" s="1" t="str">
        <f>IFERROR(__xludf.DUMMYFUNCTION("CONCATENATE(GOOGLETRANSLATE(C410, ""en"", ""ko""))"),"여성용 스와로브스키 크리스탈린 퓨어 로즈 골드 톤 시계 5269250")</f>
        <v>여성용 스와로브스키 크리스탈린 퓨어 로즈 골드 톤 시계 5269250</v>
      </c>
      <c r="F410" s="1" t="str">
        <f>IFERROR(__xludf.DUMMYFUNCTION("CONCATENATE(GOOGLETRANSLATE(C410, ""en"", ""ja""))"),"レディース スワロフスキー クリスタルライン ピュア ローズゴールドトーン ウォッチ 5269250")</f>
        <v>レディース スワロフスキー クリスタルライン ピュア ローズゴールドトーン ウォッチ 5269250</v>
      </c>
    </row>
    <row r="411" ht="15.75" customHeight="1">
      <c r="A411" s="1">
        <v>4177.0</v>
      </c>
      <c r="B411" s="1" t="s">
        <v>6</v>
      </c>
      <c r="C411" s="1" t="s">
        <v>406</v>
      </c>
      <c r="D411" s="1" t="str">
        <f>IFERROR(__xludf.DUMMYFUNCTION("CONCATENATE(GOOGLETRANSLATE(C411, ""en"", ""zh-cn""))
"),"LUXURMAN 独特大号男士钻石手表 18k 黄金镀 0.12 克拉钻石")</f>
        <v>LUXURMAN 独特大号男士钻石手表 18k 黄金镀 0.12 克拉钻石</v>
      </c>
      <c r="E411" s="1" t="str">
        <f>IFERROR(__xludf.DUMMYFUNCTION("CONCATENATE(GOOGLETRANSLATE(C411, ""en"", ""ko""))"),"LUXURMAN 독특한 라지 남성용 다이아몬드 시계 18k 옐로우 골드 다이아몬드 0.12ctw 도금")</f>
        <v>LUXURMAN 독특한 라지 남성용 다이아몬드 시계 18k 옐로우 골드 다이아몬드 0.12ctw 도금</v>
      </c>
      <c r="F411" s="1" t="str">
        <f>IFERROR(__xludf.DUMMYFUNCTION("CONCATENATE(GOOGLETRANSLATE(C411, ""en"", ""ja""))"),"LUXURMAN ユニークなラージ メンズ ダイヤモンド ウォッチ 18K イエロー ゴールド、0.12ctw のダイヤモンドメッキ")</f>
        <v>LUXURMAN ユニークなラージ メンズ ダイヤモンド ウォッチ 18K イエロー ゴールド、0.12ctw のダイヤモンドメッキ</v>
      </c>
    </row>
    <row r="412" ht="15.75" customHeight="1">
      <c r="A412" s="1">
        <v>4183.0</v>
      </c>
      <c r="B412" s="1" t="s">
        <v>6</v>
      </c>
      <c r="C412" s="1" t="s">
        <v>407</v>
      </c>
      <c r="D412" s="1" t="str">
        <f>IFERROR(__xludf.DUMMYFUNCTION("CONCATENATE(GOOGLETRANSLATE(C412, ""en"", ""zh-cn""))
"),"Luminox 户外女式手表海军海豹突击队 Colormark（XS.3057.WO/3050 系列）：瑞士制造 + 白色玻璃纤维表壳表盘和表带 + 200m 防水")</f>
        <v>Luminox 户外女式手表海军海豹突击队 Colormark（XS.3057.WO/3050 系列）：瑞士制造 + 白色玻璃纤维表壳表盘和表带 + 200m 防水</v>
      </c>
      <c r="E412" s="1" t="str">
        <f>IFERROR(__xludf.DUMMYFUNCTION("CONCATENATE(GOOGLETRANSLATE(C412, ""en"", ""ko""))"),"Luminox Outdoor 여성용 시계 Navy Seals Colormark (XS.3057.WO/ 3050 시리즈): 스위스제 + 흰색 섬유유리 케이스 다이얼 및 밴드 + 200m 방수")</f>
        <v>Luminox Outdoor 여성용 시계 Navy Seals Colormark (XS.3057.WO/ 3050 시리즈): 스위스제 + 흰색 섬유유리 케이스 다이얼 및 밴드 + 200m 방수</v>
      </c>
      <c r="F412" s="1" t="str">
        <f>IFERROR(__xludf.DUMMYFUNCTION("CONCATENATE(GOOGLETRANSLATE(C412, ""en"", ""ja""))"),"ルミノックス アウトドア レディース ウォッチ ネイビー シールズ カラーマーク (XS.3057.WO/ 3050 シリーズ): スイス製 + ホワイト グラスファイバー ケース ダイヤルとバンド + 200m 防水")</f>
        <v>ルミノックス アウトドア レディース ウォッチ ネイビー シールズ カラーマーク (XS.3057.WO/ 3050 シリーズ): スイス製 + ホワイト グラスファイバー ケース ダイヤルとバンド + 200m 防水</v>
      </c>
    </row>
    <row r="413" ht="15.75" customHeight="1">
      <c r="A413" s="1">
        <v>4195.0</v>
      </c>
      <c r="B413" s="1" t="s">
        <v>6</v>
      </c>
      <c r="C413" s="1" t="s">
        <v>408</v>
      </c>
      <c r="D413" s="1" t="str">
        <f>IFERROR(__xludf.DUMMYFUNCTION("CONCATENATE(GOOGLETRANSLATE(C413, ""en"", ""zh-cn""))
"),"BOSS 男士不锈钢石英手表带皮表带，棕色，22（型号：1513860）")</f>
        <v>BOSS 男士不锈钢石英手表带皮表带，棕色，22（型号：1513860）</v>
      </c>
      <c r="E413" s="1" t="str">
        <f>IFERROR(__xludf.DUMMYFUNCTION("CONCATENATE(GOOGLETRANSLATE(C413, ""en"", ""ko""))"),"BOSS 남성용 스테인리스 스틸 쿼츠 시계, 가죽 스트랩 포함, 브라운, 22(모델: 1513860)")</f>
        <v>BOSS 남성용 스테인리스 스틸 쿼츠 시계, 가죽 스트랩 포함, 브라운, 22(모델: 1513860)</v>
      </c>
      <c r="F413" s="1" t="str">
        <f>IFERROR(__xludf.DUMMYFUNCTION("CONCATENATE(GOOGLETRANSLATE(C413, ""en"", ""ja""))"),"BOSS メンズ ステンレススチール クォーツ時計 レザーストラップ付き ブラウン 22 (モデル: 1513860)")</f>
        <v>BOSS メンズ ステンレススチール クォーツ時計 レザーストラップ付き ブラウン 22 (モデル: 1513860)</v>
      </c>
    </row>
    <row r="414" ht="15.75" customHeight="1">
      <c r="A414" s="1">
        <v>4209.0</v>
      </c>
      <c r="B414" s="1" t="s">
        <v>6</v>
      </c>
      <c r="C414" s="1" t="s">
        <v>409</v>
      </c>
      <c r="D414" s="1" t="str">
        <f>IFERROR(__xludf.DUMMYFUNCTION("CONCATENATE(GOOGLETRANSLATE(C414, ""en"", ""zh-cn""))
"),"施华洛世奇 Stella 水晶珠宝系列，铑金和玫瑰金色调饰面")</f>
        <v>施华洛世奇 Stella 水晶珠宝系列，铑金和玫瑰金色调饰面</v>
      </c>
      <c r="E414" s="1" t="str">
        <f>IFERROR(__xludf.DUMMYFUNCTION("CONCATENATE(GOOGLETRANSLATE(C414, ""en"", ""ko""))"),"SWAROVSKI 스텔라 크리스탈 주얼리 컬렉션, 로듐 &amp; 로즈 골드 톤 마감")</f>
        <v>SWAROVSKI 스텔라 크리스탈 주얼리 컬렉션, 로듐 &amp; 로즈 골드 톤 마감</v>
      </c>
      <c r="F414" s="1" t="str">
        <f>IFERROR(__xludf.DUMMYFUNCTION("CONCATENATE(GOOGLETRANSLATE(C414, ""en"", ""ja""))"),"スワロフスキー ステラ クリスタル ジュエリー コレクション、ロジウム &amp; ローズゴールドトーン仕上げ")</f>
        <v>スワロフスキー ステラ クリスタル ジュエリー コレクション、ロジウム &amp; ローズゴールドトーン仕上げ</v>
      </c>
    </row>
    <row r="415" ht="15.75" customHeight="1">
      <c r="A415" s="1">
        <v>4223.0</v>
      </c>
      <c r="B415" s="1" t="s">
        <v>6</v>
      </c>
      <c r="C415" s="1" t="s">
        <v>410</v>
      </c>
      <c r="D415" s="1" t="str">
        <f>IFERROR(__xludf.DUMMYFUNCTION("CONCATENATE(GOOGLETRANSLATE(C415, ""en"", ""zh-cn""))
"),"Timex 男士沃特伯里传统 GMT 39 毫米 TW2U99100VQ 石英手表")</f>
        <v>Timex 男士沃特伯里传统 GMT 39 毫米 TW2U99100VQ 石英手表</v>
      </c>
      <c r="E415" s="1" t="str">
        <f>IFERROR(__xludf.DUMMYFUNCTION("CONCATENATE(GOOGLETRANSLATE(C415, ""en"", ""ko""))"),"타이멕스 남성용 워터베리 트래디셔널 GMT 39mm TW2U99100VQ 쿼츠 시계")</f>
        <v>타이멕스 남성용 워터베리 트래디셔널 GMT 39mm TW2U99100VQ 쿼츠 시계</v>
      </c>
      <c r="F415" s="1" t="str">
        <f>IFERROR(__xludf.DUMMYFUNCTION("CONCATENATE(GOOGLETRANSLATE(C415, ""en"", ""ja""))"),"タイメックス メンズ ウォーターベリー トラディショナル GMT 39mm TW2U99100VQ クォーツ時計")</f>
        <v>タイメックス メンズ ウォーターベリー トラディショナル GMT 39mm TW2U99100VQ クォーツ時計</v>
      </c>
    </row>
    <row r="416" ht="15.75" customHeight="1">
      <c r="A416" s="1">
        <v>4226.0</v>
      </c>
      <c r="B416" s="1" t="s">
        <v>6</v>
      </c>
      <c r="C416" s="1" t="s">
        <v>411</v>
      </c>
      <c r="D416" s="1" t="str">
        <f>IFERROR(__xludf.DUMMYFUNCTION("CONCATENATE(GOOGLETRANSLATE(C416, ""en"", ""zh-cn""))
"),"SEIKO 男士 5 自动手表 SNZG15K1")</f>
        <v>SEIKO 男士 5 自动手表 SNZG15K1</v>
      </c>
      <c r="E416" s="1" t="str">
        <f>IFERROR(__xludf.DUMMYFUNCTION("CONCATENATE(GOOGLETRANSLATE(C416, ""en"", ""ko""))"),"세이코 남성용 5 오토매틱 시계 SNZG15K1")</f>
        <v>세이코 남성용 5 오토매틱 시계 SNZG15K1</v>
      </c>
      <c r="F416" s="1" t="str">
        <f>IFERROR(__xludf.DUMMYFUNCTION("CONCATENATE(GOOGLETRANSLATE(C416, ""en"", ""ja""))"),"セイコー SEIKO メンズ 5 自動巻き腕時計 SNZG15K1")</f>
        <v>セイコー SEIKO メンズ 5 自動巻き腕時計 SNZG15K1</v>
      </c>
    </row>
    <row r="417" ht="15.75" customHeight="1">
      <c r="A417" s="1">
        <v>4229.0</v>
      </c>
      <c r="B417" s="1" t="s">
        <v>6</v>
      </c>
      <c r="C417" s="1" t="s">
        <v>412</v>
      </c>
      <c r="D417" s="1" t="str">
        <f>IFERROR(__xludf.DUMMYFUNCTION("CONCATENATE(GOOGLETRANSLATE(C417, ""en"", ""zh-cn""))
"),"卡西欧 G-Shock 黑色表盘黑色树脂多石英男士手表 AWGM510BB-1A")</f>
        <v>卡西欧 G-Shock 黑色表盘黑色树脂多石英男士手表 AWGM510BB-1A</v>
      </c>
      <c r="E417" s="1" t="str">
        <f>IFERROR(__xludf.DUMMYFUNCTION("CONCATENATE(GOOGLETRANSLATE(C417, ""en"", ""ko""))"),"카시오 G-Shock 블랙 다이얼 블랙 레진 멀티 쿼츠 남성용 시계 AWGM510BB-1A")</f>
        <v>카시오 G-Shock 블랙 다이얼 블랙 레진 멀티 쿼츠 남성용 시계 AWGM510BB-1A</v>
      </c>
      <c r="F417" s="1" t="str">
        <f>IFERROR(__xludf.DUMMYFUNCTION("CONCATENATE(GOOGLETRANSLATE(C417, ""en"", ""ja""))"),"カシオ G ショック ブラック ダイヤル ブラック レジン マルチ クォーツ メンズ 腕時計 AWGM510BB-1A")</f>
        <v>カシオ G ショック ブラック ダイヤル ブラック レジン マルチ クォーツ メンズ 腕時計 AWGM510BB-1A</v>
      </c>
    </row>
    <row r="418" ht="15.75" customHeight="1">
      <c r="A418" s="1">
        <v>4251.0</v>
      </c>
      <c r="B418" s="1" t="s">
        <v>6</v>
      </c>
      <c r="C418" s="1" t="s">
        <v>413</v>
      </c>
      <c r="D418" s="1" t="str">
        <f>IFERROR(__xludf.DUMMYFUNCTION("CONCATENATE(GOOGLETRANSLATE(C418, ""en"", ""zh-cn""))
"),"Timex 41 毫米 Expedition North Field Post 太阳能再生织物表带手表")</f>
        <v>Timex 41 毫米 Expedition North Field Post 太阳能再生织物表带手表</v>
      </c>
      <c r="E418" s="1" t="str">
        <f>IFERROR(__xludf.DUMMYFUNCTION("CONCATENATE(GOOGLETRANSLATE(C418, ""en"", ""ko""))"),"타이멕스 41mm Expedition North Field Post Solar 재활용 패브릭 스트랩 시계")</f>
        <v>타이멕스 41mm Expedition North Field Post Solar 재활용 패브릭 스트랩 시계</v>
      </c>
      <c r="F418" s="1" t="str">
        <f>IFERROR(__xludf.DUMMYFUNCTION("CONCATENATE(GOOGLETRANSLATE(C418, ""en"", ""ja""))"),"タイメックス 41 mm エクスペディション ノース フィールド ポスト ソーラー リサイクル ファブリック ストラップ ウォッチ")</f>
        <v>タイメックス 41 mm エクスペディション ノース フィールド ポスト ソーラー リサイクル ファブリック ストラップ ウォッチ</v>
      </c>
    </row>
    <row r="419" ht="15.75" customHeight="1">
      <c r="A419" s="1">
        <v>4268.0</v>
      </c>
      <c r="B419" s="1" t="s">
        <v>6</v>
      </c>
      <c r="C419" s="1" t="s">
        <v>414</v>
      </c>
      <c r="D419" s="1" t="str">
        <f>IFERROR(__xludf.DUMMYFUNCTION("CONCATENATE(GOOGLETRANSLATE(C419, ""en"", ""zh-cn""))
"),"SEIKO Analogical SSB397P1， 银色， 手链")</f>
        <v>SEIKO Analogical SSB397P1， 银色， 手链</v>
      </c>
      <c r="E419" s="1" t="str">
        <f>IFERROR(__xludf.DUMMYFUNCTION("CONCATENATE(GOOGLETRANSLATE(C419, ""en"", ""ko""))"),"SEIKO 유추형 SSB397P1, 실버, 팔찌")</f>
        <v>SEIKO 유추형 SSB397P1, 실버, 팔찌</v>
      </c>
      <c r="F419" s="1" t="str">
        <f>IFERROR(__xludf.DUMMYFUNCTION("CONCATENATE(GOOGLETRANSLATE(C419, ""en"", ""ja""))"),"セイコー アナロジカル SSB397P1 シルバー ブレスレット")</f>
        <v>セイコー アナロジカル SSB397P1 シルバー ブレスレット</v>
      </c>
    </row>
    <row r="420" ht="15.75" customHeight="1">
      <c r="A420" s="1">
        <v>4287.0</v>
      </c>
      <c r="B420" s="1" t="s">
        <v>6</v>
      </c>
      <c r="C420" s="1" t="s">
        <v>415</v>
      </c>
      <c r="D420" s="1" t="str">
        <f>IFERROR(__xludf.DUMMYFUNCTION("CONCATENATE(GOOGLETRANSLATE(C420, ""en"", ""zh-cn""))
"),"卡西欧 G-Shock DW-5600BBMA-1D 数字黑色男士手表 200M WR DW-5600 原装")</f>
        <v>卡西欧 G-Shock DW-5600BBMA-1D 数字黑色男士手表 200M WR DW-5600 原装</v>
      </c>
      <c r="E420" s="1" t="str">
        <f>IFERROR(__xludf.DUMMYFUNCTION("CONCATENATE(GOOGLETRANSLATE(C420, ""en"", ""ko""))"),"카시오 G-Shock DW-5600BBMA-1D 디지털 블랙 남성용 시계 200M WR DW-5600 오리지널")</f>
        <v>카시오 G-Shock DW-5600BBMA-1D 디지털 블랙 남성용 시계 200M WR DW-5600 오리지널</v>
      </c>
      <c r="F420" s="1" t="str">
        <f>IFERROR(__xludf.DUMMYFUNCTION("CONCATENATE(GOOGLETRANSLATE(C420, ""en"", ""ja""))"),"カシオ G ショック DW-5600BBMA-1D デジタル ブラック メンズ腕時計 200M WR DW-5600 オリジナル")</f>
        <v>カシオ G ショック DW-5600BBMA-1D デジタル ブラック メンズ腕時計 200M WR DW-5600 オリジナル</v>
      </c>
    </row>
    <row r="421" ht="15.75" customHeight="1">
      <c r="A421" s="1">
        <v>4334.0</v>
      </c>
      <c r="B421" s="1" t="s">
        <v>6</v>
      </c>
      <c r="C421" s="1" t="s">
        <v>416</v>
      </c>
      <c r="D421" s="1" t="str">
        <f>IFERROR(__xludf.DUMMYFUNCTION("CONCATENATE(GOOGLETRANSLATE(C421, ""en"", ""zh-cn""))
"),"Smith &amp; Wesson 男士手表，战术坚固军用手表，瑞士氚，20ATM 黑色表盘，不锈钢底盖，潜水表，金属和橡胶表带，42 毫米，父亲节礼物（蓝色）")</f>
        <v>Smith &amp; Wesson 男士手表，战术坚固军用手表，瑞士氚，20ATM 黑色表盘，不锈钢底盖，潜水表，金属和橡胶表带，42 毫米，父亲节礼物（蓝色）</v>
      </c>
      <c r="E421" s="1" t="str">
        <f>IFERROR(__xludf.DUMMYFUNCTION("CONCATENATE(GOOGLETRANSLATE(C421, ""en"", ""ko""))"),"Smith &amp; Wesson 남성용 시계, 전술 터프 밀리터리 시계, 스위스 삼중수소, 20ATM 블랙 다이얼, 스테인리스 스틸 케이스백, 다이버 시계, 금속 및 고무 스트랩, 42mm, 아버지의 날 선물(블루)")</f>
        <v>Smith &amp; Wesson 남성용 시계, 전술 터프 밀리터리 시계, 스위스 삼중수소, 20ATM 블랙 다이얼, 스테인리스 스틸 케이스백, 다이버 시계, 금속 및 고무 스트랩, 42mm, 아버지의 날 선물(블루)</v>
      </c>
      <c r="F421" s="1" t="str">
        <f>IFERROR(__xludf.DUMMYFUNCTION("CONCATENATE(GOOGLETRANSLATE(C421, ""en"", ""ja""))"),"Smith &amp; Wesson メンズウォッチ、タクティカルタフミリタリーウォッチ、スイストリチウム、20ATM ブラックダイヤル、ステンレススチールケースバック、ダイバーウォッチ、メタルとラバーストラップ、42mm、父の日ギフト (ブルー)")</f>
        <v>Smith &amp; Wesson メンズウォッチ、タクティカルタフミリタリーウォッチ、スイストリチウム、20ATM ブラックダイヤル、ステンレススチールケースバック、ダイバーウォッチ、メタルとラバーストラップ、42mm、父の日ギフト (ブルー)</v>
      </c>
    </row>
    <row r="422" ht="15.75" customHeight="1">
      <c r="A422" s="1">
        <v>4355.0</v>
      </c>
      <c r="B422" s="1" t="s">
        <v>6</v>
      </c>
      <c r="C422" s="1" t="s">
        <v>417</v>
      </c>
      <c r="D422" s="1" t="str">
        <f>IFERROR(__xludf.DUMMYFUNCTION("CONCATENATE(GOOGLETRANSLATE(C422, ""en"", ""zh-cn""))
"),"Invicta 男士 13708 Grand Diver 自动黑色纹理表盘两色不锈钢手表")</f>
        <v>Invicta 男士 13708 Grand Diver 自动黑色纹理表盘两色不锈钢手表</v>
      </c>
      <c r="E422" s="1" t="str">
        <f>IFERROR(__xludf.DUMMYFUNCTION("CONCATENATE(GOOGLETRANSLATE(C422, ""en"", ""ko""))"),"인빅타 남성용 13708 그랜드 다이버 오토매틱 블랙 질감 다이얼 투톤 스테인리스 스틸 시계")</f>
        <v>인빅타 남성용 13708 그랜드 다이버 오토매틱 블랙 질감 다이얼 투톤 스테인리스 스틸 시계</v>
      </c>
      <c r="F422" s="1" t="str">
        <f>IFERROR(__xludf.DUMMYFUNCTION("CONCATENATE(GOOGLETRANSLATE(C422, ""en"", ""ja""))"),"Invicta メンズ 13708 グランド ダイバー オートマティック ブラック テクスチャード ダイヤル ツートン ステンレス スチール ウォッチ")</f>
        <v>Invicta メンズ 13708 グランド ダイバー オートマティック ブラック テクスチャード ダイヤル ツートン ステンレス スチール ウォッチ</v>
      </c>
    </row>
    <row r="423" ht="15.75" customHeight="1">
      <c r="A423" s="1">
        <v>4379.0</v>
      </c>
      <c r="B423" s="1" t="s">
        <v>6</v>
      </c>
      <c r="C423" s="1" t="s">
        <v>418</v>
      </c>
      <c r="D423" s="1" t="str">
        <f>IFERROR(__xludf.DUMMYFUNCTION("CONCATENATE(GOOGLETRANSLATE(C423, ""en"", ""zh-cn""))
"),"Akrenar 82 现代超大沙发，带两个枕头的沙发，客厅、卧室沙发，米色")</f>
        <v>Akrenar 82 现代超大沙发，带两个枕头的沙发，客厅、卧室沙发，米色</v>
      </c>
      <c r="E423" s="1" t="str">
        <f>IFERROR(__xludf.DUMMYFUNCTION("CONCATENATE(GOOGLETRANSLATE(C423, ""en"", ""ko""))"),"Akrenar 82 현대식 대형 소파, 베개 2개가 있는 소파, 거실용 소파, 침실, 베이지")</f>
        <v>Akrenar 82 현대식 대형 소파, 베개 2개가 있는 소파, 거실용 소파, 침실, 베이지</v>
      </c>
      <c r="F423" s="1" t="str">
        <f>IFERROR(__xludf.DUMMYFUNCTION("CONCATENATE(GOOGLETRANSLATE(C423, ""en"", ""ja""))"),"Akrenar 82 モダンな特大ソファ、枕 2 つ付きソファ、リビングルーム、ベッドルーム用ソファ、ベージュ")</f>
        <v>Akrenar 82 モダンな特大ソファ、枕 2 つ付きソファ、リビングルーム、ベッドルーム用ソファ、ベージュ</v>
      </c>
    </row>
    <row r="424" ht="15.75" customHeight="1">
      <c r="A424" s="1">
        <v>4397.0</v>
      </c>
      <c r="B424" s="1" t="s">
        <v>6</v>
      </c>
      <c r="C424" s="1" t="s">
        <v>419</v>
      </c>
      <c r="D424" s="1" t="str">
        <f>IFERROR(__xludf.DUMMYFUNCTION("CONCATENATE(GOOGLETRANSLATE(C424, ""en"", ""zh-cn""))
"),"HONBAY 双面组合沙发，带奥斯曼 L 形沙发，适合小空间 组合沙发，带贵妃椅，深灰色")</f>
        <v>HONBAY 双面组合沙发，带奥斯曼 L 形沙发，适合小空间 组合沙发，带贵妃椅，深灰色</v>
      </c>
      <c r="E424" s="1" t="str">
        <f>IFERROR(__xludf.DUMMYFUNCTION("CONCATENATE(GOOGLETRANSLATE(C424, ""en"", ""ko""))"),"작은 공간을 위한 오스만 L자형 소파가 있는 HONBAY 양면 단면 소파 어두운 회색의 의자가 있는 단면 소파")</f>
        <v>작은 공간을 위한 오스만 L자형 소파가 있는 HONBAY 양면 단면 소파 어두운 회색의 의자가 있는 단면 소파</v>
      </c>
      <c r="F424" s="1" t="str">
        <f>IFERROR(__xludf.DUMMYFUNCTION("CONCATENATE(GOOGLETRANSLATE(C424, ""en"", ""ja""))"),"HONBAY リバーシブルセクショナルソファ オットマン付き L字型ソファ 狭いスペース用 セクショナルソファ 長椅子付き ダークグレー")</f>
        <v>HONBAY リバーシブルセクショナルソファ オットマン付き L字型ソファ 狭いスペース用 セクショナルソファ 長椅子付き ダークグレー</v>
      </c>
    </row>
    <row r="425" ht="15.75" customHeight="1">
      <c r="A425" s="1">
        <v>4399.0</v>
      </c>
      <c r="B425" s="1" t="s">
        <v>6</v>
      </c>
      <c r="C425" s="1" t="s">
        <v>420</v>
      </c>
      <c r="D425" s="1" t="str">
        <f>IFERROR(__xludf.DUMMYFUNCTION("CONCATENATE(GOOGLETRANSLATE(C425, ""en"", ""zh-cn""))
"),"Christopher Knight Home Bridget 三座沙发，传统，现代，米色，深棕色")</f>
        <v>Christopher Knight Home Bridget 三座沙发，传统，现代，米色，深棕色</v>
      </c>
      <c r="E425" s="1" t="str">
        <f>IFERROR(__xludf.DUMMYFUNCTION("CONCATENATE(GOOGLETRANSLATE(C425, ""en"", ""ko""))"),"크리스토퍼 나이트 홈 브리짓 3인용 소파, 전통, 모던, 베이지, 다크 브라운")</f>
        <v>크리스토퍼 나이트 홈 브리짓 3인용 소파, 전통, 모던, 베이지, 다크 브라운</v>
      </c>
      <c r="F425" s="1" t="str">
        <f>IFERROR(__xludf.DUMMYFUNCTION("CONCATENATE(GOOGLETRANSLATE(C425, ""en"", ""ja""))"),"Christopher Knight Home Bridget 3人掛けソファ、トラディショナル、モダン、ベージュ、ダークブラウン")</f>
        <v>Christopher Knight Home Bridget 3人掛けソファ、トラディショナル、モダン、ベージュ、ダークブラウン</v>
      </c>
    </row>
    <row r="426" ht="15.75" customHeight="1">
      <c r="A426" s="1">
        <v>4412.0</v>
      </c>
      <c r="B426" s="1" t="s">
        <v>6</v>
      </c>
      <c r="C426" s="1" t="s">
        <v>421</v>
      </c>
      <c r="D426" s="1" t="str">
        <f>IFERROR(__xludf.DUMMYFUNCTION("CONCATENATE(GOOGLETRANSLATE(C426, ""en"", ""zh-cn""))
"),"YDF 现代布艺双人沙发，带 2 个 USB 充电端口，适合小空间沙发，卧室客厅小公寓沙发，深灰色")</f>
        <v>YDF 现代布艺双人沙发，带 2 个 USB 充电端口，适合小空间沙发，卧室客厅小公寓沙发，深灰色</v>
      </c>
      <c r="E426" s="1" t="str">
        <f>IFERROR(__xludf.DUMMYFUNCTION("CONCATENATE(GOOGLETRANSLATE(C426, ""en"", ""ko""))"),"2개의 USB 충전 포트가 있는 YDF 현대식 패브릭 러브시트 소파, 작은 공간 소파, 침실 거실 작은 아파트 소파, 짙은 회색에 적합")</f>
        <v>2개의 USB 충전 포트가 있는 YDF 현대식 패브릭 러브시트 소파, 작은 공간 소파, 침실 거실 작은 아파트 소파, 짙은 회색에 적합</v>
      </c>
      <c r="F426" s="1" t="str">
        <f>IFERROR(__xludf.DUMMYFUNCTION("CONCATENATE(GOOGLETRANSLATE(C426, ""en"", ""ja""))"),"YDF モダンなファブリック二人掛けソファ 2 USB 充電ポート付き、狭いスペースのソファ、寝室、リビングルーム、小さなアパートのソファに最適、ダークグレー")</f>
        <v>YDF モダンなファブリック二人掛けソファ 2 USB 充電ポート付き、狭いスペースのソファ、寝室、リビングルーム、小さなアパートのソファに最適、ダークグレー</v>
      </c>
    </row>
    <row r="427" ht="15.75" customHeight="1">
      <c r="A427" s="1">
        <v>4435.0</v>
      </c>
      <c r="B427" s="1" t="s">
        <v>6</v>
      </c>
      <c r="C427" s="1" t="s">
        <v>422</v>
      </c>
      <c r="D427" s="1" t="str">
        <f>IFERROR(__xludf.DUMMYFUNCTION("CONCATENATE(GOOGLETRANSLATE(C427, ""en"", ""zh-cn""))
"),"ACME Picardy II 沙发带 7 个枕头 - - 织物和古董珍珠")</f>
        <v>ACME Picardy II 沙发带 7 个枕头 - - 织物和古董珍珠</v>
      </c>
      <c r="E427" s="1" t="str">
        <f>IFERROR(__xludf.DUMMYFUNCTION("CONCATENATE(GOOGLETRANSLATE(C427, ""en"", ""ko""))"),"ACME 피카르디 II 소파 및 베개 7개 - - 패브릭 및 앤티크 진주")</f>
        <v>ACME 피카르디 II 소파 및 베개 7개 - - 패브릭 및 앤티크 진주</v>
      </c>
      <c r="F427" s="1" t="str">
        <f>IFERROR(__xludf.DUMMYFUNCTION("CONCATENATE(GOOGLETRANSLATE(C427, ""en"", ""ja""))"),"ACME Picardy II ソファ 枕 7 個付き - - ファブリック &amp; アンティーク パール")</f>
        <v>ACME Picardy II ソファ 枕 7 個付き - - ファブリック &amp; アンティーク パール</v>
      </c>
    </row>
    <row r="428" ht="15.75" customHeight="1">
      <c r="A428" s="1">
        <v>4456.0</v>
      </c>
      <c r="B428" s="1" t="s">
        <v>6</v>
      </c>
      <c r="C428" s="1" t="s">
        <v>423</v>
      </c>
      <c r="D428" s="1" t="str">
        <f>IFERROR(__xludf.DUMMYFUNCTION("CONCATENATE(GOOGLETRANSLATE(C428, ""en"", ""zh-cn""))
"),"CHANEL Sublimage La Creme 终极肌肤再生霜，男女通用， 1.7 盎司")</f>
        <v>CHANEL Sublimage La Creme 终极肌肤再生霜，男女通用， 1.7 盎司</v>
      </c>
      <c r="E428" s="1" t="str">
        <f>IFERROR(__xludf.DUMMYFUNCTION("CONCATENATE(GOOGLETRANSLATE(C428, ""en"", ""ko""))"),"샤넬 수블리마지 라 크림 유니섹스용 얼티미트 스킨 리제너레이션 크림, 1.7온스")</f>
        <v>샤넬 수블리마지 라 크림 유니섹스용 얼티미트 스킨 리제너레이션 크림, 1.7온스</v>
      </c>
      <c r="F428" s="1" t="str">
        <f>IFERROR(__xludf.DUMMYFUNCTION("CONCATENATE(GOOGLETRANSLATE(C428, ""en"", ""ja""))"),"シャネル サブリマージュ ラ クレーム アルティメット スキン リジェネレーション クリーム ユニセックス用、1.7 オンス")</f>
        <v>シャネル サブリマージュ ラ クレーム アルティメット スキン リジェネレーション クリーム ユニセックス用、1.7 オンス</v>
      </c>
    </row>
    <row r="429" ht="15.75" customHeight="1">
      <c r="A429" s="1">
        <v>4467.0</v>
      </c>
      <c r="B429" s="1" t="s">
        <v>6</v>
      </c>
      <c r="C429" s="1" t="s">
        <v>424</v>
      </c>
      <c r="D429" s="1" t="str">
        <f>IFERROR(__xludf.DUMMYFUNCTION("CONCATENATE(GOOGLETRANSLATE(C429, ""en"", ""zh-cn""))
"),"SUBLIMAGE LE TEINT Ultimate Radiance - 生成霜粉底/1 盎司。 12 米色玫瑰色")</f>
        <v>SUBLIMAGE LE TEINT Ultimate Radiance - 生成霜粉底/1 盎司。 12 米色玫瑰色</v>
      </c>
      <c r="E429" s="1" t="str">
        <f>IFERROR(__xludf.DUMMYFUNCTION("CONCATENATE(GOOGLETRANSLATE(C429, ""en"", ""ko""))"),"수블리마지 르 땡 얼티미트 래디언스 - 제너레이팅 크림 파운데이션/1온스 12 베이지 로즈")</f>
        <v>수블리마지 르 땡 얼티미트 래디언스 - 제너레이팅 크림 파운데이션/1온스 12 베이지 로즈</v>
      </c>
      <c r="F429" s="1" t="str">
        <f>IFERROR(__xludf.DUMMYFUNCTION("CONCATENATE(GOOGLETRANSLATE(C429, ""en"", ""ja""))"),"サブリマージュ ル タン アルティメット ラディアンス - ジェネレーティング クリーム ファンデーション/1 オンス12 ベージュローズ")</f>
        <v>サブリマージュ ル タン アルティメット ラディアンス - ジェネレーティング クリーム ファンデーション/1 オンス12 ベージュローズ</v>
      </c>
    </row>
    <row r="430" ht="15.75" customHeight="1">
      <c r="A430" s="1">
        <v>4525.0</v>
      </c>
      <c r="B430" s="1" t="s">
        <v>6</v>
      </c>
      <c r="C430" s="1" t="s">
        <v>425</v>
      </c>
      <c r="D430" s="1" t="str">
        <f>IFERROR(__xludf.DUMMYFUNCTION("CONCATENATE(GOOGLETRANSLATE(C430, ""en"", ""zh-cn""))
"),"SK-II 面部护理面膜，6 克拉")</f>
        <v>SK-II 面部护理面膜，6 克拉</v>
      </c>
      <c r="E430" s="1" t="str">
        <f>IFERROR(__xludf.DUMMYFUNCTION("CONCATENATE(GOOGLETRANSLATE(C430, ""en"", ""ko""))"),"SK-II 페이셜 트리트먼트 마스크, 6ct.")</f>
        <v>SK-II 페이셜 트리트먼트 마스크, 6ct.</v>
      </c>
      <c r="F430" s="1" t="str">
        <f>IFERROR(__xludf.DUMMYFUNCTION("CONCATENATE(GOOGLETRANSLATE(C430, ""en"", ""ja""))"),"SK-II フェイシャル トリートメント マスク、6 ct.")</f>
        <v>SK-II フェイシャル トリートメント マスク、6 ct.</v>
      </c>
    </row>
    <row r="431" ht="15.75" customHeight="1">
      <c r="A431" s="1">
        <v>4535.0</v>
      </c>
      <c r="B431" s="1" t="s">
        <v>6</v>
      </c>
      <c r="C431" s="1" t="s">
        <v>426</v>
      </c>
      <c r="D431" s="1" t="str">
        <f>IFERROR(__xludf.DUMMYFUNCTION("CONCATENATE(GOOGLETRANSLATE(C431, ""en"", ""zh-cn""))
"),"U-NEED 100 片韩国面膜（10 种 x 10 片）天然面膜 |天丝|皮肤护理 |韩国制造|保湿紧致 |颜料平衡")</f>
        <v>U-NEED 100 片韩国面膜（10 种 x 10 片）天然面膜 |天丝|皮肤护理 |韩国制造|保湿紧致 |颜料平衡</v>
      </c>
      <c r="E431" s="1" t="str">
        <f>IFERROR(__xludf.DUMMYFUNCTION("CONCATENATE(GOOGLETRANSLATE(C431, ""en"", ""ko""))"),"U-NEED 100매 한국산 페이스 시트 마스크 (10종x10매) 천연 페이셜 마스크 시트 | 텐셀 | 스킨케어 | 메이드 인 코리아 | 보습 &amp; 타이트닝 | 안료 균형")</f>
        <v>U-NEED 100매 한국산 페이스 시트 마스크 (10종x10매) 천연 페이셜 마스크 시트 | 텐셀 | 스킨케어 | 메이드 인 코리아 | 보습 &amp; 타이트닝 | 안료 균형</v>
      </c>
      <c r="F431" s="1" t="str">
        <f>IFERROR(__xludf.DUMMYFUNCTION("CONCATENATE(GOOGLETRANSLATE(C431, ""en"", ""ja""))"),"U-NEED 韓国フェイスシートマスク 100枚入 (10種類×10枚) ナチュラル フェイシャル マスク シート |テンセル |スキンケア |韓国製 |保湿＆引き締め |ピグメントバランシング")</f>
        <v>U-NEED 韓国フェイスシートマスク 100枚入 (10種類×10枚) ナチュラル フェイシャル マスク シート |テンセル |スキンケア |韓国製 |保湿＆引き締め |ピグメントバランシング</v>
      </c>
    </row>
    <row r="432" ht="15.75" customHeight="1">
      <c r="A432" s="1">
        <v>4672.0</v>
      </c>
      <c r="B432" s="1" t="s">
        <v>6</v>
      </c>
      <c r="C432" s="1" t="s">
        <v>427</v>
      </c>
      <c r="D432" s="1" t="str">
        <f>IFERROR(__xludf.DUMMYFUNCTION("CONCATENATE(GOOGLETRANSLATE(C432, ""en"", ""zh-cn""))
"),"Rawlings 坚固背包巧克力")</f>
        <v>Rawlings 坚固背包巧克力</v>
      </c>
      <c r="E432" s="1" t="str">
        <f>IFERROR(__xludf.DUMMYFUNCTION("CONCATENATE(GOOGLETRANSLATE(C432, ""en"", ""ko""))"),"롤링스 러기드 백팩 초콜릿")</f>
        <v>롤링스 러기드 백팩 초콜릿</v>
      </c>
      <c r="F432" s="1" t="str">
        <f>IFERROR(__xludf.DUMMYFUNCTION("CONCATENATE(GOOGLETRANSLATE(C432, ""en"", ""ja""))"),"ローリングス ラギッド バックパック チョコレート")</f>
        <v>ローリングス ラギッド バックパック チョコレート</v>
      </c>
    </row>
    <row r="433" ht="15.75" customHeight="1">
      <c r="A433" s="1">
        <v>4703.0</v>
      </c>
      <c r="B433" s="1" t="s">
        <v>6</v>
      </c>
      <c r="C433" s="1" t="s">
        <v>428</v>
      </c>
      <c r="D433" s="1" t="str">
        <f>IFERROR(__xludf.DUMMYFUNCTION("CONCATENATE(GOOGLETRANSLATE(C433, ""en"", ""zh-cn""))
"),"Sidi 男士现代")</f>
        <v>Sidi 男士现代</v>
      </c>
      <c r="E433" s="1" t="str">
        <f>IFERROR(__xludf.DUMMYFUNCTION("CONCATENATE(GOOGLETRANSLATE(C433, ""en"", ""ko""))"),"시디 남성 모던")</f>
        <v>시디 남성 모던</v>
      </c>
      <c r="F433" s="1" t="str">
        <f>IFERROR(__xludf.DUMMYFUNCTION("CONCATENATE(GOOGLETRANSLATE(C433, ""en"", ""ja""))"),"シディ メンズ モダン")</f>
        <v>シディ メンズ モダン</v>
      </c>
    </row>
    <row r="434" ht="15.75" customHeight="1">
      <c r="A434" s="1">
        <v>4720.0</v>
      </c>
      <c r="B434" s="1" t="s">
        <v>6</v>
      </c>
      <c r="C434" s="1" t="s">
        <v>58</v>
      </c>
      <c r="D434" s="1" t="str">
        <f>IFERROR(__xludf.DUMMYFUNCTION("CONCATENATE(GOOGLETRANSLATE(C434, ""en"", ""zh-cn""))
"),"GAN 13 磁悬浮磨砂涂层，磁性速度魔方 3x3 无贴纸 56 毫米磁铁魔方拼图玩具，GAN 2022 旗舰")</f>
        <v>GAN 13 磁悬浮磨砂涂层，磁性速度魔方 3x3 无贴纸 56 毫米磁铁魔方拼图玩具，GAN 2022 旗舰</v>
      </c>
      <c r="E434" s="1" t="str">
        <f>IFERROR(__xludf.DUMMYFUNCTION("CONCATENATE(GOOGLETRANSLATE(C434, ""en"", ""ko""))"),"GAN 13 자기 부상 프로스트 코팅, 자기 속도 큐브 3x3 스티커 없는 56mm 자석 매직 큐브 퍼즐 장난감, GAN 2022 플래그십")</f>
        <v>GAN 13 자기 부상 프로스트 코팅, 자기 속도 큐브 3x3 스티커 없는 56mm 자석 매직 큐브 퍼즐 장난감, GAN 2022 플래그십</v>
      </c>
      <c r="F434" s="1" t="str">
        <f>IFERROR(__xludf.DUMMYFUNCTION("CONCATENATE(GOOGLETRANSLATE(C434, ""en"", ""ja""))"),"GAN 13 リニアモーターカー フロストコーティング、磁気スピードキューブ 3x3 ステッカーレス 56mm マグネット マジックキューブ パズルおもちゃ、GAN 2022 フラッグシップ")</f>
        <v>GAN 13 リニアモーターカー フロストコーティング、磁気スピードキューブ 3x3 ステッカーレス 56mm マグネット マジックキューブ パズルおもちゃ、GAN 2022 フラッグシップ</v>
      </c>
    </row>
    <row r="435" ht="15.75" customHeight="1">
      <c r="A435" s="1">
        <v>4745.0</v>
      </c>
      <c r="B435" s="1" t="s">
        <v>6</v>
      </c>
      <c r="C435" s="1" t="s">
        <v>250</v>
      </c>
      <c r="D435" s="1" t="str">
        <f>IFERROR(__xludf.DUMMYFUNCTION("CONCATENATE(GOOGLETRANSLATE(C435, ""en"", ""zh-cn""))
"),"GAN 460 M， Gan 4x4 磁性速度魔方， gan 460 m 4 x 4 儿童和成人无贴纸拼图玩具")</f>
        <v>GAN 460 M， Gan 4x4 磁性速度魔方， gan 460 m 4 x 4 儿童和成人无贴纸拼图玩具</v>
      </c>
      <c r="E435" s="1" t="str">
        <f>IFERROR(__xludf.DUMMYFUNCTION("CONCATENATE(GOOGLETRANSLATE(C435, ""en"", ""ko""))"),"GAN 460 M, Gan 4x4 자기 속도 큐브, gan 460 m 4 by 4 어린이와 성인을 위한 스티커 없는 퍼즐 장난감")</f>
        <v>GAN 460 M, Gan 4x4 자기 속도 큐브, gan 460 m 4 by 4 어린이와 성인을 위한 스티커 없는 퍼즐 장난감</v>
      </c>
      <c r="F435" s="1" t="str">
        <f>IFERROR(__xludf.DUMMYFUNCTION("CONCATENATE(GOOGLETRANSLATE(C435, ""en"", ""ja""))"),"GAN 460 M、Gan 4x4 磁気スピードキューブ、GAN 460 m 4 by 4 ステッカーレスパズルおもちゃ子供と大人向け")</f>
        <v>GAN 460 M、Gan 4x4 磁気スピードキューブ、GAN 460 m 4 by 4 ステッカーレスパズルおもちゃ子供と大人向け</v>
      </c>
    </row>
    <row r="436" ht="15.75" customHeight="1">
      <c r="A436" s="1">
        <v>4749.0</v>
      </c>
      <c r="B436" s="1" t="s">
        <v>51</v>
      </c>
      <c r="C436" s="1" t="s">
        <v>429</v>
      </c>
      <c r="D436" s="1" t="str">
        <f>IFERROR(__xludf.DUMMYFUNCTION("CONCATENATE(GOOGLETRANSLATE(C436, ""en"", ""zh-cn""))
"),"男士民族几何印花毛绒领宽松夹克")</f>
        <v>男士民族几何印花毛绒领宽松夹克</v>
      </c>
      <c r="E436" s="1" t="str">
        <f>IFERROR(__xludf.DUMMYFUNCTION("CONCATENATE(GOOGLETRANSLATE(C436, ""en"", ""ko""))"),"남성용 에스닉 기하학 프린트 플러시 칼라 루즈 재킷")</f>
        <v>남성용 에스닉 기하학 프린트 플러시 칼라 루즈 재킷</v>
      </c>
      <c r="F436" s="1" t="str">
        <f>IFERROR(__xludf.DUMMYFUNCTION("CONCATENATE(GOOGLETRANSLATE(C436, ""en"", ""ja""))"),"メンズエスニック幾何学プリントぬいぐるみ襟ルーズジャケット")</f>
        <v>メンズエスニック幾何学プリントぬいぐるみ襟ルーズジャケット</v>
      </c>
    </row>
    <row r="437" ht="15.75" customHeight="1">
      <c r="A437" s="1">
        <v>4750.0</v>
      </c>
      <c r="B437" s="1" t="s">
        <v>51</v>
      </c>
      <c r="C437" s="1" t="s">
        <v>430</v>
      </c>
      <c r="D437" s="1" t="str">
        <f>IFERROR(__xludf.DUMMYFUNCTION("CONCATENATE(GOOGLETRANSLATE(C437, ""en"", ""zh-cn""))
"),"男式民族部落图案拼布有盖口袋花呢夹克")</f>
        <v>男式民族部落图案拼布有盖口袋花呢夹克</v>
      </c>
      <c r="E437" s="1" t="str">
        <f>IFERROR(__xludf.DUMMYFUNCTION("CONCATENATE(GOOGLETRANSLATE(C437, ""en"", ""ko""))"),"남성용 에스닉 트라이벌 패턴 패치워크 플랩 포켓 트위드 재킷")</f>
        <v>남성용 에스닉 트라이벌 패턴 패치워크 플랩 포켓 트위드 재킷</v>
      </c>
      <c r="F437" s="1" t="str">
        <f>IFERROR(__xludf.DUMMYFUNCTION("CONCATENATE(GOOGLETRANSLATE(C437, ""en"", ""ja""))"),"メンズエスニックトライバルパターンパッチワークフラップポケットツイードジャケット")</f>
        <v>メンズエスニックトライバルパターンパッチワークフラップポケットツイードジャケット</v>
      </c>
    </row>
    <row r="438" ht="15.75" customHeight="1">
      <c r="A438" s="1">
        <v>4760.0</v>
      </c>
      <c r="B438" s="1" t="s">
        <v>51</v>
      </c>
      <c r="C438" s="1" t="s">
        <v>431</v>
      </c>
      <c r="D438" s="1" t="str">
        <f>IFERROR(__xludf.DUMMYFUNCTION("CONCATENATE(GOOGLETRANSLATE(C438, ""en"", ""zh-cn""))
"),"男式民族几何印花拼布前拉链连帽夹克")</f>
        <v>男式民族几何印花拼布前拉链连帽夹克</v>
      </c>
      <c r="E438" s="1" t="str">
        <f>IFERROR(__xludf.DUMMYFUNCTION("CONCATENATE(GOOGLETRANSLATE(C438, ""en"", ""ko""))"),"남성용 에스닉 기하학 프린트 패치워크 지퍼 프론트 후드 재킷")</f>
        <v>남성용 에스닉 기하학 프린트 패치워크 지퍼 프론트 후드 재킷</v>
      </c>
      <c r="F438" s="1" t="str">
        <f>IFERROR(__xludf.DUMMYFUNCTION("CONCATENATE(GOOGLETRANSLATE(C438, ""en"", ""ja""))"),"メンズエスニック幾何学プリントパッチワークジップフロントフード付きジャケット")</f>
        <v>メンズエスニック幾何学プリントパッチワークジップフロントフード付きジャケット</v>
      </c>
    </row>
    <row r="439" ht="15.75" customHeight="1">
      <c r="A439" s="1">
        <v>4813.0</v>
      </c>
      <c r="B439" s="1" t="s">
        <v>6</v>
      </c>
      <c r="C439" s="1" t="s">
        <v>432</v>
      </c>
      <c r="D439" s="1" t="str">
        <f>IFERROR(__xludf.DUMMYFUNCTION("CONCATENATE(GOOGLETRANSLATE(C439, ""en"", ""zh-cn""))
"),"Apple 2024 MacBook Air 13 英寸笔记本电脑，配备 M3 芯片：13.6 英寸 Liquid Retina 显示屏、8GB 统一内存、512GB SSD 存储、背光键盘、1080p FaceTime 高清摄像头、Touch ID；星光")</f>
        <v>Apple 2024 MacBook Air 13 英寸笔记本电脑，配备 M3 芯片：13.6 英寸 Liquid Retina 显示屏、8GB 统一内存、512GB SSD 存储、背光键盘、1080p FaceTime 高清摄像头、Touch ID；星光</v>
      </c>
      <c r="E439" s="1" t="str">
        <f>IFERROR(__xludf.DUMMYFUNCTION("CONCATENATE(GOOGLETRANSLATE(C439, ""en"", ""ko""))"),"M3 칩을 탑재한 Apple 2024 MacBook Air 13인치 노트북: 13.6인치 Liquid Retina 디스플레이, 8GB 통합 메모리, 512GB SSD 스토리지, 백라이트 키보드, 1080p FaceTime HD 카메라, Touch ID; 별빛")</f>
        <v>M3 칩을 탑재한 Apple 2024 MacBook Air 13인치 노트북: 13.6인치 Liquid Retina 디스플레이, 8GB 통합 메모리, 512GB SSD 스토리지, 백라이트 키보드, 1080p FaceTime HD 카메라, Touch ID; 별빛</v>
      </c>
      <c r="F439" s="1" t="str">
        <f>IFERROR(__xludf.DUMMYFUNCTION("CONCATENATE(GOOGLETRANSLATE(C439, ""en"", ""ja""))"),"Apple 2024 MacBook Air 13 インチ ラップトップ (M3 チップ搭載): 13.6 インチ Liquid Retina ディスプレイ、8GB ユニファイド メモリ、512GB SSD ストレージ、バックライト付きキーボード、1080p FaceTime HD カメラ、Touch ID。スターライト")</f>
        <v>Apple 2024 MacBook Air 13 インチ ラップトップ (M3 チップ搭載): 13.6 インチ Liquid Retina ディスプレイ、8GB ユニファイド メモリ、512GB SSD ストレージ、バックライト付きキーボード、1080p FaceTime HD カメラ、Touch ID。スターライト</v>
      </c>
    </row>
    <row r="440" ht="15.75" customHeight="1">
      <c r="A440" s="1">
        <v>4817.0</v>
      </c>
      <c r="B440" s="1" t="s">
        <v>6</v>
      </c>
      <c r="C440" s="1" t="s">
        <v>433</v>
      </c>
      <c r="D440" s="1" t="str">
        <f>IFERROR(__xludf.DUMMYFUNCTION("CONCATENATE(GOOGLETRANSLATE(C440, ""en"", ""zh-cn""))
"),"Apple 2023 款 MacBook Pro 笔记本电脑 M3 芯片，配备 8 核 CPU、10 核 GPU：14.2 英寸 Liquid Retina XDR 显示屏、8GB 统一内存、512GB SSD 存储。适用于 iPhone/iPad；银")</f>
        <v>Apple 2023 款 MacBook Pro 笔记本电脑 M3 芯片，配备 8 核 CPU、10 核 GPU：14.2 英寸 Liquid Retina XDR 显示屏、8GB 统一内存、512GB SSD 存储。适用于 iPhone/iPad；银</v>
      </c>
      <c r="E440" s="1" t="str">
        <f>IFERROR(__xludf.DUMMYFUNCTION("CONCATENATE(GOOGLETRANSLATE(C440, ""en"", ""ko""))"),"8코어 CPU, 10코어 GPU를 탑재한 Apple 2023 MacBook Pro 노트북 M3 칩: 14.2인치 Liquid Retina XDR 디스플레이, 8GB 통합 메모리, 512GB SSD 스토리지. iPhone/iPad에서 작동합니다. 은")</f>
        <v>8코어 CPU, 10코어 GPU를 탑재한 Apple 2023 MacBook Pro 노트북 M3 칩: 14.2인치 Liquid Retina XDR 디스플레이, 8GB 통합 메모리, 512GB SSD 스토리지. iPhone/iPad에서 작동합니다. 은</v>
      </c>
      <c r="F440" s="1" t="str">
        <f>IFERROR(__xludf.DUMMYFUNCTION("CONCATENATE(GOOGLETRANSLATE(C440, ""en"", ""ja""))"),"8 コア CPU、10 コア GPU を搭載した Apple 2023 MacBook Pro ラップトップ M3 チップ: 14.2 インチ Liquid Retina XDR ディスプレイ、8 GB ユニファイド メモリ、512 GB SSD ストレージ。 iPhone/iPad で動作します。銀")</f>
        <v>8 コア CPU、10 コア GPU を搭載した Apple 2023 MacBook Pro ラップトップ M3 チップ: 14.2 インチ Liquid Retina XDR ディスプレイ、8 GB ユニファイド メモリ、512 GB SSD ストレージ。 iPhone/iPad で動作します。銀</v>
      </c>
    </row>
    <row r="441" ht="15.75" customHeight="1">
      <c r="A441" s="1">
        <v>4830.0</v>
      </c>
      <c r="B441" s="1" t="s">
        <v>6</v>
      </c>
      <c r="C441" s="1" t="s">
        <v>434</v>
      </c>
      <c r="D441" s="1" t="str">
        <f>IFERROR(__xludf.DUMMYFUNCTION("CONCATENATE(GOOGLETRANSLATE(C441, ""en"", ""zh-cn""))
"),"2020 戴尔 Precision 7550 笔记本电脑 15.6 英寸 - 英特尔酷睿 i9 第 10 代 - i9-10885H - 八核 5.3Ghz - 512GB SSD - 64GB RAM - Nvidia Quadro RTX 3000 - 1920x1080 FHD - Windows 10 Pro（更新版）")</f>
        <v>2020 戴尔 Precision 7550 笔记本电脑 15.6 英寸 - 英特尔酷睿 i9 第 10 代 - i9-10885H - 八核 5.3Ghz - 512GB SSD - 64GB RAM - Nvidia Quadro RTX 3000 - 1920x1080 FHD - Windows 10 Pro（更新版）</v>
      </c>
      <c r="E441" s="1" t="str">
        <f>IFERROR(__xludf.DUMMYFUNCTION("CONCATENATE(GOOGLETRANSLATE(C441, ""en"", ""ko""))"),"2020 델 프리시전 7550 노트북 15.6인치 - 인텔 코어 i9 10세대 - i9-10885H - 8코어 5.3Ghz - 512GB SSD - 64GB RAM - 엔비디아 쿼드로 RTX 3000 - 1920x1080 FHD - 윈도우 10 프로(리뉴얼)")</f>
        <v>2020 델 프리시전 7550 노트북 15.6인치 - 인텔 코어 i9 10세대 - i9-10885H - 8코어 5.3Ghz - 512GB SSD - 64GB RAM - 엔비디아 쿼드로 RTX 3000 - 1920x1080 FHD - 윈도우 10 프로(리뉴얼)</v>
      </c>
      <c r="F441" s="1" t="str">
        <f>IFERROR(__xludf.DUMMYFUNCTION("CONCATENATE(GOOGLETRANSLATE(C441, ""en"", ""ja""))"),"2020 Dell Precision 7550 ラップトップ 15.6 インチ - Intel Core i9 第 10 世代 - i9-10885H - 8 コア 5.3Ghz - 512GB SSD - 64GB RAM - Nvidia Quadro RTX 3000 - 1920x1080 FHD - Windows 10 Pro (リニューアル)")</f>
        <v>2020 Dell Precision 7550 ラップトップ 15.6 インチ - Intel Core i9 第 10 世代 - i9-10885H - 8 コア 5.3Ghz - 512GB SSD - 64GB RAM - Nvidia Quadro RTX 3000 - 1920x1080 FHD - Windows 10 Pro (リニューアル)</v>
      </c>
    </row>
    <row r="442" ht="15.75" customHeight="1">
      <c r="A442" s="1">
        <v>5075.0</v>
      </c>
      <c r="B442" s="1" t="s">
        <v>6</v>
      </c>
      <c r="C442" s="1" t="s">
        <v>42</v>
      </c>
      <c r="D442" s="1" t="str">
        <f>IFERROR(__xludf.DUMMYFUNCTION("CONCATENATE(GOOGLETRANSLATE(C442, ""en"", ""zh-cn""))
"),"Ravensburger Space Odyssey 5000 片成人拼图 - 16720 - 每一块都是独一无二的，Softclick 技术意味着各块完美地组合在一起")</f>
        <v>Ravensburger Space Odyssey 5000 片成人拼图 - 16720 - 每一块都是独一无二的，Softclick 技术意味着各块完美地组合在一起</v>
      </c>
      <c r="E442" s="1" t="str">
        <f>IFERROR(__xludf.DUMMYFUNCTION("CONCATENATE(GOOGLETRANSLATE(C442, ""en"", ""ko""))"),"Ravensburger Space Odyssey 성인용 5000피스 직소 퍼즐 - 16720 - 모든 조각은 독특하며 소프트클릭 기술로 조각이 완벽하게 들어맞습니다.")</f>
        <v>Ravensburger Space Odyssey 성인용 5000피스 직소 퍼즐 - 16720 - 모든 조각은 독특하며 소프트클릭 기술로 조각이 완벽하게 들어맞습니다.</v>
      </c>
      <c r="F442" s="1" t="str">
        <f>IFERROR(__xludf.DUMMYFUNCTION("CONCATENATE(GOOGLETRANSLATE(C442, ""en"", ""ja""))"),"Ravensburger 宇宙の旅 大人用 5000 ピース ジグソーパズル - 16720 - すべてのピースはユニークで、ソフトクリックテクノロジーによりピースが完璧にフィットします。")</f>
        <v>Ravensburger 宇宙の旅 大人用 5000 ピース ジグソーパズル - 16720 - すべてのピースはユニークで、ソフトクリックテクノロジーによりピースが完璧にフィットします。</v>
      </c>
    </row>
    <row r="443" ht="15.75" customHeight="1">
      <c r="A443" s="1">
        <v>5076.0</v>
      </c>
      <c r="B443" s="1" t="s">
        <v>6</v>
      </c>
      <c r="C443" s="1" t="s">
        <v>50</v>
      </c>
      <c r="D443" s="1" t="str">
        <f>IFERROR(__xludf.DUMMYFUNCTION("CONCATENATE(GOOGLETRANSLATE(C443, ""en"", ""zh-cn""))
"),"CuberShop GAN 13 MagLev UV 涂层， GAN 13 M 2022 3x3 磁力速度魔方旗舰无贴纸， GAN 3x3 速度魔方（GAN13 MagLev 速度魔方，UV 涂层光泽表面和主要内部）")</f>
        <v>CuberShop GAN 13 MagLev UV 涂层， GAN 13 M 2022 3x3 磁力速度魔方旗舰无贴纸， GAN 3x3 速度魔方（GAN13 MagLev 速度魔方，UV 涂层光泽表面和主要内部）</v>
      </c>
      <c r="E443" s="1" t="str">
        <f>IFERROR(__xludf.DUMMYFUNCTION("CONCATENATE(GOOGLETRANSLATE(C443, ""en"", ""ko""))"),"CuberShop GAN 13 MagLev UV 코팅, GAN 13 M 2022 3x3 자기 속도 큐브 플래그십 스티커 없음, GAN 3x3 속도 큐브(GAN13 자기 부상 속도 큐브, UV 코팅 광택 표면 및 기본 내부)")</f>
        <v>CuberShop GAN 13 MagLev UV 코팅, GAN 13 M 2022 3x3 자기 속도 큐브 플래그십 스티커 없음, GAN 3x3 속도 큐브(GAN13 자기 부상 속도 큐브, UV 코팅 광택 표면 및 기본 내부)</v>
      </c>
      <c r="F443" s="1" t="str">
        <f>IFERROR(__xludf.DUMMYFUNCTION("CONCATENATE(GOOGLETRANSLATE(C443, ""en"", ""ja""))"),"CuberShop GAN 13 MagLev UV コーティング、GAN 13 M 2022 3x3 磁気スピード キューブ フラッグシップ ステッカーレス、GAN 3x3 スピード キューブ (GAN13 MagLev スピード キューブ、UV コーティングされた光沢のある表面 &amp; プライマリ内部)")</f>
        <v>CuberShop GAN 13 MagLev UV コーティング、GAN 13 M 2022 3x3 磁気スピード キューブ フラッグシップ ステッカーレス、GAN 3x3 スピード キューブ (GAN13 MagLev スピード キューブ、UV コーティングされた光沢のある表面 &amp; プライマリ内部)</v>
      </c>
    </row>
    <row r="444" ht="15.75" customHeight="1">
      <c r="A444" s="1">
        <v>5139.0</v>
      </c>
      <c r="B444" s="1" t="s">
        <v>6</v>
      </c>
      <c r="C444" s="1" t="s">
        <v>435</v>
      </c>
      <c r="D444" s="1" t="str">
        <f>IFERROR(__xludf.DUMMYFUNCTION("CONCATENATE(GOOGLETRANSLATE(C444, ""en"", ""zh-cn""))
"),"Apple iPhone 14 Plus，128GB，午夜 - 解锁（续订）")</f>
        <v>Apple iPhone 14 Plus，128GB，午夜 - 解锁（续订）</v>
      </c>
      <c r="E444" s="1" t="str">
        <f>IFERROR(__xludf.DUMMYFUNCTION("CONCATENATE(GOOGLETRANSLATE(C444, ""en"", ""ko""))"),"Apple iPhone 14 Plus, 128GB, 미드나잇 - 공기계 (리뉴얼)")</f>
        <v>Apple iPhone 14 Plus, 128GB, 미드나잇 - 공기계 (리뉴얼)</v>
      </c>
      <c r="F444" s="1" t="str">
        <f>IFERROR(__xludf.DUMMYFUNCTION("CONCATENATE(GOOGLETRANSLATE(C444, ""en"", ""ja""))"),"Apple iPhone 14 Plus、128GB、ミッドナイト - ロック解除済み (更新済み)")</f>
        <v>Apple iPhone 14 Plus、128GB、ミッドナイト - ロック解除済み (更新済み)</v>
      </c>
    </row>
    <row r="445" ht="15.75" customHeight="1">
      <c r="A445" s="1">
        <v>5149.0</v>
      </c>
      <c r="B445" s="1" t="s">
        <v>6</v>
      </c>
      <c r="C445" s="1" t="s">
        <v>436</v>
      </c>
      <c r="D445" s="1" t="str">
        <f>IFERROR(__xludf.DUMMYFUNCTION("CONCATENATE(GOOGLETRANSLATE(C445, ""en"", ""zh-cn""))
"),"SHARGEEK 的 SHARGE USB C 充电器，带数字雨功率显示的复古 67 GaN 充电器，67W 可折叠快速壁式充电器，适用于 iPhone 14/Pro/Pro Max/13、iPad、MacBook、Galaxy、Google Pixel 礼品创意")</f>
        <v>SHARGEEK 的 SHARGE USB C 充电器，带数字雨功率显示的复古 67 GaN 充电器，67W 可折叠快速壁式充电器，适用于 iPhone 14/Pro/Pro Max/13、iPad、MacBook、Galaxy、Google Pixel 礼品创意</v>
      </c>
      <c r="E445" s="1" t="str">
        <f>IFERROR(__xludf.DUMMYFUNCTION("CONCATENATE(GOOGLETRANSLATE(C445, ""en"", ""ko""))"),"SHARGEEK의 SHARGE USB C 충전기, 디지털 레인 파워 디스플레이를 갖춘 레트로 67 GaN 충전기, iPhone 14/Pro/Pro Max/13, iPad, MacBook, Galaxy, Google Pixel 선물용 아이디어를 위한 67W 접이식 고속 벽 충전기")</f>
        <v>SHARGEEK의 SHARGE USB C 충전기, 디지털 레인 파워 디스플레이를 갖춘 레트로 67 GaN 충전기, iPhone 14/Pro/Pro Max/13, iPad, MacBook, Galaxy, Google Pixel 선물용 아이디어를 위한 67W 접이식 고속 벽 충전기</v>
      </c>
      <c r="F445" s="1" t="str">
        <f>IFERROR(__xludf.DUMMYFUNCTION("CONCATENATE(GOOGLETRANSLATE(C445, ""en"", ""ja""))"),"SHARGEEK の SHARGE USB C 充電器、デジタルレインパワーディスプレイ付きレトロ 67 GaN 充電器、iPhone 14/Pro/Pro Max/13、iPad、MacBook、Galaxy、Google Pixel ギフトアイデア用の 67W 折りたたみ式高速壁充電器")</f>
        <v>SHARGEEK の SHARGE USB C 充電器、デジタルレインパワーディスプレイ付きレトロ 67 GaN 充電器、iPhone 14/Pro/Pro Max/13、iPad、MacBook、Galaxy、Google Pixel ギフトアイデア用の 67W 折りたたみ式高速壁充電器</v>
      </c>
    </row>
    <row r="446" ht="15.75" customHeight="1">
      <c r="A446" s="1">
        <v>5156.0</v>
      </c>
      <c r="B446" s="1" t="s">
        <v>6</v>
      </c>
      <c r="C446" s="1" t="s">
        <v>437</v>
      </c>
      <c r="D446" s="1" t="str">
        <f>IFERROR(__xludf.DUMMYFUNCTION("CONCATENATE(GOOGLETRANSLATE(C446, ""en"", ""zh-cn""))
"),"西迪鞋天才 10")</f>
        <v>西迪鞋天才 10</v>
      </c>
      <c r="E446" s="1" t="str">
        <f>IFERROR(__xludf.DUMMYFUNCTION("CONCATENATE(GOOGLETRANSLATE(C446, ""en"", ""ko""))"),"시디 신발 천재 10")</f>
        <v>시디 신발 천재 10</v>
      </c>
      <c r="F446" s="1" t="str">
        <f>IFERROR(__xludf.DUMMYFUNCTION("CONCATENATE(GOOGLETRANSLATE(C446, ""en"", ""ja""))"),"シディ シューズ ジーニアス 10")</f>
        <v>シディ シューズ ジーニアス 10</v>
      </c>
    </row>
    <row r="447" ht="15.75" customHeight="1">
      <c r="A447" s="1">
        <v>5283.0</v>
      </c>
      <c r="B447" s="1" t="s">
        <v>51</v>
      </c>
      <c r="C447" s="1" t="s">
        <v>438</v>
      </c>
      <c r="D447" s="1" t="str">
        <f>IFERROR(__xludf.DUMMYFUNCTION("CONCATENATE(GOOGLETRANSLATE(C447, ""en"", ""zh-cn""))
"),"男士部落拼布印花短袖连帽 T 恤")</f>
        <v>男士部落拼布印花短袖连帽 T 恤</v>
      </c>
      <c r="E447" s="1" t="str">
        <f>IFERROR(__xludf.DUMMYFUNCTION("CONCATENATE(GOOGLETRANSLATE(C447, ""en"", ""ko""))"),"남성 부족 패치워크 프린트 반소매 후드 티셔츠")</f>
        <v>남성 부족 패치워크 프린트 반소매 후드 티셔츠</v>
      </c>
      <c r="F447" s="1" t="str">
        <f>IFERROR(__xludf.DUMMYFUNCTION("CONCATENATE(GOOGLETRANSLATE(C447, ""en"", ""ja""))"),"メンズトライバルパッチワークプリント半袖フード付きTシャツ")</f>
        <v>メンズトライバルパッチワークプリント半袖フード付きTシャツ</v>
      </c>
    </row>
    <row r="448" ht="15.75" customHeight="1">
      <c r="A448" s="1">
        <v>5304.0</v>
      </c>
      <c r="B448" s="1" t="s">
        <v>6</v>
      </c>
      <c r="C448" s="1" t="s">
        <v>232</v>
      </c>
      <c r="D448" s="1" t="str">
        <f>IFERROR(__xludf.DUMMYFUNCTION("CONCATENATE(GOOGLETRANSLATE(C448, ""en"", ""zh-cn""))
"),"EF ECOFLOW RIVER Pro 额外电池 720Wh，RIVER Pro 可扩展电源，适用于露营、家庭备用应急、户外、房车、离网")</f>
        <v>EF ECOFLOW RIVER Pro 额外电池 720Wh，RIVER Pro 可扩展电源，适用于露营、家庭备用应急、户外、房车、离网</v>
      </c>
      <c r="E448" s="1" t="str">
        <f>IFERROR(__xludf.DUMMYFUNCTION("CONCATENATE(GOOGLETRANSLATE(C448, ""en"", ""ko""))"),"EF ECOFLOW RIVER Pro 추가 배터리 720Wh, RIVER Pro용 확장 가능한 전력, 캠핑, 홈 백업 비상, 야외, RV, 오프 그리드용")</f>
        <v>EF ECOFLOW RIVER Pro 추가 배터리 720Wh, RIVER Pro용 확장 가능한 전력, 캠핑, 홈 백업 비상, 야외, RV, 오프 그리드용</v>
      </c>
      <c r="F448" s="1" t="str">
        <f>IFERROR(__xludf.DUMMYFUNCTION("CONCATENATE(GOOGLETRANSLATE(C448, ""en"", ""ja""))"),"EF ECOFLOW RIVER Pro 予備バッテリー 720Wh、RIVER Pro 用の拡張可能な電源、キャンプ、ホームバックアップ緊急時、アウトドア、RV、オフグリッド用")</f>
        <v>EF ECOFLOW RIVER Pro 予備バッテリー 720Wh、RIVER Pro 用の拡張可能な電源、キャンプ、ホームバックアップ緊急時、アウトドア、RV、オフグリッド用</v>
      </c>
    </row>
    <row r="449" ht="15.75" customHeight="1">
      <c r="A449" s="1">
        <v>5311.0</v>
      </c>
      <c r="B449" s="1" t="s">
        <v>6</v>
      </c>
      <c r="C449" s="1" t="s">
        <v>439</v>
      </c>
      <c r="D449" s="1" t="str">
        <f>IFERROR(__xludf.DUMMYFUNCTION("CONCATENATE(GOOGLETRANSLATE(C449, ""en"", ""zh-cn""))
"),"美国 Pride 家具瑜伽系列现代人造皮革弧形躺椅，适合伸展和放松，非常适合卧室、客厅、冥想室或办公室，常规，午夜黑")</f>
        <v>美国 Pride 家具瑜伽系列现代人造皮革弧形躺椅，适合伸展和放松，非常适合卧室、客厅、冥想室或办公室，常规，午夜黑</v>
      </c>
      <c r="E449" s="1" t="str">
        <f>IFERROR(__xludf.DUMMYFUNCTION("CONCATENATE(GOOGLETRANSLATE(C449, ""en"", ""ko""))"),"US Pride Furniture Yoga Collection 스트레칭과 휴식을 위한 현대적인 인조 가죽 곡선 라운지 의자, 침실, 거실, 명상실 또는 사무실에 이상적, 일반, 미드나잇 블랙")</f>
        <v>US Pride Furniture Yoga Collection 스트레칭과 휴식을 위한 현대적인 인조 가죽 곡선 라운지 의자, 침실, 거실, 명상실 또는 사무실에 이상적, 일반, 미드나잇 블랙</v>
      </c>
      <c r="F449" s="1" t="str">
        <f>IFERROR(__xludf.DUMMYFUNCTION("CONCATENATE(GOOGLETRANSLATE(C449, ""en"", ""ja""))"),"USプライドファニチャーヨガコレクション ストレッチとリラクゼーションのためのモダンなフェイクレザーの湾曲したラウンジ長椅子、寝室、リビング、瞑想室またはオフィスに最適、レギュラー、ミッドナイトブラック")</f>
        <v>USプライドファニチャーヨガコレクション ストレッチとリラクゼーションのためのモダンなフェイクレザーの湾曲したラウンジ長椅子、寝室、リビング、瞑想室またはオフィスに最適、レギュラー、ミッドナイトブラック</v>
      </c>
    </row>
    <row r="450" ht="15.75" customHeight="1">
      <c r="A450" s="1">
        <v>5325.0</v>
      </c>
      <c r="B450" s="1" t="s">
        <v>6</v>
      </c>
      <c r="C450" s="1" t="s">
        <v>440</v>
      </c>
      <c r="D450" s="1" t="str">
        <f>IFERROR(__xludf.DUMMYFUNCTION("CONCATENATE(GOOGLETRANSLATE(C450, ""en"", ""zh-cn""))
"),"2021 最新戴尔 Inspiron 灵越 15 3000 商务笔记本电脑，15.6 全高清触摸屏，英特尔酷睿 i5-1035G1，16GB DDR4 RAM，1TBGB PCIE SSD，在线会议就绪，网络摄像头，Wi-Fi，HDMI，Windows 10 Pro，黑色")</f>
        <v>2021 最新戴尔 Inspiron 灵越 15 3000 商务笔记本电脑，15.6 全高清触摸屏，英特尔酷睿 i5-1035G1，16GB DDR4 RAM，1TBGB PCIE SSD，在线会议就绪，网络摄像头，Wi-Fi，HDMI，Windows 10 Pro，黑色</v>
      </c>
      <c r="E450" s="1" t="str">
        <f>IFERROR(__xludf.DUMMYFUNCTION("CONCATENATE(GOOGLETRANSLATE(C450, ""en"", ""ko""))"),"2021 최신 Dell Inspiron 15 3000 비즈니스 노트북, 15.6 풀 HD 터치스크린, Intel Core i5-1035G1, 16GB DDR4 RAM, 1TBGB PCIE SSD, 온라인 회의 지원, 웹캠, Wi-Fi, HDMI, Windows 10 Pro, 블랙")</f>
        <v>2021 최신 Dell Inspiron 15 3000 비즈니스 노트북, 15.6 풀 HD 터치스크린, Intel Core i5-1035G1, 16GB DDR4 RAM, 1TBGB PCIE SSD, 온라인 회의 지원, 웹캠, Wi-Fi, HDMI, Windows 10 Pro, 블랙</v>
      </c>
      <c r="F450" s="1" t="str">
        <f>IFERROR(__xludf.DUMMYFUNCTION("CONCATENATE(GOOGLETRANSLATE(C450, ""en"", ""ja""))"),"2021 最新 Dell Inspiron 15 3000 ビジネス ノートパソコン、15.6 フル HD タッチスクリーン、Intel Core i5-1035G1、16GB DDR4 RAM、1TBGB PCIE SSD、オンライン ミーティング対応、ウェブカメラ、Wi-Fi、HDMI、Windows 10 Pro、ブラック")</f>
        <v>2021 最新 Dell Inspiron 15 3000 ビジネス ノートパソコン、15.6 フル HD タッチスクリーン、Intel Core i5-1035G1、16GB DDR4 RAM、1TBGB PCIE SSD、オンライン ミーティング対応、ウェブカメラ、Wi-Fi、HDMI、Windows 10 Pro、ブラック</v>
      </c>
    </row>
    <row r="451" ht="15.75" customHeight="1">
      <c r="A451" s="1">
        <v>5337.0</v>
      </c>
      <c r="B451" s="1" t="s">
        <v>6</v>
      </c>
      <c r="C451" s="1" t="s">
        <v>82</v>
      </c>
      <c r="D451" s="1" t="str">
        <f>IFERROR(__xludf.DUMMYFUNCTION("CONCATENATE(GOOGLETRANSLATE(C451, ""en"", ""zh-cn""))
"),"带金属腿和盖子的拼图桌 - 拼图桌 36 英寸 x 27 英寸 - 1500 块可拆卸拼图板，带彩色抽屉 - 拼图存储分类托盘")</f>
        <v>带金属腿和盖子的拼图桌 - 拼图桌 36 英寸 x 27 英寸 - 1500 块可拆卸拼图板，带彩色抽屉 - 拼图存储分类托盘</v>
      </c>
      <c r="E451" s="1" t="str">
        <f>IFERROR(__xludf.DUMMYFUNCTION("CONCATENATE(GOOGLETRANSLATE(C451, ""en"", ""ko""))"),"금속 다리와 커버가 있는 퍼즐 테이블 - 직소 퍼즐 테이블 36"" x 27"" - 다채로운 서랍이 있는 탈착식 퍼즐 보드 1500개 - 퍼즐 보관함 정렬 트레이")</f>
        <v>금속 다리와 커버가 있는 퍼즐 테이블 - 직소 퍼즐 테이블 36" x 27" - 다채로운 서랍이 있는 탈착식 퍼즐 보드 1500개 - 퍼즐 보관함 정렬 트레이</v>
      </c>
      <c r="F451" s="1" t="str">
        <f>IFERROR(__xludf.DUMMYFUNCTION("CONCATENATE(GOOGLETRANSLATE(C451, ""en"", ""ja""))"),"金属製の脚とカバー付きパズルテーブル - ジグソーパズルテーブル 36インチ x 27インチ - 1500ピースの取り外し可能なパズルボード、カラフルな引き出し付き - パズル収納仕分けトレイ")</f>
        <v>金属製の脚とカバー付きパズルテーブル - ジグソーパズルテーブル 36インチ x 27インチ - 1500ピースの取り外し可能なパズルボード、カラフルな引き出し付き - パズル収納仕分けトレイ</v>
      </c>
    </row>
    <row r="452" ht="15.75" customHeight="1">
      <c r="A452" s="1">
        <v>5343.0</v>
      </c>
      <c r="B452" s="1" t="s">
        <v>6</v>
      </c>
      <c r="C452" s="1" t="s">
        <v>441</v>
      </c>
      <c r="D452" s="1" t="str">
        <f>IFERROR(__xludf.DUMMYFUNCTION("CONCATENATE(GOOGLETRANSLATE(C452, ""en"", ""zh-cn""))
"),"1500 块木制拼图桌 - 6 个抽屉，拼图板 | 27” X 35” 便携式拼图板 - 便携式拼图桌 |适合成人和儿童")</f>
        <v>1500 块木制拼图桌 - 6 个抽屉，拼图板 | 27” X 35” 便携式拼图板 - 便携式拼图桌 |适合成人和儿童</v>
      </c>
      <c r="E452" s="1" t="str">
        <f>IFERROR(__xludf.DUMMYFUNCTION("CONCATENATE(GOOGLETRANSLATE(C452, ""en"", ""ko""))"),"1500피스 나무 직소 퍼즐 테이블 - 서랍 6개, 퍼즐 보드 | 27"" X 35"" 직소 퍼즐 보드 휴대용 - 휴대용 퍼즐 테이블 | 성인과 어린이를 위한")</f>
        <v>1500피스 나무 직소 퍼즐 테이블 - 서랍 6개, 퍼즐 보드 | 27" X 35" 직소 퍼즐 보드 휴대용 - 휴대용 퍼즐 테이블 | 성인과 어린이를 위한</v>
      </c>
      <c r="F452" s="1" t="str">
        <f>IFERROR(__xludf.DUMMYFUNCTION("CONCATENATE(GOOGLETRANSLATE(C452, ""en"", ""ja""))"),"1500 ピース木製ジグソーパズルテーブル - 引き出し 6 個、パズルボード | 27 インチ x 35 インチのジグソーパズル ボード ポータブル - ポータブル パズル テーブル |大人と子供向け")</f>
        <v>1500 ピース木製ジグソーパズルテーブル - 引き出し 6 個、パズルボード | 27 インチ x 35 インチのジグソーパズル ボード ポータブル - ポータブル パズル テーブル |大人と子供向け</v>
      </c>
    </row>
    <row r="453" ht="15.75" customHeight="1">
      <c r="A453" s="1">
        <v>5360.0</v>
      </c>
      <c r="B453" s="1" t="s">
        <v>6</v>
      </c>
      <c r="C453" s="1" t="s">
        <v>442</v>
      </c>
      <c r="D453" s="1" t="str">
        <f>IFERROR(__xludf.DUMMYFUNCTION("CONCATENATE(GOOGLETRANSLATE(C453, ""en"", ""zh-cn""))
"),"一加 11 5G | 16GB内存+256GB |泰坦黑|美国工厂解锁 Android 智能手机 | 5000mAh电池| 80W快充|哈苏相机 | 120Hz 流体显示 | 4纳米处理器")</f>
        <v>一加 11 5G | 16GB内存+256GB |泰坦黑|美国工厂解锁 Android 智能手机 | 5000mAh电池| 80W快充|哈苏相机 | 120Hz 流体显示 | 4纳米处理器</v>
      </c>
      <c r="E453" s="1" t="str">
        <f>IFERROR(__xludf.DUMMYFUNCTION("CONCATENATE(GOOGLETRANSLATE(C453, ""en"", ""ko""))"),"원플러스 11 5G | 16GB RAM+256GB | 타이탄 블랙 | 미국 공장 언락 안드로이드 스마트폰 | 5000mAh 배터리 | 80W 고속 충전 | 핫셀블라드 카메라 | 120Hz 유체 디스플레이 | 4nm 프로세서")</f>
        <v>원플러스 11 5G | 16GB RAM+256GB | 타이탄 블랙 | 미국 공장 언락 안드로이드 스마트폰 | 5000mAh 배터리 | 80W 고속 충전 | 핫셀블라드 카메라 | 120Hz 유체 디스플레이 | 4nm 프로세서</v>
      </c>
      <c r="F453" s="1" t="str">
        <f>IFERROR(__xludf.DUMMYFUNCTION("CONCATENATE(GOOGLETRANSLATE(C453, ""en"", ""ja""))"),"OnePlus 11 5G | 16GB RAM+256GB |タイタンブラック |米国工場でロック解除された Android スマートフォン | 5000 mAh バッテリー | 80W 急速充電 |ハッセルブラッドカメラ | 120Hz 流体ディスプレイ | 4nmプロセッサ")</f>
        <v>OnePlus 11 5G | 16GB RAM+256GB |タイタンブラック |米国工場でロック解除された Android スマートフォン | 5000 mAh バッテリー | 80W 急速充電 |ハッセルブラッドカメラ | 120Hz 流体ディスプレイ | 4nmプロセッサ</v>
      </c>
    </row>
    <row r="454" ht="15.75" customHeight="1">
      <c r="A454" s="1">
        <v>5415.0</v>
      </c>
      <c r="B454" s="1" t="s">
        <v>6</v>
      </c>
      <c r="C454" s="1" t="s">
        <v>443</v>
      </c>
      <c r="D454" s="1" t="str">
        <f>IFERROR(__xludf.DUMMYFUNCTION("CONCATENATE(GOOGLETRANSLATE(C454, ""en"", ""zh-cn""))
"),"LiangCuber GAN 12 M 3x3 速度魔方 磁力无贴 GAN 12 MagLev UV 旗舰 3x3x3 魔方（UV 涂层光面和初级内部）")</f>
        <v>LiangCuber GAN 12 M 3x3 速度魔方 磁力无贴 GAN 12 MagLev UV 旗舰 3x3x3 魔方（UV 涂层光面和初级内部）</v>
      </c>
      <c r="E454" s="1" t="str">
        <f>IFERROR(__xludf.DUMMYFUNCTION("CONCATENATE(GOOGLETRANSLATE(C454, ""en"", ""ko""))"),"LiangCuber GAN 12 M 3x3 스피드 큐브 자기 스티커가 없는 GAN 12 MagLev UV 플래그십 3x3x3 매직 큐브(UV 코팅 광택 및 기본 내부)")</f>
        <v>LiangCuber GAN 12 M 3x3 스피드 큐브 자기 스티커가 없는 GAN 12 MagLev UV 플래그십 3x3x3 매직 큐브(UV 코팅 광택 및 기본 내부)</v>
      </c>
      <c r="F454" s="1" t="str">
        <f>IFERROR(__xludf.DUMMYFUNCTION("CONCATENATE(GOOGLETRANSLATE(C454, ""en"", ""ja""))"),"LiangCuber GAN 12 M 3x3 スピード キューブ 磁気ステッカーレス GAN 12 MagLev UV フラッグシップ 3x3x3 マジック キューブ (UV コーティング光沢 &amp; プライマリ内部)")</f>
        <v>LiangCuber GAN 12 M 3x3 スピード キューブ 磁気ステッカーレス GAN 12 MagLev UV フラッグシップ 3x3x3 マジック キューブ (UV コーティング光沢 &amp; プライマリ内部)</v>
      </c>
    </row>
    <row r="455" ht="15.75" customHeight="1">
      <c r="A455" s="1">
        <v>5441.0</v>
      </c>
      <c r="B455" s="1" t="s">
        <v>6</v>
      </c>
      <c r="C455" s="1" t="s">
        <v>444</v>
      </c>
      <c r="D455" s="1" t="str">
        <f>IFERROR(__xludf.DUMMYFUNCTION("CONCATENATE(GOOGLETRANSLATE(C455, ""en"", ""zh-cn""))
"),"Lake MX241 耐力骑行鞋 - 男士")</f>
        <v>Lake MX241 耐力骑行鞋 - 男士</v>
      </c>
      <c r="E455" s="1" t="str">
        <f>IFERROR(__xludf.DUMMYFUNCTION("CONCATENATE(GOOGLETRANSLATE(C455, ""en"", ""ko""))"),"Lake MX241 인듀어런스 사이클링 슈즈 - 남성용")</f>
        <v>Lake MX241 인듀어런스 사이클링 슈즈 - 남성용</v>
      </c>
      <c r="F455" s="1" t="str">
        <f>IFERROR(__xludf.DUMMYFUNCTION("CONCATENATE(GOOGLETRANSLATE(C455, ""en"", ""ja""))"),"Lake MX241 エンデュランス サイクリング シューズ - メンズ")</f>
        <v>Lake MX241 エンデュランス サイクリング シューズ - メンズ</v>
      </c>
    </row>
    <row r="456" ht="15.75" customHeight="1">
      <c r="A456" s="1">
        <v>5485.0</v>
      </c>
      <c r="B456" s="1" t="s">
        <v>6</v>
      </c>
      <c r="C456" s="1" t="s">
        <v>445</v>
      </c>
      <c r="D456" s="1" t="str">
        <f>IFERROR(__xludf.DUMMYFUNCTION("CONCATENATE(GOOGLETRANSLATE(C456, ""en"", ""zh-cn""))
"),"Frogg Toggs 男士全运动雨衣")</f>
        <v>Frogg Toggs 男士全运动雨衣</v>
      </c>
      <c r="E456" s="1" t="str">
        <f>IFERROR(__xludf.DUMMYFUNCTION("CONCATENATE(GOOGLETRANSLATE(C456, ""en"", ""ko""))"),"Frogg Toggs 남성용 올스포츠 비옷")</f>
        <v>Frogg Toggs 남성용 올스포츠 비옷</v>
      </c>
      <c r="F456" s="1" t="str">
        <f>IFERROR(__xludf.DUMMYFUNCTION("CONCATENATE(GOOGLETRANSLATE(C456, ""en"", ""ja""))"),"Frogg Toggs メンズ オールスポーツ レインスーツ")</f>
        <v>Frogg Toggs メンズ オールスポーツ レインスーツ</v>
      </c>
    </row>
    <row r="457" ht="15.75" customHeight="1">
      <c r="A457" s="1">
        <v>5500.0</v>
      </c>
      <c r="B457" s="1" t="s">
        <v>6</v>
      </c>
      <c r="C457" s="1" t="s">
        <v>446</v>
      </c>
      <c r="D457" s="1" t="str">
        <f>IFERROR(__xludf.DUMMYFUNCTION("CONCATENATE(GOOGLETRANSLATE(C457, ""en"", ""zh-cn""))
"),"Spalding 54 英寸防碎聚碳酸酯精确高度便携式篮球框系统")</f>
        <v>Spalding 54 英寸防碎聚碳酸酯精确高度便携式篮球框系统</v>
      </c>
      <c r="E457" s="1" t="str">
        <f>IFERROR(__xludf.DUMMYFUNCTION("CONCATENATE(GOOGLETRANSLATE(C457, ""en"", ""ko""))"),"Spalding 54인치 비산 방지 폴리카보네이트 정확한 높이 휴대용 농구 골대 시스템")</f>
        <v>Spalding 54인치 비산 방지 폴리카보네이트 정확한 높이 휴대용 농구 골대 시스템</v>
      </c>
      <c r="F457" s="1" t="str">
        <f>IFERROR(__xludf.DUMMYFUNCTION("CONCATENATE(GOOGLETRANSLATE(C457, ""en"", ""ja""))"),"スポルディング 54 インチ飛散防止ポリカーボネート正確な高さのポータブルバスケットボールフープシステム")</f>
        <v>スポルディング 54 インチ飛散防止ポリカーボネート正確な高さのポータブルバスケットボールフープシステム</v>
      </c>
    </row>
    <row r="458" ht="15.75" customHeight="1">
      <c r="A458" s="1">
        <v>5530.0</v>
      </c>
      <c r="B458" s="1" t="s">
        <v>6</v>
      </c>
      <c r="C458" s="1" t="s">
        <v>447</v>
      </c>
      <c r="D458" s="1" t="str">
        <f>IFERROR(__xludf.DUMMYFUNCTION("CONCATENATE(GOOGLETRANSLATE(C458, ""en"", ""zh-cn""))
"),"CLX 游戏台式电脑，配备 AMD Ryzen 7 5700G、16GB 内存和 1TB SSD")</f>
        <v>CLX 游戏台式电脑，配备 AMD Ryzen 7 5700G、16GB 内存和 1TB SSD</v>
      </c>
      <c r="E458" s="1" t="str">
        <f>IFERROR(__xludf.DUMMYFUNCTION("CONCATENATE(GOOGLETRANSLATE(C458, ""en"", ""ko""))"),"AMD Ryzen 7 5700G, 16GB 메모리 및 1TB SSD를 탑재한 CLX 게이밍 데스크탑 컴퓨터")</f>
        <v>AMD Ryzen 7 5700G, 16GB 메모리 및 1TB SSD를 탑재한 CLX 게이밍 데스크탑 컴퓨터</v>
      </c>
      <c r="F458" s="1" t="str">
        <f>IFERROR(__xludf.DUMMYFUNCTION("CONCATENATE(GOOGLETRANSLATE(C458, ""en"", ""ja""))"),"AMD Ryzen 7 5700G、16GB メモリ、1TB SSD を搭載した CLX ゲーミング デスクトップ コンピューター")</f>
        <v>AMD Ryzen 7 5700G、16GB メモリ、1TB SSD を搭載した CLX ゲーミング デスクトップ コンピューター</v>
      </c>
    </row>
    <row r="459" ht="15.75" customHeight="1">
      <c r="A459" s="1">
        <v>5537.0</v>
      </c>
      <c r="B459" s="1" t="s">
        <v>6</v>
      </c>
      <c r="C459" s="1" t="s">
        <v>448</v>
      </c>
      <c r="D459" s="1" t="str">
        <f>IFERROR(__xludf.DUMMYFUNCTION("CONCATENATE(GOOGLETRANSLATE(C459, ""en"", ""zh-cn""))
"),"HP 一体式计算机和显示器")</f>
        <v>HP 一体式计算机和显示器</v>
      </c>
      <c r="E459" s="1" t="str">
        <f>IFERROR(__xludf.DUMMYFUNCTION("CONCATENATE(GOOGLETRANSLATE(C459, ""en"", ""ko""))"),"HP 올인원 컴퓨터 및 디스플레이")</f>
        <v>HP 올인원 컴퓨터 및 디스플레이</v>
      </c>
      <c r="F459" s="1" t="str">
        <f>IFERROR(__xludf.DUMMYFUNCTION("CONCATENATE(GOOGLETRANSLATE(C459, ""en"", ""ja""))"),"HP オールインワン コンピューター &amp; ディスプレイ")</f>
        <v>HP オールインワン コンピューター &amp; ディスプレイ</v>
      </c>
    </row>
    <row r="460" ht="15.75" customHeight="1">
      <c r="A460" s="1">
        <v>5539.0</v>
      </c>
      <c r="B460" s="1" t="s">
        <v>6</v>
      </c>
      <c r="C460" s="1" t="s">
        <v>449</v>
      </c>
      <c r="D460" s="1" t="str">
        <f>IFERROR(__xludf.DUMMYFUNCTION("CONCATENATE(GOOGLETRANSLATE(C460, ""en"", ""zh-cn""))
"),"亚马逊 basics 适用于 PC 或笔记本电脑的立体声 2.0 扬声器")</f>
        <v>亚马逊 basics 适用于 PC 或笔记本电脑的立体声 2.0 扬声器</v>
      </c>
      <c r="E460" s="1" t="str">
        <f>IFERROR(__xludf.DUMMYFUNCTION("CONCATENATE(GOOGLETRANSLATE(C460, ""en"", ""ko""))"),"Amazon Basics PC 또는 노트북용 스테레오 2.0 스피커")</f>
        <v>Amazon Basics PC 또는 노트북용 스테레오 2.0 스피커</v>
      </c>
      <c r="F460" s="1" t="str">
        <f>IFERROR(__xludf.DUMMYFUNCTION("CONCATENATE(GOOGLETRANSLATE(C460, ""en"", ""ja""))"),"アマゾンベーシック PC またはラップトップ用ステレオ 2.0 スピーカー")</f>
        <v>アマゾンベーシック PC またはラップトップ用ステレオ 2.0 スピーカー</v>
      </c>
    </row>
    <row r="461" ht="15.75" customHeight="1">
      <c r="A461" s="1">
        <v>5551.0</v>
      </c>
      <c r="B461" s="1" t="s">
        <v>6</v>
      </c>
      <c r="C461" s="1" t="s">
        <v>450</v>
      </c>
      <c r="D461" s="1" t="str">
        <f>IFERROR(__xludf.DUMMYFUNCTION("CONCATENATE(GOOGLETRANSLATE(C461, ""en"", ""zh-cn""))
"),"华硕 NUC 14 Pro")</f>
        <v>华硕 NUC 14 Pro</v>
      </c>
      <c r="E461" s="1" t="str">
        <f>IFERROR(__xludf.DUMMYFUNCTION("CONCATENATE(GOOGLETRANSLATE(C461, ""en"", ""ko""))"),"아수스 NUC 14 프로")</f>
        <v>아수스 NUC 14 프로</v>
      </c>
      <c r="F461" s="1" t="str">
        <f>IFERROR(__xludf.DUMMYFUNCTION("CONCATENATE(GOOGLETRANSLATE(C461, ""en"", ""ja""))"),"Asus NUC 14 プロ")</f>
        <v>Asus NUC 14 プロ</v>
      </c>
    </row>
    <row r="462" ht="15.75" customHeight="1">
      <c r="A462" s="1">
        <v>5562.0</v>
      </c>
      <c r="B462" s="1" t="s">
        <v>6</v>
      </c>
      <c r="C462" s="1" t="s">
        <v>451</v>
      </c>
      <c r="D462" s="1" t="str">
        <f>IFERROR(__xludf.DUMMYFUNCTION("CONCATENATE(GOOGLETRANSLATE(C462, ""en"", ""zh-cn""))
"),"Aritzia Wilfred 女式 Goodlux Bloomsbury 连衣裙")</f>
        <v>Aritzia Wilfred 女式 Goodlux Bloomsbury 连衣裙</v>
      </c>
      <c r="E462" s="1" t="str">
        <f>IFERROR(__xludf.DUMMYFUNCTION("CONCATENATE(GOOGLETRANSLATE(C462, ""en"", ""ko""))"),"Aritzia Wilfred 여성 Goodlux 블룸스버리 드레스")</f>
        <v>Aritzia Wilfred 여성 Goodlux 블룸스버리 드레스</v>
      </c>
      <c r="F462" s="1" t="str">
        <f>IFERROR(__xludf.DUMMYFUNCTION("CONCATENATE(GOOGLETRANSLATE(C462, ""en"", ""ja""))"),"Aritzia Wilfred レディース Goodlux Bloomsbury ドレス")</f>
        <v>Aritzia Wilfred レディース Goodlux Bloomsbury ドレス</v>
      </c>
    </row>
    <row r="463" ht="15.75" customHeight="1">
      <c r="A463" s="1">
        <v>5602.0</v>
      </c>
      <c r="B463" s="1" t="s">
        <v>6</v>
      </c>
      <c r="C463" s="1" t="s">
        <v>82</v>
      </c>
      <c r="D463" s="1" t="str">
        <f>IFERROR(__xludf.DUMMYFUNCTION("CONCATENATE(GOOGLETRANSLATE(C463, ""en"", ""zh-cn""))
"),"带金属腿和盖子的拼图桌 - 拼图桌 36 英寸 x 27 英寸 - 1500 块可拆卸拼图板，带彩色抽屉 - 拼图存储分类托盘")</f>
        <v>带金属腿和盖子的拼图桌 - 拼图桌 36 英寸 x 27 英寸 - 1500 块可拆卸拼图板，带彩色抽屉 - 拼图存储分类托盘</v>
      </c>
      <c r="E463" s="1" t="str">
        <f>IFERROR(__xludf.DUMMYFUNCTION("CONCATENATE(GOOGLETRANSLATE(C463, ""en"", ""ko""))"),"금속 다리와 커버가 있는 퍼즐 테이블 - 직소 퍼즐 테이블 36"" x 27"" - 다채로운 서랍이 있는 탈착식 퍼즐 보드 1500개 - 퍼즐 보관함 정렬 트레이")</f>
        <v>금속 다리와 커버가 있는 퍼즐 테이블 - 직소 퍼즐 테이블 36" x 27" - 다채로운 서랍이 있는 탈착식 퍼즐 보드 1500개 - 퍼즐 보관함 정렬 트레이</v>
      </c>
      <c r="F463" s="1" t="str">
        <f>IFERROR(__xludf.DUMMYFUNCTION("CONCATENATE(GOOGLETRANSLATE(C463, ""en"", ""ja""))"),"金属製の脚とカバー付きパズルテーブル - ジグソーパズルテーブル 36インチ x 27インチ - 1500ピースの取り外し可能なパズルボード、カラフルな引き出し付き - パズル収納仕分けトレイ")</f>
        <v>金属製の脚とカバー付きパズルテーブル - ジグソーパズルテーブル 36インチ x 27インチ - 1500ピースの取り外し可能なパズルボード、カラフルな引き出し付き - パズル収納仕分けトレイ</v>
      </c>
    </row>
    <row r="464" ht="15.75" customHeight="1">
      <c r="A464" s="1">
        <v>5642.0</v>
      </c>
      <c r="B464" s="1" t="s">
        <v>6</v>
      </c>
      <c r="C464" s="1" t="s">
        <v>452</v>
      </c>
      <c r="D464" s="1" t="str">
        <f>IFERROR(__xludf.DUMMYFUNCTION("CONCATENATE(GOOGLETRANSLATE(C464, ""en"", ""zh-cn""))
"),"九西女士水晶装饰手链手表")</f>
        <v>九西女士水晶装饰手链手表</v>
      </c>
      <c r="E464" s="1" t="str">
        <f>IFERROR(__xludf.DUMMYFUNCTION("CONCATENATE(GOOGLETRANSLATE(C464, ""en"", ""ko""))"),"Nine West 여성용 크리스탈 액센트 팔찌 시계")</f>
        <v>Nine West 여성용 크리스탈 액센트 팔찌 시계</v>
      </c>
      <c r="F464" s="1" t="str">
        <f>IFERROR(__xludf.DUMMYFUNCTION("CONCATENATE(GOOGLETRANSLATE(C464, ""en"", ""ja""))"),"Nine West レディース クリスタル アクセント ブレスレット ウォッチ")</f>
        <v>Nine West レディース クリスタル アクセント ブレスレット ウォッチ</v>
      </c>
    </row>
    <row r="465" ht="15.75" customHeight="1">
      <c r="A465" s="1">
        <v>5661.0</v>
      </c>
      <c r="B465" s="1" t="s">
        <v>6</v>
      </c>
      <c r="C465" s="1" t="s">
        <v>249</v>
      </c>
      <c r="D465" s="1" t="str">
        <f>IFERROR(__xludf.DUMMYFUNCTION("CONCATENATE(GOOGLETRANSLATE(C465, ""en"", ""zh-cn""))
"),"博克芬诺 GAN12 磁悬浮 UV 速度魔方 3x3 磁性无贴纸 GAN12 M MagLev 紫外线拼图魔术 3x3x3 儿童玩具立方体 UV 涂层光面")</f>
        <v>博克芬诺 GAN12 磁悬浮 UV 速度魔方 3x3 磁性无贴纸 GAN12 M MagLev 紫外线拼图魔术 3x3x3 儿童玩具立方体 UV 涂层光面</v>
      </c>
      <c r="E465" s="1" t="str">
        <f>IFERROR(__xludf.DUMMYFUNCTION("CONCATENATE(GOOGLETRANSLATE(C465, ""en"", ""ko""))"),"Bokefenuo GAN12 자기 부상 UV 스피드 큐브 3x3 자기 스티커가 없는 GAN12 M 자기 부상 UV 퍼즐 매직 3x3x3 장난감 키즈 큐브 UV 코팅 광택")</f>
        <v>Bokefenuo GAN12 자기 부상 UV 스피드 큐브 3x3 자기 스티커가 없는 GAN12 M 자기 부상 UV 퍼즐 매직 3x3x3 장난감 키즈 큐브 UV 코팅 광택</v>
      </c>
      <c r="F465" s="1" t="str">
        <f>IFERROR(__xludf.DUMMYFUNCTION("CONCATENATE(GOOGLETRANSLATE(C465, ""en"", ""ja""))"),"Bokefenuo GAN12 マグレブ UV スピードキューブ 3x3 磁気ステッカーレス GAN12 M MagLev UV パズルマジック 3x3x3 おもちゃ子供キューブ UV コーティングされた光沢のある")</f>
        <v>Bokefenuo GAN12 マグレブ UV スピードキューブ 3x3 磁気ステッカーレス GAN12 M MagLev UV パズルマジック 3x3x3 おもちゃ子供キューブ UV コーティングされた光沢のある</v>
      </c>
    </row>
    <row r="466" ht="15.75" customHeight="1">
      <c r="A466" s="1">
        <v>5681.0</v>
      </c>
      <c r="B466" s="1" t="s">
        <v>6</v>
      </c>
      <c r="C466" s="1" t="s">
        <v>453</v>
      </c>
      <c r="D466" s="1" t="str">
        <f>IFERROR(__xludf.DUMMYFUNCTION("CONCATENATE(GOOGLETRANSLATE(C466, ""en"", ""zh-cn""))
"),"GAN 356 i 3 无贴纸速度魔方，3x3 智能魔方 356 i3 甘斯磁力魔方智能跟踪计时运动步骤与 CubeStation 应用程序甘魔方拼图玩具（不含 GAN 机器人）")</f>
        <v>GAN 356 i 3 无贴纸速度魔方，3x3 智能魔方 356 i3 甘斯磁力魔方智能跟踪计时运动步骤与 CubeStation 应用程序甘魔方拼图玩具（不含 GAN 机器人）</v>
      </c>
      <c r="E466" s="1" t="str">
        <f>IFERROR(__xludf.DUMMYFUNCTION("CONCATENATE(GOOGLETRANSLATE(C466, ""en"", ""ko""))"),"GAN 356 i 3 스티커 없는 스피드 큐브, 3x3 스마트 큐브 356 i3 Gans 마그네틱 큐브 CubeStation 앱을 사용한 지능형 추적 타이밍 동작 단계 Gan 큐브 퍼즐 장난감(GAN 로봇은 포함되지 않음)")</f>
        <v>GAN 356 i 3 스티커 없는 스피드 큐브, 3x3 스마트 큐브 356 i3 Gans 마그네틱 큐브 CubeStation 앱을 사용한 지능형 추적 타이밍 동작 단계 Gan 큐브 퍼즐 장난감(GAN 로봇은 포함되지 않음)</v>
      </c>
      <c r="F466" s="1" t="str">
        <f>IFERROR(__xludf.DUMMYFUNCTION("CONCATENATE(GOOGLETRANSLATE(C466, ""en"", ""ja""))"),"GAN 356 i 3 ステッカーレス スピード キューブ、3x3 スマート キューブ 356 i3 Gans 磁気キューブ インテリジェント トラッキング タイミング動作ステップ、CubeStation アプリ付き Gan キューブ パズルおもちゃ (GAN ロボットは含まれません)")</f>
        <v>GAN 356 i 3 ステッカーレス スピード キューブ、3x3 スマート キューブ 356 i3 Gans 磁気キューブ インテリジェント トラッキング タイミング動作ステップ、CubeStation アプリ付き Gan キューブ パズルおもちゃ (GAN ロボットは含まれません)</v>
      </c>
    </row>
    <row r="467" ht="15.75" customHeight="1">
      <c r="A467" s="1">
        <v>5703.0</v>
      </c>
      <c r="B467" s="1" t="s">
        <v>6</v>
      </c>
      <c r="C467" s="1" t="s">
        <v>454</v>
      </c>
      <c r="D467" s="1" t="str">
        <f>IFERROR(__xludf.DUMMYFUNCTION("CONCATENATE(GOOGLETRANSLATE(C467, ""en"", ""zh-cn""))
"),"GAN 460 M 速度魔方， 4x4 磁性魔方 Gans 460M 拼图玩具（无贴纸）")</f>
        <v>GAN 460 M 速度魔方， 4x4 磁性魔方 Gans 460M 拼图玩具（无贴纸）</v>
      </c>
      <c r="E467" s="1" t="str">
        <f>IFERROR(__xludf.DUMMYFUNCTION("CONCATENATE(GOOGLETRANSLATE(C467, ""en"", ""ko""))"),"GAN 460 M 스피드 큐브, 4x4 마그네틱 마스터 큐브 Gans 460M 퍼즐 장난감(스티커 없음)")</f>
        <v>GAN 460 M 스피드 큐브, 4x4 마그네틱 마스터 큐브 Gans 460M 퍼즐 장난감(스티커 없음)</v>
      </c>
      <c r="F467" s="1" t="str">
        <f>IFERROR(__xludf.DUMMYFUNCTION("CONCATENATE(GOOGLETRANSLATE(C467, ""en"", ""ja""))"),"GAN 460 M スピード キューブ、4x4 磁気マスター キューブ Gans 460M パズルおもちゃ (ステッカーなし)")</f>
        <v>GAN 460 M スピード キューブ、4x4 磁気マスター キューブ Gans 460M パズルおもちゃ (ステッカーなし)</v>
      </c>
    </row>
    <row r="468" ht="15.75" customHeight="1">
      <c r="A468" s="1">
        <v>5788.0</v>
      </c>
      <c r="B468" s="1" t="s">
        <v>6</v>
      </c>
      <c r="C468" s="1" t="s">
        <v>455</v>
      </c>
      <c r="D468" s="1" t="str">
        <f>IFERROR(__xludf.DUMMYFUNCTION("CONCATENATE(GOOGLETRANSLATE(C468, ""en"", ""zh-cn""))
"),"男士 Sonoma Goods For Life 毛衣羊毛四分之一拉链套头衫，尺码：小号，棕色")</f>
        <v>男士 Sonoma Goods For Life 毛衣羊毛四分之一拉链套头衫，尺码：小号，棕色</v>
      </c>
      <c r="E468" s="1" t="str">
        <f>IFERROR(__xludf.DUMMYFUNCTION("CONCATENATE(GOOGLETRANSLATE(C468, ""en"", ""ko""))"),"남성용 소노마 용품 라이프 스웨터 플리스 쿼터 지퍼 풀오버, 사이즈: 스몰, 브라운")</f>
        <v>남성용 소노마 용품 라이프 스웨터 플리스 쿼터 지퍼 풀오버, 사이즈: 스몰, 브라운</v>
      </c>
      <c r="F468" s="1" t="str">
        <f>IFERROR(__xludf.DUMMYFUNCTION("CONCATENATE(GOOGLETRANSLATE(C468, ""en"", ""ja""))"),"メンズ ソノマ グッズ フォー ライフ セーター フリース クォーター ジップ プルオーバー、サイズ: S、ブラウン")</f>
        <v>メンズ ソノマ グッズ フォー ライフ セーター フリース クォーター ジップ プルオーバー、サイズ: S、ブラウン</v>
      </c>
    </row>
    <row r="469" ht="15.75" customHeight="1">
      <c r="A469" s="1">
        <v>5792.0</v>
      </c>
      <c r="B469" s="1" t="s">
        <v>6</v>
      </c>
      <c r="C469" s="1" t="s">
        <v>456</v>
      </c>
      <c r="D469" s="1" t="str">
        <f>IFERROR(__xludf.DUMMYFUNCTION("CONCATENATE(GOOGLETRANSLATE(C469, ""en"", ""zh-cn""))
"),"Microsoft Designer 紧凑型键盘蓝牙")</f>
        <v>Microsoft Designer 紧凑型键盘蓝牙</v>
      </c>
      <c r="E469" s="1" t="str">
        <f>IFERROR(__xludf.DUMMYFUNCTION("CONCATENATE(GOOGLETRANSLATE(C469, ""en"", ""ko""))"),"Microsoft Designer 컴팩트 키보드 Bluetooth")</f>
        <v>Microsoft Designer 컴팩트 키보드 Bluetooth</v>
      </c>
      <c r="F469" s="1" t="str">
        <f>IFERROR(__xludf.DUMMYFUNCTION("CONCATENATE(GOOGLETRANSLATE(C469, ""en"", ""ja""))"),"Microsoft デザイナー コンパクト キーボード Bluetooth")</f>
        <v>Microsoft デザイナー コンパクト キーボード Bluetooth</v>
      </c>
    </row>
    <row r="470" ht="15.75" customHeight="1">
      <c r="A470" s="1">
        <v>5823.0</v>
      </c>
      <c r="B470" s="1" t="s">
        <v>6</v>
      </c>
      <c r="C470" s="1" t="s">
        <v>457</v>
      </c>
      <c r="D470" s="1" t="str">
        <f>IFERROR(__xludf.DUMMYFUNCTION("CONCATENATE(GOOGLETRANSLATE(C470, ""en"", ""zh-cn""))
"),"罗技 MK955 标志性超薄无线键盘和鼠标组合")</f>
        <v>罗技 MK955 标志性超薄无线键盘和鼠标组合</v>
      </c>
      <c r="E470" s="1" t="str">
        <f>IFERROR(__xludf.DUMMYFUNCTION("CONCATENATE(GOOGLETRANSLATE(C470, ""en"", ""ko""))"),"로지텍 MK955 시그니처 슬림 무선 키보드 및 마우스 콤보")</f>
        <v>로지텍 MK955 시그니처 슬림 무선 키보드 및 마우스 콤보</v>
      </c>
      <c r="F470" s="1" t="str">
        <f>IFERROR(__xludf.DUMMYFUNCTION("CONCATENATE(GOOGLETRANSLATE(C470, ""en"", ""ja""))"),"ロジクール MK955 シグネチャー スリム ワイヤレス キーボードとマウスのコンボ")</f>
        <v>ロジクール MK955 シグネチャー スリム ワイヤレス キーボードとマウスのコンボ</v>
      </c>
    </row>
    <row r="471" ht="15.75" customHeight="1">
      <c r="A471" s="1">
        <v>5826.0</v>
      </c>
      <c r="B471" s="1" t="s">
        <v>6</v>
      </c>
      <c r="C471" s="1" t="s">
        <v>458</v>
      </c>
      <c r="D471" s="1" t="str">
        <f>IFERROR(__xludf.DUMMYFUNCTION("CONCATENATE(GOOGLETRANSLATE(C471, ""en"", ""zh-cn""))
"),"华硕 NUC 14 Pro+ 台式电脑")</f>
        <v>华硕 NUC 14 Pro+ 台式电脑</v>
      </c>
      <c r="E471" s="1" t="str">
        <f>IFERROR(__xludf.DUMMYFUNCTION("CONCATENATE(GOOGLETRANSLATE(C471, ""en"", ""ko""))"),"ASUS NUC 14 Pro+ 데스크탑 컴퓨터")</f>
        <v>ASUS NUC 14 Pro+ 데스크탑 컴퓨터</v>
      </c>
      <c r="F471" s="1" t="str">
        <f>IFERROR(__xludf.DUMMYFUNCTION("CONCATENATE(GOOGLETRANSLATE(C471, ""en"", ""ja""))"),"ASUS NUC 14 Pro+ デスクトップ コンピューター")</f>
        <v>ASUS NUC 14 Pro+ デスクトップ コンピューター</v>
      </c>
    </row>
    <row r="472" ht="15.75" customHeight="1">
      <c r="A472" s="1">
        <v>5844.0</v>
      </c>
      <c r="B472" s="1" t="s">
        <v>6</v>
      </c>
      <c r="C472" s="1" t="s">
        <v>459</v>
      </c>
      <c r="D472" s="1" t="str">
        <f>IFERROR(__xludf.DUMMYFUNCTION("CONCATENATE(GOOGLETRANSLATE(C472, ""en"", ""zh-cn""))
"),"ANYPLUS USB C 集线器笔记本电脑扩展坞")</f>
        <v>ANYPLUS USB C 集线器笔记本电脑扩展坞</v>
      </c>
      <c r="E472" s="1" t="str">
        <f>IFERROR(__xludf.DUMMYFUNCTION("CONCATENATE(GOOGLETRANSLATE(C472, ""en"", ""ko""))"),"ANYPLUS USB C 허브 노트북 도킹 스테이션")</f>
        <v>ANYPLUS USB C 허브 노트북 도킹 스테이션</v>
      </c>
      <c r="F472" s="1" t="str">
        <f>IFERROR(__xludf.DUMMYFUNCTION("CONCATENATE(GOOGLETRANSLATE(C472, ""en"", ""ja""))"),"ANYPLUS USB C ハブ ラップトップ ドッキング ステーション")</f>
        <v>ANYPLUS USB C ハブ ラップトップ ドッキング ステーション</v>
      </c>
    </row>
    <row r="473" ht="15.75" customHeight="1">
      <c r="A473" s="1">
        <v>5850.0</v>
      </c>
      <c r="B473" s="1" t="s">
        <v>6</v>
      </c>
      <c r="C473" s="1" t="s">
        <v>460</v>
      </c>
      <c r="D473" s="1" t="str">
        <f>IFERROR(__xludf.DUMMYFUNCTION("CONCATENATE(GOOGLETRANSLATE(C473, ""en"", ""zh-cn""))
"),"华硕 SimPro Dock 2 扩展坞")</f>
        <v>华硕 SimPro Dock 2 扩展坞</v>
      </c>
      <c r="E473" s="1" t="str">
        <f>IFERROR(__xludf.DUMMYFUNCTION("CONCATENATE(GOOGLETRANSLATE(C473, ""en"", ""ko""))"),"Asus SimPro Dock 2 도킹 스테이션")</f>
        <v>Asus SimPro Dock 2 도킹 스테이션</v>
      </c>
      <c r="F473" s="1" t="str">
        <f>IFERROR(__xludf.DUMMYFUNCTION("CONCATENATE(GOOGLETRANSLATE(C473, ""en"", ""ja""))"),"Asus SimPro ドック 2 ドッキング ステーション")</f>
        <v>Asus SimPro ドック 2 ドッキング ステーション</v>
      </c>
    </row>
    <row r="474" ht="15.75" customHeight="1">
      <c r="A474" s="1">
        <v>5852.0</v>
      </c>
      <c r="B474" s="1" t="s">
        <v>6</v>
      </c>
      <c r="C474" s="1" t="s">
        <v>461</v>
      </c>
      <c r="D474" s="1" t="str">
        <f>IFERROR(__xludf.DUMMYFUNCTION("CONCATENATE(GOOGLETRANSLATE(C474, ""en"", ""zh-cn""))
"),"RREAKA 6 合 1 Microsoft Surface Pro X Hub 扩展坞")</f>
        <v>RREAKA 6 合 1 Microsoft Surface Pro X Hub 扩展坞</v>
      </c>
      <c r="E474" s="1" t="str">
        <f>IFERROR(__xludf.DUMMYFUNCTION("CONCATENATE(GOOGLETRANSLATE(C474, ""en"", ""ko""))"),"RREAKA 6 in 1 Microsoft Surface Pro X 허브 도킹 스테이션")</f>
        <v>RREAKA 6 in 1 Microsoft Surface Pro X 허브 도킹 스테이션</v>
      </c>
      <c r="F474" s="1" t="str">
        <f>IFERROR(__xludf.DUMMYFUNCTION("CONCATENATE(GOOGLETRANSLATE(C474, ""en"", ""ja""))"),"RREAKA 6 in 1 Microsoft Surface Pro X ハブ ドッキング ステーション")</f>
        <v>RREAKA 6 in 1 Microsoft Surface Pro X ハブ ドッキング ステーション</v>
      </c>
    </row>
    <row r="475" ht="15.75" customHeight="1">
      <c r="A475" s="1">
        <v>5861.0</v>
      </c>
      <c r="B475" s="1" t="s">
        <v>6</v>
      </c>
      <c r="C475" s="1" t="s">
        <v>462</v>
      </c>
      <c r="D475" s="1" t="str">
        <f>IFERROR(__xludf.DUMMYFUNCTION("CONCATENATE(GOOGLETRANSLATE(C475, ""en"", ""zh-cn""))
"),"HP 24-cr0030 一体式台式电脑")</f>
        <v>HP 24-cr0030 一体式台式电脑</v>
      </c>
      <c r="E475" s="1" t="str">
        <f>IFERROR(__xludf.DUMMYFUNCTION("CONCATENATE(GOOGLETRANSLATE(C475, ""en"", ""ko""))"),"HP 24-cr0030 올인원 데스크탑 컴퓨터")</f>
        <v>HP 24-cr0030 올인원 데스크탑 컴퓨터</v>
      </c>
      <c r="F475" s="1" t="str">
        <f>IFERROR(__xludf.DUMMYFUNCTION("CONCATENATE(GOOGLETRANSLATE(C475, ""en"", ""ja""))"),"HP 24-cr0030 オールインワン デスクトップ コンピューター")</f>
        <v>HP 24-cr0030 オールインワン デスクトップ コンピューター</v>
      </c>
    </row>
    <row r="476" ht="15.75" customHeight="1">
      <c r="A476" s="1">
        <v>5870.0</v>
      </c>
      <c r="B476" s="1" t="s">
        <v>6</v>
      </c>
      <c r="C476" s="1" t="s">
        <v>463</v>
      </c>
      <c r="D476" s="1" t="str">
        <f>IFERROR(__xludf.DUMMYFUNCTION("CONCATENATE(GOOGLETRANSLATE(C476, ""en"", ""zh-cn""))
"),"10 合 1 C 型扩展坞")</f>
        <v>10 合 1 C 型扩展坞</v>
      </c>
      <c r="E476" s="1" t="str">
        <f>IFERROR(__xludf.DUMMYFUNCTION("CONCATENATE(GOOGLETRANSLATE(C476, ""en"", ""ko""))"),"10 in 1 유형 C 도킹 스테이션")</f>
        <v>10 in 1 유형 C 도킹 스테이션</v>
      </c>
      <c r="F476" s="1" t="str">
        <f>IFERROR(__xludf.DUMMYFUNCTION("CONCATENATE(GOOGLETRANSLATE(C476, ""en"", ""ja""))"),"10 in 1 Type C ドッキング ステーション")</f>
        <v>10 in 1 Type C ドッキング ステーション</v>
      </c>
    </row>
    <row r="477" ht="15.75" customHeight="1">
      <c r="A477" s="1">
        <v>5878.0</v>
      </c>
      <c r="B477" s="1" t="s">
        <v>6</v>
      </c>
      <c r="C477" s="1" t="s">
        <v>464</v>
      </c>
      <c r="D477" s="1" t="str">
        <f>IFERROR(__xludf.DUMMYFUNCTION("CONCATENATE(GOOGLETRANSLATE(C477, ""en"", ""zh-cn""))
"),"PicassoTiles 二合一磁性大理石跑步套装和赛道套装")</f>
        <v>PicassoTiles 二合一磁性大理石跑步套装和赛道套装</v>
      </c>
      <c r="E477" s="1" t="str">
        <f>IFERROR(__xludf.DUMMYFUNCTION("CONCATENATE(GOOGLETRANSLATE(C477, ""en"", ""ko""))"),"PicassoTiles 2-in-1 자석 대리석 달리기 세트 및 레이싱 트랙 세트")</f>
        <v>PicassoTiles 2-in-1 자석 대리석 달리기 세트 및 레이싱 트랙 세트</v>
      </c>
      <c r="F477" s="1" t="str">
        <f>IFERROR(__xludf.DUMMYFUNCTION("CONCATENATE(GOOGLETRANSLATE(C477, ""en"", ""ja""))"),"PicassoTiles 2-in-1 磁気マーブル ラン セット &amp; レーシング トラック セット")</f>
        <v>PicassoTiles 2-in-1 磁気マーブル ラン セット &amp; レーシング トラック セット</v>
      </c>
    </row>
    <row r="478" ht="15.75" customHeight="1">
      <c r="A478" s="1">
        <v>5884.0</v>
      </c>
      <c r="B478" s="1" t="s">
        <v>6</v>
      </c>
      <c r="C478" s="1" t="s">
        <v>465</v>
      </c>
      <c r="D478" s="1" t="str">
        <f>IFERROR(__xludf.DUMMYFUNCTION("CONCATENATE(GOOGLETRANSLATE(C478, ""en"", ""zh-cn""))
"),"玩具系列飞机玩具")</f>
        <v>玩具系列飞机玩具</v>
      </c>
      <c r="E478" s="1" t="str">
        <f>IFERROR(__xludf.DUMMYFUNCTION("CONCATENATE(GOOGLETRANSLATE(C478, ""en"", ""ko""))"),"장난감 비행기 장난감")</f>
        <v>장난감 비행기 장난감</v>
      </c>
      <c r="F478" s="1" t="str">
        <f>IFERROR(__xludf.DUMMYFUNCTION("CONCATENATE(GOOGLETRANSLATE(C478, ""en"", ""ja""))"),"Toysery 飛行機のおもちゃ")</f>
        <v>Toysery 飛行機のおもちゃ</v>
      </c>
    </row>
    <row r="479" ht="15.75" customHeight="1">
      <c r="A479" s="1">
        <v>5892.0</v>
      </c>
      <c r="B479" s="1" t="s">
        <v>6</v>
      </c>
      <c r="C479" s="1" t="s">
        <v>466</v>
      </c>
      <c r="D479" s="1" t="str">
        <f>IFERROR(__xludf.DUMMYFUNCTION("CONCATENATE(GOOGLETRANSLATE(C479, ""en"", ""zh-cn""))
"),"Pillowhale 儿童木制可折叠便携式烧烤迷你厨房烧烤玩具")</f>
        <v>Pillowhale 儿童木制可折叠便携式烧烤迷你厨房烧烤玩具</v>
      </c>
      <c r="E479" s="1" t="str">
        <f>IFERROR(__xludf.DUMMYFUNCTION("CONCATENATE(GOOGLETRANSLATE(C479, ""en"", ""ko""))"),"Pillowhale 어린이 나무 접이식 휴대용 바베큐 미니 주방 그릴 장난감")</f>
        <v>Pillowhale 어린이 나무 접이식 휴대용 바베큐 미니 주방 그릴 장난감</v>
      </c>
      <c r="F479" s="1" t="str">
        <f>IFERROR(__xludf.DUMMYFUNCTION("CONCATENATE(GOOGLETRANSLATE(C479, ""en"", ""ja""))"),"Pillowhale 子供用 木製 折りたたみ式 ポータブル BBQ ミニ キッチン グリル おもちゃ")</f>
        <v>Pillowhale 子供用 木製 折りたたみ式 ポータブル BBQ ミニ キッチン グリル おもちゃ</v>
      </c>
    </row>
    <row r="480" ht="15.75" customHeight="1">
      <c r="A480" s="1">
        <v>5900.0</v>
      </c>
      <c r="B480" s="1" t="s">
        <v>6</v>
      </c>
      <c r="C480" s="1" t="s">
        <v>467</v>
      </c>
      <c r="D480" s="1" t="str">
        <f>IFERROR(__xludf.DUMMYFUNCTION("CONCATENATE(GOOGLETRANSLATE(C480, ""en"", ""zh-cn""))
"),"Vimorg 儿童智能手机独角兽女孩礼物")</f>
        <v>Vimorg 儿童智能手机独角兽女孩礼物</v>
      </c>
      <c r="E480" s="1" t="str">
        <f>IFERROR(__xludf.DUMMYFUNCTION("CONCATENATE(GOOGLETRANSLATE(C480, ""en"", ""ko""))"),"Vimorg 어린이용 스마트폰 유니콘 선물(여아용)")</f>
        <v>Vimorg 어린이용 스마트폰 유니콘 선물(여아용)</v>
      </c>
      <c r="F480" s="1" t="str">
        <f>IFERROR(__xludf.DUMMYFUNCTION("CONCATENATE(GOOGLETRANSLATE(C480, ""en"", ""ja""))"),"Vimorg キッズ スマートフォン ユニコーン 女の子向けギフト")</f>
        <v>Vimorg キッズ スマートフォン ユニコーン 女の子向けギフト</v>
      </c>
    </row>
    <row r="481" ht="15.75" customHeight="1">
      <c r="A481" s="1">
        <v>5947.0</v>
      </c>
      <c r="B481" s="1" t="s">
        <v>6</v>
      </c>
      <c r="C481" s="1" t="s">
        <v>468</v>
      </c>
      <c r="D481" s="1" t="str">
        <f>IFERROR(__xludf.DUMMYFUNCTION("CONCATENATE(GOOGLETRANSLATE(C481, ""en"", ""zh-cn""))
"),"天行者运动排球套件")</f>
        <v>天行者运动排球套件</v>
      </c>
      <c r="E481" s="1" t="str">
        <f>IFERROR(__xludf.DUMMYFUNCTION("CONCATENATE(GOOGLETRANSLATE(C481, ""en"", ""ko""))"),"스카이워커 스포츠 배구 키트")</f>
        <v>스카이워커 스포츠 배구 키트</v>
      </c>
      <c r="F481" s="1" t="str">
        <f>IFERROR(__xludf.DUMMYFUNCTION("CONCATENATE(GOOGLETRANSLATE(C481, ""en"", ""ja""))"),"スカイウォーカー スポーツ バレーボール キット")</f>
        <v>スカイウォーカー スポーツ バレーボール キット</v>
      </c>
    </row>
    <row r="482" ht="15.75" customHeight="1">
      <c r="A482" s="1">
        <v>5955.0</v>
      </c>
      <c r="B482" s="1" t="s">
        <v>6</v>
      </c>
      <c r="C482" s="1" t="s">
        <v>469</v>
      </c>
      <c r="D482" s="1" t="str">
        <f>IFERROR(__xludf.DUMMYFUNCTION("CONCATENATE(GOOGLETRANSLATE(C482, ""en"", ""zh-cn""))
"),"Relic by Fossil 女士模拟珍珠母贝手表和手链礼品套装")</f>
        <v>Relic by Fossil 女士模拟珍珠母贝手表和手链礼品套装</v>
      </c>
      <c r="E482" s="1" t="str">
        <f>IFERROR(__xludf.DUMMYFUNCTION("CONCATENATE(GOOGLETRANSLATE(C482, ""en"", ""ko""))"),"Relic by Fossil 여성용 아날로그 자개 시계 및 팔찌 선물 세트")</f>
        <v>Relic by Fossil 여성용 아날로그 자개 시계 및 팔찌 선물 세트</v>
      </c>
      <c r="F482" s="1" t="str">
        <f>IFERROR(__xludf.DUMMYFUNCTION("CONCATENATE(GOOGLETRANSLATE(C482, ""en"", ""ja""))"),"Relic by Fossil レディース アナログ マザーオブパール ウォッチとブレスレット ギフトセット")</f>
        <v>Relic by Fossil レディース アナログ マザーオブパール ウォッチとブレスレット ギフトセット</v>
      </c>
    </row>
    <row r="483" ht="15.75" customHeight="1">
      <c r="A483" s="1">
        <v>5986.0</v>
      </c>
      <c r="B483" s="1" t="s">
        <v>6</v>
      </c>
      <c r="C483" s="1" t="s">
        <v>470</v>
      </c>
      <c r="D483" s="1" t="str">
        <f>IFERROR(__xludf.DUMMYFUNCTION("CONCATENATE(GOOGLETRANSLATE(C483, ""en"", ""zh-cn""))
"),"Halukakah 18K 镀金钻石手表")</f>
        <v>Halukakah 18K 镀金钻石手表</v>
      </c>
      <c r="E483" s="1" t="str">
        <f>IFERROR(__xludf.DUMMYFUNCTION("CONCATENATE(GOOGLETRANSLATE(C483, ""en"", ""ko""))"),"할루카카 18K 골드 도금 다이아몬드 시계")</f>
        <v>할루카카 18K 골드 도금 다이아몬드 시계</v>
      </c>
      <c r="F483" s="1" t="str">
        <f>IFERROR(__xludf.DUMMYFUNCTION("CONCATENATE(GOOGLETRANSLATE(C483, ""en"", ""ja""))"),"Halukakah 18K ゴールド メッキ ダイヤモンド ウォッチ")</f>
        <v>Halukakah 18K ゴールド メッキ ダイヤモンド ウォッチ</v>
      </c>
    </row>
    <row r="484" ht="15.75" customHeight="1">
      <c r="A484" s="1">
        <v>5997.0</v>
      </c>
      <c r="B484" s="1" t="s">
        <v>6</v>
      </c>
      <c r="C484" s="1" t="s">
        <v>471</v>
      </c>
      <c r="D484" s="1" t="str">
        <f>IFERROR(__xludf.DUMMYFUNCTION("CONCATENATE(GOOGLETRANSLATE(C484, ""en"", ""zh-cn""))
"),"SUPERONE 2024 升级 MagSafe 手机手柄（带指带）​​、可拆卸 MagSafe 指环支架（带支架指环）、MagSafe 配件")</f>
        <v>SUPERONE 2024 升级 MagSafe 手机手柄（带指带）​​、可拆卸 MagSafe 指环支架（带支架指环）、MagSafe 配件</v>
      </c>
      <c r="E484" s="1" t="str">
        <f>IFERROR(__xludf.DUMMYFUNCTION("CONCATENATE(GOOGLETRANSLATE(C484, ""en"", ""ko""))"),"핑거 스트랩이 포함된 MagSafe 휴대폰 그립용 SUPERONE 2024 업그레이드, 킥스탠드 핑거 루프가 포함된 탈착식 MagSafe 링 홀더, MagSafe 액세서리")</f>
        <v>핑거 스트랩이 포함된 MagSafe 휴대폰 그립용 SUPERONE 2024 업그레이드, 킥스탠드 핑거 루프가 포함된 탈착식 MagSafe 링 홀더, MagSafe 액세서리</v>
      </c>
      <c r="F484" s="1" t="str">
        <f>IFERROR(__xludf.DUMMYFUNCTION("CONCATENATE(GOOGLETRANSLATE(C484, ""en"", ""ja""))"),"SUPERONE 2024 アップグレード MagSafe 電話グリップ、フィンガー ストラップ付き、取り外し可能な MagSafe リング ホルダー、キックスタンド フィンガー ループ付き、MagSafe アクセサリ")</f>
        <v>SUPERONE 2024 アップグレード MagSafe 電話グリップ、フィンガー ストラップ付き、取り外し可能な MagSafe リング ホルダー、キックスタンド フィンガー ループ付き、MagSafe アクセサリ</v>
      </c>
    </row>
    <row r="485" ht="15.75" customHeight="1">
      <c r="A485" s="1">
        <v>6010.0</v>
      </c>
      <c r="B485" s="1" t="s">
        <v>6</v>
      </c>
      <c r="C485" s="1" t="s">
        <v>472</v>
      </c>
      <c r="D485" s="1" t="str">
        <f>IFERROR(__xludf.DUMMYFUNCTION("CONCATENATE(GOOGLETRANSLATE(C485, ""en"", ""zh-cn""))
"),"SOOPII 磁性手机指环架")</f>
        <v>SOOPII 磁性手机指环架</v>
      </c>
      <c r="E485" s="1" t="str">
        <f>IFERROR(__xludf.DUMMYFUNCTION("CONCATENATE(GOOGLETRANSLATE(C485, ""en"", ""ko""))"),"SOOPII 자기 휴대폰 링 홀더")</f>
        <v>SOOPII 자기 휴대폰 링 홀더</v>
      </c>
      <c r="F485" s="1" t="str">
        <f>IFERROR(__xludf.DUMMYFUNCTION("CONCATENATE(GOOGLETRANSLATE(C485, ""en"", ""ja""))"),"SOOPII 磁気電話リング ホルダー")</f>
        <v>SOOPII 磁気電話リング ホルダー</v>
      </c>
    </row>
    <row r="486" ht="15.75" customHeight="1">
      <c r="A486" s="1">
        <v>6021.0</v>
      </c>
      <c r="B486" s="1" t="s">
        <v>6</v>
      </c>
      <c r="C486" s="1" t="s">
        <v>473</v>
      </c>
      <c r="D486" s="1" t="str">
        <f>IFERROR(__xludf.DUMMYFUNCTION("CONCATENATE(GOOGLETRANSLATE(C486, ""en"", ""zh-cn""))
"),"Klsniur 手机支架")</f>
        <v>Klsniur 手机支架</v>
      </c>
      <c r="E486" s="1" t="str">
        <f>IFERROR(__xludf.DUMMYFUNCTION("CONCATENATE(GOOGLETRANSLATE(C486, ""en"", ""ko""))"),"클스니우르 휴대폰 거치대")</f>
        <v>클스니우르 휴대폰 거치대</v>
      </c>
      <c r="F486" s="1" t="str">
        <f>IFERROR(__xludf.DUMMYFUNCTION("CONCATENATE(GOOGLETRANSLATE(C486, ""en"", ""ja""))"),"Klsniur 携帯電話スタンド")</f>
        <v>Klsniur 携帯電話スタンド</v>
      </c>
    </row>
    <row r="487" ht="15.75" customHeight="1">
      <c r="A487" s="1">
        <v>6041.0</v>
      </c>
      <c r="B487" s="1" t="s">
        <v>6</v>
      </c>
      <c r="C487" s="1" t="s">
        <v>474</v>
      </c>
      <c r="D487" s="1" t="str">
        <f>IFERROR(__xludf.DUMMYFUNCTION("CONCATENATE(GOOGLETRANSLATE(C487, ""en"", ""zh-cn""))
"),"Cuisinart 4 片紧凑型烤面包机")</f>
        <v>Cuisinart 4 片紧凑型烤面包机</v>
      </c>
      <c r="E487" s="1" t="str">
        <f>IFERROR(__xludf.DUMMYFUNCTION("CONCATENATE(GOOGLETRANSLATE(C487, ""en"", ""ko""))"),"쿠진아트 4슬라이스 컴팩트 토스터")</f>
        <v>쿠진아트 4슬라이스 컴팩트 토스터</v>
      </c>
      <c r="F487" s="1" t="str">
        <f>IFERROR(__xludf.DUMMYFUNCTION("CONCATENATE(GOOGLETRANSLATE(C487, ""en"", ""ja""))"),"クイジナート 4スライスコンパクトトースター")</f>
        <v>クイジナート 4スライスコンパクトトースター</v>
      </c>
    </row>
    <row r="488" ht="15.75" customHeight="1">
      <c r="A488" s="1">
        <v>6043.0</v>
      </c>
      <c r="B488" s="1" t="s">
        <v>6</v>
      </c>
      <c r="C488" s="1" t="s">
        <v>475</v>
      </c>
      <c r="D488" s="1" t="str">
        <f>IFERROR(__xludf.DUMMYFUNCTION("CONCATENATE(GOOGLETRANSLATE(C488, ""en"", ""zh-cn""))
"),"Kitchen Switchen 转售 Bella 2 片烤面包机")</f>
        <v>Kitchen Switchen 转售 Bella 2 片烤面包机</v>
      </c>
      <c r="E488" s="1" t="str">
        <f>IFERROR(__xludf.DUMMYFUNCTION("CONCATENATE(GOOGLETRANSLATE(C488, ""en"", ""ko""))"),"주방 스위치 재판매 Bella 2슬라이스 토스터")</f>
        <v>주방 스위치 재판매 Bella 2슬라이스 토스터</v>
      </c>
      <c r="F488" s="1" t="str">
        <f>IFERROR(__xludf.DUMMYFUNCTION("CONCATENATE(GOOGLETRANSLATE(C488, ""en"", ""ja""))"),"Kitchen Switchen 再販 Bella 2 スライス トースター")</f>
        <v>Kitchen Switchen 再販 Bella 2 スライス トースター</v>
      </c>
    </row>
    <row r="489" ht="15.75" customHeight="1">
      <c r="A489" s="1">
        <v>6049.0</v>
      </c>
      <c r="B489" s="1" t="s">
        <v>6</v>
      </c>
      <c r="C489" s="1" t="s">
        <v>476</v>
      </c>
      <c r="D489" s="1" t="str">
        <f>IFERROR(__xludf.DUMMYFUNCTION("CONCATENATE(GOOGLETRANSLATE(C489, ""en"", ""zh-cn""))
"),"德鲁·巴里摩尔慢炖锅套装")</f>
        <v>德鲁·巴里摩尔慢炖锅套装</v>
      </c>
      <c r="E489" s="1" t="str">
        <f>IFERROR(__xludf.DUMMYFUNCTION("CONCATENATE(GOOGLETRANSLATE(C489, ""en"", ""ko""))"),"드류 베리모어 슬로우 쿠커 세트")</f>
        <v>드류 베리모어 슬로우 쿠커 세트</v>
      </c>
      <c r="F489" s="1" t="str">
        <f>IFERROR(__xludf.DUMMYFUNCTION("CONCATENATE(GOOGLETRANSLATE(C489, ""en"", ""ja""))"),"ドリュー・バリモア スロークッカーセット")</f>
        <v>ドリュー・バリモア スロークッカーセット</v>
      </c>
    </row>
    <row r="490" ht="15.75" customHeight="1">
      <c r="A490" s="1">
        <v>6113.0</v>
      </c>
      <c r="B490" s="1" t="s">
        <v>6</v>
      </c>
      <c r="C490" s="1" t="s">
        <v>477</v>
      </c>
      <c r="D490" s="1" t="str">
        <f>IFERROR(__xludf.DUMMYFUNCTION("CONCATENATE(GOOGLETRANSLATE(C490, ""en"", ""zh-cn""))
"),"生物编程吹风机 Repronizer 107D Plus")</f>
        <v>生物编程吹风机 Repronizer 107D Plus</v>
      </c>
      <c r="E490" s="1" t="str">
        <f>IFERROR(__xludf.DUMMYFUNCTION("CONCATENATE(GOOGLETRANSLATE(C490, ""en"", ""ko""))"),"바이오프로그래밍 헤어 드라이어 Repronizer 107D Plus")</f>
        <v>바이오프로그래밍 헤어 드라이어 Repronizer 107D Plus</v>
      </c>
      <c r="F490" s="1" t="str">
        <f>IFERROR(__xludf.DUMMYFUNCTION("CONCATENATE(GOOGLETRANSLATE(C490, ""en"", ""ja""))"),"バイオプログラミング ヘアドライヤー レプロナイザー 107D Plus")</f>
        <v>バイオプログラミング ヘアドライヤー レプロナイザー 107D Plus</v>
      </c>
    </row>
    <row r="491" ht="15.75" customHeight="1">
      <c r="A491" s="1">
        <v>6115.0</v>
      </c>
      <c r="B491" s="1" t="s">
        <v>6</v>
      </c>
      <c r="C491" s="1" t="s">
        <v>478</v>
      </c>
      <c r="D491" s="1" t="str">
        <f>IFERROR(__xludf.DUMMYFUNCTION("CONCATENATE(GOOGLETRANSLATE(C491, ""en"", ""zh-cn""))
"),"Nature's Bounty Optimal Solutions 头发、皮肤和指甲超强快速释放液体软胶囊")</f>
        <v>Nature's Bounty Optimal Solutions 头发、皮肤和指甲超强快速释放液体软胶囊</v>
      </c>
      <c r="E491" s="1" t="str">
        <f>IFERROR(__xludf.DUMMYFUNCTION("CONCATENATE(GOOGLETRANSLATE(C491, ""en"", ""ko""))"),"Nature's Bounty Optimal Solutions 모발, 피부 및 손톱 초강력 신속 방출 액체 소프트젤")</f>
        <v>Nature's Bounty Optimal Solutions 모발, 피부 및 손톱 초강력 신속 방출 액체 소프트젤</v>
      </c>
      <c r="F491" s="1" t="str">
        <f>IFERROR(__xludf.DUMMYFUNCTION("CONCATENATE(GOOGLETRANSLATE(C491, ""en"", ""ja""))"),"Nature's Bounty 最適なソリューション 髪、肌、爪 エクストラストレングス 速放性液体ソフトジェル")</f>
        <v>Nature's Bounty 最適なソリューション 髪、肌、爪 エクストラストレングス 速放性液体ソフトジェル</v>
      </c>
    </row>
    <row r="492" ht="15.75" customHeight="1">
      <c r="A492" s="1">
        <v>6117.0</v>
      </c>
      <c r="B492" s="1" t="s">
        <v>6</v>
      </c>
      <c r="C492" s="1" t="s">
        <v>479</v>
      </c>
      <c r="D492" s="1" t="str">
        <f>IFERROR(__xludf.DUMMYFUNCTION("CONCATENATE(GOOGLETRANSLATE(C492, ""en"", ""zh-cn""))
"),"头发生物学摩洛哥坚果油驯服精华含生物素")</f>
        <v>头发生物学摩洛哥坚果油驯服精华含生物素</v>
      </c>
      <c r="E492" s="1" t="str">
        <f>IFERROR(__xludf.DUMMYFUNCTION("CONCATENATE(GOOGLETRANSLATE(C492, ""en"", ""ko""))"),"헤어바이올로지 아르간 오일 테이밍 세럼(비오틴 포함)")</f>
        <v>헤어바이올로지 아르간 오일 테이밍 세럼(비오틴 포함)</v>
      </c>
      <c r="F492" s="1" t="str">
        <f>IFERROR(__xludf.DUMMYFUNCTION("CONCATENATE(GOOGLETRANSLATE(C492, ""en"", ""ja""))"),"Hair Biology アルガン オイル テイミング セラム (ビオチン配合)")</f>
        <v>Hair Biology アルガン オイル テイミング セラム (ビオチン配合)</v>
      </c>
    </row>
    <row r="493" ht="15.75" customHeight="1">
      <c r="A493" s="1">
        <v>6121.0</v>
      </c>
      <c r="B493" s="1" t="s">
        <v>6</v>
      </c>
      <c r="C493" s="1" t="s">
        <v>480</v>
      </c>
      <c r="D493" s="1" t="str">
        <f>IFERROR(__xludf.DUMMYFUNCTION("CONCATENATE(GOOGLETRANSLATE(C493, ""en"", ""zh-cn""))
"),"Jason 天然生物素洗发水")</f>
        <v>Jason 天然生物素洗发水</v>
      </c>
      <c r="E493" s="1" t="str">
        <f>IFERROR(__xludf.DUMMYFUNCTION("CONCATENATE(GOOGLETRANSLATE(C493, ""en"", ""ko""))"),"제이슨 내추럴 비오틴 샴푸")</f>
        <v>제이슨 내추럴 비오틴 샴푸</v>
      </c>
      <c r="F493" s="1" t="str">
        <f>IFERROR(__xludf.DUMMYFUNCTION("CONCATENATE(GOOGLETRANSLATE(C493, ""en"", ""ja""))"),"ジェイソン ナチュラル ビオチン シャンプー")</f>
        <v>ジェイソン ナチュラル ビオチン シャンプー</v>
      </c>
    </row>
    <row r="494" ht="15.75" customHeight="1">
      <c r="A494" s="1">
        <v>6205.0</v>
      </c>
      <c r="B494" s="1" t="s">
        <v>6</v>
      </c>
      <c r="C494" s="1" t="s">
        <v>481</v>
      </c>
      <c r="D494" s="1" t="str">
        <f>IFERROR(__xludf.DUMMYFUNCTION("CONCATENATE(GOOGLETRANSLATE(C494, ""en"", ""zh-cn""))
"),"Rakuten Kobo Libra Color 电子阅读器 黑色")</f>
        <v>Rakuten Kobo Libra Color 电子阅读器 黑色</v>
      </c>
      <c r="E494" s="1" t="str">
        <f>IFERROR(__xludf.DUMMYFUNCTION("CONCATENATE(GOOGLETRANSLATE(C494, ""en"", ""ko""))"),"라쿠텐 공방 리브라 컬러 e-reader 블랙")</f>
        <v>라쿠텐 공방 리브라 컬러 e-reader 블랙</v>
      </c>
      <c r="F494" s="1" t="str">
        <f>IFERROR(__xludf.DUMMYFUNCTION("CONCATENATE(GOOGLETRANSLATE(C494, ""en"", ""ja""))"),"楽天Kobo Libra Color 電子書籍リーダー ブラック")</f>
        <v>楽天Kobo Libra Color 電子書籍リーダー ブラック</v>
      </c>
    </row>
    <row r="495" ht="15.75" customHeight="1">
      <c r="A495" s="1">
        <v>6250.0</v>
      </c>
      <c r="B495" s="1" t="s">
        <v>6</v>
      </c>
      <c r="C495" s="1" t="s">
        <v>482</v>
      </c>
      <c r="D495" s="1" t="str">
        <f>IFERROR(__xludf.DUMMYFUNCTION("CONCATENATE(GOOGLETRANSLATE(C495, ""en"", ""zh-cn""))
"),"购买 50 美元加拿大 Apple 礼品卡 - 电子邮件发送")</f>
        <v>购买 50 美元加拿大 Apple 礼品卡 - 电子邮件发送</v>
      </c>
      <c r="E495" s="1" t="str">
        <f>IFERROR(__xludf.DUMMYFUNCTION("CONCATENATE(GOOGLETRANSLATE(C495, ""en"", ""ko""))"),"$50 캐나다 Apple 기프트 카드 구매 - 이메일 배송")</f>
        <v>$50 캐나다 Apple 기프트 카드 구매 - 이메일 배송</v>
      </c>
      <c r="F495" s="1" t="str">
        <f>IFERROR(__xludf.DUMMYFUNCTION("CONCATENATE(GOOGLETRANSLATE(C495, ""en"", ""ja""))"),"50 ドルのカナダ Apple ギフト カードを購入 - 電子メール配信")</f>
        <v>50 ドルのカナダ Apple ギフト カードを購入 - 電子メール配信</v>
      </c>
    </row>
    <row r="496" ht="15.75" customHeight="1">
      <c r="A496" s="1">
        <v>6267.0</v>
      </c>
      <c r="B496" s="1" t="s">
        <v>6</v>
      </c>
      <c r="C496" s="1" t="s">
        <v>483</v>
      </c>
      <c r="D496" s="1" t="str">
        <f>IFERROR(__xludf.DUMMYFUNCTION("CONCATENATE(GOOGLETRANSLATE(C496, ""en"", ""zh-cn""))
"),"Apple 礼品卡 25 美元 |美国账户")</f>
        <v>Apple 礼品卡 25 美元 |美国账户</v>
      </c>
      <c r="E496" s="1" t="str">
        <f>IFERROR(__xludf.DUMMYFUNCTION("CONCATENATE(GOOGLETRANSLATE(C496, ""en"", ""ko""))"),"애플 기프트 카드 25 USD | 미국 계정")</f>
        <v>애플 기프트 카드 25 USD | 미국 계정</v>
      </c>
      <c r="F496" s="1" t="str">
        <f>IFERROR(__xludf.DUMMYFUNCTION("CONCATENATE(GOOGLETRANSLATE(C496, ""en"", ""ja""))"),"Apple ギフトカード 25 米ドル |米国アカウント")</f>
        <v>Apple ギフトカード 25 米ドル |米国アカウント</v>
      </c>
    </row>
    <row r="497" ht="15.75" customHeight="1">
      <c r="A497" s="1">
        <v>6309.0</v>
      </c>
      <c r="B497" s="1" t="s">
        <v>6</v>
      </c>
      <c r="C497" s="1" t="s">
        <v>484</v>
      </c>
      <c r="D497" s="1" t="str">
        <f>IFERROR(__xludf.DUMMYFUNCTION("CONCATENATE(GOOGLETRANSLATE(C497, ""en"", ""zh-cn""))
"),"浪人的崛起")</f>
        <v>浪人的崛起</v>
      </c>
      <c r="E497" s="1" t="str">
        <f>IFERROR(__xludf.DUMMYFUNCTION("CONCATENATE(GOOGLETRANSLATE(C497, ""en"", ""ko""))"),"로닌의 부상")</f>
        <v>로닌의 부상</v>
      </c>
      <c r="F497" s="1" t="str">
        <f>IFERROR(__xludf.DUMMYFUNCTION("CONCATENATE(GOOGLETRANSLATE(C497, ""en"", ""ja""))"),"ローニンの台頭")</f>
        <v>ローニンの台頭</v>
      </c>
    </row>
    <row r="498" ht="15.75" customHeight="1">
      <c r="A498" s="1">
        <v>6332.0</v>
      </c>
      <c r="B498" s="1" t="s">
        <v>6</v>
      </c>
      <c r="C498" s="1" t="s">
        <v>485</v>
      </c>
      <c r="D498" s="1" t="str">
        <f>IFERROR(__xludf.DUMMYFUNCTION("CONCATENATE(GOOGLETRANSLATE(C498, ""en"", ""zh-cn""))
"),"嘉年华游戏")</f>
        <v>嘉年华游戏</v>
      </c>
      <c r="E498" s="1" t="str">
        <f>IFERROR(__xludf.DUMMYFUNCTION("CONCATENATE(GOOGLETRANSLATE(C498, ""en"", ""ko""))"),"카니발 게임")</f>
        <v>카니발 게임</v>
      </c>
      <c r="F498" s="1" t="str">
        <f>IFERROR(__xludf.DUMMYFUNCTION("CONCATENATE(GOOGLETRANSLATE(C498, ""en"", ""ja""))"),"カーニバル ゲーム")</f>
        <v>カーニバル ゲーム</v>
      </c>
    </row>
    <row r="499" ht="15.75" customHeight="1">
      <c r="A499" s="1">
        <v>6334.0</v>
      </c>
      <c r="B499" s="1" t="s">
        <v>6</v>
      </c>
      <c r="C499" s="1" t="s">
        <v>486</v>
      </c>
      <c r="D499" s="1" t="str">
        <f>IFERROR(__xludf.DUMMYFUNCTION("CONCATENATE(GOOGLETRANSLATE(C499, ""en"", ""zh-cn""))
"),"迪士尼幻觉岛")</f>
        <v>迪士尼幻觉岛</v>
      </c>
      <c r="E499" s="1" t="str">
        <f>IFERROR(__xludf.DUMMYFUNCTION("CONCATENATE(GOOGLETRANSLATE(C499, ""en"", ""ko""))"),"디즈니 일루젼 아일랜드")</f>
        <v>디즈니 일루젼 아일랜드</v>
      </c>
      <c r="F499" s="1" t="str">
        <f>IFERROR(__xludf.DUMMYFUNCTION("CONCATENATE(GOOGLETRANSLATE(C499, ""en"", ""ja""))"),"ディズニーイリュージョンアイランド")</f>
        <v>ディズニーイリュージョンアイランド</v>
      </c>
    </row>
    <row r="500" ht="15.75" customHeight="1">
      <c r="A500" s="1">
        <v>6345.0</v>
      </c>
      <c r="B500" s="1" t="s">
        <v>6</v>
      </c>
      <c r="C500" s="1" t="s">
        <v>487</v>
      </c>
      <c r="D500" s="1" t="str">
        <f>IFERROR(__xludf.DUMMYFUNCTION("CONCATENATE(GOOGLETRANSLATE(C500, ""en"", ""zh-cn""))
"),"塞尔达传说：王国之泪")</f>
        <v>塞尔达传说：王国之泪</v>
      </c>
      <c r="E500" s="1" t="str">
        <f>IFERROR(__xludf.DUMMYFUNCTION("CONCATENATE(GOOGLETRANSLATE(C500, ""en"", ""ko""))"),"젤다의 전설: 왕국의 눈물")</f>
        <v>젤다의 전설: 왕국의 눈물</v>
      </c>
      <c r="F500" s="1" t="str">
        <f>IFERROR(__xludf.DUMMYFUNCTION("CONCATENATE(GOOGLETRANSLATE(C500, ""en"", ""ja""))"),"ゼルダの伝説 涙の王国")</f>
        <v>ゼルダの伝説 涙の王国</v>
      </c>
    </row>
    <row r="501" ht="15.75" customHeight="1">
      <c r="A501" s="1">
        <v>6402.0</v>
      </c>
      <c r="B501" s="1" t="s">
        <v>6</v>
      </c>
      <c r="C501" s="1" t="s">
        <v>488</v>
      </c>
      <c r="D501" s="1" t="str">
        <f>IFERROR(__xludf.DUMMYFUNCTION("CONCATENATE(GOOGLETRANSLATE(C501, ""en"", ""zh-cn""))
"),"ASICS 女子训练核心紧身裤")</f>
        <v>ASICS 女子训练核心紧身裤</v>
      </c>
      <c r="E501" s="1" t="str">
        <f>IFERROR(__xludf.DUMMYFUNCTION("CONCATENATE(GOOGLETRANSLATE(C501, ""en"", ""ko""))"),"아식스 여성 트레이닝 코어 타이트")</f>
        <v>아식스 여성 트레이닝 코어 타이트</v>
      </c>
      <c r="F501" s="1" t="str">
        <f>IFERROR(__xludf.DUMMYFUNCTION("CONCATENATE(GOOGLETRANSLATE(C501, ""en"", ""ja""))"),"アシックス ウィメンズ トレーニング コア タイト")</f>
        <v>アシックス ウィメンズ トレーニング コア タイト</v>
      </c>
    </row>
    <row r="502" ht="15.75" customHeight="1">
      <c r="A502" s="1">
        <v>6404.0</v>
      </c>
      <c r="B502" s="1" t="s">
        <v>6</v>
      </c>
      <c r="C502" s="1" t="s">
        <v>489</v>
      </c>
      <c r="D502" s="1" t="str">
        <f>IFERROR(__xludf.DUMMYFUNCTION("CONCATENATE(GOOGLETRANSLATE(C502, ""en"", ""zh-cn""))
"),"ASICS 男士徽标运动短裤")</f>
        <v>ASICS 男士徽标运动短裤</v>
      </c>
      <c r="E502" s="1" t="str">
        <f>IFERROR(__xludf.DUMMYFUNCTION("CONCATENATE(GOOGLETRANSLATE(C502, ""en"", ""ko""))"),"ASICS 남성 로고 스웨트 반바지")</f>
        <v>ASICS 남성 로고 스웨트 반바지</v>
      </c>
      <c r="F502" s="1" t="str">
        <f>IFERROR(__xludf.DUMMYFUNCTION("CONCATENATE(GOOGLETRANSLATE(C502, ""en"", ""ja""))"),"[アシックス] ロゴ スウェット ショーツ メンズ")</f>
        <v>[アシックス] ロゴ スウェット ショーツ メンズ</v>
      </c>
    </row>
    <row r="503" ht="15.75" customHeight="1">
      <c r="A503" s="1">
        <v>6457.0</v>
      </c>
      <c r="B503" s="1" t="s">
        <v>6</v>
      </c>
      <c r="C503" s="1" t="s">
        <v>490</v>
      </c>
      <c r="D503" s="1" t="str">
        <f>IFERROR(__xludf.DUMMYFUNCTION("CONCATENATE(GOOGLETRANSLATE(C503, ""en"", ""zh-cn""))
"),"Gymshark 日常无缝短裤")</f>
        <v>Gymshark 日常无缝短裤</v>
      </c>
      <c r="E503" s="1" t="str">
        <f>IFERROR(__xludf.DUMMYFUNCTION("CONCATENATE(GOOGLETRANSLATE(C503, ""en"", ""ko""))"),"Gymshark 에브리데이 심리스 반바지")</f>
        <v>Gymshark 에브리데이 심리스 반바지</v>
      </c>
      <c r="F503" s="1" t="str">
        <f>IFERROR(__xludf.DUMMYFUNCTION("CONCATENATE(GOOGLETRANSLATE(C503, ""en"", ""ja""))"),"Gymshark エブリデイ シームレス ショーツ")</f>
        <v>Gymshark エブリデイ シームレス ショーツ</v>
      </c>
    </row>
    <row r="504" ht="15.75" customHeight="1">
      <c r="A504" s="1">
        <v>6473.0</v>
      </c>
      <c r="B504" s="1" t="s">
        <v>6</v>
      </c>
      <c r="C504" s="1" t="s">
        <v>491</v>
      </c>
      <c r="D504" s="1" t="str">
        <f>IFERROR(__xludf.DUMMYFUNCTION("CONCATENATE(GOOGLETRANSLATE(C504, ""en"", ""zh-cn""))
"),"Gymshark Arrival 7' 短裤")</f>
        <v>Gymshark Arrival 7' 短裤</v>
      </c>
      <c r="E504" s="1" t="str">
        <f>IFERROR(__xludf.DUMMYFUNCTION("CONCATENATE(GOOGLETRANSLATE(C504, ""en"", ""ko""))"),"Gymshark 어라이벌 7' 반바지")</f>
        <v>Gymshark 어라이벌 7' 반바지</v>
      </c>
      <c r="F504" s="1" t="str">
        <f>IFERROR(__xludf.DUMMYFUNCTION("CONCATENATE(GOOGLETRANSLATE(C504, ""en"", ""ja""))"),"Gymshark アライバル 7 フィート ショーツ")</f>
        <v>Gymshark アライバル 7 フィート ショーツ</v>
      </c>
    </row>
    <row r="505" ht="15.75" customHeight="1">
      <c r="A505" s="1">
        <v>6481.0</v>
      </c>
      <c r="B505" s="1" t="s">
        <v>6</v>
      </c>
      <c r="C505" s="1" t="s">
        <v>492</v>
      </c>
      <c r="D505" s="1" t="str">
        <f>IFERROR(__xludf.DUMMYFUNCTION("CONCATENATE(GOOGLETRANSLATE(C505, ""en"", ""zh-cn""))
"),"Lululemon 女式 Align 高腰 25 裤")</f>
        <v>Lululemon 女式 Align 高腰 25 裤</v>
      </c>
      <c r="E505" s="1" t="str">
        <f>IFERROR(__xludf.DUMMYFUNCTION("CONCATENATE(GOOGLETRANSLATE(C505, ""en"", ""ko""))"),"Lululemon 여성 얼라인 하이라이즈 25 팬츠")</f>
        <v>Lululemon 여성 얼라인 하이라이즈 25 팬츠</v>
      </c>
      <c r="F505" s="1" t="str">
        <f>IFERROR(__xludf.DUMMYFUNCTION("CONCATENATE(GOOGLETRANSLATE(C505, ""en"", ""ja""))"),"ルルレモン レディース アライン ハイライズ 25 パンツ")</f>
        <v>ルルレモン レディース アライン ハイライズ 25 パンツ</v>
      </c>
    </row>
    <row r="506" ht="15.75" customHeight="1">
      <c r="A506" s="1">
        <v>6515.0</v>
      </c>
      <c r="B506" s="1" t="s">
        <v>6</v>
      </c>
      <c r="C506" s="1" t="s">
        <v>493</v>
      </c>
      <c r="D506" s="1" t="str">
        <f>IFERROR(__xludf.DUMMYFUNCTION("CONCATENATE(GOOGLETRANSLATE(C506, ""en"", ""zh-cn""))
"),"耐克女式中腰开放式下摆长裤")</f>
        <v>耐克女式中腰开放式下摆长裤</v>
      </c>
      <c r="E506" s="1" t="str">
        <f>IFERROR(__xludf.DUMMYFUNCTION("CONCATENATE(GOOGLETRANSLATE(C506, ""en"", ""ko""))"),"나이키 여성용 미드라이즈 오픈 밑단 팬츠")</f>
        <v>나이키 여성용 미드라이즈 오픈 밑단 팬츠</v>
      </c>
      <c r="F506" s="1" t="str">
        <f>IFERROR(__xludf.DUMMYFUNCTION("CONCATENATE(GOOGLETRANSLATE(C506, ""en"", ""ja""))"),"ナイキ レディース ミッドライズ オープンヘム パンツ")</f>
        <v>ナイキ レディース ミッドライズ オープンヘム パンツ</v>
      </c>
    </row>
    <row r="507" ht="15.75" customHeight="1">
      <c r="A507" s="1">
        <v>6529.0</v>
      </c>
      <c r="B507" s="1" t="s">
        <v>6</v>
      </c>
      <c r="C507" s="1" t="s">
        <v>494</v>
      </c>
      <c r="D507" s="1" t="str">
        <f>IFERROR(__xludf.DUMMYFUNCTION("CONCATENATE(GOOGLETRANSLATE(C507, ""en"", ""zh-cn""))
"),"耐克女式运动装经典高腰图案打底裤")</f>
        <v>耐克女式运动装经典高腰图案打底裤</v>
      </c>
      <c r="E507" s="1" t="str">
        <f>IFERROR(__xludf.DUMMYFUNCTION("CONCATENATE(GOOGLETRANSLATE(C507, ""en"", ""ko""))"),"나이키 여성용 스포츠웨어 클래식 하이웨이스트 그래픽 레깅스")</f>
        <v>나이키 여성용 스포츠웨어 클래식 하이웨이스트 그래픽 레깅스</v>
      </c>
      <c r="F507" s="1" t="str">
        <f>IFERROR(__xludf.DUMMYFUNCTION("CONCATENATE(GOOGLETRANSLATE(C507, ""en"", ""ja""))"),"ナイキ レディース スポーツウェア クラシック ハイウエスト グラフィック レギンス")</f>
        <v>ナイキ レディース スポーツウェア クラシック ハイウエスト グラフィック レギンス</v>
      </c>
    </row>
    <row r="508" ht="15.75" customHeight="1">
      <c r="A508" s="1">
        <v>6544.0</v>
      </c>
      <c r="B508" s="1" t="s">
        <v>6</v>
      </c>
      <c r="C508" s="1" t="s">
        <v>495</v>
      </c>
      <c r="D508" s="1" t="str">
        <f>IFERROR(__xludf.DUMMYFUNCTION("CONCATENATE(GOOGLETRANSLATE(C508, ""en"", ""zh-cn""))
"),"耐克女式运动服梭织长裤")</f>
        <v>耐克女式运动服梭织长裤</v>
      </c>
      <c r="E508" s="1" t="str">
        <f>IFERROR(__xludf.DUMMYFUNCTION("CONCATENATE(GOOGLETRANSLATE(C508, ""en"", ""ko""))"),"나이키 여성용 스포츠웨어 우븐 팬츠")</f>
        <v>나이키 여성용 스포츠웨어 우븐 팬츠</v>
      </c>
      <c r="F508" s="1" t="str">
        <f>IFERROR(__xludf.DUMMYFUNCTION("CONCATENATE(GOOGLETRANSLATE(C508, ""en"", ""ja""))"),"ナイキ レディース スポーツウェア ウーブン パンツ")</f>
        <v>ナイキ レディース スポーツウェア ウーブン パンツ</v>
      </c>
    </row>
    <row r="509" ht="15.75" customHeight="1">
      <c r="A509" s="1">
        <v>6560.0</v>
      </c>
      <c r="B509" s="1" t="s">
        <v>6</v>
      </c>
      <c r="C509" s="1" t="s">
        <v>496</v>
      </c>
      <c r="D509" s="1" t="str">
        <f>IFERROR(__xludf.DUMMYFUNCTION("CONCATENATE(GOOGLETRANSLATE(C509, ""en"", ""zh-cn""))
"),"PUMA 男士 Rudagon 抓绒运动裤")</f>
        <v>PUMA 男士 Rudagon 抓绒运动裤</v>
      </c>
      <c r="E509" s="1" t="str">
        <f>IFERROR(__xludf.DUMMYFUNCTION("CONCATENATE(GOOGLETRANSLATE(C509, ""en"", ""ko""))"),"PUMA 남성 루다곤 플리스 스웨트팬츠")</f>
        <v>PUMA 남성 루다곤 플리스 스웨트팬츠</v>
      </c>
      <c r="F509" s="1" t="str">
        <f>IFERROR(__xludf.DUMMYFUNCTION("CONCATENATE(GOOGLETRANSLATE(C509, ""en"", ""ja""))"),"PUMA メンズ ルダゴン フリース スウェットパンツ")</f>
        <v>PUMA メンズ ルダゴン フリース スウェットパンツ</v>
      </c>
    </row>
    <row r="510" ht="15.75" customHeight="1">
      <c r="A510" s="1">
        <v>6626.0</v>
      </c>
      <c r="B510" s="1" t="s">
        <v>6</v>
      </c>
      <c r="C510" s="1" t="s">
        <v>497</v>
      </c>
      <c r="D510" s="1" t="str">
        <f>IFERROR(__xludf.DUMMYFUNCTION("CONCATENATE(GOOGLETRANSLATE(C510, ""en"", ""zh-cn""))
"),"Reebok 高腰 Q4 裤子")</f>
        <v>Reebok 高腰 Q4 裤子</v>
      </c>
      <c r="E510" s="1" t="str">
        <f>IFERROR(__xludf.DUMMYFUNCTION("CONCATENATE(GOOGLETRANSLATE(C510, ""en"", ""ko""))"),"Reebok 하이웨이스트 Q4 팬츠")</f>
        <v>Reebok 하이웨이스트 Q4 팬츠</v>
      </c>
      <c r="F510" s="1" t="str">
        <f>IFERROR(__xludf.DUMMYFUNCTION("CONCATENATE(GOOGLETRANSLATE(C510, ""en"", ""ja""))"),"リーボック ハイウエスト Q4 パンツ")</f>
        <v>リーボック ハイウエスト Q4 パンツ</v>
      </c>
    </row>
    <row r="511" ht="15.75" customHeight="1">
      <c r="A511" s="1">
        <v>6642.0</v>
      </c>
      <c r="B511" s="1" t="s">
        <v>6</v>
      </c>
      <c r="C511" s="1" t="s">
        <v>498</v>
      </c>
      <c r="D511" s="1" t="str">
        <f>IFERROR(__xludf.DUMMYFUNCTION("CONCATENATE(GOOGLETRANSLATE(C511, ""en"", ""zh-cn""))
"),"VASAGLE 浴室落地储物柜")</f>
        <v>VASAGLE 浴室落地储物柜</v>
      </c>
      <c r="E511" s="1" t="str">
        <f>IFERROR(__xludf.DUMMYFUNCTION("CONCATENATE(GOOGLETRANSLATE(C511, ""en"", ""ko""))"),"VASAGLE 욕실 바닥 보관 캐비닛")</f>
        <v>VASAGLE 욕실 바닥 보관 캐비닛</v>
      </c>
      <c r="F511" s="1" t="str">
        <f>IFERROR(__xludf.DUMMYFUNCTION("CONCATENATE(GOOGLETRANSLATE(C511, ""en"", ""ja""))"),"VASAGLE バスルーム床収納キャビネット")</f>
        <v>VASAGLE バスルーム床収納キャビネット</v>
      </c>
    </row>
    <row r="512" ht="15.75" customHeight="1">
      <c r="A512" s="1">
        <v>6653.0</v>
      </c>
      <c r="B512" s="1" t="s">
        <v>6</v>
      </c>
      <c r="C512" s="1" t="s">
        <v>499</v>
      </c>
      <c r="D512" s="1" t="str">
        <f>IFERROR(__xludf.DUMMYFUNCTION("CONCATENATE(GOOGLETRANSLATE(C512, ""en"", ""zh-cn""))
"),"Design House Wyndham 白色半光浴室壁柜")</f>
        <v>Design House Wyndham 白色半光浴室壁柜</v>
      </c>
      <c r="E512" s="1" t="str">
        <f>IFERROR(__xludf.DUMMYFUNCTION("CONCATENATE(GOOGLETRANSLATE(C512, ""en"", ""ko""))"),"디자인 하우스 윈덤 화이트 반광택 욕실 벽 캐비닛")</f>
        <v>디자인 하우스 윈덤 화이트 반광택 욕실 벽 캐비닛</v>
      </c>
      <c r="F512" s="1" t="str">
        <f>IFERROR(__xludf.DUMMYFUNCTION("CONCATENATE(GOOGLETRANSLATE(C512, ""en"", ""ja""))"),"デザイン ハウス ウィンダム ホワイト 半光沢バスルーム ウォール キャビネット")</f>
        <v>デザイン ハウス ウィンダム ホワイト 半光沢バスルーム ウォール キャビネット</v>
      </c>
    </row>
    <row r="513" ht="15.75" customHeight="1">
      <c r="A513" s="1">
        <v>6671.0</v>
      </c>
      <c r="B513" s="1" t="s">
        <v>6</v>
      </c>
      <c r="C513" s="1" t="s">
        <v>500</v>
      </c>
      <c r="D513" s="1" t="str">
        <f>IFERROR(__xludf.DUMMYFUNCTION("CONCATENATE(GOOGLETRANSLATE(C513, ""en"", ""zh-cn""))
"),"Homfa农舍浴室柜")</f>
        <v>Homfa农舍浴室柜</v>
      </c>
      <c r="E513" s="1" t="str">
        <f>IFERROR(__xludf.DUMMYFUNCTION("CONCATENATE(GOOGLETRANSLATE(C513, ""en"", ""ko""))"),"Homfa 농가 욕실 캐비닛")</f>
        <v>Homfa 농가 욕실 캐비닛</v>
      </c>
      <c r="F513" s="1" t="str">
        <f>IFERROR(__xludf.DUMMYFUNCTION("CONCATENATE(GOOGLETRANSLATE(C513, ""en"", ""ja""))"),"ホムファ ファームハウスのバスルーム キャビネット")</f>
        <v>ホムファ ファームハウスのバスルーム キャビネット</v>
      </c>
    </row>
    <row r="514" ht="15.75" customHeight="1">
      <c r="A514" s="1">
        <v>6688.0</v>
      </c>
      <c r="B514" s="1" t="s">
        <v>6</v>
      </c>
      <c r="C514" s="1" t="s">
        <v>501</v>
      </c>
      <c r="D514" s="1" t="str">
        <f>IFERROR(__xludf.DUMMYFUNCTION("CONCATENATE(GOOGLETRANSLATE(C514, ""en"", ""zh-cn""))
"),"Ktaxon 70 英寸独立式浴室塔储物柜")</f>
        <v>Ktaxon 70 英寸独立式浴室塔储物柜</v>
      </c>
      <c r="E514" s="1" t="str">
        <f>IFERROR(__xludf.DUMMYFUNCTION("CONCATENATE(GOOGLETRANSLATE(C514, ""en"", ""ko""))"),"Ktaxon 70인치 독립형 욕실 타워 보관 캐비닛")</f>
        <v>Ktaxon 70인치 독립형 욕실 타워 보관 캐비닛</v>
      </c>
      <c r="F514" s="1" t="str">
        <f>IFERROR(__xludf.DUMMYFUNCTION("CONCATENATE(GOOGLETRANSLATE(C514, ""en"", ""ja""))"),"Ktaxon 70 インチ自立型バスルームタワー収納キャビネット")</f>
        <v>Ktaxon 70 インチ自立型バスルームタワー収納キャビネット</v>
      </c>
    </row>
    <row r="515" ht="15.75" customHeight="1">
      <c r="A515" s="1">
        <v>6695.0</v>
      </c>
      <c r="B515" s="1" t="s">
        <v>6</v>
      </c>
      <c r="C515" s="1" t="s">
        <v>502</v>
      </c>
      <c r="D515" s="1" t="str">
        <f>IFERROR(__xludf.DUMMYFUNCTION("CONCATENATE(GOOGLETRANSLATE(C515, ""en"", ""zh-cn""))
"),"Ktaxon 高脚浴室储物柜")</f>
        <v>Ktaxon 高脚浴室储物柜</v>
      </c>
      <c r="E515" s="1" t="str">
        <f>IFERROR(__xludf.DUMMYFUNCTION("CONCATENATE(GOOGLETRANSLATE(C515, ""en"", ""ko""))"),"Ktaxon 키가 큰 욕실 보관 캐비닛")</f>
        <v>Ktaxon 키가 큰 욕실 보관 캐비닛</v>
      </c>
      <c r="F515" s="1" t="str">
        <f>IFERROR(__xludf.DUMMYFUNCTION("CONCATENATE(GOOGLETRANSLATE(C515, ""en"", ""ja""))"),"Ktaxon トールバスルーム収納キャビネット")</f>
        <v>Ktaxon トールバスルーム収納キャビネット</v>
      </c>
    </row>
    <row r="516" ht="15.75" customHeight="1">
      <c r="A516" s="1">
        <v>6709.0</v>
      </c>
      <c r="B516" s="1" t="s">
        <v>6</v>
      </c>
      <c r="C516" s="1" t="s">
        <v>503</v>
      </c>
      <c r="D516" s="1" t="str">
        <f>IFERROR(__xludf.DUMMYFUNCTION("CONCATENATE(GOOGLETRANSLATE(C516, ""en"", ""zh-cn""))
"),"24"" 浴室梳妆柜（不带水槽）")</f>
        <v>24" 浴室梳妆柜（不带水槽）</v>
      </c>
      <c r="E516" s="1" t="str">
        <f>IFERROR(__xludf.DUMMYFUNCTION("CONCATENATE(GOOGLETRANSLATE(C516, ""en"", ""ko""))"),"24인치 세면대 없는 욕실 세면대 캐비닛")</f>
        <v>24인치 세면대 없는 욕실 세면대 캐비닛</v>
      </c>
      <c r="F516" s="1" t="str">
        <f>IFERROR(__xludf.DUMMYFUNCTION("CONCATENATE(GOOGLETRANSLATE(C516, ""en"", ""ja""))"),"24 インチ 洗面化粧台キャビネット シンクなし")</f>
        <v>24 インチ 洗面化粧台キャビネット シンクなし</v>
      </c>
    </row>
    <row r="517" ht="15.75" customHeight="1">
      <c r="A517" s="1">
        <v>6731.0</v>
      </c>
      <c r="B517" s="1" t="s">
        <v>6</v>
      </c>
      <c r="C517" s="1" t="s">
        <v>504</v>
      </c>
      <c r="D517" s="1" t="str">
        <f>IFERROR(__xludf.DUMMYFUNCTION("CONCATENATE(GOOGLETRANSLATE(C517, ""en"", ""zh-cn""))
"),"Fluidmaster Everything 马桶维修套件")</f>
        <v>Fluidmaster Everything 马桶维修套件</v>
      </c>
      <c r="E517" s="1" t="str">
        <f>IFERROR(__xludf.DUMMYFUNCTION("CONCATENATE(GOOGLETRANSLATE(C517, ""en"", ""ko""))"),"Fluidmaster Everything 변기 수리 키트")</f>
        <v>Fluidmaster Everything 변기 수리 키트</v>
      </c>
      <c r="F517" s="1" t="str">
        <f>IFERROR(__xludf.DUMMYFUNCTION("CONCATENATE(GOOGLETRANSLATE(C517, ""en"", ""ja""))"),"Fluidmaster Everything トイレ修理キット")</f>
        <v>Fluidmaster Everything トイレ修理キット</v>
      </c>
    </row>
    <row r="518" ht="15.75" customHeight="1">
      <c r="A518" s="1">
        <v>6755.0</v>
      </c>
      <c r="B518" s="1" t="s">
        <v>6</v>
      </c>
      <c r="C518" s="1" t="s">
        <v>505</v>
      </c>
      <c r="D518" s="1" t="str">
        <f>IFERROR(__xludf.DUMMYFUNCTION("CONCATENATE(GOOGLETRANSLATE(C518, ""en"", ""zh-cn""))
"),"适用于 Glacier Bay 和 Niagra 马桶的 Fluidmaster 703A 无挡板进水阀")</f>
        <v>适用于 Glacier Bay 和 Niagra 马桶的 Fluidmaster 703A 无挡板进水阀</v>
      </c>
      <c r="E518" s="1" t="str">
        <f>IFERROR(__xludf.DUMMYFUNCTION("CONCATENATE(GOOGLETRANSLATE(C518, ""en"", ""ko""))"),"Glacier Bay 및 Niagra 변기용 Fluidmaster 703A 플래퍼리스 충전 밸브")</f>
        <v>Glacier Bay 및 Niagra 변기용 Fluidmaster 703A 플래퍼리스 충전 밸브</v>
      </c>
      <c r="F518" s="1" t="str">
        <f>IFERROR(__xludf.DUMMYFUNCTION("CONCATENATE(GOOGLETRANSLATE(C518, ""en"", ""ja""))"),"Fluidmaster 703A フラッパーレス充填バルブ、グレイシャー ベイおよびナイアグラ トイレ用")</f>
        <v>Fluidmaster 703A フラッパーレス充填バルブ、グレイシャー ベイおよびナイアグラ トイレ用</v>
      </c>
    </row>
    <row r="519" ht="15.75" customHeight="1">
      <c r="A519" s="1">
        <v>6796.0</v>
      </c>
      <c r="B519" s="1" t="s">
        <v>6</v>
      </c>
      <c r="C519" s="1" t="s">
        <v>506</v>
      </c>
      <c r="D519" s="1" t="str">
        <f>IFERROR(__xludf.DUMMYFUNCTION("CONCATENATE(GOOGLETRANSLATE(C519, ""en"", ""zh-cn""))
"),"Pur Ultimate 铅罐替换过滤器 3 件装")</f>
        <v>Pur Ultimate 铅罐替换过滤器 3 件装</v>
      </c>
      <c r="E519" s="1" t="str">
        <f>IFERROR(__xludf.DUMMYFUNCTION("CONCATENATE(GOOGLETRANSLATE(C519, ""en"", ""ko""))"),"Pur 얼티밋 리드 투수 교체 필터 3팩")</f>
        <v>Pur 얼티밋 리드 투수 교체 필터 3팩</v>
      </c>
      <c r="F519" s="1" t="str">
        <f>IFERROR(__xludf.DUMMYFUNCTION("CONCATENATE(GOOGLETRANSLATE(C519, ""en"", ""ja""))"),"Pur Ultimate Lead Pitcher 交換フィルター 3 個パック")</f>
        <v>Pur Ultimate Lead Pitcher 交換フィルター 3 個パック</v>
      </c>
    </row>
    <row r="520" ht="15.75" customHeight="1">
      <c r="A520" s="1">
        <v>6808.0</v>
      </c>
      <c r="B520" s="1" t="s">
        <v>6</v>
      </c>
      <c r="C520" s="1" t="s">
        <v>507</v>
      </c>
      <c r="D520" s="1" t="str">
        <f>IFERROR(__xludf.DUMMYFUNCTION("CONCATENATE(GOOGLETRANSLATE(C520, ""en"", ""zh-cn""))
"),"PUR 水龙头安装水过滤系统")</f>
        <v>PUR 水龙头安装水过滤系统</v>
      </c>
      <c r="E520" s="1" t="str">
        <f>IFERROR(__xludf.DUMMYFUNCTION("CONCATENATE(GOOGLETRANSLATE(C520, ""en"", ""ko""))"),"PUR 수도꼭지 장착형 물 여과 시스템")</f>
        <v>PUR 수도꼭지 장착형 물 여과 시스템</v>
      </c>
      <c r="F520" s="1" t="str">
        <f>IFERROR(__xludf.DUMMYFUNCTION("CONCATENATE(GOOGLETRANSLATE(C520, ""en"", ""ja""))"),"PUR 蛇口マウント水ろ過システム")</f>
        <v>PUR 蛇口マウント水ろ過システム</v>
      </c>
    </row>
    <row r="521" ht="15.75" customHeight="1">
      <c r="A521" s="1">
        <v>6824.0</v>
      </c>
      <c r="B521" s="1" t="s">
        <v>6</v>
      </c>
      <c r="C521" s="1" t="s">
        <v>508</v>
      </c>
      <c r="D521" s="1" t="str">
        <f>IFERROR(__xludf.DUMMYFUNCTION("CONCATENATE(GOOGLETRANSLATE(C521, ""en"", ""zh-cn""))
"),"SimPure Y7W 台面式反渗透水过滤净化系统")</f>
        <v>SimPure Y7W 台面式反渗透水过滤净化系统</v>
      </c>
      <c r="E521" s="1" t="str">
        <f>IFERROR(__xludf.DUMMYFUNCTION("CONCATENATE(GOOGLETRANSLATE(C521, ""en"", ""ko""))"),"SimPure Y7W 조리대 역삼투 정수 여과 정화 시스템")</f>
        <v>SimPure Y7W 조리대 역삼투 정수 여과 정화 시스템</v>
      </c>
      <c r="F521" s="1" t="str">
        <f>IFERROR(__xludf.DUMMYFUNCTION("CONCATENATE(GOOGLETRANSLATE(C521, ""en"", ""ja""))"),"SimPure Y7W カウンタートップ逆浸透水ろ過浄化システム")</f>
        <v>SimPure Y7W カウンタートップ逆浸透水ろ過浄化システム</v>
      </c>
    </row>
    <row r="522" ht="15.75" customHeight="1">
      <c r="A522" s="1">
        <v>6828.0</v>
      </c>
      <c r="B522" s="1" t="s">
        <v>6</v>
      </c>
      <c r="C522" s="1" t="s">
        <v>509</v>
      </c>
      <c r="D522" s="1" t="str">
        <f>IFERROR(__xludf.DUMMYFUNCTION("CONCATENATE(GOOGLETRANSLATE(C522, ""en"", ""zh-cn""))
"),"PUR Plus 11 杯水罐过滤系统")</f>
        <v>PUR Plus 11 杯水罐过滤系统</v>
      </c>
      <c r="E522" s="1" t="str">
        <f>IFERROR(__xludf.DUMMYFUNCTION("CONCATENATE(GOOGLETRANSLATE(C522, ""en"", ""ko""))"),"PUR Plus 11컵 물 투수 여과 시스템")</f>
        <v>PUR Plus 11컵 물 투수 여과 시스템</v>
      </c>
      <c r="F522" s="1" t="str">
        <f>IFERROR(__xludf.DUMMYFUNCTION("CONCATENATE(GOOGLETRANSLATE(C522, ""en"", ""ja""))"),"PUR Plus 11 カップウォーターピッチャー濾過システム")</f>
        <v>PUR Plus 11 カップウォーターピッチャー濾過システム</v>
      </c>
    </row>
    <row r="523" ht="15.75" customHeight="1">
      <c r="A523" s="1">
        <v>6853.0</v>
      </c>
      <c r="B523" s="1" t="s">
        <v>6</v>
      </c>
      <c r="C523" s="1" t="s">
        <v>510</v>
      </c>
      <c r="D523" s="1" t="str">
        <f>IFERROR(__xludf.DUMMYFUNCTION("CONCATENATE(GOOGLETRANSLATE(C523, ""en"", ""zh-cn""))
"),"Equate 疗法组合装 2 件")</f>
        <v>Equate 疗法组合装 2 件</v>
      </c>
      <c r="E523" s="1" t="str">
        <f>IFERROR(__xludf.DUMMYFUNCTION("CONCATENATE(GOOGLETRANSLATE(C523, ""en"", ""ko""))"),"Equate Therapy 콤보 팩 2개")</f>
        <v>Equate Therapy 콤보 팩 2개</v>
      </c>
      <c r="F523" s="1" t="str">
        <f>IFERROR(__xludf.DUMMYFUNCTION("CONCATENATE(GOOGLETRANSLATE(C523, ""en"", ""ja""))"),"イコール セラピー コンボ パック 2 個")</f>
        <v>イコール セラピー コンボ パック 2 個</v>
      </c>
    </row>
    <row r="524" ht="15.75" customHeight="1">
      <c r="A524" s="1">
        <v>6857.0</v>
      </c>
      <c r="B524" s="1" t="s">
        <v>6</v>
      </c>
      <c r="C524" s="1" t="s">
        <v>511</v>
      </c>
      <c r="D524" s="1" t="str">
        <f>IFERROR(__xludf.DUMMYFUNCTION("CONCATENATE(GOOGLETRANSLATE(C524, ""en"", ""zh-cn""))
"),"等同最大强度抗真菌液体")</f>
        <v>等同最大强度抗真菌液体</v>
      </c>
      <c r="E524" s="1" t="str">
        <f>IFERROR(__xludf.DUMMYFUNCTION("CONCATENATE(GOOGLETRANSLATE(C524, ""en"", ""ko""))"),"최대 강도 항진균액 동일")</f>
        <v>최대 강도 항진균액 동일</v>
      </c>
      <c r="F524" s="1" t="str">
        <f>IFERROR(__xludf.DUMMYFUNCTION("CONCATENATE(GOOGLETRANSLATE(C524, ""en"", ""ja""))"),"最大強度の抗真菌液と同等")</f>
        <v>最大強度の抗真菌液と同等</v>
      </c>
    </row>
    <row r="525" ht="15.75" customHeight="1">
      <c r="A525" s="1">
        <v>6859.0</v>
      </c>
      <c r="B525" s="1" t="s">
        <v>6</v>
      </c>
      <c r="C525" s="1" t="s">
        <v>512</v>
      </c>
      <c r="D525" s="1" t="str">
        <f>IFERROR(__xludf.DUMMYFUNCTION("CONCATENATE(GOOGLETRANSLATE(C525, ""en"", ""zh-cn""))
"),"Equate关节炎霜")</f>
        <v>Equate关节炎霜</v>
      </c>
      <c r="E525" s="1" t="str">
        <f>IFERROR(__xludf.DUMMYFUNCTION("CONCATENATE(GOOGLETRANSLATE(C525, ""en"", ""ko""))"),"동등한 관절염 크림")</f>
        <v>동등한 관절염 크림</v>
      </c>
      <c r="F525" s="1" t="str">
        <f>IFERROR(__xludf.DUMMYFUNCTION("CONCATENATE(GOOGLETRANSLATE(C525, ""en"", ""ja""))"),"エクエイト関節炎クリーム")</f>
        <v>エクエイト関節炎クリーム</v>
      </c>
    </row>
    <row r="526" ht="15.75" customHeight="1">
      <c r="A526" s="1">
        <v>6865.0</v>
      </c>
      <c r="B526" s="1" t="s">
        <v>6</v>
      </c>
      <c r="C526" s="1" t="s">
        <v>513</v>
      </c>
      <c r="D526" s="1" t="str">
        <f>IFERROR(__xludf.DUMMYFUNCTION("CONCATENATE(GOOGLETRANSLATE(C526, ""en"", ""zh-cn""))
"),"Equate 大便软化剂加刺激性泻药片治疗便秘，120 片")</f>
        <v>Equate 大便软化剂加刺激性泻药片治疗便秘，120 片</v>
      </c>
      <c r="E526" s="1" t="str">
        <f>IFERROR(__xludf.DUMMYFUNCTION("CONCATENATE(GOOGLETRANSLATE(C526, ""en"", ""ko""))"),"Equate 대변 연화제 및 변비용 자극 완하제 정제, 120개")</f>
        <v>Equate 대변 연화제 및 변비용 자극 완하제 정제, 120개</v>
      </c>
      <c r="F526" s="1" t="str">
        <f>IFERROR(__xludf.DUMMYFUNCTION("CONCATENATE(GOOGLETRANSLATE(C526, ""en"", ""ja""))"),"エクエイト 便軟化剤プラス刺激剤下剤便秘用錠剤、120 錠")</f>
        <v>エクエイト 便軟化剤プラス刺激剤下剤便秘用錠剤、120 錠</v>
      </c>
    </row>
    <row r="527" ht="15.75" customHeight="1">
      <c r="A527" s="1">
        <v>6870.0</v>
      </c>
      <c r="B527" s="1" t="s">
        <v>6</v>
      </c>
      <c r="C527" s="1" t="s">
        <v>514</v>
      </c>
      <c r="D527" s="1" t="str">
        <f>IFERROR(__xludf.DUMMYFUNCTION("CONCATENATE(GOOGLETRANSLATE(C527, ""en"", ""zh-cn""))
"),"Equate Beauty 湿疹舒缓护肤霜")</f>
        <v>Equate Beauty 湿疹舒缓护肤霜</v>
      </c>
      <c r="E527" s="1" t="str">
        <f>IFERROR(__xludf.DUMMYFUNCTION("CONCATENATE(GOOGLETRANSLATE(C527, ""en"", ""ko""))"),"Equate Beauty 습진 완화 피부 보호 크림")</f>
        <v>Equate Beauty 습진 완화 피부 보호 크림</v>
      </c>
      <c r="F527" s="1" t="str">
        <f>IFERROR(__xludf.DUMMYFUNCTION("CONCATENATE(GOOGLETRANSLATE(C527, ""en"", ""ja""))"),"Equate Beauty 湿疹緩和スキンプロテクションクリーム")</f>
        <v>Equate Beauty 湿疹緩和スキンプロテクションクリーム</v>
      </c>
    </row>
    <row r="528" ht="15.75" customHeight="1">
      <c r="A528" s="1">
        <v>6904.0</v>
      </c>
      <c r="B528" s="1" t="s">
        <v>6</v>
      </c>
      <c r="C528" s="1" t="s">
        <v>515</v>
      </c>
      <c r="D528" s="1" t="str">
        <f>IFERROR(__xludf.DUMMYFUNCTION("CONCATENATE(GOOGLETRANSLATE(C528, ""en"", ""zh-cn""))
"),"Hi-Pro-Pac 角蛋白强化蛋白护理")</f>
        <v>Hi-Pro-Pac 角蛋白强化蛋白护理</v>
      </c>
      <c r="E528" s="1" t="str">
        <f>IFERROR(__xludf.DUMMYFUNCTION("CONCATENATE(GOOGLETRANSLATE(C528, ""en"", ""ko""))"),"하이프로팩 ​​케라틴 인텐스 프로틴 트리트먼트")</f>
        <v>하이프로팩 ​​케라틴 인텐스 프로틴 트리트먼트</v>
      </c>
      <c r="F528" s="1" t="str">
        <f>IFERROR(__xludf.DUMMYFUNCTION("CONCATENATE(GOOGLETRANSLATE(C528, ""en"", ""ja""))"),"ハイプロパック ケラチン インテンス プロテイン トリートメント")</f>
        <v>ハイプロパック ケラチン インテンス プロテイン トリートメント</v>
      </c>
    </row>
    <row r="529" ht="15.75" customHeight="1">
      <c r="A529" s="1">
        <v>6911.0</v>
      </c>
      <c r="B529" s="1" t="s">
        <v>6</v>
      </c>
      <c r="C529" s="1" t="s">
        <v>516</v>
      </c>
      <c r="D529" s="1" t="str">
        <f>IFERROR(__xludf.DUMMYFUNCTION("CONCATENATE(GOOGLETRANSLATE(C529, ""en"", ""zh-cn""))
"),"Hi-Pro-Pac 极度受损头发修复 - 8 液量盎司 - 强效蛋白质护理发膜 - 深层调理头发，强化头发并帮助预防")</f>
        <v>Hi-Pro-Pac 极度受损头发修复 - 8 液量盎司 - 强效蛋白质护理发膜 - 深层调理头发，强化头发并帮助预防</v>
      </c>
      <c r="E529" s="1" t="str">
        <f>IFERROR(__xludf.DUMMYFUNCTION("CONCATENATE(GOOGLETRANSLATE(C529, ""en"", ""ko""))"),"Hi-Pro-Pac 극도로 손상된 헤어 리페어 - 8 액량 온스 - 강렬한 단백질 트리트먼트 헤어 마스크 - 모발 깊숙히 컨디셔닝하여 모발을 강화하고 예방에 도움")</f>
        <v>Hi-Pro-Pac 극도로 손상된 헤어 리페어 - 8 액량 온스 - 강렬한 단백질 트리트먼트 헤어 마스크 - 모발 깊숙히 컨디셔닝하여 모발을 강화하고 예방에 도움</v>
      </c>
      <c r="F529" s="1" t="str">
        <f>IFERROR(__xludf.DUMMYFUNCTION("CONCATENATE(GOOGLETRANSLATE(C529, ""en"", ""ja""))"),"Hi-Pro-Pac 極度にダメージを受けた髪の修復 - 8 液量オンス - 強力なプロテイン トリートメント ヘアマスク - 髪を深くコンディショニングし、髪を強化し、髪のダメージを防ぎます。")</f>
        <v>Hi-Pro-Pac 極度にダメージを受けた髪の修復 - 8 液量オンス - 強力なプロテイン トリートメント ヘアマスク - 髪を深くコンディショニングし、髪を強化し、髪のダメージを防ぎます。</v>
      </c>
    </row>
    <row r="530" ht="15.75" customHeight="1">
      <c r="A530" s="1">
        <v>6930.0</v>
      </c>
      <c r="B530" s="1" t="s">
        <v>6</v>
      </c>
      <c r="C530" s="1" t="s">
        <v>517</v>
      </c>
      <c r="D530" s="1" t="str">
        <f>IFERROR(__xludf.DUMMYFUNCTION("CONCATENATE(GOOGLETRANSLATE(C530, ""en"", ""zh-cn""))
"),"露得清防晒药用舒缓凝胶")</f>
        <v>露得清防晒药用舒缓凝胶</v>
      </c>
      <c r="E530" s="1" t="str">
        <f>IFERROR(__xludf.DUMMYFUNCTION("CONCATENATE(GOOGLETRANSLATE(C530, ""en"", ""ko""))"),"뉴트로지나 썬 레스큐 약용 릴리프 젤")</f>
        <v>뉴트로지나 썬 레스큐 약용 릴리프 젤</v>
      </c>
      <c r="F530" s="1" t="str">
        <f>IFERROR(__xludf.DUMMYFUNCTION("CONCATENATE(GOOGLETRANSLATE(C530, ""en"", ""ja""))"),"ニュートロジーナ サン レスキュー 薬用リリーフジェル")</f>
        <v>ニュートロジーナ サン レスキュー 薬用リリーフジェル</v>
      </c>
    </row>
    <row r="531" ht="15.75" customHeight="1">
      <c r="A531" s="1">
        <v>6936.0</v>
      </c>
      <c r="B531" s="1" t="s">
        <v>6</v>
      </c>
      <c r="C531" s="1" t="s">
        <v>518</v>
      </c>
      <c r="D531" s="1" t="str">
        <f>IFERROR(__xludf.DUMMYFUNCTION("CONCATENATE(GOOGLETRANSLATE(C531, ""en"", ""zh-cn""))
"),"Neutrogena Clear &amp; DEFEND+ 每日精华液")</f>
        <v>Neutrogena Clear &amp; DEFEND+ 每日精华液</v>
      </c>
      <c r="E531" s="1" t="str">
        <f>IFERROR(__xludf.DUMMYFUNCTION("CONCATENATE(GOOGLETRANSLATE(C531, ""en"", ""ko""))"),"뉴트로지나 클리어 &amp; 디펜스+ 데일리 세럼")</f>
        <v>뉴트로지나 클리어 &amp; 디펜스+ 데일리 세럼</v>
      </c>
      <c r="F531" s="1" t="str">
        <f>IFERROR(__xludf.DUMMYFUNCTION("CONCATENATE(GOOGLETRANSLATE(C531, ""en"", ""ja""))"),"ニュートロジーナ クリア &amp; DEFEND+ デイリー セラム")</f>
        <v>ニュートロジーナ クリア &amp; DEFEND+ デイリー セラム</v>
      </c>
    </row>
    <row r="532" ht="15.75" customHeight="1">
      <c r="A532" s="1">
        <v>6947.0</v>
      </c>
      <c r="B532" s="1" t="s">
        <v>6</v>
      </c>
      <c r="C532" s="1" t="s">
        <v>519</v>
      </c>
      <c r="D532" s="1" t="str">
        <f>IFERROR(__xludf.DUMMYFUNCTION("CONCATENATE(GOOGLETRANSLATE(C532, ""en"", ""zh-cn""))
"),"露得清快速紧致胶原蛋白三重提升面部精华液")</f>
        <v>露得清快速紧致胶原蛋白三重提升面部精华液</v>
      </c>
      <c r="E532" s="1" t="str">
        <f>IFERROR(__xludf.DUMMYFUNCTION("CONCATENATE(GOOGLETRANSLATE(C532, ""en"", ""ko""))"),"뉴트로지나 래피드 퍼밍 콜라겐 트리플 리프트 페이스 세럼")</f>
        <v>뉴트로지나 래피드 퍼밍 콜라겐 트리플 리프트 페이스 세럼</v>
      </c>
      <c r="F532" s="1" t="str">
        <f>IFERROR(__xludf.DUMMYFUNCTION("CONCATENATE(GOOGLETRANSLATE(C532, ""en"", ""ja""))"),"ニュートロジーナ ラピッド ファーミング コラーゲン トリプル リフト フェイス セラム")</f>
        <v>ニュートロジーナ ラピッド ファーミング コラーゲン トリプル リフト フェイス セラム</v>
      </c>
    </row>
    <row r="533" ht="15.75" customHeight="1">
      <c r="A533" s="1">
        <v>6948.0</v>
      </c>
      <c r="B533" s="1" t="s">
        <v>6</v>
      </c>
      <c r="C533" s="1" t="s">
        <v>520</v>
      </c>
      <c r="D533" s="1" t="str">
        <f>IFERROR(__xludf.DUMMYFUNCTION("CONCATENATE(GOOGLETRANSLATE(C533, ""en"", ""zh-cn""))
"),"Neutrogena Norwegische FORMEL Sofort Einziehende Feuchtigkeitscreme，200 毫升霜")</f>
        <v>Neutrogena Norwegische FORMEL Sofort Einziehende Feuchtigkeitscreme，200 毫升霜</v>
      </c>
      <c r="E533" s="1" t="str">
        <f>IFERROR(__xludf.DUMMYFUNCTION("CONCATENATE(GOOGLETRANSLATE(C533, ""en"", ""ko""))"),"Neutrogena Norwegische FORMEL Sofort Einziehende Feuchtigkeitscreme, 200ml 크림")</f>
        <v>Neutrogena Norwegische FORMEL Sofort Einziehende Feuchtigkeitscreme, 200ml 크림</v>
      </c>
      <c r="F533" s="1" t="str">
        <f>IFERROR(__xludf.DUMMYFUNCTION("CONCATENATE(GOOGLETRANSLATE(C533, ""en"", ""ja""))"),"Neutrogena Norwegische FORMEL Sofort Einziehende Feuchtigkeitscreme、200 ml クリーム")</f>
        <v>Neutrogena Norwegische FORMEL Sofort Einziehende Feuchtigkeitscreme、200 ml クリーム</v>
      </c>
    </row>
    <row r="534" ht="15.75" customHeight="1">
      <c r="A534" s="1">
        <v>3144.0</v>
      </c>
      <c r="B534" s="1" t="s">
        <v>51</v>
      </c>
      <c r="C534" s="1" t="s">
        <v>521</v>
      </c>
      <c r="D534" s="1" t="str">
        <f>IFERROR(__xludf.DUMMYFUNCTION("CONCATENATE(GOOGLETRANSLATE(C534, ""en"", ""zh-cn""))
"),"WEE指尖魔豆减压旋转陀螺仪圆形立方体玩具儿童成人益智玩具")</f>
        <v>WEE指尖魔豆减压旋转陀螺仪圆形立方体玩具儿童成人益智玩具</v>
      </c>
      <c r="E534" s="1" t="str">
        <f>IFERROR(__xludf.DUMMYFUNCTION("CONCATENATE(GOOGLETRANSLATE(C534, ""en"", ""ko""))"),"WEE Fingertip Magic Bean 스트레스 릴리프 회전 자이로 스코프 라운드 큐브 장난감 어린이 성인 교육 퍼즐 장난감")</f>
        <v>WEE Fingertip Magic Bean 스트레스 릴리프 회전 자이로 스코프 라운드 큐브 장난감 어린이 성인 교육 퍼즐 장난감</v>
      </c>
      <c r="F534" s="1" t="str">
        <f>IFERROR(__xludf.DUMMYFUNCTION("CONCATENATE(GOOGLETRANSLATE(C534, ""en"", ""ja""))"),"おしっこ指先魔法の豆ストレスリリーフ回転ジャイロスコープラウンドキューブおもちゃ子供大人の教育パズルおもちゃ")</f>
        <v>おしっこ指先魔法の豆ストレスリリーフ回転ジャイロスコープラウンドキューブおもちゃ子供大人の教育パズルおもちゃ</v>
      </c>
    </row>
    <row r="535" ht="15.75" customHeight="1">
      <c r="A535" s="1">
        <v>3151.0</v>
      </c>
      <c r="B535" s="1" t="s">
        <v>51</v>
      </c>
      <c r="C535" s="1" t="s">
        <v>522</v>
      </c>
      <c r="D535" s="1" t="str">
        <f>IFERROR(__xludf.DUMMYFUNCTION("CONCATENATE(GOOGLETRANSLATE(C535, ""en"", ""zh-cn""))
"),"头戴式隔离防护罩防雾防毒增强面罩高清防护")</f>
        <v>头戴式隔离防护罩防雾防毒增强面罩高清防护</v>
      </c>
      <c r="E535" s="1" t="str">
        <f>IFERROR(__xludf.DUMMYFUNCTION("CONCATENATE(GOOGLETRANSLATE(C535, ""en"", ""ko""))"),"머리 장착형 절연 보호 커버 김서림 방지 가스 방지 강화 안면 마스크 HD 보호")</f>
        <v>머리 장착형 절연 보호 커버 김서림 방지 가스 방지 강화 안면 마스크 HD 보호</v>
      </c>
      <c r="F535" s="1" t="str">
        <f>IFERROR(__xludf.DUMMYFUNCTION("CONCATENATE(GOOGLETRANSLATE(C535, ""en"", ""ja""))"),"ヘッドマウント分離保護カバー 防曇 アンチガス 強化フェイスマスク HD 保護")</f>
        <v>ヘッドマウント分離保護カバー 防曇 アンチガス 強化フェイスマスク HD 保護</v>
      </c>
    </row>
    <row r="536" ht="15.75" customHeight="1">
      <c r="A536" s="1">
        <v>3156.0</v>
      </c>
      <c r="B536" s="1" t="s">
        <v>51</v>
      </c>
      <c r="C536" s="1" t="s">
        <v>523</v>
      </c>
      <c r="D536" s="1" t="str">
        <f>IFERROR(__xludf.DUMMYFUNCTION("CONCATENATE(GOOGLETRANSLATE(C536, ""en"", ""zh-cn""))
"),"B06-L 桌面木质收纳盒多层储物架带 1 个抽屉文件书架书架笔铅笔架收纳盒")</f>
        <v>B06-L 桌面木质收纳盒多层储物架带 1 个抽屉文件书架书架笔铅笔架收纳盒</v>
      </c>
      <c r="E536" s="1" t="str">
        <f>IFERROR(__xludf.DUMMYFUNCTION("CONCATENATE(GOOGLETRANSLATE(C536, ""en"", ""ko""))"),"B06-L 데스크탑 나무 스토리지 박스 1 서랍 파일 책 선반 책장 펜 연필 홀더 주최자와 다층 스토리지 랙")</f>
        <v>B06-L 데스크탑 나무 스토리지 박스 1 서랍 파일 책 선반 책장 펜 연필 홀더 주최자와 다층 스토리지 랙</v>
      </c>
      <c r="F536" s="1" t="str">
        <f>IFERROR(__xludf.DUMMYFUNCTION("CONCATENATE(GOOGLETRANSLATE(C536, ""en"", ""ja""))"),"B06-L デスクトップ木製収納ボックス多層収納ラック引き出し 1 つ付きファイル本棚本棚ペン鉛筆ホルダーオーガナイザー")</f>
        <v>B06-L デスクトップ木製収納ボックス多層収納ラック引き出し 1 つ付きファイル本棚本棚ペン鉛筆ホルダーオーガナイザー</v>
      </c>
    </row>
    <row r="537" ht="15.75" customHeight="1">
      <c r="A537" s="1">
        <v>3166.0</v>
      </c>
      <c r="B537" s="1" t="s">
        <v>51</v>
      </c>
      <c r="C537" s="1" t="s">
        <v>524</v>
      </c>
      <c r="D537" s="1" t="str">
        <f>IFERROR(__xludf.DUMMYFUNCTION("CONCATENATE(GOOGLETRANSLATE(C537, ""en"", ""zh-cn""))
"),"Seewei 7 合 1 Type-C 扩展坞 USB-C 集线器分路器适配器，带 USB2.0 USB3.0 USB-C2.0 PD100W USB-C 4K*2K@30Hz HDMI SD/TF 读卡器插槽多端口集线器适用于 PC 笔记本电脑")</f>
        <v>Seewei 7 合 1 Type-C 扩展坞 USB-C 集线器分路器适配器，带 USB2.0 USB3.0 USB-C2.0 PD100W USB-C 4K*2K@30Hz HDMI SD/TF 读卡器插槽多端口集线器适用于 PC 笔记本电脑</v>
      </c>
      <c r="E537" s="1" t="str">
        <f>IFERROR(__xludf.DUMMYFUNCTION("CONCATENATE(GOOGLETRANSLATE(C537, ""en"", ""ko""))"),"Seewei 7 in 1 Type-C 도킹 스테이션 USB-C 허브 분배기 어댑터(USB2.0 포함) USB3.0 USB-C2.0 PD100W USB-C 4K*2K@30Hz HDMI SD/TF 카드 리더 슬롯 PC 노트북용 멀티포트 허브")</f>
        <v>Seewei 7 in 1 Type-C 도킹 스테이션 USB-C 허브 분배기 어댑터(USB2.0 포함) USB3.0 USB-C2.0 PD100W USB-C 4K*2K@30Hz HDMI SD/TF 카드 리더 슬롯 PC 노트북용 멀티포트 허브</v>
      </c>
      <c r="F537" s="1" t="str">
        <f>IFERROR(__xludf.DUMMYFUNCTION("CONCATENATE(GOOGLETRANSLATE(C537, ""en"", ""ja""))"),"Seewei 7 in 1 Type-C ドッキングステーション USB-C ハブ スプリッター アダプター USB2.0 USB3.0 USB-C2.0 PD100W USB-C 4K*2K@30Hz HDMI SD/TF カード リーダー スロット マルチポート ハブ PC ラップトップ用")</f>
        <v>Seewei 7 in 1 Type-C ドッキングステーション USB-C ハブ スプリッター アダプター USB2.0 USB3.0 USB-C2.0 PD100W USB-C 4K*2K@30Hz HDMI SD/TF カード リーダー スロット マルチポート ハブ PC ラップトップ用</v>
      </c>
    </row>
    <row r="538" ht="15.75" customHeight="1">
      <c r="A538" s="1">
        <v>3169.0</v>
      </c>
      <c r="B538" s="1" t="s">
        <v>51</v>
      </c>
      <c r="C538" s="1" t="s">
        <v>525</v>
      </c>
      <c r="D538" s="1" t="str">
        <f>IFERROR(__xludf.DUMMYFUNCTION("CONCATENATE(GOOGLETRANSLATE(C538, ""en"", ""zh-cn""))
"),"男式纯色按扣插肩袖休闲夹克")</f>
        <v>男式纯色按扣插肩袖休闲夹克</v>
      </c>
      <c r="E538" s="1" t="str">
        <f>IFERROR(__xludf.DUMMYFUNCTION("CONCATENATE(GOOGLETRANSLATE(C538, ""en"", ""ko""))"),"남성용 솔리드 스냅 버튼 라글란 슬리브 캐주얼 재킷")</f>
        <v>남성용 솔리드 스냅 버튼 라글란 슬리브 캐주얼 재킷</v>
      </c>
      <c r="F538" s="1" t="str">
        <f>IFERROR(__xludf.DUMMYFUNCTION("CONCATENATE(GOOGLETRANSLATE(C538, ""en"", ""ja""))"),"メンズソリッドスナップボタンラグランスリーブカジュアルジャケット")</f>
        <v>メンズソリッドスナップボタンラグランスリーブカジュアルジャケット</v>
      </c>
    </row>
    <row r="539" ht="15.75" customHeight="1">
      <c r="A539" s="1">
        <v>3224.0</v>
      </c>
      <c r="B539" s="1" t="s">
        <v>6</v>
      </c>
      <c r="C539" s="1" t="s">
        <v>526</v>
      </c>
      <c r="D539" s="1" t="str">
        <f>IFERROR(__xludf.DUMMYFUNCTION("CONCATENATE(GOOGLETRANSLATE(C539, ""en"", ""zh-cn""))
"),"Breville Oracle Touch 浓缩咖啡机，84 盎司，黑松露")</f>
        <v>Breville Oracle Touch 浓缩咖啡机，84 盎司，黑松露</v>
      </c>
      <c r="E539" s="1" t="str">
        <f>IFERROR(__xludf.DUMMYFUNCTION("CONCATENATE(GOOGLETRANSLATE(C539, ""en"", ""ko""))"),"브레빌 오라클 터치 에스프레소 머신, 84온스, 블랙 트러플")</f>
        <v>브레빌 오라클 터치 에스프레소 머신, 84온스, 블랙 트러플</v>
      </c>
      <c r="F539" s="1" t="str">
        <f>IFERROR(__xludf.DUMMYFUNCTION("CONCATENATE(GOOGLETRANSLATE(C539, ""en"", ""ja""))"),"Breville Oracle Touch エスプレッソ マシン、84 オンス、ブラック トリュフ")</f>
        <v>Breville Oracle Touch エスプレッソ マシン、84 オンス、ブラック トリュフ</v>
      </c>
    </row>
    <row r="540" ht="15.75" customHeight="1">
      <c r="A540" s="1">
        <v>3231.0</v>
      </c>
      <c r="B540" s="1" t="s">
        <v>6</v>
      </c>
      <c r="C540" s="1" t="s">
        <v>527</v>
      </c>
      <c r="D540" s="1" t="str">
        <f>IFERROR(__xludf.DUMMYFUNCTION("CONCATENATE(GOOGLETRANSLATE(C540, ""en"", ""zh-cn""))
"),"POLY &amp; BARK Lyon 沙发采用全粒面纯苯胺意大利皮革，干邑棕褐色")</f>
        <v>POLY &amp; BARK Lyon 沙发采用全粒面纯苯胺意大利皮革，干邑棕褐色</v>
      </c>
      <c r="E540" s="1" t="str">
        <f>IFERROR(__xludf.DUMMYFUNCTION("CONCATENATE(GOOGLETRANSLATE(C540, ""en"", ""ko""))"),"풀 그레인 순수 아닐린 이탈리아 가죽, 코냑 탄 소재의 POLY &amp; BARK Lyon 소파")</f>
        <v>풀 그레인 순수 아닐린 이탈리아 가죽, 코냑 탄 소재의 POLY &amp; BARK Lyon 소파</v>
      </c>
      <c r="F540" s="1" t="str">
        <f>IFERROR(__xludf.DUMMYFUNCTION("CONCATENATE(GOOGLETRANSLATE(C540, ""en"", ""ja""))"),"POLY &amp; BARK リヨン ソファ フルグレイン ピュアアニリン イタリアン レザー、コニャック タン")</f>
        <v>POLY &amp; BARK リヨン ソファ フルグレイン ピュアアニリン イタリアン レザー、コニャック タン</v>
      </c>
    </row>
    <row r="541" ht="15.75" customHeight="1">
      <c r="A541" s="1">
        <v>3244.0</v>
      </c>
      <c r="B541" s="1" t="s">
        <v>6</v>
      </c>
      <c r="C541" s="1" t="s">
        <v>528</v>
      </c>
      <c r="D541" s="1" t="str">
        <f>IFERROR(__xludf.DUMMYFUNCTION("CONCATENATE(GOOGLETRANSLATE(C541, ""en"", ""zh-cn""))
"),"Betsy Furniture 超细纤维躺椅沙发套装客厅套装 8007（灰色，沙发+双人沙发+躺椅）")</f>
        <v>Betsy Furniture 超细纤维躺椅沙发套装客厅套装 8007（灰色，沙发+双人沙发+躺椅）</v>
      </c>
      <c r="E541" s="1" t="str">
        <f>IFERROR(__xludf.DUMMYFUNCTION("CONCATENATE(GOOGLETRANSLATE(C541, ""en"", ""ko""))"),"Betsy 가구 극세사 리클라이닝 소파 소파 세트 거실 세트 8007(그레이, 소파+러브시트+리클라이너)")</f>
        <v>Betsy 가구 극세사 리클라이닝 소파 소파 세트 거실 세트 8007(그레이, 소파+러브시트+리클라이너)</v>
      </c>
      <c r="F541" s="1" t="str">
        <f>IFERROR(__xludf.DUMMYFUNCTION("CONCATENATE(GOOGLETRANSLATE(C541, ""en"", ""ja""))"),"Betsy Furniture マイクロファイバー リクライニングソファ ソファセット リビングルームセット 8007 (グレー、ソファ+2人掛け+リクライニングチェア)")</f>
        <v>Betsy Furniture マイクロファイバー リクライニングソファ ソファセット リビングルームセット 8007 (グレー、ソファ+2人掛け+リクライニングチェア)</v>
      </c>
    </row>
    <row r="542" ht="15.75" customHeight="1">
      <c r="A542" s="1">
        <v>3380.0</v>
      </c>
      <c r="B542" s="1" t="s">
        <v>6</v>
      </c>
      <c r="C542" s="1" t="s">
        <v>529</v>
      </c>
      <c r="D542" s="1" t="str">
        <f>IFERROR(__xludf.DUMMYFUNCTION("CONCATENATE(GOOGLETRANSLATE(C542, ""en"", ""zh-cn""))
"),"Ashley Dorsten 签名设计的当代 L 形双面沙发躺椅 Chofa，灰色")</f>
        <v>Ashley Dorsten 签名设计的当代 L 形双面沙发躺椅 Chofa，灰色</v>
      </c>
      <c r="E542" s="1" t="str">
        <f>IFERROR(__xludf.DUMMYFUNCTION("CONCATENATE(GOOGLETRANSLATE(C542, ""en"", ""ko""))"),"Ashley Dorsten의 시그니처 디자인 현대적인 L자형 양면 소파 Chaise Chofa, 그레이")</f>
        <v>Ashley Dorsten의 시그니처 디자인 현대적인 L자형 양면 소파 Chaise Chofa, 그레이</v>
      </c>
      <c r="F542" s="1" t="str">
        <f>IFERROR(__xludf.DUMMYFUNCTION("CONCATENATE(GOOGLETRANSLATE(C542, ""en"", ""ja""))"),"Ashley Dorsten によるシグネチャーデザイン コンテンポラリー L 字型リバーシブルソファ 長椅子 Chofa グレー")</f>
        <v>Ashley Dorsten によるシグネチャーデザイン コンテンポラリー L 字型リバーシブルソファ 長椅子 Chofa グレー</v>
      </c>
    </row>
    <row r="543" ht="15.75" customHeight="1">
      <c r="A543" s="1">
        <v>3386.0</v>
      </c>
      <c r="B543" s="1" t="s">
        <v>6</v>
      </c>
      <c r="C543" s="1" t="s">
        <v>530</v>
      </c>
      <c r="D543" s="1" t="str">
        <f>IFERROR(__xludf.DUMMYFUNCTION("CONCATENATE(GOOGLETRANSLATE(C543, ""en"", ""zh-cn""))
"),"MELLCOM 柔软亚麻布艺沙发，带双人宽躺椅，现代 U 形组合沙发，带现代金属脚的公寓客厅沙发，蓝色")</f>
        <v>MELLCOM 柔软亚麻布艺沙发，带双人宽躺椅，现代 U 形组合沙发，带现代金属脚的公寓客厅沙发，蓝色</v>
      </c>
      <c r="E543" s="1" t="str">
        <f>IFERROR(__xludf.DUMMYFUNCTION("CONCATENATE(GOOGLETRANSLATE(C543, ""en"", ""ko""))"),"MELLCOM 부드러운 리넨 패브릭 소파(더블 와이드 긴 의자 라운지 포함), 아파트 거실용 현대적인 금속 피트가 있는 현대적인 U자형 단면 소파 소파, 블루")</f>
        <v>MELLCOM 부드러운 리넨 패브릭 소파(더블 와이드 긴 의자 라운지 포함), 아파트 거실용 현대적인 금속 피트가 있는 현대적인 U자형 단면 소파 소파, 블루</v>
      </c>
      <c r="F543" s="1" t="str">
        <f>IFERROR(__xludf.DUMMYFUNCTION("CONCATENATE(GOOGLETRANSLATE(C543, ""en"", ""ja""))"),"MELLCOM ソフトリネン生地ソファ ダブルワイド寝椅子付き モダンな U 字型セクショナルソファ カウチ モダンな金属足付き アパートリビングルーム用 ブルー")</f>
        <v>MELLCOM ソフトリネン生地ソファ ダブルワイド寝椅子付き モダンな U 字型セクショナルソファ カウチ モダンな金属足付き アパートリビングルーム用 ブルー</v>
      </c>
    </row>
    <row r="544" ht="15.75" customHeight="1">
      <c r="A544" s="1">
        <v>3401.0</v>
      </c>
      <c r="B544" s="1" t="s">
        <v>6</v>
      </c>
      <c r="C544" s="1" t="s">
        <v>531</v>
      </c>
      <c r="D544" s="1" t="str">
        <f>IFERROR(__xludf.DUMMYFUNCTION("CONCATENATE(GOOGLETRANSLATE(C544, ""en"", ""zh-cn""))
"),"LEVNARY 天鹅绒组合沙发，带躺椅，拉出沙发床簇绒软垫 3 座沙发床，带厚垫，78 英寸 L 形客厅沙发（灰色）")</f>
        <v>LEVNARY 天鹅绒组合沙发，带躺椅，拉出沙发床簇绒软垫 3 座沙发床，带厚垫，78 英寸 L 形客厅沙发（灰色）</v>
      </c>
      <c r="E544" s="1" t="str">
        <f>IFERROR(__xludf.DUMMYFUNCTION("CONCATENATE(GOOGLETRANSLATE(C544, ""en"", ""ko""))"),"긴 의자 라운지가 있는 LEVNARY 벨벳 단면 소파, 두꺼운 쿠션이 있는 덮개를 씌운 풀아웃 소파 베드, 가정용 거실용 78인치 L자형 소파(회색)")</f>
        <v>긴 의자 라운지가 있는 LEVNARY 벨벳 단면 소파, 두꺼운 쿠션이 있는 덮개를 씌운 풀아웃 소파 베드, 가정용 거실용 78인치 L자형 소파(회색)</v>
      </c>
      <c r="F544" s="1" t="str">
        <f>IFERROR(__xludf.DUMMYFUNCTION("CONCATENATE(GOOGLETRANSLATE(C544, ""en"", ""ja""))"),"LEVNARY ベルベットセクショナルソファ 長椅子付き 引き出し式ソファベッド タフト布張り 3人掛けスリーパーソファ 厚いクッション付き 78インチ L字型ソファ リビングルーム ホーム用 (グレー)")</f>
        <v>LEVNARY ベルベットセクショナルソファ 長椅子付き 引き出し式ソファベッド タフト布張り 3人掛けスリーパーソファ 厚いクッション付き 78インチ L字型ソファ リビングルーム ホーム用 (グレー)</v>
      </c>
    </row>
    <row r="545" ht="15.75" customHeight="1">
      <c r="A545" s="1">
        <v>3405.0</v>
      </c>
      <c r="B545" s="1" t="s">
        <v>6</v>
      </c>
      <c r="C545" s="1" t="s">
        <v>532</v>
      </c>
      <c r="D545" s="1" t="str">
        <f>IFERROR(__xludf.DUMMYFUNCTION("CONCATENATE(GOOGLETRANSLATE(C545, ""en"", ""zh-cn""))
"),"HONBAY 双面组合沙发沙发现代软垫 L 形沙发带杯架和储物柜，左侧或右侧客厅办公室贵妃组合沙发，灰色")</f>
        <v>HONBAY 双面组合沙发沙发现代软垫 L 形沙发带杯架和储物柜，左侧或右侧客厅办公室贵妃组合沙发，灰色</v>
      </c>
      <c r="E545" s="1" t="str">
        <f>IFERROR(__xludf.DUMMYFUNCTION("CONCATENATE(GOOGLETRANSLATE(C545, ""en"", ""ko""))"),"HONBAY 양면 단면 소파 소파 컵 홀더 및 보관 콘솔이 있는 현대적인 덮개를 씌운 L자형 소파, 거실 사무실용 왼쪽 또는 오른쪽 긴 의자 단면 소파, 회색")</f>
        <v>HONBAY 양면 단면 소파 소파 컵 홀더 및 보관 콘솔이 있는 현대적인 덮개를 씌운 L자형 소파, 거실 사무실용 왼쪽 또는 오른쪽 긴 의자 단면 소파, 회색</v>
      </c>
      <c r="F545" s="1" t="str">
        <f>IFERROR(__xludf.DUMMYFUNCTION("CONCATENATE(GOOGLETRANSLATE(C545, ""en"", ""ja""))"),"HONBAY リバーシブル セクショナルソファ カウチ モダンな布張り L 字型ソファ カップホルダー &amp; 収納コンソール付き 左側または右側の長椅子 セクショナルソファ リビングルーム オフィス用 グレー")</f>
        <v>HONBAY リバーシブル セクショナルソファ カウチ モダンな布張り L 字型ソファ カップホルダー &amp; 収納コンソール付き 左側または右側の長椅子 セクショナルソファ リビングルーム オフィス用 グレー</v>
      </c>
    </row>
    <row r="546" ht="15.75" customHeight="1">
      <c r="A546" s="1">
        <v>3413.0</v>
      </c>
      <c r="B546" s="1" t="s">
        <v>6</v>
      </c>
      <c r="C546" s="1" t="s">
        <v>533</v>
      </c>
      <c r="D546" s="1" t="str">
        <f>IFERROR(__xludf.DUMMYFUNCTION("CONCATENATE(GOOGLETRANSLATE(C546, ""en"", ""zh-cn""))
"),"CHITA 中世纪沙发家具 73.2 英寸宽人造革沙发套，适用于客厅公寓，干邑棕色")</f>
        <v>CHITA 中世纪沙发家具 73.2 英寸宽人造革沙发套，适用于客厅公寓，干邑棕色</v>
      </c>
      <c r="E546" s="1" t="str">
        <f>IFERROR(__xludf.DUMMYFUNCTION("CONCATENATE(GOOGLETRANSLATE(C546, ""en"", ""ko""))"),"CHITA Mid-Century 소파 가구 73.2''W 인조 가죽 소파 소파 세트 거실 아파트, 코냑 브라운")</f>
        <v>CHITA Mid-Century 소파 가구 73.2''W 인조 가죽 소파 소파 세트 거실 아파트, 코냑 브라운</v>
      </c>
      <c r="F546" s="1" t="str">
        <f>IFERROR(__xludf.DUMMYFUNCTION("CONCATENATE(GOOGLETRANSLATE(C546, ""en"", ""ja""))"),"CHITA ミッドセンチュリーソファ家具 73.2 インチ W フェイクレザーソファカウチセット リビングルームアパートメント用 コニャックブラウン")</f>
        <v>CHITA ミッドセンチュリーソファ家具 73.2 インチ W フェイクレザーソファカウチセット リビングルームアパートメント用 コニャックブラウン</v>
      </c>
    </row>
    <row r="547" ht="15.75" customHeight="1">
      <c r="A547" s="1">
        <v>3421.0</v>
      </c>
      <c r="B547" s="1" t="s">
        <v>6</v>
      </c>
      <c r="C547" s="1" t="s">
        <v>534</v>
      </c>
      <c r="D547" s="1" t="str">
        <f>IFERROR(__xludf.DUMMYFUNCTION("CONCATENATE(GOOGLETRANSLATE(C547, ""en"", ""zh-cn""))
"),"Lexicon Vega 客厅沙发，浅灰色")</f>
        <v>Lexicon Vega 客厅沙发，浅灰色</v>
      </c>
      <c r="E547" s="1" t="str">
        <f>IFERROR(__xludf.DUMMYFUNCTION("CONCATENATE(GOOGLETRANSLATE(C547, ""en"", ""ko""))"),"Lexicon Vega 거실 소파, 라이트 그레이")</f>
        <v>Lexicon Vega 거실 소파, 라이트 그레이</v>
      </c>
      <c r="F547" s="1" t="str">
        <f>IFERROR(__xludf.DUMMYFUNCTION("CONCATENATE(GOOGLETRANSLATE(C547, ""en"", ""ja""))"),"Lexicon Vega リビングルームソファ、ライトグレー")</f>
        <v>Lexicon Vega リビングルームソファ、ライトグレー</v>
      </c>
    </row>
    <row r="548" ht="15.75" customHeight="1">
      <c r="A548" s="1">
        <v>3427.0</v>
      </c>
      <c r="B548" s="1" t="s">
        <v>6</v>
      </c>
      <c r="C548" s="1" t="s">
        <v>419</v>
      </c>
      <c r="D548" s="1" t="str">
        <f>IFERROR(__xludf.DUMMYFUNCTION("CONCATENATE(GOOGLETRANSLATE(C548, ""en"", ""zh-cn""))
"),"HONBAY 双面组合沙发，带奥斯曼 L 形沙发，适合小空间 组合沙发，带贵妃椅，深灰色")</f>
        <v>HONBAY 双面组合沙发，带奥斯曼 L 形沙发，适合小空间 组合沙发，带贵妃椅，深灰色</v>
      </c>
      <c r="E548" s="1" t="str">
        <f>IFERROR(__xludf.DUMMYFUNCTION("CONCATENATE(GOOGLETRANSLATE(C548, ""en"", ""ko""))"),"작은 공간을 위한 오스만 L자형 소파가 있는 HONBAY 양면 단면 소파 어두운 회색의 의자가 있는 단면 소파")</f>
        <v>작은 공간을 위한 오스만 L자형 소파가 있는 HONBAY 양면 단면 소파 어두운 회색의 의자가 있는 단면 소파</v>
      </c>
      <c r="F548" s="1" t="str">
        <f>IFERROR(__xludf.DUMMYFUNCTION("CONCATENATE(GOOGLETRANSLATE(C548, ""en"", ""ja""))"),"HONBAY リバーシブルセクショナルソファ オットマン付き L字型ソファ 狭いスペース用 セクショナルソファ 長椅子付き ダークグレー")</f>
        <v>HONBAY リバーシブルセクショナルソファ オットマン付き L字型ソファ 狭いスペース用 セクショナルソファ 長椅子付き ダークグレー</v>
      </c>
    </row>
    <row r="549" ht="15.75" customHeight="1">
      <c r="A549" s="1">
        <v>3430.0</v>
      </c>
      <c r="B549" s="1" t="s">
        <v>6</v>
      </c>
      <c r="C549" s="1" t="s">
        <v>535</v>
      </c>
      <c r="D549" s="1" t="str">
        <f>IFERROR(__xludf.DUMMYFUNCTION("CONCATENATE(GOOGLETRANSLATE(C549, ""en"", ""zh-cn""))
"),"SILKIR 3 人沙发 客厅沙发 |适合：公寓/工作室/办公室和小空间 |天鹅绒面料|快速轻松组装现代当代中世纪，水绿松石色")</f>
        <v>SILKIR 3 人沙发 客厅沙发 |适合：公寓/工作室/办公室和小空间 |天鹅绒面料|快速轻松组装现代当代中世纪，水绿松石色</v>
      </c>
      <c r="E549" s="1" t="str">
        <f>IFERROR(__xludf.DUMMYFUNCTION("CONCATENATE(GOOGLETRANSLATE(C549, ""en"", ""ko""))"),"거실용 SILKIR 3인용 소파 소파 | 완벽한 용도: 아파트/스튜디오/사무실 및 소규모 공간 | 벨벳 원단 | 빠르고 쉬운 조립 현대 현대 중반, 청록색")</f>
        <v>거실용 SILKIR 3인용 소파 소파 | 완벽한 용도: 아파트/스튜디오/사무실 및 소규모 공간 | 벨벳 원단 | 빠르고 쉬운 조립 현대 현대 중반, 청록색</v>
      </c>
      <c r="F549" s="1" t="str">
        <f>IFERROR(__xludf.DUMMYFUNCTION("CONCATENATE(GOOGLETRANSLATE(C549, ""en"", ""ja""))"),"SILKIR 3人掛けソファ リビングルーム用 |最適な用途: アパート/スタジオ/オフィスおよび狭いスペース |ベルベット生地 |早くて簡単な組み立てモダンコンテンポラリーミッドセンチュリー、アクアターコイズ")</f>
        <v>SILKIR 3人掛けソファ リビングルーム用 |最適な用途: アパート/スタジオ/オフィスおよび狭いスペース |ベルベット生地 |早くて簡単な組み立てモダンコンテンポラリーミッドセンチュリー、アクアターコイズ</v>
      </c>
    </row>
    <row r="550" ht="15.75" customHeight="1">
      <c r="A550" s="1">
        <v>3431.0</v>
      </c>
      <c r="B550" s="1" t="s">
        <v>6</v>
      </c>
      <c r="C550" s="1" t="s">
        <v>536</v>
      </c>
      <c r="D550" s="1" t="str">
        <f>IFERROR(__xludf.DUMMYFUNCTION("CONCATENATE(GOOGLETRANSLATE(C550, ""en"", ""zh-cn""))
"),"AMERLIFE 沙发，深座沙发-现代雪尼尔沙发，97 宽客厅 3 座沙发-超大沙发，米色舒适沙发")</f>
        <v>AMERLIFE 沙发，深座沙发-现代雪尼尔沙发，97 宽客厅 3 座沙发-超大沙发，米色舒适沙发</v>
      </c>
      <c r="E550" s="1" t="str">
        <f>IFERROR(__xludf.DUMMYFUNCTION("CONCATENATE(GOOGLETRANSLATE(C550, ""en"", ""ko""))"),"AMERLIFE 소파, 깊은 좌석 소파 - 현대적인 셔닐 소파 소파, 거실용 97 와이드 3인용 소파 - 대형 소파, 베이지 편안한 소파")</f>
        <v>AMERLIFE 소파, 깊은 좌석 소파 - 현대적인 셔닐 소파 소파, 거실용 97 와이드 3인용 소파 - 대형 소파, 베이지 편안한 소파</v>
      </c>
      <c r="F550" s="1" t="str">
        <f>IFERROR(__xludf.DUMMYFUNCTION("CONCATENATE(GOOGLETRANSLATE(C550, ""en"", ""ja""))"),"AMERLIFE ソファ、ディープシートソファ - 現代的なシェニールソファカウチ、リビングルーム用 97 幅 3 人掛けソファ - 特大ソファ、ベージュの快適なソファ")</f>
        <v>AMERLIFE ソファ、ディープシートソファ - 現代的なシェニールソファカウチ、リビングルーム用 97 幅 3 人掛けソファ - 特大ソファ、ベージュの快適なソファ</v>
      </c>
    </row>
    <row r="551" ht="15.75" customHeight="1">
      <c r="A551" s="1">
        <v>3451.0</v>
      </c>
      <c r="B551" s="1" t="s">
        <v>6</v>
      </c>
      <c r="C551" s="1" t="s">
        <v>537</v>
      </c>
      <c r="D551" s="1" t="str">
        <f>IFERROR(__xludf.DUMMYFUNCTION("CONCATENATE(GOOGLETRANSLATE(C551, ""en"", ""zh-cn""))
"),"JOMEED 敞篷组合沙发，现代超大天鹅绒面料 L 形沙发床，带可调节靠背，适合客厅、公寓")</f>
        <v>JOMEED 敞篷组合沙发，现代超大天鹅绒面料 L 形沙发床，带可调节靠背，适合客厅、公寓</v>
      </c>
      <c r="E551" s="1" t="str">
        <f>IFERROR(__xludf.DUMMYFUNCTION("CONCATENATE(GOOGLETRANSLATE(C551, ""en"", ""ko""))"),"JOMEED 컨버터블 단면 소파 소파, 거실용 조절 가능한 등받이가 있는 현대적인 대형 벨벳 패브릭 L자형 소파 소파 베드, 아파트")</f>
        <v>JOMEED 컨버터블 단면 소파 소파, 거실용 조절 가능한 등받이가 있는 현대적인 대형 벨벳 패브릭 L자형 소파 소파 베드, 아파트</v>
      </c>
      <c r="F551" s="1" t="str">
        <f>IFERROR(__xludf.DUMMYFUNCTION("CONCATENATE(GOOGLETRANSLATE(C551, ""en"", ""ja""))"),"JOMEED コンバーチブルセクショナルソファカウチ、モダンな特大ベルベット生地 L 字型カウチソファベッド、調節可能な背もたれ付き、リビングルーム、アパート用")</f>
        <v>JOMEED コンバーチブルセクショナルソファカウチ、モダンな特大ベルベット生地 L 字型カウチソファベッド、調節可能な背もたれ付き、リビングルーム、アパート用</v>
      </c>
    </row>
    <row r="552" ht="15.75" customHeight="1">
      <c r="A552" s="1">
        <v>3485.0</v>
      </c>
      <c r="B552" s="1" t="s">
        <v>6</v>
      </c>
      <c r="C552" s="1" t="s">
        <v>538</v>
      </c>
      <c r="D552" s="1" t="str">
        <f>IFERROR(__xludf.DUMMYFUNCTION("CONCATENATE(GOOGLETRANSLATE(C552, ""en"", ""zh-cn""))
"),"VIVIDSTORM-投影屏幕，PRO超薄电动办公演示，遥控下拉屏幕，彩色显示功能，兼容4K超短焦激光投影仪，VBMSLUST120H")</f>
        <v>VIVIDSTORM-投影屏幕，PRO超薄电动办公演示，遥控下拉屏幕，彩色显示功能，兼容4K超短焦激光投影仪，VBMSLUST120H</v>
      </c>
      <c r="E552" s="1" t="str">
        <f>IFERROR(__xludf.DUMMYFUNCTION("CONCATENATE(GOOGLETRANSLATE(C552, ""en"", ""ko""))"),"VIVIDSTORM-프로젝션 스크린, PRO 슬림라인 전동 오피스 프리젠테이션, 원격 제어 드롭다운 스크린, 컬러 디스플레이 기능, 4K 극단초점 레이저 프로젝터와 호환 가능, VBMSLUST120H")</f>
        <v>VIVIDSTORM-프로젝션 스크린, PRO 슬림라인 전동 오피스 프리젠테이션, 원격 제어 드롭다운 스크린, 컬러 디스플레이 기능, 4K 극단초점 레이저 프로젝터와 호환 가능, VBMSLUST120H</v>
      </c>
      <c r="F552" s="1" t="str">
        <f>IFERROR(__xludf.DUMMYFUNCTION("CONCATENATE(GOOGLETRANSLATE(C552, ""en"", ""ja""))"),"VIVIDSTORM-プロジェクションスクリーン、PROスリムライン電動オフィスプレゼンテーション、リモコンドロップダウンスクリーン、カラーディスプレイ機能、4K超短焦点レーザープロジェクターと互換性あり、VBMSLUST120H")</f>
        <v>VIVIDSTORM-プロジェクションスクリーン、PROスリムライン電動オフィスプレゼンテーション、リモコンドロップダウンスクリーン、カラーディスプレイ機能、4K超短焦点レーザープロジェクターと互換性あり、VBMSLUST120H</v>
      </c>
    </row>
    <row r="553" ht="15.75" customHeight="1">
      <c r="A553" s="1">
        <v>3487.0</v>
      </c>
      <c r="B553" s="1" t="s">
        <v>6</v>
      </c>
      <c r="C553" s="1" t="s">
        <v>539</v>
      </c>
      <c r="D553" s="1" t="str">
        <f>IFERROR(__xludf.DUMMYFUNCTION("CONCATENATE(GOOGLETRANSLATE(C553, ""en"", ""zh-cn""))
"),"Apple 2021 款 11 英寸 iPad Pro Wi-Fi + 蜂窝网络 2TB - 银色")</f>
        <v>Apple 2021 款 11 英寸 iPad Pro Wi-Fi + 蜂窝网络 2TB - 银色</v>
      </c>
      <c r="E553" s="1" t="str">
        <f>IFERROR(__xludf.DUMMYFUNCTION("CONCATENATE(GOOGLETRANSLATE(C553, ""en"", ""ko""))"),"Apple 2021 11인치 아이패드 프로 Wi-Fi + 셀룰러 2TB - 실버")</f>
        <v>Apple 2021 11인치 아이패드 프로 Wi-Fi + 셀룰러 2TB - 실버</v>
      </c>
      <c r="F553" s="1" t="str">
        <f>IFERROR(__xludf.DUMMYFUNCTION("CONCATENATE(GOOGLETRANSLATE(C553, ""en"", ""ja""))"),"Apple 2021 11 インチ iPad Pro Wi-Fi + Cellular 2TB - シルバー")</f>
        <v>Apple 2021 11 インチ iPad Pro Wi-Fi + Cellular 2TB - シルバー</v>
      </c>
    </row>
    <row r="554" ht="15.75" customHeight="1">
      <c r="A554" s="1">
        <v>3496.0</v>
      </c>
      <c r="B554" s="1" t="s">
        <v>6</v>
      </c>
      <c r="C554" s="1" t="s">
        <v>540</v>
      </c>
      <c r="D554" s="1" t="str">
        <f>IFERROR(__xludf.DUMMYFUNCTION("CONCATENATE(GOOGLETRANSLATE(C554, ""en"", ""zh-cn""))
"),"智能白板，43英寸JYXOIHUB交互式白板，电子白板，Android和iOS屏幕镜像用于直播，用于广告展示和教室（包括壁挂式）")</f>
        <v>智能白板，43英寸JYXOIHUB交互式白板，电子白板，Android和iOS屏幕镜像用于直播，用于广告展示和教室（包括壁挂式）</v>
      </c>
      <c r="E554" s="1" t="str">
        <f>IFERROR(__xludf.DUMMYFUNCTION("CONCATENATE(GOOGLETRANSLATE(C554, ""en"", ""ko""))"),"스마트 보드, 43인치 JYXOIHUB 대화형 화이트보드, 전자 화이트보드, 라이브 스트리밍을 위한 Android 및 iOS의 스크린 미러링, 광고 디스플레이 및 강의실용(벽걸이 포함)")</f>
        <v>스마트 보드, 43인치 JYXOIHUB 대화형 화이트보드, 전자 화이트보드, 라이브 스트리밍을 위한 Android 및 iOS의 스크린 미러링, 광고 디스플레이 및 강의실용(벽걸이 포함)</v>
      </c>
      <c r="F554" s="1" t="str">
        <f>IFERROR(__xludf.DUMMYFUNCTION("CONCATENATE(GOOGLETRANSLATE(C554, ""en"", ""ja""))"),"スマートボード、43 インチ JYXOIHUB インタラクティブ ホワイトボード、電子ホワイトボード、ライブ ストリーミング用 Android および iOS からのスクリーン ミラーリング、広告ディスプレイおよび教室用 (ウォール マウント付属)")</f>
        <v>スマートボード、43 インチ JYXOIHUB インタラクティブ ホワイトボード、電子ホワイトボード、ライブ ストリーミング用 Android および iOS からのスクリーン ミラーリング、広告ディスプレイおよび教室用 (ウォール マウント付属)</v>
      </c>
    </row>
    <row r="555" ht="15.75" customHeight="1">
      <c r="A555" s="1">
        <v>3501.0</v>
      </c>
      <c r="B555" s="1" t="s">
        <v>6</v>
      </c>
      <c r="C555" s="1" t="s">
        <v>541</v>
      </c>
      <c r="D555" s="1" t="str">
        <f>IFERROR(__xludf.DUMMYFUNCTION("CONCATENATE(GOOGLETRANSLATE(C555, ""en"", ""zh-cn""))
"),"戴尔 XPS 13 9310 触摸屏笔记本电脑 13.4 英寸 FHD+ 轻薄。 Intel Core i7-1195G7，16GB LPDDR4x RAM，512GB SSD，Intel Iris Xe 显卡，Windows 11 Pro，2 年 OnSite，6 个月迁移 – 银牌")</f>
        <v>戴尔 XPS 13 9310 触摸屏笔记本电脑 13.4 英寸 FHD+ 轻薄。 Intel Core i7-1195G7，16GB LPDDR4x RAM，512GB SSD，Intel Iris Xe 显卡，Windows 11 Pro，2 年 OnSite，6 个月迁移 – 银牌</v>
      </c>
      <c r="E555" s="1" t="str">
        <f>IFERROR(__xludf.DUMMYFUNCTION("CONCATENATE(GOOGLETRANSLATE(C555, ""en"", ""ko""))"),"Dell XPS 13 9310 터치스크린 노트북 13.4인치 FHD+ 얇고 가벼운 제품. Intel Core i7-1195G7, 16GB LPDDR4x RAM, 512GB SSD, Intel Iris Xe 그래픽, Windows 11 Pro, 2년 현장 방문, 6개월 마이그레이션 – 실버")</f>
        <v>Dell XPS 13 9310 터치스크린 노트북 13.4인치 FHD+ 얇고 가벼운 제품. Intel Core i7-1195G7, 16GB LPDDR4x RAM, 512GB SSD, Intel Iris Xe 그래픽, Windows 11 Pro, 2년 현장 방문, 6개월 마이그레이션 – 실버</v>
      </c>
      <c r="F555" s="1" t="str">
        <f>IFERROR(__xludf.DUMMYFUNCTION("CONCATENATE(GOOGLETRANSLATE(C555, ""en"", ""ja""))"),"Dell XPS 13 9310 タッチスクリーン ノートパソコン 13.4 インチ FHD+ 薄くて軽い。 Intel Core i7-1195G7、16GB LPDDR4x RAM、512GB SSD、Intel Iris Xe グラフィックス、Windows 11 Pro、2 年間オンサイト、6 か月移行 - シルバー")</f>
        <v>Dell XPS 13 9310 タッチスクリーン ノートパソコン 13.4 インチ FHD+ 薄くて軽い。 Intel Core i7-1195G7、16GB LPDDR4x RAM、512GB SSD、Intel Iris Xe グラフィックス、Windows 11 Pro、2 年間オンサイト、6 か月移行 - シルバー</v>
      </c>
    </row>
    <row r="556" ht="15.75" customHeight="1">
      <c r="A556" s="1">
        <v>3506.0</v>
      </c>
      <c r="B556" s="1" t="s">
        <v>6</v>
      </c>
      <c r="C556" s="1" t="s">
        <v>542</v>
      </c>
      <c r="D556" s="1" t="str">
        <f>IFERROR(__xludf.DUMMYFUNCTION("CONCATENATE(GOOGLETRANSLATE(C556, ""en"", ""zh-cn""))
"),"Microsoft Surface Laptop 4 15 英寸触摸屏 256GB SSD 3.0GHz i7，搭载 Windows 10 Pro（16GB RAM，Intel i7-1185G7，Wi-Fi，最新型号）- 哑光黑色，5IF-00001")</f>
        <v>Microsoft Surface Laptop 4 15 英寸触摸屏 256GB SSD 3.0GHz i7，搭载 Windows 10 Pro（16GB RAM，Intel i7-1185G7，Wi-Fi，最新型号）- 哑光黑色，5IF-00001</v>
      </c>
      <c r="E556" s="1" t="str">
        <f>IFERROR(__xludf.DUMMYFUNCTION("CONCATENATE(GOOGLETRANSLATE(C556, ""en"", ""ko""))"),"Microsoft Surface Laptop 4 15인치 터치스크린 256GB SSD 3.0GHz i7(Windows 10 Pro 탑재)(16GB RAM, Intel i7-1185G7, Wi-Fi, 최신 모델) – 매트 블랙, 5IF-00001")</f>
        <v>Microsoft Surface Laptop 4 15인치 터치스크린 256GB SSD 3.0GHz i7(Windows 10 Pro 탑재)(16GB RAM, Intel i7-1185G7, Wi-Fi, 최신 모델) – 매트 블랙, 5IF-00001</v>
      </c>
      <c r="F556" s="1" t="str">
        <f>IFERROR(__xludf.DUMMYFUNCTION("CONCATENATE(GOOGLETRANSLATE(C556, ""en"", ""ja""))"),"Microsoft Surface Laptop 4 15 インチ タッチスクリーン 256GB SSD 3.0GHz i7 Windows 10 Pro 搭載 (16GB RAM、Intel i7-1185G7、Wi-Fi、最新モデル) – マット ブラック、5IF-00001")</f>
        <v>Microsoft Surface Laptop 4 15 インチ タッチスクリーン 256GB SSD 3.0GHz i7 Windows 10 Pro 搭載 (16GB RAM、Intel i7-1185G7、Wi-Fi、最新モデル) – マット ブラック、5IF-00001</v>
      </c>
    </row>
    <row r="557" ht="15.75" customHeight="1">
      <c r="A557" s="1">
        <v>3520.0</v>
      </c>
      <c r="B557" s="1" t="s">
        <v>6</v>
      </c>
      <c r="C557" s="1" t="s">
        <v>543</v>
      </c>
      <c r="D557" s="1" t="str">
        <f>IFERROR(__xludf.DUMMYFUNCTION("CONCATENATE(GOOGLETRANSLATE(C557, ""en"", ""zh-cn""))
"),"Elite Screens Spectrum AcousticPro UHD 135 英寸电动投影仪屏幕 电动投影仪屏幕 16:9 4K 无摩尔纹声音透明穿孔编织 4K Ready 下拉式投影仪屏幕")</f>
        <v>Elite Screens Spectrum AcousticPro UHD 135 英寸电动投影仪屏幕 电动投影仪屏幕 16:9 4K 无摩尔纹声音透明穿孔编织 4K Ready 下拉式投影仪屏幕</v>
      </c>
      <c r="E557" s="1" t="str">
        <f>IFERROR(__xludf.DUMMYFUNCTION("CONCATENATE(GOOGLETRANSLATE(C557, ""en"", ""ko""))"),"엘리트 스크린 Spectrum AcousticPro UHD 135인치 전동 프로젝터 스크린 전기 프로젝션 스크린 16:9 4K 모아레 없는 사운드 투명 천공 직조 4K Ready 드롭다운 프로젝터 스크린")</f>
        <v>엘리트 스크린 Spectrum AcousticPro UHD 135인치 전동 프로젝터 스크린 전기 프로젝션 스크린 16:9 4K 모아레 없는 사운드 투명 천공 직조 4K Ready 드롭다운 프로젝터 스크린</v>
      </c>
      <c r="F557" s="1" t="str">
        <f>IFERROR(__xludf.DUMMYFUNCTION("CONCATENATE(GOOGLETRANSLATE(C557, ""en"", ""ja""))"),"Elite Screens Spectrum AcousticPro UHD 135 インチ電動プロジェクタースクリーン電動投影スクリーン 16:9 4K モアレフリーサウンド透明穴あき織り 4K 対応ドロップダウンプロジェクタースクリーン")</f>
        <v>Elite Screens Spectrum AcousticPro UHD 135 インチ電動プロジェクタースクリーン電動投影スクリーン 16:9 4K モアレフリーサウンド透明穴あき織り 4K 対応ドロップダウンプロジェクタースクリーン</v>
      </c>
    </row>
    <row r="558" ht="15.75" customHeight="1">
      <c r="A558" s="1">
        <v>3527.0</v>
      </c>
      <c r="B558" s="1" t="s">
        <v>6</v>
      </c>
      <c r="C558" s="1" t="s">
        <v>544</v>
      </c>
      <c r="D558" s="1" t="str">
        <f>IFERROR(__xludf.DUMMYFUNCTION("CONCATENATE(GOOGLETRANSLATE(C558, ""en"", ""zh-cn""))
"),"联想 IdeaCentre 5i 游戏台式机，第 12 代英特尔酷睿 i7-12700，Geforce RTX 3060，32GB RAM，512GB PCIe SSD + 1TB HDD，Wi-Fi 6，DisplayPort，HDMI，Windows 11 Home，黑色")</f>
        <v>联想 IdeaCentre 5i 游戏台式机，第 12 代英特尔酷睿 i7-12700，Geforce RTX 3060，32GB RAM，512GB PCIe SSD + 1TB HDD，Wi-Fi 6，DisplayPort，HDMI，Windows 11 Home，黑色</v>
      </c>
      <c r="E558" s="1" t="str">
        <f>IFERROR(__xludf.DUMMYFUNCTION("CONCATENATE(GOOGLETRANSLATE(C558, ""en"", ""ko""))"),"Lenovo IdeaCentre 5i 게이밍 데스크탑, 12세대 인텔 코어 i7-12700, Geforce RTX 3060, 32GB RAM, 512GB PCIe SSD + 1TB HDD, Wi-Fi 6, DisplayPort, HDMI, Windows 11 Home, 블랙")</f>
        <v>Lenovo IdeaCentre 5i 게이밍 데스크탑, 12세대 인텔 코어 i7-12700, Geforce RTX 3060, 32GB RAM, 512GB PCIe SSD + 1TB HDD, Wi-Fi 6, DisplayPort, HDMI, Windows 11 Home, 블랙</v>
      </c>
      <c r="F558" s="1" t="str">
        <f>IFERROR(__xludf.DUMMYFUNCTION("CONCATENATE(GOOGLETRANSLATE(C558, ""en"", ""ja""))"),"Lenovo IdeaCentre 5i ゲーミング デスクトップ、第 12 世代 Intel Core i7-12700、Geforce RTX 3060、32GB RAM、512GB PCIe SSD + 1TB HDD、Wi-Fi 6、DisplayPort、HDMI、Windows 11 Home、ブラック")</f>
        <v>Lenovo IdeaCentre 5i ゲーミング デスクトップ、第 12 世代 Intel Core i7-12700、Geforce RTX 3060、32GB RAM、512GB PCIe SSD + 1TB HDD、Wi-Fi 6、DisplayPort、HDMI、Windows 11 Home、ブラック</v>
      </c>
    </row>
    <row r="559" ht="15.75" customHeight="1">
      <c r="A559" s="1">
        <v>3531.0</v>
      </c>
      <c r="B559" s="1" t="s">
        <v>6</v>
      </c>
      <c r="C559" s="1" t="s">
        <v>545</v>
      </c>
      <c r="D559" s="1" t="str">
        <f>IFERROR(__xludf.DUMMYFUNCTION("CONCATENATE(GOOGLETRANSLATE(C559, ""en"", ""zh-cn""))
"),"4 件装（黑色+C+Y+M）658A | W2000A W2001A W2002A W2003A 碳粉盒兼容 HP Color Laserjet Enterprise M751 M751n(T3U43A) M751dn(T3U44A) 打印机墨盒")</f>
        <v>4 件装（黑色+C+Y+M）658A | W2000A W2001A W2002A W2003A 碳粉盒兼容 HP Color Laserjet Enterprise M751 M751n(T3U43A) M751dn(T3U44A) 打印机墨盒</v>
      </c>
      <c r="E559" s="1" t="str">
        <f>IFERROR(__xludf.DUMMYFUNCTION("CONCATENATE(GOOGLETRANSLATE(C559, ""en"", ""ko""))"),"4팩(BK+C+Y+M) 658A | W2000A W2001A W2002A W2003A HP 컬러 레이저젯 엔터프라이즈 M751 M751n(T3U43A) M751dn(T3U44A) 프린터 잉크 카트리지와 호환되는 토너 카트리지")</f>
        <v>4팩(BK+C+Y+M) 658A | W2000A W2001A W2002A W2003A HP 컬러 레이저젯 엔터프라이즈 M751 M751n(T3U43A) M751dn(T3U44A) 프린터 잉크 카트리지와 호환되는 토너 카트리지</v>
      </c>
      <c r="F559" s="1" t="str">
        <f>IFERROR(__xludf.DUMMYFUNCTION("CONCATENATE(GOOGLETRANSLATE(C559, ""en"", ""ja""))"),"4 パック (BK+C+Y+M) 658A | W2000A W2001A W2002A W2003A トナー カートリッジ HP Color Laserjet Enterprise M751 M751n(T3U43A) M751dn(T3U44A) プリンタ インク カートリッジと互換性あり")</f>
        <v>4 パック (BK+C+Y+M) 658A | W2000A W2001A W2002A W2003A トナー カートリッジ HP Color Laserjet Enterprise M751 M751n(T3U43A) M751dn(T3U44A) プリンタ インク カートリッジと互換性あり</v>
      </c>
    </row>
    <row r="560" ht="15.75" customHeight="1">
      <c r="A560" s="1">
        <v>3535.0</v>
      </c>
      <c r="B560" s="1" t="s">
        <v>6</v>
      </c>
      <c r="C560" s="1" t="s">
        <v>546</v>
      </c>
      <c r="D560" s="1" t="str">
        <f>IFERROR(__xludf.DUMMYFUNCTION("CONCATENATE(GOOGLETRANSLATE(C560, ""en"", ""zh-cn""))
"),"HP Envy 笔记本电脑， 17.3英寸全高清触摸屏，第12代英特尔酷睿 i7-1260P，32GB RAM，1TB PCIe SSD，红外摄像头，背光键盘，HDMI，Wi-Fi 6，Windows 11 Home，银色")</f>
        <v>HP Envy 笔记本电脑， 17.3英寸全高清触摸屏，第12代英特尔酷睿 i7-1260P，32GB RAM，1TB PCIe SSD，红外摄像头，背光键盘，HDMI，Wi-Fi 6，Windows 11 Home，银色</v>
      </c>
      <c r="E560" s="1" t="str">
        <f>IFERROR(__xludf.DUMMYFUNCTION("CONCATENATE(GOOGLETRANSLATE(C560, ""en"", ""ko""))"),"HP Envy 노트북, 17.3 풀 HD 터치스크린, 12세대 인텔 코어 i7-1260P, 32GB RAM, 1TB PCIe SSD, IR 카메라, 백라이트 키보드, HDMI, Wi-Fi 6, Windows 11 Home, 실버")</f>
        <v>HP Envy 노트북, 17.3 풀 HD 터치스크린, 12세대 인텔 코어 i7-1260P, 32GB RAM, 1TB PCIe SSD, IR 카메라, 백라이트 키보드, HDMI, Wi-Fi 6, Windows 11 Home, 실버</v>
      </c>
      <c r="F560" s="1" t="str">
        <f>IFERROR(__xludf.DUMMYFUNCTION("CONCATENATE(GOOGLETRANSLATE(C560, ""en"", ""ja""))"),"HP Envy ラップトップ、17.3 フル HD タッチスクリーン、第 12 世代 Intel Core i7-1260P、32GB RAM、1TB PCIe SSD、IR カメラ、バックライト付きキーボード、HDMI、Wi-Fi 6、Windows 11 Home、シルバー")</f>
        <v>HP Envy ラップトップ、17.3 フル HD タッチスクリーン、第 12 世代 Intel Core i7-1260P、32GB RAM、1TB PCIe SSD、IR カメラ、バックライト付きキーボード、HDMI、Wi-Fi 6、Windows 11 Home、シルバー</v>
      </c>
    </row>
    <row r="561" ht="15.75" customHeight="1">
      <c r="A561" s="1">
        <v>3575.0</v>
      </c>
      <c r="B561" s="1" t="s">
        <v>6</v>
      </c>
      <c r="C561" s="1" t="s">
        <v>547</v>
      </c>
      <c r="D561" s="1" t="str">
        <f>IFERROR(__xludf.DUMMYFUNCTION("CONCATENATE(GOOGLETRANSLATE(C561, ""en"", ""zh-cn""))
"),"2020 款联想 ThinkPad E15 15.6 英寸全高清商务笔记本电脑，第 10 代英特尔 i5-10210U（高达 4.20GHz），32GB RAM，1TB SSD，WiFi HDMI Win10 Pro")</f>
        <v>2020 款联想 ThinkPad E15 15.6 英寸全高清商务笔记本电脑，第 10 代英特尔 i5-10210U（高达 4.20GHz），32GB RAM，1TB SSD，WiFi HDMI Win10 Pro</v>
      </c>
      <c r="E561" s="1" t="str">
        <f>IFERROR(__xludf.DUMMYFUNCTION("CONCATENATE(GOOGLETRANSLATE(C561, ""en"", ""ko""))"),"2020 레노버 씽크패드 E15 15.6인치 FHD 비즈니스 노트북 컴퓨터, 10세대 인텔 i5-10210U(최대 4.20GHz), 32GB RAM, 1TB SSD, WiFi HDMI Win10 Pro")</f>
        <v>2020 레노버 씽크패드 E15 15.6인치 FHD 비즈니스 노트북 컴퓨터, 10세대 인텔 i5-10210U(최대 4.20GHz), 32GB RAM, 1TB SSD, WiFi HDMI Win10 Pro</v>
      </c>
      <c r="F561" s="1" t="str">
        <f>IFERROR(__xludf.DUMMYFUNCTION("CONCATENATE(GOOGLETRANSLATE(C561, ""en"", ""ja""))"),"2020 Lenovo ThinkPad E15 15.6 インチ FHD ビジネス ラップトップ コンピューター、第 10 世代 Intel i5-10210U (最大 4.20GHz)、32GB RAM、1TB SSD、WiFi HDMI Win10 Pro")</f>
        <v>2020 Lenovo ThinkPad E15 15.6 インチ FHD ビジネス ラップトップ コンピューター、第 10 世代 Intel i5-10210U (最大 4.20GHz)、32GB RAM、1TB SSD、WiFi HDMI Win10 Pro</v>
      </c>
    </row>
    <row r="562" ht="15.75" customHeight="1">
      <c r="A562" s="1">
        <v>3584.0</v>
      </c>
      <c r="B562" s="1" t="s">
        <v>6</v>
      </c>
      <c r="C562" s="1" t="s">
        <v>548</v>
      </c>
      <c r="D562" s="1" t="str">
        <f>IFERROR(__xludf.DUMMYFUNCTION("CONCATENATE(GOOGLETRANSLATE(C562, ""en"", ""zh-cn""))
"),"联想 IdeaPad Slim 9i 14 商务笔记本电脑 | 联想14 超高清 4K 多点触控（500 尼特）|第 11 代英特尔 4 核 i7-1195G7 | 16GB DDR4 512GB 固态硬盘 |指纹背光 Thunderbolt Win11Pro 黑色 + USB-C 适配器")</f>
        <v>联想 IdeaPad Slim 9i 14 商务笔记本电脑 | 联想14 超高清 4K 多点触控（500 尼特）|第 11 代英特尔 4 核 i7-1195G7 | 16GB DDR4 512GB 固态硬盘 |指纹背光 Thunderbolt Win11Pro 黑色 + USB-C 适配器</v>
      </c>
      <c r="E562" s="1" t="str">
        <f>IFERROR(__xludf.DUMMYFUNCTION("CONCATENATE(GOOGLETRANSLATE(C562, ""en"", ""ko""))"),"Lenovo IdeaPad Slim 9i 14 비즈니스 노트북 | 14 UHD 4K 멀티터치(500nits) | 11세대 인텔 4코어 i7-1195G7 | 16GB DDR4 512GB SSD | 지문 백라이트 Thunderbolt Win11Pro 블랙 + USB-C 어댑터")</f>
        <v>Lenovo IdeaPad Slim 9i 14 비즈니스 노트북 | 14 UHD 4K 멀티터치(500nits) | 11세대 인텔 4코어 i7-1195G7 | 16GB DDR4 512GB SSD | 지문 백라이트 Thunderbolt Win11Pro 블랙 + USB-C 어댑터</v>
      </c>
      <c r="F562" s="1" t="str">
        <f>IFERROR(__xludf.DUMMYFUNCTION("CONCATENATE(GOOGLETRANSLATE(C562, ""en"", ""ja""))"),"Lenovo IdeaPad スリム 9i 14 ビジネス ノートパソコン | 14 UHD 4K マルチタッチ (500nits) |第 11 世代インテル 4 コア i7-1195G7 | 16GB DDR4 512GB SSD |指紋認証バックライト付き Thunderbolt Win11Pro ブラック + USB-C アダプター")</f>
        <v>Lenovo IdeaPad スリム 9i 14 ビジネス ノートパソコン | 14 UHD 4K マルチタッチ (500nits) |第 11 世代インテル 4 コア i7-1195G7 | 16GB DDR4 512GB SSD |指紋認証バックライト付き Thunderbolt Win11Pro ブラック + USB-C アダプター</v>
      </c>
    </row>
    <row r="563" ht="15.75" customHeight="1">
      <c r="A563" s="1">
        <v>3594.0</v>
      </c>
      <c r="B563" s="1" t="s">
        <v>6</v>
      </c>
      <c r="C563" s="1" t="s">
        <v>549</v>
      </c>
      <c r="D563" s="1" t="str">
        <f>IFERROR(__xludf.DUMMYFUNCTION("CONCATENATE(GOOGLETRANSLATE(C563, ""en"", ""zh-cn""))
"),"aoonav Android 11 Snapdragon 665 汽车立体声收音机 适用于道奇 Ram 2018 2019 2020 2021 汽车音频 12.1 英寸多媒体视频播放器 GPS 导航 1080P 触摸屏 Carplay WiFi 蓝牙主机")</f>
        <v>aoonav Android 11 Snapdragon 665 汽车立体声收音机 适用于道奇 Ram 2018 2019 2020 2021 汽车音频 12.1 英寸多媒体视频播放器 GPS 导航 1080P 触摸屏 Carplay WiFi 蓝牙主机</v>
      </c>
      <c r="E563" s="1" t="str">
        <f>IFERROR(__xludf.DUMMYFUNCTION("CONCATENATE(GOOGLETRANSLATE(C563, ""en"", ""ko""))"),"Aoonav 안드로이드 11 금어초 665 자동차 스테레오 라디오 닷지 램 2018 2019 2020 2021 자동 오디오 12.1 인치 멀티미디어 비디오 플레이어 GPS 네비게이션 1080P 터치 스크린 Carplay WiFi 블루투스 헤드 유닛")</f>
        <v>Aoonav 안드로이드 11 금어초 665 자동차 스테레오 라디오 닷지 램 2018 2019 2020 2021 자동 오디오 12.1 인치 멀티미디어 비디오 플레이어 GPS 네비게이션 1080P 터치 스크린 Carplay WiFi 블루투스 헤드 유닛</v>
      </c>
      <c r="F563" s="1" t="str">
        <f>IFERROR(__xludf.DUMMYFUNCTION("CONCATENATE(GOOGLETRANSLATE(C563, ""en"", ""ja""))"),"aoonav Android 11 Snapdragon 665 カーステレオラジオ ダッジ・ラム 2018 2019 2020 2021 オートオーディオ 12.1 インチ マルチメディア ビデオ プレーヤー GPS ナビゲーション 1080P タッチ スクリーン Carplay WiFi Bluetooth ヘッドユニット")</f>
        <v>aoonav Android 11 Snapdragon 665 カーステレオラジオ ダッジ・ラム 2018 2019 2020 2021 オートオーディオ 12.1 インチ マルチメディア ビデオ プレーヤー GPS ナビゲーション 1080P タッチ スクリーン Carplay WiFi Bluetooth ヘッドユニット</v>
      </c>
    </row>
    <row r="564" ht="15.75" customHeight="1">
      <c r="A564" s="1">
        <v>3632.0</v>
      </c>
      <c r="B564" s="1" t="s">
        <v>6</v>
      </c>
      <c r="C564" s="1" t="s">
        <v>550</v>
      </c>
      <c r="D564" s="1" t="str">
        <f>IFERROR(__xludf.DUMMYFUNCTION("CONCATENATE(GOOGLETRANSLATE(C564, ""en"", ""zh-cn""))
"),"戴尔 Optiplex 3000 MFF 商用台式机，第 12 代英特尔酷睿 i5-12500T，16GB RAM，512GB PCIe SSD，HDMI，Displayport，RJ-45，有线键盘和鼠标，Wi-Fi 6，Windows 11 Pro，黑色，16GB RAM | 512GB 固态硬盘")</f>
        <v>戴尔 Optiplex 3000 MFF 商用台式机，第 12 代英特尔酷睿 i5-12500T，16GB RAM，512GB PCIe SSD，HDMI，Displayport，RJ-45，有线键盘和鼠标，Wi-Fi 6，Windows 11 Pro，黑色，16GB RAM | 512GB 固态硬盘</v>
      </c>
      <c r="E564" s="1" t="str">
        <f>IFERROR(__xludf.DUMMYFUNCTION("CONCATENATE(GOOGLETRANSLATE(C564, ""en"", ""ko""))"),"Dell Optiplex 3000 MFF 비즈니스 데스크탑, 12세대 Intel Core i5-12500T, 16GB RAM, 512GB PCIe SSD, HDMI, 디스플레이포트, RJ-45, 유선 키보드 및 마우스, Wi-Fi 6, Windows 11 Pro, 블랙, 16GB RAM | 512GB SSD")</f>
        <v>Dell Optiplex 3000 MFF 비즈니스 데스크탑, 12세대 Intel Core i5-12500T, 16GB RAM, 512GB PCIe SSD, HDMI, 디스플레이포트, RJ-45, 유선 키보드 및 마우스, Wi-Fi 6, Windows 11 Pro, 블랙, 16GB RAM | 512GB SSD</v>
      </c>
      <c r="F564" s="1" t="str">
        <f>IFERROR(__xludf.DUMMYFUNCTION("CONCATENATE(GOOGLETRANSLATE(C564, ""en"", ""ja""))"),"Dell Optiplex 3000 MFF ビジネス デスクトップ、第 12 世代インテル Core i5-12500T、16GB RAM、512GB PCIe SSD、HDMI、ディスプレイポート、RJ-45、有線キーボード&amp;マウス、Wi-Fi 6、Windows 11 Pro、ブラック、16GB RAM | 512GB SSD")</f>
        <v>Dell Optiplex 3000 MFF ビジネス デスクトップ、第 12 世代インテル Core i5-12500T、16GB RAM、512GB PCIe SSD、HDMI、ディスプレイポート、RJ-45、有線キーボード&amp;マウス、Wi-Fi 6、Windows 11 Pro、ブラック、16GB RAM | 512GB SSD</v>
      </c>
    </row>
    <row r="565" ht="15.75" customHeight="1">
      <c r="A565" s="1">
        <v>3641.0</v>
      </c>
      <c r="B565" s="1" t="s">
        <v>6</v>
      </c>
      <c r="C565" s="1" t="s">
        <v>551</v>
      </c>
      <c r="D565" s="1" t="str">
        <f>IFERROR(__xludf.DUMMYFUNCTION("CONCATENATE(GOOGLETRANSLATE(C565, ""en"", ""zh-cn""))
"),"2020 Apple iPad Pro 第二代（11 英寸，Wi-Fi + 蜂窝网络，256GB）深空灰色（续订）")</f>
        <v>2020 Apple iPad Pro 第二代（11 英寸，Wi-Fi + 蜂窝网络，256GB）深空灰色（续订）</v>
      </c>
      <c r="E565" s="1" t="str">
        <f>IFERROR(__xludf.DUMMYFUNCTION("CONCATENATE(GOOGLETRANSLATE(C565, ""en"", ""ko""))"),"2020 애플 아이패드 프로 2세대(11인치, Wi-Fi + Cellular, 256GB) 스페이스 그레이(리뉴얼)")</f>
        <v>2020 애플 아이패드 프로 2세대(11인치, Wi-Fi + Cellular, 256GB) 스페이스 그레이(리뉴얼)</v>
      </c>
      <c r="F565" s="1" t="str">
        <f>IFERROR(__xludf.DUMMYFUNCTION("CONCATENATE(GOOGLETRANSLATE(C565, ""en"", ""ja""))"),"2020 Apple iPad Pro 第 2 世代 (11 インチ、Wi-Fi + Cellular、256GB) スペース グレイ (リニューアル)")</f>
        <v>2020 Apple iPad Pro 第 2 世代 (11 インチ、Wi-Fi + Cellular、256GB) スペース グレイ (リニューアル)</v>
      </c>
    </row>
    <row r="566" ht="15.75" customHeight="1">
      <c r="A566" s="1">
        <v>3652.0</v>
      </c>
      <c r="B566" s="1" t="s">
        <v>6</v>
      </c>
      <c r="C566" s="1" t="s">
        <v>552</v>
      </c>
      <c r="D566" s="1" t="str">
        <f>IFERROR(__xludf.DUMMYFUNCTION("CONCATENATE(GOOGLETRANSLATE(C566, ""en"", ""zh-cn""))
"),"Apple iPad Pro 10.5 英寸 - 512GB Wifi - 2017 型号 - 银色（已更新）")</f>
        <v>Apple iPad Pro 10.5 英寸 - 512GB Wifi - 2017 型号 - 银色（已更新）</v>
      </c>
      <c r="E566" s="1" t="str">
        <f>IFERROR(__xludf.DUMMYFUNCTION("CONCATENATE(GOOGLETRANSLATE(C566, ""en"", ""ko""))"),"애플 아이패드 프로 10.5인치 - 512GB 와이파이 - 2017 모델 - 실버(리뉴얼)")</f>
        <v>애플 아이패드 프로 10.5인치 - 512GB 와이파이 - 2017 모델 - 실버(리뉴얼)</v>
      </c>
      <c r="F566" s="1" t="str">
        <f>IFERROR(__xludf.DUMMYFUNCTION("CONCATENATE(GOOGLETRANSLATE(C566, ""en"", ""ja""))"),"Apple iPad Pro 10.5インチ - 512GB Wifi - 2017年モデル - シルバー (リニューアル)")</f>
        <v>Apple iPad Pro 10.5インチ - 512GB Wifi - 2017年モデル - シルバー (リニューアル)</v>
      </c>
    </row>
    <row r="567" ht="15.75" customHeight="1">
      <c r="A567" s="1">
        <v>3655.0</v>
      </c>
      <c r="B567" s="1" t="s">
        <v>6</v>
      </c>
      <c r="C567" s="1" t="s">
        <v>553</v>
      </c>
      <c r="D567" s="1" t="str">
        <f>IFERROR(__xludf.DUMMYFUNCTION("CONCATENATE(GOOGLETRANSLATE(C567, ""en"", ""zh-cn""))
"),"HP 2022 最新 17.3 HD+ 显示屏笔记本电脑，第 11 代 Intel Core i3-1115G4（高达 4.1GHz，击败 i5-1030G7），32GB DDR4 RAM，1TB PCIe SSD，蓝牙，HDMI，网络摄像头，Windows 11，银色，带 3 合 1 配件")</f>
        <v>HP 2022 最新 17.3 HD+ 显示屏笔记本电脑，第 11 代 Intel Core i3-1115G4（高达 4.1GHz，击败 i5-1030G7），32GB DDR4 RAM，1TB PCIe SSD，蓝牙，HDMI，网络摄像头，Windows 11，银色，带 3 合 1 配件</v>
      </c>
      <c r="E567" s="1" t="str">
        <f>IFERROR(__xludf.DUMMYFUNCTION("CONCATENATE(GOOGLETRANSLATE(C567, ""en"", ""ko""))"),"HP 2022 최신 17.3 HD+ 디스플레이 노트북, 11세대 Intel Core i3-1115G4(최대 4.1GHz, Beat i5-1030G7), 32GB DDR4 RAM, 1TB PCIe SSD, Bluetooth, HDMI, 웹캠, Windows 11, 실버, 3in1 액세서리 포함")</f>
        <v>HP 2022 최신 17.3 HD+ 디스플레이 노트북, 11세대 Intel Core i3-1115G4(최대 4.1GHz, Beat i5-1030G7), 32GB DDR4 RAM, 1TB PCIe SSD, Bluetooth, HDMI, 웹캠, Windows 11, 실버, 3in1 액세서리 포함</v>
      </c>
      <c r="F567" s="1" t="str">
        <f>IFERROR(__xludf.DUMMYFUNCTION("CONCATENATE(GOOGLETRANSLATE(C567, ""en"", ""ja""))"),"HP 2022 最新 17.3 HD+ ディスプレイ ラップトップ、第 11 世代インテル Core i3-1115G4 (最大 4.1 GHz、Beat i5-1030G7)、32GB DDR4 RAM、1TB PCIe SSD、Bluetooth、HDMI、Web カメラ、Windows 11、シルバー、3in1 アクセサリ付き")</f>
        <v>HP 2022 最新 17.3 HD+ ディスプレイ ラップトップ、第 11 世代インテル Core i3-1115G4 (最大 4.1 GHz、Beat i5-1030G7)、32GB DDR4 RAM、1TB PCIe SSD、Bluetooth、HDMI、Web カメラ、Windows 11、シルバー、3in1 アクセサリ付き</v>
      </c>
    </row>
    <row r="568" ht="15.75" customHeight="1">
      <c r="A568" s="1">
        <v>3663.0</v>
      </c>
      <c r="B568" s="1" t="s">
        <v>6</v>
      </c>
      <c r="C568" s="1" t="s">
        <v>554</v>
      </c>
      <c r="D568" s="1" t="str">
        <f>IFERROR(__xludf.DUMMYFUNCTION("CONCATENATE(GOOGLETRANSLATE(C568, ""en"", ""zh-cn""))
"),"HP 2022 最新 17 笔记本电脑，17.3 FHD IPS 显示屏，英特尔酷睿 i5-1135G7 四核处理器，英特尔 Iris Xe 显卡，16GB RAM，1TB PCIe SSD，HDMI，Windows 11 + 超细纤维布")</f>
        <v>HP 2022 最新 17 笔记本电脑，17.3 FHD IPS 显示屏，英特尔酷睿 i5-1135G7 四核处理器，英特尔 Iris Xe 显卡，16GB RAM，1TB PCIe SSD，HDMI，Windows 11 + 超细纤维布</v>
      </c>
      <c r="E568" s="1" t="str">
        <f>IFERROR(__xludf.DUMMYFUNCTION("CONCATENATE(GOOGLETRANSLATE(C568, ""en"", ""ko""))"),"HP 2022 최신 17 노트북, 17.3 FHD IPS 디스플레이, Intel Core i5-1135G7 쿼드 코어 프로세서, Intel Iris Xe 그래픽, 16GB RAM, 1TB PCIe SSD, HDMI, Windows 11 + 마이크로파이버 천")</f>
        <v>HP 2022 최신 17 노트북, 17.3 FHD IPS 디스플레이, Intel Core i5-1135G7 쿼드 코어 프로세서, Intel Iris Xe 그래픽, 16GB RAM, 1TB PCIe SSD, HDMI, Windows 11 + 마이크로파이버 천</v>
      </c>
      <c r="F568" s="1" t="str">
        <f>IFERROR(__xludf.DUMMYFUNCTION("CONCATENATE(GOOGLETRANSLATE(C568, ""en"", ""ja""))"),"HP 2022 最新 17 ラップトップ、17.3 FHD IPS ディスプレイ、Intel Core i5-1135G7 クアッドコア プロセッサ、Intel Iris Xe グラフィックス、16GB RAM、1TB PCIe SSD、HDMI、Windows 11 + マイクロファイバー クロス")</f>
        <v>HP 2022 最新 17 ラップトップ、17.3 FHD IPS ディスプレイ、Intel Core i5-1135G7 クアッドコア プロセッサ、Intel Iris Xe グラフィックス、16GB RAM、1TB PCIe SSD、HDMI、Windows 11 + マイクロファイバー クロス</v>
      </c>
    </row>
    <row r="569" ht="15.75" customHeight="1">
      <c r="A569" s="1">
        <v>3687.0</v>
      </c>
      <c r="B569" s="1" t="s">
        <v>6</v>
      </c>
      <c r="C569" s="1" t="s">
        <v>555</v>
      </c>
      <c r="D569" s="1" t="str">
        <f>IFERROR(__xludf.DUMMYFUNCTION("CONCATENATE(GOOGLETRANSLATE(C569, ""en"", ""zh-cn""))
"),"GoPro HERO11 Black Creator 版 - 包括 HERO11、Volta（电池手柄、三脚架、遥控器）、媒体模块、灯光模块、Enduro 电池和便携包")</f>
        <v>GoPro HERO11 Black Creator 版 - 包括 HERO11、Volta（电池手柄、三脚架、遥控器）、媒体模块、灯光模块、Enduro 电池和便携包</v>
      </c>
      <c r="E569" s="1" t="str">
        <f>IFERROR(__xludf.DUMMYFUNCTION("CONCATENATE(GOOGLETRANSLATE(C569, ""en"", ""ko""))"),"GoPro HERO11 Black Creator Edition - HERO11, Volta(배터리 그립, 삼각대, 리모컨), 미디어 모드, 라이트 모드, 엔듀로 배터리 및 휴대용 케이스 포함")</f>
        <v>GoPro HERO11 Black Creator Edition - HERO11, Volta(배터리 그립, 삼각대, 리모컨), 미디어 모드, 라이트 모드, 엔듀로 배터리 및 휴대용 케이스 포함</v>
      </c>
      <c r="F569" s="1" t="str">
        <f>IFERROR(__xludf.DUMMYFUNCTION("CONCATENATE(GOOGLETRANSLATE(C569, ""en"", ""ja""))"),"GoPro HERO11 Black Creator Edition - HERO11、Volta (バッテリー グリップ、三脚、リモート)、メディア モジュール、ライト モジュール、エンデューロ バッテリー、およびキャリング ケースが含まれます")</f>
        <v>GoPro HERO11 Black Creator Edition - HERO11、Volta (バッテリー グリップ、三脚、リモート)、メディア モジュール、ライト モジュール、エンデューロ バッテリー、およびキャリング ケースが含まれます</v>
      </c>
    </row>
    <row r="570" ht="15.75" customHeight="1">
      <c r="A570" s="1">
        <v>3691.0</v>
      </c>
      <c r="B570" s="1" t="s">
        <v>6</v>
      </c>
      <c r="C570" s="1" t="s">
        <v>556</v>
      </c>
      <c r="D570" s="1" t="str">
        <f>IFERROR(__xludf.DUMMYFUNCTION("CONCATENATE(GOOGLETRANSLATE(C570, ""en"", ""zh-cn""))
"),"联想 IdeaPad 3 笔记本电脑， 15.6 HD+ 显示屏，AMD Ryzen 5 5500U，8GB RAM，512GB 存储，AMD Radeon 7 显卡，Windows 11 Home，深渊蓝")</f>
        <v>联想 IdeaPad 3 笔记本电脑， 15.6 HD+ 显示屏，AMD Ryzen 5 5500U，8GB RAM，512GB 存储，AMD Radeon 7 显卡，Windows 11 Home，深渊蓝</v>
      </c>
      <c r="E570" s="1" t="str">
        <f>IFERROR(__xludf.DUMMYFUNCTION("CONCATENATE(GOOGLETRANSLATE(C570, ""en"", ""ko""))"),"Lenovo IdeaPad 3 노트북, 15.6 HD+ 디스플레이, AMD Ryzen 5 5500U, 8GB RAM, 512GB 스토리지, AMD Radeon 7 그래픽, Windows 11 Home, Abyss Blue")</f>
        <v>Lenovo IdeaPad 3 노트북, 15.6 HD+ 디스플레이, AMD Ryzen 5 5500U, 8GB RAM, 512GB 스토리지, AMD Radeon 7 그래픽, Windows 11 Home, Abyss Blue</v>
      </c>
      <c r="F570" s="1" t="str">
        <f>IFERROR(__xludf.DUMMYFUNCTION("CONCATENATE(GOOGLETRANSLATE(C570, ""en"", ""ja""))"),"Lenovo IdeaPad 3 ラップトップ、15.6 HD+ ディスプレイ、AMD Ryzen 5 5500U、8GB RAM、512GB ストレージ、AMD Radeon 7 グラフィックス、Windows 11 Home、アビス ブルー")</f>
        <v>Lenovo IdeaPad 3 ラップトップ、15.6 HD+ ディスプレイ、AMD Ryzen 5 5500U、8GB RAM、512GB ストレージ、AMD Radeon 7 グラフィックス、Windows 11 Home、アビス ブルー</v>
      </c>
    </row>
    <row r="571" ht="15.75" customHeight="1">
      <c r="A571" s="1">
        <v>3719.0</v>
      </c>
      <c r="B571" s="1" t="s">
        <v>6</v>
      </c>
      <c r="C571" s="1" t="s">
        <v>557</v>
      </c>
      <c r="D571" s="1" t="str">
        <f>IFERROR(__xludf.DUMMYFUNCTION("CONCATENATE(GOOGLETRANSLATE(C571, ""en"", ""zh-cn""))
"),"BUFFALO LinkStation 720 16TB 2 盘位家庭办公室私有云数据存储（含硬盘）/计算机网络附加存储/NAS 存储/网络存储/媒体服务器/文件服务器")</f>
        <v>BUFFALO LinkStation 720 16TB 2 盘位家庭办公室私有云数据存储（含硬盘）/计算机网络附加存储/NAS 存储/网络存储/媒体服务器/文件服务器</v>
      </c>
      <c r="E571" s="1" t="str">
        <f>IFERROR(__xludf.DUMMYFUNCTION("CONCATENATE(GOOGLETRANSLATE(C571, ""en"", ""ko""))"),"BUFFALO LinkStation 720 16TB 2베이 홈 오피스 개인 클라우드 데이터 스토리지(하드 드라이브 포함)/컴퓨터 네트워크 연결 스토리지/NAS 스토리지/네트워크 스토리지/미디어 서버/파일 서버")</f>
        <v>BUFFALO LinkStation 720 16TB 2베이 홈 오피스 개인 클라우드 데이터 스토리지(하드 드라이브 포함)/컴퓨터 네트워크 연결 스토리지/NAS 스토리지/네트워크 스토리지/미디어 서버/파일 서버</v>
      </c>
      <c r="F571" s="1" t="str">
        <f>IFERROR(__xludf.DUMMYFUNCTION("CONCATENATE(GOOGLETRANSLATE(C571, ""en"", ""ja""))"),"BUFFALO LinkStation 720 16TB 2ベイ ホームオフィス プライベートクラウド データストレージ ハードドライブ付属/コンピュータネットワーク接続ストレージ/NASストレージ/ネットワークストレージ/メディアサーバー/ファイルサーバー")</f>
        <v>BUFFALO LinkStation 720 16TB 2ベイ ホームオフィス プライベートクラウド データストレージ ハードドライブ付属/コンピュータネットワーク接続ストレージ/NASストレージ/ネットワークストレージ/メディアサーバー/ファイルサーバー</v>
      </c>
    </row>
    <row r="572" ht="15.75" customHeight="1">
      <c r="A572" s="1">
        <v>3732.0</v>
      </c>
      <c r="B572" s="1" t="s">
        <v>6</v>
      </c>
      <c r="C572" s="1" t="s">
        <v>558</v>
      </c>
      <c r="D572" s="1" t="str">
        <f>IFERROR(__xludf.DUMMYFUNCTION("CONCATENATE(GOOGLETRANSLATE(C572, ""en"", ""zh-cn""))
"),"2022 最新戴尔 Inspiron 15 3511 笔记本电脑，15.6 FHD 触摸屏，Intel Core i5-1035G1，16GB RAM，1TB PCIe NVMe M.2 SSD，SD 读卡器，网络摄像头，HDMI，WiFi，Windows 11 Home，黑色")</f>
        <v>2022 最新戴尔 Inspiron 15 3511 笔记本电脑，15.6 FHD 触摸屏，Intel Core i5-1035G1，16GB RAM，1TB PCIe NVMe M.2 SSD，SD 读卡器，网络摄像头，HDMI，WiFi，Windows 11 Home，黑色</v>
      </c>
      <c r="E572" s="1" t="str">
        <f>IFERROR(__xludf.DUMMYFUNCTION("CONCATENATE(GOOGLETRANSLATE(C572, ""en"", ""ko""))"),"2022 최신 Dell Inspiron 15 3511 노트북, 15.6 FHD 터치스크린, Intel Core i5-1035G1, 16GB RAM, 1TB PCIe NVMe M.2 SSD, SD 카드 리더기, 웹캠, HDMI, WiFi, Windows 11 Home, 블랙")</f>
        <v>2022 최신 Dell Inspiron 15 3511 노트북, 15.6 FHD 터치스크린, Intel Core i5-1035G1, 16GB RAM, 1TB PCIe NVMe M.2 SSD, SD 카드 리더기, 웹캠, HDMI, WiFi, Windows 11 Home, 블랙</v>
      </c>
      <c r="F572" s="1" t="str">
        <f>IFERROR(__xludf.DUMMYFUNCTION("CONCATENATE(GOOGLETRANSLATE(C572, ""en"", ""ja""))"),"2022 最新 Dell Inspiron 15 3511 ラップトップ、15.6 FHD タッチスクリーン、Intel Core i5-1035G1、16GB RAM、1TB PCIe NVMe M.2 SSD、SD カード リーダー、ウェブカメラ、HDMI、WiFi、Windows 11 Home、ブラック")</f>
        <v>2022 最新 Dell Inspiron 15 3511 ラップトップ、15.6 FHD タッチスクリーン、Intel Core i5-1035G1、16GB RAM、1TB PCIe NVMe M.2 SSD、SD カード リーダー、ウェブカメラ、HDMI、WiFi、Windows 11 Home、ブラック</v>
      </c>
    </row>
    <row r="573" ht="15.75" customHeight="1">
      <c r="A573" s="1">
        <v>3744.0</v>
      </c>
      <c r="B573" s="1" t="s">
        <v>6</v>
      </c>
      <c r="C573" s="1" t="s">
        <v>559</v>
      </c>
      <c r="D573" s="1" t="str">
        <f>IFERROR(__xludf.DUMMYFUNCTION("CONCATENATE(GOOGLETRANSLATE(C573, ""en"", ""zh-cn""))
"),"惠普最新旗舰 14 高清商用笔记本电脑，4 核 i5-1135G7（高达 4.2GHz，击败 i7-1060G7），16GB RAM，512GB PCIe SSD，Iris Xe 显卡，网络摄像头，WiFi，蓝牙，Win 11 Home，带 GM 游戏鼠标")</f>
        <v>惠普最新旗舰 14 高清商用笔记本电脑，4 核 i5-1135G7（高达 4.2GHz，击败 i7-1060G7），16GB RAM，512GB PCIe SSD，Iris Xe 显卡，网络摄像头，WiFi，蓝牙，Win 11 Home，带 GM 游戏鼠标</v>
      </c>
      <c r="E573" s="1" t="str">
        <f>IFERROR(__xludf.DUMMYFUNCTION("CONCATENATE(GOOGLETRANSLATE(C573, ""en"", ""ko""))"),"HP 최신 플래그십 14 HD 비즈니스 노트북 컴퓨터, 4코어 i5-1135G7(최대 4.2GHz, Beat i7-1060G7), 16GB RAM, 512GB PCIe SSD, Iris Xe 그래픽, 웹캠, WiFi, Bluetooth, Win 11 Home, GM 게이밍 마우스 포함")</f>
        <v>HP 최신 플래그십 14 HD 비즈니스 노트북 컴퓨터, 4코어 i5-1135G7(최대 4.2GHz, Beat i7-1060G7), 16GB RAM, 512GB PCIe SSD, Iris Xe 그래픽, 웹캠, WiFi, Bluetooth, Win 11 Home, GM 게이밍 마우스 포함</v>
      </c>
      <c r="F573" s="1" t="str">
        <f>IFERROR(__xludf.DUMMYFUNCTION("CONCATENATE(GOOGLETRANSLATE(C573, ""en"", ""ja""))"),"HP 最新フラッグシップ 14 HD ビジネス ラップトップ コンピューター、4 コア i5-1135G7 (最大 4.2 GHz、Beat i7-1060G7)、16 GB RAM、512 GB PCIe SSD、Iris Xe グラフィックス、ウェブカメラ、WiFi、Bluetooth、Win 11 Home、GM ゲーミング マウス付き")</f>
        <v>HP 最新フラッグシップ 14 HD ビジネス ラップトップ コンピューター、4 コア i5-1135G7 (最大 4.2 GHz、Beat i7-1060G7)、16 GB RAM、512 GB PCIe SSD、Iris Xe グラフィックス、ウェブカメラ、WiFi、Bluetooth、Win 11 Home、GM ゲーミング マウス付き</v>
      </c>
    </row>
    <row r="574" ht="15.75" customHeight="1">
      <c r="A574" s="1">
        <v>3754.0</v>
      </c>
      <c r="B574" s="1" t="s">
        <v>6</v>
      </c>
      <c r="C574" s="1" t="s">
        <v>560</v>
      </c>
      <c r="D574" s="1" t="str">
        <f>IFERROR(__xludf.DUMMYFUNCTION("CONCATENATE(GOOGLETRANSLATE(C574, ""en"", ""zh-cn""))
"),"戴尔 Inspiron 灵越 15 3511，15.6 英寸全高清笔记本电脑 - 英特尔酷睿 i5-1135G7，12GB DDR4 RAM，256GB 固态硬盘，英特尔 Iris Xe 显卡，Windows 11 Home - 碳黑")</f>
        <v>戴尔 Inspiron 灵越 15 3511，15.6 英寸全高清笔记本电脑 - 英特尔酷睿 i5-1135G7，12GB DDR4 RAM，256GB 固态硬盘，英特尔 Iris Xe 显卡，Windows 11 Home - 碳黑</v>
      </c>
      <c r="E574" s="1" t="str">
        <f>IFERROR(__xludf.DUMMYFUNCTION("CONCATENATE(GOOGLETRANSLATE(C574, ""en"", ""ko""))"),"Dell Inspiron 15 3511, 15.6인치 FHD 노트북 - Intel Core i5-1135G7, 12GB DDR4 RAM, 256GB SSD, Intel Iris Xe 그래픽, Windows 11 Home - 카본 블랙")</f>
        <v>Dell Inspiron 15 3511, 15.6인치 FHD 노트북 - Intel Core i5-1135G7, 12GB DDR4 RAM, 256GB SSD, Intel Iris Xe 그래픽, Windows 11 Home - 카본 블랙</v>
      </c>
      <c r="F574" s="1" t="str">
        <f>IFERROR(__xludf.DUMMYFUNCTION("CONCATENATE(GOOGLETRANSLATE(C574, ""en"", ""ja""))"),"Dell Inspiron 15 3511、15.6 インチ FHD ラップトップ - Intel Core i5-1135G7、12GB DDR4 RAM、256GB SSD、Intel Iris Xe グラフィックス、Windows 11 Home - カーボン ブラック")</f>
        <v>Dell Inspiron 15 3511、15.6 インチ FHD ラップトップ - Intel Core i5-1135G7、12GB DDR4 RAM、256GB SSD、Intel Iris Xe グラフィックス、Windows 11 Home - カーボン ブラック</v>
      </c>
    </row>
    <row r="575" ht="15.75" customHeight="1">
      <c r="A575" s="1">
        <v>3756.0</v>
      </c>
      <c r="B575" s="1" t="s">
        <v>6</v>
      </c>
      <c r="C575" s="1" t="s">
        <v>561</v>
      </c>
      <c r="D575" s="1" t="str">
        <f>IFERROR(__xludf.DUMMYFUNCTION("CONCATENATE(GOOGLETRANSLATE(C575, ""en"", ""zh-cn""))
"),"A 级海关 PVC 超负荷 RV 橡胶屋顶套件 | 8.5 英尺宽 X 35 英尺长 |房车橡胶车顶膜套件|房车露营拖车橡胶屋顶维修|房车屋顶")</f>
        <v>A 级海关 PVC 超负荷 RV 橡胶屋顶套件 | 8.5 英尺宽 X 35 英尺长 |房车橡胶车顶膜套件|房车露营拖车橡胶屋顶维修|房车屋顶</v>
      </c>
      <c r="E575" s="1" t="str">
        <f>IFERROR(__xludf.DUMMYFUNCTION("CONCATENATE(GOOGLETRANSLATE(C575, ""en"", ""ko""))"),"클래스 A 세관 PVC Extreme Duty RV 고무 지붕 키트 | 8.5피트 너비 X 35피트 길이 | RV 고무 지붕 멤브레인 키트 | RV 캠핑카 트레일러 고무 지붕 수리 | 모터 홈 지붕")</f>
        <v>클래스 A 세관 PVC Extreme Duty RV 고무 지붕 키트 | 8.5피트 너비 X 35피트 길이 | RV 고무 지붕 멤브레인 키트 | RV 캠핑카 트레일러 고무 지붕 수리 | 모터 홈 지붕</v>
      </c>
      <c r="F575" s="1" t="str">
        <f>IFERROR(__xludf.DUMMYFUNCTION("CONCATENATE(GOOGLETRANSLATE(C575, ""en"", ""ja""))"),"クラス A 税関 PVC エクストリーム デューティー RV ラバー ルーフ キット |幅8.5フィート×長さ35フィート | RV ラバー ルーフ メンブレン キット | RV キャンピングカー トレーラーのゴム屋根の修理 |キャンピングカーの屋根")</f>
        <v>クラス A 税関 PVC エクストリーム デューティー RV ラバー ルーフ キット |幅8.5フィート×長さ35フィート | RV ラバー ルーフ メンブレン キット | RV キャンピングカー トレーラーのゴム屋根の修理 |キャンピングカーの屋根</v>
      </c>
    </row>
    <row r="576" ht="15.75" customHeight="1">
      <c r="A576" s="1">
        <v>3760.0</v>
      </c>
      <c r="B576" s="1" t="s">
        <v>6</v>
      </c>
      <c r="C576" s="1" t="s">
        <v>562</v>
      </c>
      <c r="D576" s="1" t="str">
        <f>IFERROR(__xludf.DUMMYFUNCTION("CONCATENATE(GOOGLETRANSLATE(C576, ""en"", ""zh-cn""))
"),"戴尔 Inspiron 灵越 15 3000 15.6 英寸全高清第 11 代英特尔酷睿 i5-1135G7 12GB 256GB SSD 笔记本电脑")</f>
        <v>戴尔 Inspiron 灵越 15 3000 15.6 英寸全高清第 11 代英特尔酷睿 i5-1135G7 12GB 256GB SSD 笔记本电脑</v>
      </c>
      <c r="E576" s="1" t="str">
        <f>IFERROR(__xludf.DUMMYFUNCTION("CONCATENATE(GOOGLETRANSLATE(C576, ""en"", ""ko""))"),"델 인스피론 15 3000 15.6인치 풀HD 11세대 인텔 코어 i5-1135G7 12GB 256GB SSD 노트북")</f>
        <v>델 인스피론 15 3000 15.6인치 풀HD 11세대 인텔 코어 i5-1135G7 12GB 256GB SSD 노트북</v>
      </c>
      <c r="F576" s="1" t="str">
        <f>IFERROR(__xludf.DUMMYFUNCTION("CONCATENATE(GOOGLETRANSLATE(C576, ""en"", ""ja""))"),"Dell Inspiron 15 3000 15.6 インチ フル HD 第 11 世代 Intel Core i5-1135G7 12GB 256GB SSD ノートパソコン")</f>
        <v>Dell Inspiron 15 3000 15.6 インチ フル HD 第 11 世代 Intel Core i5-1135G7 12GB 256GB SSD ノートパソコン</v>
      </c>
    </row>
    <row r="577" ht="15.75" customHeight="1">
      <c r="A577" s="1">
        <v>3764.0</v>
      </c>
      <c r="B577" s="1" t="s">
        <v>6</v>
      </c>
      <c r="C577" s="1" t="s">
        <v>563</v>
      </c>
      <c r="D577" s="1" t="str">
        <f>IFERROR(__xludf.DUMMYFUNCTION("CONCATENATE(GOOGLETRANSLATE(C577, ""en"", ""zh-cn""))
"),"HP 2022 最新 Pavilion 15.6 高清笔记本电脑，英特尔四核奔腾处理器，16GB RAM，1TB SSD，11 小时电池寿命，英特尔 UHD 显卡，高清网络摄像头，蓝牙，HDMI，USB Type-C，猩红色，Win 11")</f>
        <v>HP 2022 最新 Pavilion 15.6 高清笔记本电脑，英特尔四核奔腾处理器，16GB RAM，1TB SSD，11 小时电池寿命，英特尔 UHD 显卡，高清网络摄像头，蓝牙，HDMI，USB Type-C，猩红色，Win 11</v>
      </c>
      <c r="E577" s="1" t="str">
        <f>IFERROR(__xludf.DUMMYFUNCTION("CONCATENATE(GOOGLETRANSLATE(C577, ""en"", ""ko""))"),"HP 2022 최신 Pavilion 15.6 HD 노트북, Intel 쿼드 코어 펜티엄 프로세서, 16GB RAM, 1TB SSD, 11시간 배터리 수명, Intel UHD 그래픽, HD 웹캠, Bluetooth, HDMI, USB Type-C, Scarlet Red, Win 11")</f>
        <v>HP 2022 최신 Pavilion 15.6 HD 노트북, Intel 쿼드 코어 펜티엄 프로세서, 16GB RAM, 1TB SSD, 11시간 배터리 수명, Intel UHD 그래픽, HD 웹캠, Bluetooth, HDMI, USB Type-C, Scarlet Red, Win 11</v>
      </c>
      <c r="F577" s="1" t="str">
        <f>IFERROR(__xludf.DUMMYFUNCTION("CONCATENATE(GOOGLETRANSLATE(C577, ""en"", ""ja""))"),"HP 2022 最新 Pavilion 15.6 HD ラップトップ、インテル クアッドコア Pentium プロセッサー、16 GB RAM、1 TB SSD、11 時間のバッテリー寿命、インテル UHD グラフィックス、HD ウェブカメラ、Bluetooth、HDMI、USB Type-C、スカーレット レッド、Win 11")</f>
        <v>HP 2022 最新 Pavilion 15.6 HD ラップトップ、インテル クアッドコア Pentium プロセッサー、16 GB RAM、1 TB SSD、11 時間のバッテリー寿命、インテル UHD グラフィックス、HD ウェブカメラ、Bluetooth、HDMI、USB Type-C、スカーレット レッド、Win 11</v>
      </c>
    </row>
    <row r="578" ht="15.75" customHeight="1">
      <c r="A578" s="1">
        <v>3792.0</v>
      </c>
      <c r="B578" s="1" t="s">
        <v>6</v>
      </c>
      <c r="C578" s="1" t="s">
        <v>564</v>
      </c>
      <c r="D578" s="1" t="str">
        <f>IFERROR(__xludf.DUMMYFUNCTION("CONCATENATE(GOOGLETRANSLATE(C578, ""en"", ""zh-cn""))
"),"Denon DN-500CB 专业 CD/媒体播放器，带蓝牙/USB/Aux 输入和 RS-232C，蓝牙 3.0 与 (8) 设备配对，吸入式 CD 传输，用于文件播放的 USB 主机端口")</f>
        <v>Denon DN-500CB 专业 CD/媒体播放器，带蓝牙/USB/Aux 输入和 RS-232C，蓝牙 3.0 与 (8) 设备配对，吸入式 CD 传输，用于文件播放的 USB 主机端口</v>
      </c>
      <c r="E578" s="1" t="str">
        <f>IFERROR(__xludf.DUMMYFUNCTION("CONCATENATE(GOOGLETRANSLATE(C578, ""en"", ""ko""))"),"Bluetooth/USB/Aux 입력 및 RS-232C를 갖춘 Denon DN-500CB 전문 CD/미디어 플레이어, (8) 장치에 Bluetooth 3.0 페어링, 슬롯 로딩 CD 전송, 파일 재생을 위한 USB 호스트 포트")</f>
        <v>Bluetooth/USB/Aux 입력 및 RS-232C를 갖춘 Denon DN-500CB 전문 CD/미디어 플레이어, (8) 장치에 Bluetooth 3.0 페어링, 슬롯 로딩 CD 전송, 파일 재생을 위한 USB 호스트 포트</v>
      </c>
      <c r="F578" s="1" t="str">
        <f>IFERROR(__xludf.DUMMYFUNCTION("CONCATENATE(GOOGLETRANSLATE(C578, ""en"", ""ja""))"),"Denon DN-500CB プロフェッショナル CD/メディア プレーヤー、Bluetooth/USB/Aux 入力および RS-232C、Bluetooth 3.0 (8 台のデバイスとのペアリング)、スロットローディング CD トランスポート、ファイル再生用 USB ホスト ポート付き")</f>
        <v>Denon DN-500CB プロフェッショナル CD/メディア プレーヤー、Bluetooth/USB/Aux 入力および RS-232C、Bluetooth 3.0 (8 台のデバイスとのペアリング)、スロットローディング CD トランスポート、ファイル再生用 USB ホスト ポート付き</v>
      </c>
    </row>
    <row r="579" ht="15.75" customHeight="1">
      <c r="A579" s="1">
        <v>3814.0</v>
      </c>
      <c r="B579" s="1" t="s">
        <v>6</v>
      </c>
      <c r="C579" s="1" t="s">
        <v>565</v>
      </c>
      <c r="D579" s="1" t="str">
        <f>IFERROR(__xludf.DUMMYFUNCTION("CONCATENATE(GOOGLETRANSLATE(C579, ""en"", ""zh-cn""))
"),"Home Source 转角酒吧柜，带旋转酒架 桃花心木")</f>
        <v>Home Source 转角酒吧柜，带旋转酒架 桃花心木</v>
      </c>
      <c r="E579" s="1" t="str">
        <f>IFERROR(__xludf.DUMMYFUNCTION("CONCATENATE(GOOGLETRANSLATE(C579, ""en"", ""ko""))"),"홈 소스 코너 바 캐비닛(회전 와인 랙 마호가니 포함)")</f>
        <v>홈 소스 코너 바 캐비닛(회전 와인 랙 마호가니 포함)</v>
      </c>
      <c r="F579" s="1" t="str">
        <f>IFERROR(__xludf.DUMMYFUNCTION("CONCATENATE(GOOGLETRANSLATE(C579, ""en"", ""ja""))"),"ホームソース コーナーバーキャビネット 回転ワインラック付き マホガニー")</f>
        <v>ホームソース コーナーバーキャビネット 回転ワインラック付き マホガニー</v>
      </c>
    </row>
    <row r="580" ht="15.75" customHeight="1">
      <c r="A580" s="1">
        <v>3895.0</v>
      </c>
      <c r="B580" s="1" t="s">
        <v>6</v>
      </c>
      <c r="C580" s="1" t="s">
        <v>566</v>
      </c>
      <c r="D580" s="1" t="str">
        <f>IFERROR(__xludf.DUMMYFUNCTION("CONCATENATE(GOOGLETRANSLATE(C580, ""en"", ""zh-cn""))
"),"Apple iPhone 14，256GB，紫色 - 已解锁（续订）")</f>
        <v>Apple iPhone 14，256GB，紫色 - 已解锁（续订）</v>
      </c>
      <c r="E580" s="1" t="str">
        <f>IFERROR(__xludf.DUMMYFUNCTION("CONCATENATE(GOOGLETRANSLATE(C580, ""en"", ""ko""))"),"Apple iPhone 14, 256GB, 퍼플 - 공기계(리뉴얼)")</f>
        <v>Apple iPhone 14, 256GB, 퍼플 - 공기계(리뉴얼)</v>
      </c>
      <c r="F580" s="1" t="str">
        <f>IFERROR(__xludf.DUMMYFUNCTION("CONCATENATE(GOOGLETRANSLATE(C580, ""en"", ""ja""))"),"Apple iPhone 14、256GB、パープル - ロック解除済み (更新済み)")</f>
        <v>Apple iPhone 14、256GB、パープル - ロック解除済み (更新済み)</v>
      </c>
    </row>
    <row r="581" ht="15.75" customHeight="1">
      <c r="A581" s="1">
        <v>3903.0</v>
      </c>
      <c r="B581" s="1" t="s">
        <v>6</v>
      </c>
      <c r="C581" s="1" t="s">
        <v>567</v>
      </c>
      <c r="D581" s="1" t="str">
        <f>IFERROR(__xludf.DUMMYFUNCTION("CONCATENATE(GOOGLETRANSLATE(C581, ""en"", ""zh-cn""))
"),"iPhone 13， 128GB，粉色 - 已解锁（续订高级版）")</f>
        <v>iPhone 13， 128GB，粉色 - 已解锁（续订高级版）</v>
      </c>
      <c r="E581" s="1" t="str">
        <f>IFERROR(__xludf.DUMMYFUNCTION("CONCATENATE(GOOGLETRANSLATE(C581, ""en"", ""ko""))"),"iPhone 13, 128GB, 핑크 - 공기계(리뉴얼 프리미엄)")</f>
        <v>iPhone 13, 128GB, 핑크 - 공기계(리뉴얼 프리미엄)</v>
      </c>
      <c r="F581" s="1" t="str">
        <f>IFERROR(__xludf.DUMMYFUNCTION("CONCATENATE(GOOGLETRANSLATE(C581, ""en"", ""ja""))"),"iPhone 13、128GB、ピンク - ロック解除済み (リニューアルプレミアム)")</f>
        <v>iPhone 13、128GB、ピンク - ロック解除済み (リニューアルプレミアム)</v>
      </c>
    </row>
    <row r="582" ht="15.75" customHeight="1">
      <c r="A582" s="1">
        <v>3926.0</v>
      </c>
      <c r="B582" s="1" t="s">
        <v>6</v>
      </c>
      <c r="C582" s="1" t="s">
        <v>568</v>
      </c>
      <c r="D582" s="1" t="str">
        <f>IFERROR(__xludf.DUMMYFUNCTION("CONCATENATE(GOOGLETRANSLATE(C582, ""en"", ""zh-cn""))
"),"三星电子 Galaxy Note 20 5G 无锁版 Android 手机 |美国版 | 128GB 存储空间 |移动游戏智能手机|持久耐用的电池 |神秘灰（更新）")</f>
        <v>三星电子 Galaxy Note 20 5G 无锁版 Android 手机 |美国版 | 128GB 存储空间 |移动游戏智能手机|持久耐用的电池 |神秘灰（更新）</v>
      </c>
      <c r="E582" s="1" t="str">
        <f>IFERROR(__xludf.DUMMYFUNCTION("CONCATENATE(GOOGLETRANSLATE(C582, ""en"", ""ko""))"),"삼성전자 갤럭시 노트 20 5G 공기계 안드로이드 휴대폰 | 미국 버전 | 128GB 스토리지 | 모바일 게임 스마트폰 | 오래 지속되는 배터리 | 미스틱 그레이 (리뉴얼)")</f>
        <v>삼성전자 갤럭시 노트 20 5G 공기계 안드로이드 휴대폰 | 미국 버전 | 128GB 스토리지 | 모바일 게임 스마트폰 | 오래 지속되는 배터리 | 미스틱 그레이 (리뉴얼)</v>
      </c>
      <c r="F582" s="1" t="str">
        <f>IFERROR(__xludf.DUMMYFUNCTION("CONCATENATE(GOOGLETRANSLATE(C582, ""en"", ""ja""))"),"Samsung Electronics Galaxy Note 20 5G ロック解除済み Android 携帯電話 |米国版 | 128GB のストレージ |モバイルゲーム用スマートフォン |長持ちするバッテリー |ミスティックグレー（リニューアル）")</f>
        <v>Samsung Electronics Galaxy Note 20 5G ロック解除済み Android 携帯電話 |米国版 | 128GB のストレージ |モバイルゲーム用スマートフォン |長持ちするバッテリー |ミスティックグレー（リニューアル）</v>
      </c>
    </row>
    <row r="583" ht="15.75" customHeight="1">
      <c r="A583" s="1">
        <v>3948.0</v>
      </c>
      <c r="B583" s="1" t="s">
        <v>6</v>
      </c>
      <c r="C583" s="1" t="s">
        <v>569</v>
      </c>
      <c r="D583" s="1" t="str">
        <f>IFERROR(__xludf.DUMMYFUNCTION("CONCATENATE(GOOGLETRANSLATE(C583, ""en"", ""zh-cn""))
"),"欧米茄海马海洋宇宙自动男式手表 215.30.44.22.01.001")</f>
        <v>欧米茄海马海洋宇宙自动男式手表 215.30.44.22.01.001</v>
      </c>
      <c r="E583" s="1" t="str">
        <f>IFERROR(__xludf.DUMMYFUNCTION("CONCATENATE(GOOGLETRANSLATE(C583, ""en"", ""ko""))"),"오메가 씨마스터 플래닛 오션 오토매틱 남성용 시계 215.30.44.22.01.001")</f>
        <v>오메가 씨마스터 플래닛 오션 오토매틱 남성용 시계 215.30.44.22.01.001</v>
      </c>
      <c r="F583" s="1" t="str">
        <f>IFERROR(__xludf.DUMMYFUNCTION("CONCATENATE(GOOGLETRANSLATE(C583, ""en"", ""ja""))"),"オメガ シーマスター プラネット オーシャン 自動巻き メンズ 腕時計 215.30.44.22.01.001")</f>
        <v>オメガ シーマスター プラネット オーシャン 自動巻き メンズ 腕時計 215.30.44.22.01.001</v>
      </c>
    </row>
    <row r="584" ht="15.75" customHeight="1">
      <c r="A584" s="1">
        <v>3968.0</v>
      </c>
      <c r="B584" s="1" t="s">
        <v>6</v>
      </c>
      <c r="C584" s="1" t="s">
        <v>570</v>
      </c>
      <c r="D584" s="1" t="str">
        <f>IFERROR(__xludf.DUMMYFUNCTION("CONCATENATE(GOOGLETRANSLATE(C584, ""en"", ""zh-cn""))
"),"欧米茄 DeVille Prestige 黑色表盘自动男士手表 424.13.40.21.01.001")</f>
        <v>欧米茄 DeVille Prestige 黑色表盘自动男士手表 424.13.40.21.01.001</v>
      </c>
      <c r="E584" s="1" t="str">
        <f>IFERROR(__xludf.DUMMYFUNCTION("CONCATENATE(GOOGLETRANSLATE(C584, ""en"", ""ko""))"),"오메가 DeVille Prestige 블랙 다이얼 오토매틱 남성용 시계 424.13.40.21.01.001")</f>
        <v>오메가 DeVille Prestige 블랙 다이얼 오토매틱 남성용 시계 424.13.40.21.01.001</v>
      </c>
      <c r="F584" s="1" t="str">
        <f>IFERROR(__xludf.DUMMYFUNCTION("CONCATENATE(GOOGLETRANSLATE(C584, ""en"", ""ja""))"),"オメガ デビル プレステージ ブラック ダイヤル 自動巻き メンズ腕時計 424.13.40.21.01.001")</f>
        <v>オメガ デビル プレステージ ブラック ダイヤル 自動巻き メンズ腕時計 424.13.40.21.01.001</v>
      </c>
    </row>
    <row r="585" ht="15.75" customHeight="1">
      <c r="A585" s="1">
        <v>3986.0</v>
      </c>
      <c r="B585" s="1" t="s">
        <v>6</v>
      </c>
      <c r="C585" s="1" t="s">
        <v>571</v>
      </c>
      <c r="D585" s="1" t="str">
        <f>IFERROR(__xludf.DUMMYFUNCTION("CONCATENATE(GOOGLETRANSLATE(C585, ""en"", ""zh-cn""))
"),"汉密尔顿男士 H77616133 卡其色 X-Wind 自动手表")</f>
        <v>汉密尔顿男士 H77616133 卡其色 X-Wind 自动手表</v>
      </c>
      <c r="E585" s="1" t="str">
        <f>IFERROR(__xludf.DUMMYFUNCTION("CONCATENATE(GOOGLETRANSLATE(C585, ""en"", ""ko""))"),"해밀턴 남성용 H77616133 카키 X-Wind 오토매틱 시계")</f>
        <v>해밀턴 남성용 H77616133 카키 X-Wind 오토매틱 시계</v>
      </c>
      <c r="F585" s="1" t="str">
        <f>IFERROR(__xludf.DUMMYFUNCTION("CONCATENATE(GOOGLETRANSLATE(C585, ""en"", ""ja""))"),"ハミルトン メンズ H77616133 カーキ X-ウィンド 自動巻き時計")</f>
        <v>ハミルトン メンズ H77616133 カーキ X-ウィンド 自動巻き時計</v>
      </c>
    </row>
    <row r="586" ht="15.75" customHeight="1">
      <c r="A586" s="1">
        <v>3998.0</v>
      </c>
      <c r="B586" s="1" t="s">
        <v>6</v>
      </c>
      <c r="C586" s="1" t="s">
        <v>572</v>
      </c>
      <c r="D586" s="1" t="str">
        <f>IFERROR(__xludf.DUMMYFUNCTION("CONCATENATE(GOOGLETRANSLATE(C586, ""en"", ""zh-cn""))
"),"卡其航空 X-Wind 自动计时码表")</f>
        <v>卡其航空 X-Wind 自动计时码表</v>
      </c>
      <c r="E586" s="1" t="str">
        <f>IFERROR(__xludf.DUMMYFUNCTION("CONCATENATE(GOOGLETRANSLATE(C586, ""en"", ""ko""))"),"카키 에비에이션 X-윈드 오토 크로노")</f>
        <v>카키 에비에이션 X-윈드 오토 크로노</v>
      </c>
      <c r="F586" s="1" t="str">
        <f>IFERROR(__xludf.DUMMYFUNCTION("CONCATENATE(GOOGLETRANSLATE(C586, ""en"", ""ja""))"),"カーキ アビエーション X-ウィンド オート クロノ")</f>
        <v>カーキ アビエーション X-ウィンド オート クロノ</v>
      </c>
    </row>
    <row r="587" ht="15.75" customHeight="1">
      <c r="A587" s="1">
        <v>4041.0</v>
      </c>
      <c r="B587" s="1" t="s">
        <v>6</v>
      </c>
      <c r="C587" s="1" t="s">
        <v>573</v>
      </c>
      <c r="D587" s="1" t="str">
        <f>IFERROR(__xludf.DUMMYFUNCTION("CONCATENATE(GOOGLETRANSLATE(C587, ""en"", ""zh-cn""))
"),"Victorinox Fieldforce 经典计时腕表")</f>
        <v>Victorinox Fieldforce 经典计时腕表</v>
      </c>
      <c r="E587" s="1" t="str">
        <f>IFERROR(__xludf.DUMMYFUNCTION("CONCATENATE(GOOGLETRANSLATE(C587, ""en"", ""ko""))"),"Victorinox Fieldforce 클래식 크로노 시계")</f>
        <v>Victorinox Fieldforce 클래식 크로노 시계</v>
      </c>
      <c r="F587" s="1" t="str">
        <f>IFERROR(__xludf.DUMMYFUNCTION("CONCATENATE(GOOGLETRANSLATE(C587, ""en"", ""ja""))"),"ビクトリノックス フィールドフォース クラシック クロノウォッチ")</f>
        <v>ビクトリノックス フィールドフォース クラシック クロノウォッチ</v>
      </c>
    </row>
    <row r="588" ht="15.75" customHeight="1">
      <c r="A588" s="1">
        <v>4053.0</v>
      </c>
      <c r="B588" s="1" t="s">
        <v>6</v>
      </c>
      <c r="C588" s="1" t="s">
        <v>574</v>
      </c>
      <c r="D588" s="1" t="str">
        <f>IFERROR(__xludf.DUMMYFUNCTION("CONCATENATE(GOOGLETRANSLATE(C588, ""en"", ""zh-cn""))
"),"LIV GX1 瑞士制造计时码表 45 毫米 316L 不锈钢表壳，3D 多层带快速设置日期 - 男士坚固经典手表 - 防刮蓝宝石水晶 - 660 英尺防水 - BGW9 Swiss Luminova")</f>
        <v>LIV GX1 瑞士制造计时码表 45 毫米 316L 不锈钢表壳，3D 多层带快速设置日期 - 男士坚固经典手表 - 防刮蓝宝石水晶 - 660 英尺防水 - BGW9 Swiss Luminova</v>
      </c>
      <c r="E588" s="1" t="str">
        <f>IFERROR(__xludf.DUMMYFUNCTION("CONCATENATE(GOOGLETRANSLATE(C588, ""en"", ""ko""))"),"LIV GX1 스위스 메이드 크로노그래프 45mm 316L SS 케이스, 퀵셋 날짜가 포함된 3D 다층 - 남성용 견고한 클래식 시계 - 긁힘 방지 사파이어 크리스탈 - 660피트 방수 - BGW9 스위스 루미노바")</f>
        <v>LIV GX1 스위스 메이드 크로노그래프 45mm 316L SS 케이스, 퀵셋 날짜가 포함된 3D 다층 - 남성용 견고한 클래식 시계 - 긁힘 방지 사파이어 크리스탈 - 660피트 방수 - BGW9 스위스 루미노바</v>
      </c>
      <c r="F588" s="1" t="str">
        <f>IFERROR(__xludf.DUMMYFUNCTION("CONCATENATE(GOOGLETRANSLATE(C588, ""en"", ""ja""))"),"LIV GX1 スイス製クロノグラフ 45mm 316L SS ケース、3D マルチレイヤー、クイックセット日付付き - 男性用の頑丈なクラシックウォッチ - 耐傷性サファイアクリスタル - 660 フィート耐水性 - BGW9 スイスルミノバ")</f>
        <v>LIV GX1 スイス製クロノグラフ 45mm 316L SS ケース、3D マルチレイヤー、クイックセット日付付き - 男性用の頑丈なクラシックウォッチ - 耐傷性サファイアクリスタル - 660 フィート耐水性 - BGW9 スイスルミノバ</v>
      </c>
    </row>
    <row r="589" ht="15.75" customHeight="1">
      <c r="A589" s="1">
        <v>4066.0</v>
      </c>
      <c r="B589" s="1" t="s">
        <v>6</v>
      </c>
      <c r="C589" s="1" t="s">
        <v>575</v>
      </c>
      <c r="D589" s="1" t="str">
        <f>IFERROR(__xludf.DUMMYFUNCTION("CONCATENATE(GOOGLETRANSLATE(C589, ""en"", ""zh-cn""))
"),"SEIKO SRPE33 Prospex 男士手表银色 44 毫米不锈钢")</f>
        <v>SEIKO SRPE33 Prospex 男士手表银色 44 毫米不锈钢</v>
      </c>
      <c r="E589" s="1" t="str">
        <f>IFERROR(__xludf.DUMMYFUNCTION("CONCATENATE(GOOGLETRANSLATE(C589, ""en"", ""ko""))"),"SEIKO SRPE33 Prospex 남성용 시계 실버톤 44mm 스테인리스 스틸")</f>
        <v>SEIKO SRPE33 Prospex 남성용 시계 실버톤 44mm 스테인리스 스틸</v>
      </c>
      <c r="F589" s="1" t="str">
        <f>IFERROR(__xludf.DUMMYFUNCTION("CONCATENATE(GOOGLETRANSLATE(C589, ""en"", ""ja""))"),"セイコー SRPE33 プロスペックス メンズ 腕時計 シルバートーン 44mm ステンレススチール")</f>
        <v>セイコー SRPE33 プロスペックス メンズ 腕時計 シルバートーン 44mm ステンレススチール</v>
      </c>
    </row>
    <row r="590" ht="15.75" customHeight="1">
      <c r="A590" s="1">
        <v>4082.0</v>
      </c>
      <c r="B590" s="1" t="s">
        <v>6</v>
      </c>
      <c r="C590" s="1" t="s">
        <v>576</v>
      </c>
      <c r="D590" s="1" t="str">
        <f>IFERROR(__xludf.DUMMYFUNCTION("CONCATENATE(GOOGLETRANSLATE(C590, ""en"", ""zh-cn""))
"),"Luminox Atacama Adventurer Field XL.1761 男士手表 42 毫米 - 探险手表银色/黑色日期功能 200 米防水蓝宝石玻璃")</f>
        <v>Luminox Atacama Adventurer Field XL.1761 男士手表 42 毫米 - 探险手表银色/黑色日期功能 200 米防水蓝宝石玻璃</v>
      </c>
      <c r="E590" s="1" t="str">
        <f>IFERROR(__xludf.DUMMYFUNCTION("CONCATENATE(GOOGLETRANSLATE(C590, ""en"", ""ko""))"),"Luminox Atacama Adventurer Field XL.1761 남성용 시계 42mm - 실버/블랙 날짜 기능 200m 방수 사파이어 글래스 어드벤처 시계")</f>
        <v>Luminox Atacama Adventurer Field XL.1761 남성용 시계 42mm - 실버/블랙 날짜 기능 200m 방수 사파이어 글래스 어드벤처 시계</v>
      </c>
      <c r="F590" s="1" t="str">
        <f>IFERROR(__xludf.DUMMYFUNCTION("CONCATENATE(GOOGLETRANSLATE(C590, ""en"", ""ja""))"),"ルミノックス アタカマ アドベンチャラー フィールド XL.1761 メンズ ウォッチ 42mm - アドベンチャー ウォッチ シルバー/ブラック 日付機能 200m 防水 サファイアガラス")</f>
        <v>ルミノックス アタカマ アドベンチャラー フィールド XL.1761 メンズ ウォッチ 42mm - アドベンチャー ウォッチ シルバー/ブラック 日付機能 200m 防水 サファイアガラス</v>
      </c>
    </row>
    <row r="591" ht="15.75" customHeight="1">
      <c r="A591" s="1">
        <v>4085.0</v>
      </c>
      <c r="B591" s="1" t="s">
        <v>6</v>
      </c>
      <c r="C591" s="1" t="s">
        <v>577</v>
      </c>
      <c r="D591" s="1" t="str">
        <f>IFERROR(__xludf.DUMMYFUNCTION("CONCATENATE(GOOGLETRANSLATE(C591, ""en"", ""zh-cn""))
"),"汉密尔顿卡其航空飞行员先锋瑞士计时石英手表 41 毫米表壳，黑色表盘，棕色皮革 NATO 表带（型号：H76522531）")</f>
        <v>汉密尔顿卡其航空飞行员先锋瑞士计时石英手表 41 毫米表壳，黑色表盘，棕色皮革 NATO 表带（型号：H76522531）</v>
      </c>
      <c r="E591" s="1" t="str">
        <f>IFERROR(__xludf.DUMMYFUNCTION("CONCATENATE(GOOGLETRANSLATE(C591, ""en"", ""ko""))"),"해밀턴 카키 에비에이션 파일럿 파이오니어 스위스 크로노그래프 쿼츠 시계 41mm 케이스, 블랙 다이얼, 브라운 가죽 NATO 스트랩(모델: H76522531)")</f>
        <v>해밀턴 카키 에비에이션 파일럿 파이오니어 스위스 크로노그래프 쿼츠 시계 41mm 케이스, 블랙 다이얼, 브라운 가죽 NATO 스트랩(모델: H76522531)</v>
      </c>
      <c r="F591" s="1" t="str">
        <f>IFERROR(__xludf.DUMMYFUNCTION("CONCATENATE(GOOGLETRANSLATE(C591, ""en"", ""ja""))"),"ハミルトン カーキ アビエーション パイロット パイオニア スイス クロノグラフ クォーツ ウォッチ 41mm ケース、ブラック ダイヤル、ブラウン レザー NATO ストラップ (モデル: H76522531)")</f>
        <v>ハミルトン カーキ アビエーション パイロット パイオニア スイス クロノグラフ クォーツ ウォッチ 41mm ケース、ブラック ダイヤル、ブラウン レザー NATO ストラップ (モデル: H76522531)</v>
      </c>
    </row>
    <row r="592" ht="15.75" customHeight="1">
      <c r="A592" s="1">
        <v>4088.0</v>
      </c>
      <c r="B592" s="1" t="s">
        <v>6</v>
      </c>
      <c r="C592" s="1" t="s">
        <v>578</v>
      </c>
      <c r="D592" s="1" t="str">
        <f>IFERROR(__xludf.DUMMYFUNCTION("CONCATENATE(GOOGLETRANSLATE(C592, ""en"", ""zh-cn""))
"),"Luminox 男士 Pacific Diver Sea 系列黑色 44 毫米模拟潜水手表")</f>
        <v>Luminox 男士 Pacific Diver Sea 系列黑色 44 毫米模拟潜水手表</v>
      </c>
      <c r="E592" s="1" t="str">
        <f>IFERROR(__xludf.DUMMYFUNCTION("CONCATENATE(GOOGLETRANSLATE(C592, ""en"", ""ko""))"),"Luminox 남성용 Pacific Diver Sea 시리즈 블랙 아웃 44mm 아날로그 다이브 시계")</f>
        <v>Luminox 남성용 Pacific Diver Sea 시리즈 블랙 아웃 44mm 아날로그 다이브 시계</v>
      </c>
      <c r="F592" s="1" t="str">
        <f>IFERROR(__xludf.DUMMYFUNCTION("CONCATENATE(GOOGLETRANSLATE(C592, ""en"", ""ja""))"),"ルミノックス メンズ パシフィック ダイバー シー シリーズ ブラックアウト 44mm アナログ ダイブウォッチ")</f>
        <v>ルミノックス メンズ パシフィック ダイバー シー シリーズ ブラックアウト 44mm アナログ ダイブウォッチ</v>
      </c>
    </row>
    <row r="593" ht="15.75" customHeight="1">
      <c r="A593" s="1">
        <v>4116.0</v>
      </c>
      <c r="B593" s="1" t="s">
        <v>6</v>
      </c>
      <c r="C593" s="1" t="s">
        <v>579</v>
      </c>
      <c r="D593" s="1" t="str">
        <f>IFERROR(__xludf.DUMMYFUNCTION("CONCATENATE(GOOGLETRANSLATE(C593, ""en"", ""zh-cn""))
"),"Luminox 男士海军海豹 3000 EVO 系列 43 毫米模拟黑色潜水手表")</f>
        <v>Luminox 男士海军海豹 3000 EVO 系列 43 毫米模拟黑色潜水手表</v>
      </c>
      <c r="E593" s="1" t="str">
        <f>IFERROR(__xludf.DUMMYFUNCTION("CONCATENATE(GOOGLETRANSLATE(C593, ""en"", ""ko""))"),"Luminox 남성용 Navy Seal 3000 EVO 시리즈 43mm 아날로그 블랙 아웃 다이브 시계")</f>
        <v>Luminox 남성용 Navy Seal 3000 EVO 시리즈 43mm 아날로그 블랙 아웃 다이브 시계</v>
      </c>
      <c r="F593" s="1" t="str">
        <f>IFERROR(__xludf.DUMMYFUNCTION("CONCATENATE(GOOGLETRANSLATE(C593, ""en"", ""ja""))"),"ルミノックス メンズ ネイビー シール 3000 EVO シリーズ 43mm アナログ ブラックアウト ダイブウォッチ")</f>
        <v>ルミノックス メンズ ネイビー シール 3000 EVO シリーズ 43mm アナログ ブラックアウト ダイブウォッチ</v>
      </c>
    </row>
    <row r="594" ht="15.75" customHeight="1">
      <c r="A594" s="1">
        <v>4120.0</v>
      </c>
      <c r="B594" s="1" t="s">
        <v>6</v>
      </c>
      <c r="C594" s="1" t="s">
        <v>580</v>
      </c>
      <c r="D594" s="1" t="str">
        <f>IFERROR(__xludf.DUMMYFUNCTION("CONCATENATE(GOOGLETRANSLATE(C594, ""en"", ""zh-cn""))
"),"Luminox 海军海豹突击队潜水手表黑色魔术贴表带 - L3901")</f>
        <v>Luminox 海军海豹突击队潜水手表黑色魔术贴表带 - L3901</v>
      </c>
      <c r="E594" s="1" t="str">
        <f>IFERROR(__xludf.DUMMYFUNCTION("CONCATENATE(GOOGLETRANSLATE(C594, ""en"", ""ko""))"),"Luminox Navy SEAL 다이브 시계 블랙 벨크로 밴드 - L3901")</f>
        <v>Luminox Navy SEAL 다이브 시계 블랙 벨크로 밴드 - L3901</v>
      </c>
      <c r="F594" s="1" t="str">
        <f>IFERROR(__xludf.DUMMYFUNCTION("CONCATENATE(GOOGLETRANSLATE(C594, ""en"", ""ja""))"),"ルミノックス ネイビー シール ダイブウォッチ ブラック ベルクロ バンド - L3901")</f>
        <v>ルミノックス ネイビー シール ダイブウォッチ ブラック ベルクロ バンド - L3901</v>
      </c>
    </row>
    <row r="595" ht="15.75" customHeight="1">
      <c r="A595" s="1">
        <v>4124.0</v>
      </c>
      <c r="B595" s="1" t="s">
        <v>6</v>
      </c>
      <c r="C595" s="1" t="s">
        <v>581</v>
      </c>
      <c r="D595" s="1" t="str">
        <f>IFERROR(__xludf.DUMMYFUNCTION("CONCATENATE(GOOGLETRANSLATE(C595, ""en"", ""zh-cn""))
"),"Luminox 男士 3151 海军海豹突击队夜光手表带黑色橡胶表带")</f>
        <v>Luminox 男士 3151 海军海豹突击队夜光手表带黑色橡胶表带</v>
      </c>
      <c r="E595" s="1" t="str">
        <f>IFERROR(__xludf.DUMMYFUNCTION("CONCATENATE(GOOGLETRANSLATE(C595, ""en"", ""ko""))"),"Luminox 남성용 3151 Navy SEAL 야광 시계, 블랙 고무 밴드 포함")</f>
        <v>Luminox 남성용 3151 Navy SEAL 야광 시계, 블랙 고무 밴드 포함</v>
      </c>
      <c r="F595" s="1" t="str">
        <f>IFERROR(__xludf.DUMMYFUNCTION("CONCATENATE(GOOGLETRANSLATE(C595, ""en"", ""ja""))"),"ルミノックス メンズ 3151 ネイビー シール発光時計、ブラック ラバー バンド付き")</f>
        <v>ルミノックス メンズ 3151 ネイビー シール発光時計、ブラック ラバー バンド付き</v>
      </c>
    </row>
    <row r="596" ht="15.75" customHeight="1">
      <c r="A596" s="1">
        <v>4132.0</v>
      </c>
      <c r="B596" s="1" t="s">
        <v>6</v>
      </c>
      <c r="C596" s="1" t="s">
        <v>582</v>
      </c>
      <c r="D596" s="1" t="str">
        <f>IFERROR(__xludf.DUMMYFUNCTION("CONCATENATE(GOOGLETRANSLATE(C596, ""en"", ""zh-cn""))
"),"CASIO G-Shock Connected GMW-B5000-1JF Origin 无线电太阳能手表（日本国内正品）")</f>
        <v>CASIO G-Shock Connected GMW-B5000-1JF Origin 无线电太阳能手表（日本国内正品）</v>
      </c>
      <c r="E596" s="1" t="str">
        <f>IFERROR(__xludf.DUMMYFUNCTION("CONCATENATE(GOOGLETRANSLATE(C596, ""en"", ""ko""))"),"CASIO G-Shock Connected GMW-B5000-1JF Origin Radio Solar 시계(일본 국내 정품 제품)")</f>
        <v>CASIO G-Shock Connected GMW-B5000-1JF Origin Radio Solar 시계(일본 국내 정품 제품)</v>
      </c>
      <c r="F596" s="1" t="str">
        <f>IFERROR(__xludf.DUMMYFUNCTION("CONCATENATE(GOOGLETRANSLATE(C596, ""en"", ""ja""))"),"CASIO G-Shock Connected GMW-B5000-1JF オリジン電波ソーラー時計 (日本国内正規品)")</f>
        <v>CASIO G-Shock Connected GMW-B5000-1JF オリジン電波ソーラー時計 (日本国内正規品)</v>
      </c>
    </row>
    <row r="597" ht="15.75" customHeight="1">
      <c r="A597" s="1">
        <v>4133.0</v>
      </c>
      <c r="B597" s="1" t="s">
        <v>6</v>
      </c>
      <c r="C597" s="1" t="s">
        <v>583</v>
      </c>
      <c r="D597" s="1" t="str">
        <f>IFERROR(__xludf.DUMMYFUNCTION("CONCATENATE(GOOGLETRANSLATE(C597, ""en"", ""zh-cn""))
"),"Luminox Navy Seal XS.3501.F 男士手表 45 毫米 - 黑色潜水手表 日期功能 200m 防水")</f>
        <v>Luminox Navy Seal XS.3501.F 男士手表 45 毫米 - 黑色潜水手表 日期功能 200m 防水</v>
      </c>
      <c r="E597" s="1" t="str">
        <f>IFERROR(__xludf.DUMMYFUNCTION("CONCATENATE(GOOGLETRANSLATE(C597, ""en"", ""ko""))"),"Luminox Navy Seal XS.3501.F 남성용 시계 45mm - 블랙 날짜 기능 200m 방수 다이브 시계")</f>
        <v>Luminox Navy Seal XS.3501.F 남성용 시계 45mm - 블랙 날짜 기능 200m 방수 다이브 시계</v>
      </c>
      <c r="F597" s="1" t="str">
        <f>IFERROR(__xludf.DUMMYFUNCTION("CONCATENATE(GOOGLETRANSLATE(C597, ""en"", ""ja""))"),"ルミノックス ネイビー シール XS.3501.F メンズ ウォッチ 45mm - ダイブウォッチ ブラック 日付機能 200m 防水")</f>
        <v>ルミノックス ネイビー シール XS.3501.F メンズ ウォッチ 45mm - ダイブウォッチ ブラック 日付機能 200m 防水</v>
      </c>
    </row>
    <row r="598" ht="15.75" customHeight="1">
      <c r="A598" s="1">
        <v>4136.0</v>
      </c>
      <c r="B598" s="1" t="s">
        <v>6</v>
      </c>
      <c r="C598" s="1" t="s">
        <v>584</v>
      </c>
      <c r="D598" s="1" t="str">
        <f>IFERROR(__xludf.DUMMYFUNCTION("CONCATENATE(GOOGLETRANSLATE(C598, ""en"", ""zh-cn""))
"),"SEIKO SRPE27 Prospex 男士手表银色 42.4 毫米不锈钢")</f>
        <v>SEIKO SRPE27 Prospex 男士手表银色 42.4 毫米不锈钢</v>
      </c>
      <c r="E598" s="1" t="str">
        <f>IFERROR(__xludf.DUMMYFUNCTION("CONCATENATE(GOOGLETRANSLATE(C598, ""en"", ""ko""))"),"SEIKO SRPE27 Prospex 남성용 시계 실버톤 42.4mm 스테인리스 스틸")</f>
        <v>SEIKO SRPE27 Prospex 남성용 시계 실버톤 42.4mm 스테인리스 스틸</v>
      </c>
      <c r="F598" s="1" t="str">
        <f>IFERROR(__xludf.DUMMYFUNCTION("CONCATENATE(GOOGLETRANSLATE(C598, ""en"", ""ja""))"),"セイコー SRPE27 プロスペックス メンズ 腕時計 シルバートーン 42.4mm ステンレススチール")</f>
        <v>セイコー SRPE27 プロスペックス メンズ 腕時計 シルバートーン 42.4mm ステンレススチール</v>
      </c>
    </row>
    <row r="599" ht="15.75" customHeight="1">
      <c r="A599" s="1">
        <v>4149.0</v>
      </c>
      <c r="B599" s="1" t="s">
        <v>6</v>
      </c>
      <c r="C599" s="1" t="s">
        <v>585</v>
      </c>
      <c r="D599" s="1" t="str">
        <f>IFERROR(__xludf.DUMMYFUNCTION("CONCATENATE(GOOGLETRANSLATE(C599, ""en"", ""zh-cn""))
"),"Ticwatch Pro 3 Ultra GPS 智能手表高通 SDW4100 和 Mobvoi 双处理器系统 Wear OS 男士智能手表血氧疲劳评估 3-45 天电池 NFC 麦克风扬声器")</f>
        <v>Ticwatch Pro 3 Ultra GPS 智能手表高通 SDW4100 和 Mobvoi 双处理器系统 Wear OS 男士智能手表血氧疲劳评估 3-45 天电池 NFC 麦克风扬声器</v>
      </c>
      <c r="E599" s="1" t="str">
        <f>IFERROR(__xludf.DUMMYFUNCTION("CONCATENATE(GOOGLETRANSLATE(C599, ""en"", ""ko""))"),"Ticwatch Pro 3 Ultra GPS 스마트워치 Qualcomm SDW4100 및 Mobvoi 듀얼 프로세서 시스템 Wear OS 남성용 스마트 워치 혈액 산소 피로 평가 3-45일 배터리 NFC 마이크 스피커")</f>
        <v>Ticwatch Pro 3 Ultra GPS 스마트워치 Qualcomm SDW4100 및 Mobvoi 듀얼 프로세서 시스템 Wear OS 남성용 스마트 워치 혈액 산소 피로 평가 3-45일 배터리 NFC 마이크 스피커</v>
      </c>
      <c r="F599" s="1" t="str">
        <f>IFERROR(__xludf.DUMMYFUNCTION("CONCATENATE(GOOGLETRANSLATE(C599, ""en"", ""ja""))"),"Ticwatch Pro 3 Ultra GPS スマートウォッチ Qualcomm SDW4100 および Mobvoi デュアルプロセッサーシステム Wear OS スマートウォッチ 男性用 血中酸素疲労評価 3 ～ 45 日間のバッテリー NFC マイクスピーカー")</f>
        <v>Ticwatch Pro 3 Ultra GPS スマートウォッチ Qualcomm SDW4100 および Mobvoi デュアルプロセッサーシステム Wear OS スマートウォッチ 男性用 血中酸素疲労評価 3 ～ 45 日間のバッテリー NFC マイクスピーカー</v>
      </c>
    </row>
    <row r="600" ht="15.75" customHeight="1">
      <c r="A600" s="1">
        <v>4171.0</v>
      </c>
      <c r="B600" s="1" t="s">
        <v>6</v>
      </c>
      <c r="C600" s="1" t="s">
        <v>586</v>
      </c>
      <c r="D600" s="1" t="str">
        <f>IFERROR(__xludf.DUMMYFUNCTION("CONCATENATE(GOOGLETRANSLATE(C600, ""en"", ""zh-cn""))
"),"施华洛世奇 Gema 珠宝系列，金色和铑饰面，彩色水晶")</f>
        <v>施华洛世奇 Gema 珠宝系列，金色和铑饰面，彩色水晶</v>
      </c>
      <c r="E600" s="1" t="str">
        <f>IFERROR(__xludf.DUMMYFUNCTION("CONCATENATE(GOOGLETRANSLATE(C600, ""en"", ""ko""))"),"Swarovski Gema 주얼리 컬렉션, 골드 톤 및 로듐 마감, 멀티컬러 크리스털")</f>
        <v>Swarovski Gema 주얼리 컬렉션, 골드 톤 및 로듐 마감, 멀티컬러 크리스털</v>
      </c>
      <c r="F600" s="1" t="str">
        <f>IFERROR(__xludf.DUMMYFUNCTION("CONCATENATE(GOOGLETRANSLATE(C600, ""en"", ""ja""))"),"スワロフスキー ジェマ ジュエリー コレクション、ゴールドトーンとロジウム仕上げ、マルチカラー クリスタル")</f>
        <v>スワロフスキー ジェマ ジュエリー コレクション、ゴールドトーンとロジウム仕上げ、マルチカラー クリスタル</v>
      </c>
    </row>
    <row r="601" ht="15.75" customHeight="1">
      <c r="A601" s="1">
        <v>4190.0</v>
      </c>
      <c r="B601" s="1" t="s">
        <v>6</v>
      </c>
      <c r="C601" s="1" t="s">
        <v>587</v>
      </c>
      <c r="D601" s="1" t="str">
        <f>IFERROR(__xludf.DUMMYFUNCTION("CONCATENATE(GOOGLETRANSLATE(C601, ""en"", ""zh-cn""))
"),"SEIKO 男士 SNZG15 SEIKO 5 自动不锈钢手表带尼龙表带")</f>
        <v>SEIKO 男士 SNZG15 SEIKO 5 自动不锈钢手表带尼龙表带</v>
      </c>
      <c r="E601" s="1" t="str">
        <f>IFERROR(__xludf.DUMMYFUNCTION("CONCATENATE(GOOGLETRANSLATE(C601, ""en"", ""ko""))"),"SEIKO 남성용 SNZG15 SEIKO 5 자동 스테인레스 스틸 시계(나일론 스트랩 포함)")</f>
        <v>SEIKO 남성용 SNZG15 SEIKO 5 자동 스테인레스 스틸 시계(나일론 스트랩 포함)</v>
      </c>
      <c r="F601" s="1" t="str">
        <f>IFERROR(__xludf.DUMMYFUNCTION("CONCATENATE(GOOGLETRANSLATE(C601, ""en"", ""ja""))"),"セイコー メンズ SNZG15 SEIKO 5 自動巻きステンレススチールウォッチ ナイロンストラップ付き")</f>
        <v>セイコー メンズ SNZG15 SEIKO 5 自動巻きステンレススチールウォッチ ナイロンストラップ付き</v>
      </c>
    </row>
    <row r="602" ht="15.75" customHeight="1">
      <c r="A602" s="1">
        <v>4204.0</v>
      </c>
      <c r="B602" s="1" t="s">
        <v>6</v>
      </c>
      <c r="C602" s="1" t="s">
        <v>588</v>
      </c>
      <c r="D602" s="1" t="str">
        <f>IFERROR(__xludf.DUMMYFUNCTION("CONCATENATE(GOOGLETRANSLATE(C602, ""en"", ""zh-cn""))
"),"Luminox 男士腕表棱皮海龟巨型 44 毫米黑绿色显示屏 (XS.0337)：100 M 防水 + Super Luminova + Carbonox 表壳")</f>
        <v>Luminox 男士腕表棱皮海龟巨型 44 毫米黑绿色显示屏 (XS.0337)：100 M 防水 + Super Luminova + Carbonox 表壳</v>
      </c>
      <c r="E602" s="1" t="str">
        <f>IFERROR(__xludf.DUMMYFUNCTION("CONCATENATE(GOOGLETRANSLATE(C602, ""en"", ""ko""))"),"Luminox 남성용 손목시계 Leatherback Sea Turtle Giant 44mm 블랙 그린 디스플레이(XS.0337): 100M 방수 + Super Luminova + Carbonox 케이스")</f>
        <v>Luminox 남성용 손목시계 Leatherback Sea Turtle Giant 44mm 블랙 그린 디스플레이(XS.0337): 100M 방수 + Super Luminova + Carbonox 케이스</v>
      </c>
      <c r="F602" s="1" t="str">
        <f>IFERROR(__xludf.DUMMYFUNCTION("CONCATENATE(GOOGLETRANSLATE(C602, ""en"", ""ja""))"),"ルミノックス メンズ 腕時計 レザーバック シータートル ジャイアント 44 mm ブラック グリーン ディスプレイ (XS.0337): 100 M 防水 + スーパールミノバ + Carbonox ケース")</f>
        <v>ルミノックス メンズ 腕時計 レザーバック シータートル ジャイアント 44 mm ブラック グリーン ディスプレイ (XS.0337): 100 M 防水 + スーパールミノバ + Carbonox ケース</v>
      </c>
    </row>
    <row r="603" ht="15.75" customHeight="1">
      <c r="A603" s="1">
        <v>4233.0</v>
      </c>
      <c r="B603" s="1" t="s">
        <v>6</v>
      </c>
      <c r="C603" s="1" t="s">
        <v>589</v>
      </c>
      <c r="D603" s="1" t="str">
        <f>IFERROR(__xludf.DUMMYFUNCTION("CONCATENATE(GOOGLETRANSLATE(C603, ""en"", ""zh-cn""))
"),"SEIKO SRPD61 5 运动男士手表银色 42.5 毫米不锈钢")</f>
        <v>SEIKO SRPD61 5 运动男士手表银色 42.5 毫米不锈钢</v>
      </c>
      <c r="E603" s="1" t="str">
        <f>IFERROR(__xludf.DUMMYFUNCTION("CONCATENATE(GOOGLETRANSLATE(C603, ""en"", ""ko""))"),"SEIKO SRPD61 5 스포츠 남성용 시계 실버톤 42.5mm 스테인리스 스틸")</f>
        <v>SEIKO SRPD61 5 스포츠 남성용 시계 실버톤 42.5mm 스테인리스 스틸</v>
      </c>
      <c r="F603" s="1" t="str">
        <f>IFERROR(__xludf.DUMMYFUNCTION("CONCATENATE(GOOGLETRANSLATE(C603, ""en"", ""ja""))"),"セイコー SRPD61 5 スポーツ メンズ ウォッチ シルバートーン 42.5mm ステンレススチール")</f>
        <v>セイコー SRPD61 5 スポーツ メンズ ウォッチ シルバートーン 42.5mm ステンレススチール</v>
      </c>
    </row>
    <row r="604" ht="15.75" customHeight="1">
      <c r="A604" s="1">
        <v>4241.0</v>
      </c>
      <c r="B604" s="1" t="s">
        <v>6</v>
      </c>
      <c r="C604" s="1" t="s">
        <v>590</v>
      </c>
      <c r="D604" s="1" t="str">
        <f>IFERROR(__xludf.DUMMYFUNCTION("CONCATENATE(GOOGLETRANSLATE(C604, ""en"", ""zh-cn""))
"),"卡西欧 GM-5600G-9JF [G-Shock 黑色和金色型号] 手表 从日本发货 2022 年 8 月 型号")</f>
        <v>卡西欧 GM-5600G-9JF [G-Shock 黑色和金色型号] 手表 从日本发货 2022 年 8 月 型号</v>
      </c>
      <c r="E604" s="1" t="str">
        <f>IFERROR(__xludf.DUMMYFUNCTION("CONCATENATE(GOOGLETRANSLATE(C604, ""en"", ""ko""))"),"Casio GM-5600G-9JF [G-Shock Black and Gold Model] 시계 2022년 8월 일본에서 출시 모델")</f>
        <v>Casio GM-5600G-9JF [G-Shock Black and Gold Model] 시계 2022년 8월 일본에서 출시 모델</v>
      </c>
      <c r="F604" s="1" t="str">
        <f>IFERROR(__xludf.DUMMYFUNCTION("CONCATENATE(GOOGLETRANSLATE(C604, ""en"", ""ja""))"),"カシオ GM-5600G-9JF [G-Shock ブラック&amp;ゴールドモデル] 腕時計 日本発送 2022年8月モデル")</f>
        <v>カシオ GM-5600G-9JF [G-Shock ブラック&amp;ゴールドモデル] 腕時計 日本発送 2022年8月モデル</v>
      </c>
    </row>
    <row r="605" ht="15.75" customHeight="1">
      <c r="A605" s="1">
        <v>4286.0</v>
      </c>
      <c r="B605" s="1" t="s">
        <v>6</v>
      </c>
      <c r="C605" s="1" t="s">
        <v>591</v>
      </c>
      <c r="D605" s="1" t="str">
        <f>IFERROR(__xludf.DUMMYFUNCTION("CONCATENATE(GOOGLETRANSLATE(C605, ""en"", ""zh-cn""))
"),"施华洛世奇 Vittore 宽戒指 银 7")</f>
        <v>施华洛世奇 Vittore 宽戒指 银 7</v>
      </c>
      <c r="E605" s="1" t="str">
        <f>IFERROR(__xludf.DUMMYFUNCTION("CONCATENATE(GOOGLETRANSLATE(C605, ""en"", ""ko""))"),"SWAROVSKI Vittore 와이드 링 실버 7")</f>
        <v>SWAROVSKI Vittore 와이드 링 실버 7</v>
      </c>
      <c r="F605" s="1" t="str">
        <f>IFERROR(__xludf.DUMMYFUNCTION("CONCATENATE(GOOGLETRANSLATE(C605, ""en"", ""ja""))"),"SWAROVSKI ヴィットーレ ワイド リング シルバー 7")</f>
        <v>SWAROVSKI ヴィットーレ ワイド リング シルバー 7</v>
      </c>
    </row>
    <row r="606" ht="15.75" customHeight="1">
      <c r="A606" s="1">
        <v>4291.0</v>
      </c>
      <c r="B606" s="1" t="s">
        <v>6</v>
      </c>
      <c r="C606" s="1" t="s">
        <v>592</v>
      </c>
      <c r="D606" s="1" t="str">
        <f>IFERROR(__xludf.DUMMYFUNCTION("CONCATENATE(GOOGLETRANSLATE(C606, ""en"", ""zh-cn""))
"),"施华洛世奇 Orbita 水晶珠宝系列，铑色调和金色饰面")</f>
        <v>施华洛世奇 Orbita 水晶珠宝系列，铑色调和金色饰面</v>
      </c>
      <c r="E606" s="1" t="str">
        <f>IFERROR(__xludf.DUMMYFUNCTION("CONCATENATE(GOOGLETRANSLATE(C606, ""en"", ""ko""))"),"Swarovski Orbita 크리스탈 주얼리 컬렉션, 로듐 톤 &amp; 골드 톤 마감")</f>
        <v>Swarovski Orbita 크리스탈 주얼리 컬렉션, 로듐 톤 &amp; 골드 톤 마감</v>
      </c>
      <c r="F606" s="1" t="str">
        <f>IFERROR(__xludf.DUMMYFUNCTION("CONCATENATE(GOOGLETRANSLATE(C606, ""en"", ""ja""))"),"スワロフスキー オービタ クリスタル ジュエリー コレクション、ロジウムトーン &amp; ゴールドトーン仕上げ")</f>
        <v>スワロフスキー オービタ クリスタル ジュエリー コレクション、ロジウムトーン &amp; ゴールドトーン仕上げ</v>
      </c>
    </row>
    <row r="607" ht="15.75" customHeight="1">
      <c r="A607" s="1">
        <v>4320.0</v>
      </c>
      <c r="B607" s="1" t="s">
        <v>6</v>
      </c>
      <c r="C607" s="1" t="s">
        <v>593</v>
      </c>
      <c r="D607" s="1" t="str">
        <f>IFERROR(__xludf.DUMMYFUNCTION("CONCATENATE(GOOGLETRANSLATE(C607, ""en"", ""zh-cn""))
"),"施华洛世奇 Constella 鸡尾酒戒指珠宝系列，公主方形和圆形密钉切割，透明水晶")</f>
        <v>施华洛世奇 Constella 鸡尾酒戒指珠宝系列，公主方形和圆形密钉切割，透明水晶</v>
      </c>
      <c r="E607" s="1" t="str">
        <f>IFERROR(__xludf.DUMMYFUNCTION("CONCATENATE(GOOGLETRANSLATE(C607, ""en"", ""ko""))"),"스와로브스키 콘스텔라 칵테일 링 주얼리 컬렉션, 프린세스 및 라운드 파베 컷, 클리어 크리스털")</f>
        <v>스와로브스키 콘스텔라 칵테일 링 주얼리 컬렉션, 프린세스 및 라운드 파베 컷, 클리어 크리스털</v>
      </c>
      <c r="F607" s="1" t="str">
        <f>IFERROR(__xludf.DUMMYFUNCTION("CONCATENATE(GOOGLETRANSLATE(C607, ""en"", ""ja""))"),"スワロフスキー コンステラ カクテル リング ジュエリー コレクション、プリンセスとラウンド パヴェ カット、クリア クリスタル")</f>
        <v>スワロフスキー コンステラ カクテル リング ジュエリー コレクション、プリンセスとラウンド パヴェ カット、クリア クリスタル</v>
      </c>
    </row>
    <row r="608" ht="15.75" customHeight="1">
      <c r="A608" s="1">
        <v>4392.0</v>
      </c>
      <c r="B608" s="1" t="s">
        <v>6</v>
      </c>
      <c r="C608" s="1" t="s">
        <v>534</v>
      </c>
      <c r="D608" s="1" t="str">
        <f>IFERROR(__xludf.DUMMYFUNCTION("CONCATENATE(GOOGLETRANSLATE(C608, ""en"", ""zh-cn""))
"),"Lexicon Vega 客厅沙发，浅灰色")</f>
        <v>Lexicon Vega 客厅沙发，浅灰色</v>
      </c>
      <c r="E608" s="1" t="str">
        <f>IFERROR(__xludf.DUMMYFUNCTION("CONCATENATE(GOOGLETRANSLATE(C608, ""en"", ""ko""))"),"Lexicon Vega 거실 소파, 라이트 그레이")</f>
        <v>Lexicon Vega 거실 소파, 라이트 그레이</v>
      </c>
      <c r="F608" s="1" t="str">
        <f>IFERROR(__xludf.DUMMYFUNCTION("CONCATENATE(GOOGLETRANSLATE(C608, ""en"", ""ja""))"),"Lexicon Vega リビングルームソファ、ライトグレー")</f>
        <v>Lexicon Vega リビングルームソファ、ライトグレー</v>
      </c>
    </row>
    <row r="609" ht="15.75" customHeight="1">
      <c r="A609" s="1">
        <v>4406.0</v>
      </c>
      <c r="B609" s="1" t="s">
        <v>6</v>
      </c>
      <c r="C609" s="1" t="s">
        <v>594</v>
      </c>
      <c r="D609" s="1" t="str">
        <f>IFERROR(__xludf.DUMMYFUNCTION("CONCATENATE(GOOGLETRANSLATE(C609, ""en"", ""zh-cn""))
"),"AMERLIFE 深座沙发-现代雪尼尔沙发，97 宽客厅大号 3 座沙发-超大沙发舒适沙发米色")</f>
        <v>AMERLIFE 深座沙发-现代雪尼尔沙发，97 宽客厅大号 3 座沙发-超大沙发舒适沙发米色</v>
      </c>
      <c r="E609" s="1" t="str">
        <f>IFERROR(__xludf.DUMMYFUNCTION("CONCATENATE(GOOGLETRANSLATE(C609, ""en"", ""ko""))"),"AMERLIFE 딥 시트 소파 - 현대식 셔닐 소파 소파, 97 와이드 거실용 대형 3인용 소파 - 대형 소파 편안한 소파 베이지")</f>
        <v>AMERLIFE 딥 시트 소파 - 현대식 셔닐 소파 소파, 97 와이드 거실용 대형 3인용 소파 - 대형 소파 편안한 소파 베이지</v>
      </c>
      <c r="F609" s="1" t="str">
        <f>IFERROR(__xludf.DUMMYFUNCTION("CONCATENATE(GOOGLETRANSLATE(C609, ""en"", ""ja""))"),"AMERLIFE 深座ソファ - 現代的なシェニール織ソファ カウチ、幅 97 の大型 3 人掛けソファ、リビングルーム用 - 特大ソファ 快適なソファ ベージュ")</f>
        <v>AMERLIFE 深座ソファ - 現代的なシェニール織ソファ カウチ、幅 97 の大型 3 人掛けソファ、リビングルーム用 - 特大ソファ 快適なソファ ベージュ</v>
      </c>
    </row>
    <row r="610" ht="15.75" customHeight="1">
      <c r="A610" s="1">
        <v>4423.0</v>
      </c>
      <c r="B610" s="1" t="s">
        <v>6</v>
      </c>
      <c r="C610" s="1" t="s">
        <v>595</v>
      </c>
      <c r="D610" s="1" t="str">
        <f>IFERROR(__xludf.DUMMYFUNCTION("CONCATENATE(GOOGLETRANSLATE(C610, ""en"", ""zh-cn""))
"),"VINGLI U型组合沙发，114客厅大组合沙发，亚麻组合沙发带双人躺椅，海军蓝")</f>
        <v>VINGLI U型组合沙发，114客厅大组合沙发，亚麻组合沙发带双人躺椅，海军蓝</v>
      </c>
      <c r="E610" s="1" t="str">
        <f>IFERROR(__xludf.DUMMYFUNCTION("CONCATENATE(GOOGLETRANSLATE(C610, ""en"", ""ko""))"),"VINGLI U 자형 단면 소파, 거실용 대형 단면 소파 소파 114개, 더블 라운지 의자가 있는 리넨 단면 소파, 네이비 블루")</f>
        <v>VINGLI U 자형 단면 소파, 거실용 대형 단면 소파 소파 114개, 더블 라운지 의자가 있는 리넨 단면 소파, 네이비 블루</v>
      </c>
      <c r="F610" s="1" t="str">
        <f>IFERROR(__xludf.DUMMYFUNCTION("CONCATENATE(GOOGLETRANSLATE(C610, ""en"", ""ja""))"),"VINGLI U字型セクショナルソファ、リビングルーム用114大型セクショナルソファカウチ、ダブルラウンジチェア付きリネンセクショナルソファ、ネイビーブルー")</f>
        <v>VINGLI U字型セクショナルソファ、リビングルーム用114大型セクショナルソファカウチ、ダブルラウンジチェア付きリネンセクショナルソファ、ネイビーブルー</v>
      </c>
    </row>
    <row r="611" ht="15.75" customHeight="1">
      <c r="A611" s="1">
        <v>4429.0</v>
      </c>
      <c r="B611" s="1" t="s">
        <v>6</v>
      </c>
      <c r="C611" s="1" t="s">
        <v>347</v>
      </c>
      <c r="D611" s="1" t="str">
        <f>IFERROR(__xludf.DUMMYFUNCTION("CONCATENATE(GOOGLETRANSLATE(C611, ""en"", ""zh-cn""))
"),"Hooker Furniture Rhapsody 簇绒软垫雪橇床")</f>
        <v>Hooker Furniture Rhapsody 簇绒软垫雪橇床</v>
      </c>
      <c r="E611" s="1" t="str">
        <f>IFERROR(__xludf.DUMMYFUNCTION("CONCATENATE(GOOGLETRANSLATE(C611, ""en"", ""ko""))"),"매춘부 가구 랩소디 술 덮개를 씌운 썰매 침대")</f>
        <v>매춘부 가구 랩소디 술 덮개를 씌운 썰매 침대</v>
      </c>
      <c r="F611" s="1" t="str">
        <f>IFERROR(__xludf.DUMMYFUNCTION("CONCATENATE(GOOGLETRANSLATE(C611, ""en"", ""ja""))"),"フッカー家具ラプソディタフト布張りそりベッド")</f>
        <v>フッカー家具ラプソディタフト布張りそりベッド</v>
      </c>
    </row>
    <row r="612" ht="15.75" customHeight="1">
      <c r="A612" s="1">
        <v>4434.0</v>
      </c>
      <c r="B612" s="1" t="s">
        <v>6</v>
      </c>
      <c r="C612" s="1" t="s">
        <v>596</v>
      </c>
      <c r="D612" s="1" t="str">
        <f>IFERROR(__xludf.DUMMYFUNCTION("CONCATENATE(GOOGLETRANSLATE(C612, ""en"", ""zh-cn""))
"),"ACME Furniture Gorsedd 沙发带 5 个枕头，奶油色面料和仿古白色")</f>
        <v>ACME Furniture Gorsedd 沙发带 5 个枕头，奶油色面料和仿古白色</v>
      </c>
      <c r="E612" s="1" t="str">
        <f>IFERROR(__xludf.DUMMYFUNCTION("CONCATENATE(GOOGLETRANSLATE(C612, ""en"", ""ko""))"),"ACME 가구 Gorsedd 소파, 베개 5개, 크림 패브릭 및 앤틱 화이트")</f>
        <v>ACME 가구 Gorsedd 소파, 베개 5개, 크림 패브릭 및 앤틱 화이트</v>
      </c>
      <c r="F612" s="1" t="str">
        <f>IFERROR(__xludf.DUMMYFUNCTION("CONCATENATE(GOOGLETRANSLATE(C612, ""en"", ""ja""))"),"ACME Furniture ゴーセッド ソファ 枕 5 個付き、クリーム色生地、アンティーク ホワイト")</f>
        <v>ACME Furniture ゴーセッド ソファ 枕 5 個付き、クリーム色生地、アンティーク ホワイト</v>
      </c>
    </row>
    <row r="613" ht="15.75" customHeight="1">
      <c r="A613" s="1">
        <v>4442.0</v>
      </c>
      <c r="B613" s="1" t="s">
        <v>6</v>
      </c>
      <c r="C613" s="1" t="s">
        <v>597</v>
      </c>
      <c r="D613" s="1" t="str">
        <f>IFERROR(__xludf.DUMMYFUNCTION("CONCATENATE(GOOGLETRANSLATE(C613, ""en"", ""zh-cn""))
"),"香奈儿 SUBLIMAGE LA CRÈME 终极肌肤再生 - 通用质地 1.7 盎司。")</f>
        <v>香奈儿 SUBLIMAGE LA CRÈME 终极肌肤再生 - 通用质地 1.7 盎司。</v>
      </c>
      <c r="E613" s="1" t="str">
        <f>IFERROR(__xludf.DUMMYFUNCTION("CONCATENATE(GOOGLETRANSLATE(C613, ""en"", ""ko""))"),"CHANEL 수블리마지 라 크림 얼티미트 스킨 리제너레이션 - 텍스처 유니버설 1.7온스.")</f>
        <v>CHANEL 수블리마지 라 크림 얼티미트 스킨 리제너레이션 - 텍스처 유니버설 1.7온스.</v>
      </c>
      <c r="F613" s="1" t="str">
        <f>IFERROR(__xludf.DUMMYFUNCTION("CONCATENATE(GOOGLETRANSLATE(C613, ""en"", ""ja""))"),"シャネル サブリマージュ ラ クレーム アルティメット スキン リジェネレーション - テクスチャー ユニバーサル 1.7 オンス")</f>
        <v>シャネル サブリマージュ ラ クレーム アルティメット スキン リジェネレーション - テクスチャー ユニバーサル 1.7 オンス</v>
      </c>
    </row>
    <row r="614" ht="15.75" customHeight="1">
      <c r="A614" s="1">
        <v>4470.0</v>
      </c>
      <c r="B614" s="1" t="s">
        <v>6</v>
      </c>
      <c r="C614" s="1" t="s">
        <v>598</v>
      </c>
      <c r="D614" s="1" t="str">
        <f>IFERROR(__xludf.DUMMYFUNCTION("CONCATENATE(GOOGLETRANSLATE(C614, ""en"", ""zh-cn""))
"),"SISLEY， 生态复合套装 生态复合 125ml + 浅黄洗面啫哩 10ml + HydraGlobal 精华液 5ml + HydraGlobal 10ml， 多种， 4 件，（4 件装）")</f>
        <v>SISLEY， 生态复合套装 生态复合 125ml + 浅黄洗面啫哩 10ml + HydraGlobal 精华液 5ml + HydraGlobal 10ml， 多种， 4 件，（4 件装）</v>
      </c>
      <c r="E614" s="1" t="str">
        <f>IFERROR(__xludf.DUMMYFUNCTION("CONCATENATE(GOOGLETRANSLATE(C614, ""en"", ""ko""))"),"시슬리, 에콜로지컬 컴파운드 피스 세트 에콜로지컬 컴파운드 125ml + 버프 워시 페이스 젤 10ml + 하이드라글로벌 세럼 5ml + 하이드라글로벌 10ml, 멀티, 4개, (4팩)")</f>
        <v>시슬리, 에콜로지컬 컴파운드 피스 세트 에콜로지컬 컴파운드 125ml + 버프 워시 페이스 젤 10ml + 하이드라글로벌 세럼 5ml + 하이드라글로벌 10ml, 멀티, 4개, (4팩)</v>
      </c>
      <c r="F614" s="1" t="str">
        <f>IFERROR(__xludf.DUMMYFUNCTION("CONCATENATE(GOOGLETRANSLATE(C614, ""en"", ""ja""))"),"シスレー、エコロジカル コンパウンド ピース セット エコロジカル コンパウンド 125ml + バフ ウォッシュ フェイス ジェル 10ml + ハイドラグローバル セラム 5ml + ハイドラグローバル 10ml、マルチ、4 カウント、(4 個パック)")</f>
        <v>シスレー、エコロジカル コンパウンド ピース セット エコロジカル コンパウンド 125ml + バフ ウォッシュ フェイス ジェル 10ml + ハイドラグローバル セラム 5ml + ハイドラグローバル 10ml、マルチ、4 カウント、(4 個パック)</v>
      </c>
    </row>
    <row r="615" ht="15.75" customHeight="1">
      <c r="A615" s="1">
        <v>4480.0</v>
      </c>
      <c r="B615" s="1" t="s">
        <v>6</v>
      </c>
      <c r="C615" s="1" t="s">
        <v>599</v>
      </c>
      <c r="D615" s="1" t="str">
        <f>IFERROR(__xludf.DUMMYFUNCTION("CONCATENATE(GOOGLETRANSLATE(C615, ""en"", ""zh-cn""))
"),"CHANEL LE Lift Firming - 抗皱霜 50G。")</f>
        <v>CHANEL LE Lift Firming - 抗皱霜 50G。</v>
      </c>
      <c r="E615" s="1" t="str">
        <f>IFERROR(__xludf.DUMMYFUNCTION("CONCATENATE(GOOGLETRANSLATE(C615, ""en"", ""ko""))"),"샤넬 르 리프트 퍼밍 - 주름 개선 크림 리치 50G.")</f>
        <v>샤넬 르 리프트 퍼밍 - 주름 개선 크림 리치 50G.</v>
      </c>
      <c r="F615" s="1" t="str">
        <f>IFERROR(__xludf.DUMMYFUNCTION("CONCATENATE(GOOGLETRANSLATE(C615, ""en"", ""ja""))"),"シャネル ル リフト ファーミング - アンチリンクル クレーム リッチ 50G。")</f>
        <v>シャネル ル リフト ファーミング - アンチリンクル クレーム リッチ 50G。</v>
      </c>
    </row>
    <row r="616" ht="15.75" customHeight="1">
      <c r="A616" s="1">
        <v>4498.0</v>
      </c>
      <c r="B616" s="1" t="s">
        <v>6</v>
      </c>
      <c r="C616" s="1" t="s">
        <v>600</v>
      </c>
      <c r="D616" s="1" t="str">
        <f>IFERROR(__xludf.DUMMYFUNCTION("CONCATENATE(GOOGLETRANSLATE(C616, ""en"", ""zh-cn""))
"),"Sisley 女士 Phyto-Teint Expert Foundation，3 天然，1 盎司")</f>
        <v>Sisley 女士 Phyto-Teint Expert Foundation，3 天然，1 盎司</v>
      </c>
      <c r="E616" s="1" t="str">
        <f>IFERROR(__xludf.DUMMYFUNCTION("CONCATENATE(GOOGLETRANSLATE(C616, ""en"", ""ko""))"),"시슬리 여성용 피토-떼 엑스퍼트 파운데이션, 3 내추럴, 1 온스")</f>
        <v>시슬리 여성용 피토-떼 엑스퍼트 파운데이션, 3 내추럴, 1 온스</v>
      </c>
      <c r="F616" s="1" t="str">
        <f>IFERROR(__xludf.DUMMYFUNCTION("CONCATENATE(GOOGLETRANSLATE(C616, ""en"", ""ja""))"),"シスレー ウィメンズ フィト テント エキスパート ファンデーション、3 ナチュラル、1 オンス")</f>
        <v>シスレー ウィメンズ フィト テント エキスパート ファンデーション、3 ナチュラル、1 オンス</v>
      </c>
    </row>
    <row r="617" ht="15.75" customHeight="1">
      <c r="A617" s="1">
        <v>4504.0</v>
      </c>
      <c r="B617" s="1" t="s">
        <v>6</v>
      </c>
      <c r="C617" s="1" t="s">
        <v>601</v>
      </c>
      <c r="D617" s="1" t="str">
        <f>IFERROR(__xludf.DUMMYFUNCTION("CONCATENATE(GOOGLETRANSLATE(C617, ""en"", ""zh-cn""))
"),"Sisley by Sisley，三重油膏卸妆洁面乳 - 面部和眼部 -125g/4.4oz")</f>
        <v>Sisley by Sisley，三重油膏卸妆洁面乳 - 面部和眼部 -125g/4.4oz</v>
      </c>
      <c r="E617" s="1" t="str">
        <f>IFERROR(__xludf.DUMMYFUNCTION("CONCATENATE(GOOGLETRANSLATE(C617, ""en"", ""ko""))"),"시슬리 바이 시슬리, 트리플-오일 밤 메이크업 리무버 &amp; 클렌저 - 페이스 &amp; 아이즈 -125g/4.4oz")</f>
        <v>시슬리 바이 시슬리, 트리플-오일 밤 메이크업 리무버 &amp; 클렌저 - 페이스 &amp; 아이즈 -125g/4.4oz</v>
      </c>
      <c r="F617" s="1" t="str">
        <f>IFERROR(__xludf.DUMMYFUNCTION("CONCATENATE(GOOGLETRANSLATE(C617, ""en"", ""ja""))"),"シスレー by シスレー、トリプル オイル バーム メイクアップ リムーバー &amp; クレンザー - フェイス &amp; アイ -125g/4.4oz")</f>
        <v>シスレー by シスレー、トリプル オイル バーム メイクアップ リムーバー &amp; クレンザー - フェイス &amp; アイ -125g/4.4oz</v>
      </c>
    </row>
    <row r="618" ht="15.75" customHeight="1">
      <c r="A618" s="1">
        <v>4516.0</v>
      </c>
      <c r="B618" s="1" t="s">
        <v>6</v>
      </c>
      <c r="C618" s="1" t="s">
        <v>602</v>
      </c>
      <c r="D618" s="1" t="str">
        <f>IFERROR(__xludf.DUMMYFUNCTION("CONCATENATE(GOOGLETRANSLATE(C618, ""en"", ""zh-cn""))
"),"热头火炬")</f>
        <v>热头火炬</v>
      </c>
      <c r="E618" s="1" t="str">
        <f>IFERROR(__xludf.DUMMYFUNCTION("CONCATENATE(GOOGLETRANSLATE(C618, ""en"", ""ko""))"),"핫 헤드 토치")</f>
        <v>핫 헤드 토치</v>
      </c>
      <c r="F618" s="1" t="str">
        <f>IFERROR(__xludf.DUMMYFUNCTION("CONCATENATE(GOOGLETRANSLATE(C618, ""en"", ""ja""))"),"ホットヘッドトーチ")</f>
        <v>ホットヘッドトーチ</v>
      </c>
    </row>
    <row r="619" ht="15.75" customHeight="1">
      <c r="A619" s="1">
        <v>4519.0</v>
      </c>
      <c r="B619" s="1" t="s">
        <v>6</v>
      </c>
      <c r="C619" s="1" t="s">
        <v>603</v>
      </c>
      <c r="D619" s="1" t="str">
        <f>IFERROR(__xludf.DUMMYFUNCTION("CONCATENATE(GOOGLETRANSLATE(C619, ""en"", ""zh-cn""))
"),"Germaine de Capuccini - Timeexpert Radiance C+ | Timeexpert Radiance C+ | Timeexpert Radiance C+亮肤抗氧化眼部轮廓霜 - 维生素 C 和维生素 E 眼霜 - 防止自由基损伤 - 0.5 液量盎司")</f>
        <v>Germaine de Capuccini - Timeexpert Radiance C+ | Timeexpert Radiance C+ | Timeexpert Radiance C+亮肤抗氧化眼部轮廓霜 - 维生素 C 和维生素 E 眼霜 - 防止自由基损伤 - 0.5 液量盎司</v>
      </c>
      <c r="E619" s="1" t="str">
        <f>IFERROR(__xludf.DUMMYFUNCTION("CONCATENATE(GOOGLETRANSLATE(C619, ""en"", ""ko""))"),"Germaine de Capuccini - Timexpert Radiance C+ | 일루미네이팅 항산화 아이 컨투어 크림 - 비타민 C 및 비타민 E 아이 크림 - 자유 라디칼 손상으로부터 보호 - 0.5 Fl oz")</f>
        <v>Germaine de Capuccini - Timexpert Radiance C+ | 일루미네이팅 항산화 아이 컨투어 크림 - 비타민 C 및 비타민 E 아이 크림 - 자유 라디칼 손상으로부터 보호 - 0.5 Fl oz</v>
      </c>
      <c r="F619" s="1" t="str">
        <f>IFERROR(__xludf.DUMMYFUNCTION("CONCATENATE(GOOGLETRANSLATE(C619, ""en"", ""ja""))"),"ジャーメイン・ド・カプチーニ - Timeexpert Radiance C+ |イルミネーティング抗酸化アイ コンター クリーム - ビタミン C およびビタミン E アイ クリーム - フリーラジカルによるダメージから保護 - 0.5 液量オンス")</f>
        <v>ジャーメイン・ド・カプチーニ - Timeexpert Radiance C+ |イルミネーティング抗酸化アイ コンター クリーム - ビタミン C およびビタミン E アイ クリーム - フリーラジカルによるダメージから保護 - 0.5 液量オンス</v>
      </c>
    </row>
    <row r="620" ht="15.75" customHeight="1">
      <c r="A620" s="1">
        <v>4532.0</v>
      </c>
      <c r="B620" s="1" t="s">
        <v>6</v>
      </c>
      <c r="C620" s="1" t="s">
        <v>604</v>
      </c>
      <c r="D620" s="1" t="str">
        <f>IFERROR(__xludf.DUMMYFUNCTION("CONCATENATE(GOOGLETRANSLATE(C620, ""en"", ""zh-cn""))
"),"LED 面膜光疗 7 色光子光保养嫩肤提亮肤色脸部和颈部面部护理面膜")</f>
        <v>LED 面膜光疗 7 色光子光保养嫩肤提亮肤色脸部和颈部面部护理面膜</v>
      </c>
      <c r="E620" s="1" t="str">
        <f>IFERROR(__xludf.DUMMYFUNCTION("CONCATENATE(GOOGLETRANSLATE(C620, ""en"", ""ko""))"),"Led 페이스 마스크 라이트 테라피 7 컬러 광자 라이트 유지 관리 부드러운 피부와 밝게 피부 얼굴과 목을 위한 페이셜 케어 마스크")</f>
        <v>Led 페이스 마스크 라이트 테라피 7 컬러 광자 라이트 유지 관리 부드러운 피부와 밝게 피부 얼굴과 목을 위한 페이셜 케어 마스크</v>
      </c>
      <c r="F620" s="1" t="str">
        <f>IFERROR(__xludf.DUMMYFUNCTION("CONCATENATE(GOOGLETRANSLATE(C620, ""en"", ""ja""))"),"LED フェイスマスク光療法 7 色フォトンライトメンテナンス柔らかい肌と肌を明るくする顔と首用のフェイシャルケアマスク")</f>
        <v>LED フェイスマスク光療法 7 色フォトンライトメンテナンス柔らかい肌と肌を明るくする顔と首用のフェイシャルケアマスク</v>
      </c>
    </row>
    <row r="621" ht="15.75" customHeight="1">
      <c r="A621" s="1">
        <v>4537.0</v>
      </c>
      <c r="B621" s="1" t="s">
        <v>6</v>
      </c>
      <c r="C621" s="1" t="s">
        <v>605</v>
      </c>
      <c r="D621" s="1" t="str">
        <f>IFERROR(__xludf.DUMMYFUNCTION("CONCATENATE(GOOGLETRANSLATE(C621, ""en"", ""zh-cn""))
"),"然后我遇见你玫瑰焕肤面膜 - 在家使用 AHA + BHA + 白藜芦醇进行闪亮面部护理 - 纯素，清洁护肤（1.76 盎司）")</f>
        <v>然后我遇见你玫瑰焕肤面膜 - 在家使用 AHA + BHA + 白藜芦醇进行闪亮面部护理 - 纯素，清洁护肤（1.76 盎司）</v>
      </c>
      <c r="E621" s="1" t="str">
        <f>IFERROR(__xludf.DUMMYFUNCTION("CONCATENATE(GOOGLETRANSLATE(C621, ""en"", ""ko""))"),"그런 다음 아이 멧 유 로제 리서페이싱 페이셜 마스크 - 집에서 AHA + BHA + 레스베라트롤을 사용한 스파클링 페이셜 트리트먼트 - 비건, 클린 스킨케어(1.76온스)")</f>
        <v>그런 다음 아이 멧 유 로제 리서페이싱 페이셜 마스크 - 집에서 AHA + BHA + 레스베라트롤을 사용한 스파클링 페이셜 트리트먼트 - 비건, 클린 스킨케어(1.76온스)</v>
      </c>
      <c r="F621" s="1" t="str">
        <f>IFERROR(__xludf.DUMMYFUNCTION("CONCATENATE(GOOGLETRANSLATE(C621, ""en"", ""ja""))"),"ゼン・アイ・メット・ユー ロゼ リサーフェシング フェイシャル マスク - AHA + BHA + レスベラトロールを使用した自宅でのスパークリング フェイシャル トリートメント - ビーガン、クリーン スキンケア (1.76 オンス)")</f>
        <v>ゼン・アイ・メット・ユー ロゼ リサーフェシング フェイシャル マスク - AHA + BHA + レスベラトロールを使用した自宅でのスパークリング フェイシャル トリートメント - ビーガン、クリーン スキンケア (1.76 オンス)</v>
      </c>
    </row>
    <row r="622" ht="15.75" customHeight="1">
      <c r="A622" s="1">
        <v>4543.0</v>
      </c>
      <c r="B622" s="1" t="s">
        <v>6</v>
      </c>
      <c r="C622" s="1" t="s">
        <v>606</v>
      </c>
      <c r="D622" s="1" t="str">
        <f>IFERROR(__xludf.DUMMYFUNCTION("CONCATENATE(GOOGLETRANSLATE(C622, ""en"", ""zh-cn""))
"),"JJ.Yoma 面霜机，专业面膜机胶原蛋白水果蔬菜 DIY 自动面部护理面膜机带真人语音提醒")</f>
        <v>JJ.Yoma 面霜机，专业面膜机胶原蛋白水果蔬菜 DIY 自动面部护理面膜机带真人语音提醒</v>
      </c>
      <c r="E622" s="1" t="str">
        <f>IFERROR(__xludf.DUMMYFUNCTION("CONCATENATE(GOOGLETRANSLATE(C622, ""en"", ""ko""))"),"JJ.Yoma 페이셜 크림 메이커, 전문 페이셜 마스크 기계 콜라겐 과일 야채 DIY 자동 페이셜 케어 마스크 메이커(인간 음성 알림 포함)")</f>
        <v>JJ.Yoma 페이셜 크림 메이커, 전문 페이셜 마스크 기계 콜라겐 과일 야채 DIY 자동 페이셜 케어 마스크 메이커(인간 음성 알림 포함)</v>
      </c>
      <c r="F622" s="1" t="str">
        <f>IFERROR(__xludf.DUMMYFUNCTION("CONCATENATE(GOOGLETRANSLATE(C622, ""en"", ""ja""))"),"JJ.Yoma フェイシャルクリームメーカー、プロフェッショナルフェイシャルマスクマシンコラーゲンフルーツ野菜DIY自動フェイシャルケアマスクメーカー、人間の音声リマインダー付き")</f>
        <v>JJ.Yoma フェイシャルクリームメーカー、プロフェッショナルフェイシャルマスクマシンコラーゲンフルーツ野菜DIY自動フェイシャルケアマスクメーカー、人間の音声リマインダー付き</v>
      </c>
    </row>
    <row r="623" ht="15.75" customHeight="1">
      <c r="A623" s="1">
        <v>4544.0</v>
      </c>
      <c r="B623" s="1" t="s">
        <v>6</v>
      </c>
      <c r="C623" s="1" t="s">
        <v>607</v>
      </c>
      <c r="D623" s="1" t="str">
        <f>IFERROR(__xludf.DUMMYFUNCTION("CONCATENATE(GOOGLETRANSLATE(C623, ""en"", ""zh-cn""))
"),"Sisley 希思黎女士花卉爽肤水 - 8.4 盎司爽肤水，8.4 盎司")</f>
        <v>Sisley 希思黎女士花卉爽肤水 - 8.4 盎司爽肤水，8.4 盎司</v>
      </c>
      <c r="E623" s="1" t="str">
        <f>IFERROR(__xludf.DUMMYFUNCTION("CONCATENATE(GOOGLETRANSLATE(C623, ""en"", ""ko""))"),"시슬리 플로럴 토닝 로션 바이 시슬리 여성용 - 8.4온스 토닝 로션, 8.4온스")</f>
        <v>시슬리 플로럴 토닝 로션 바이 시슬리 여성용 - 8.4온스 토닝 로션, 8.4온스</v>
      </c>
      <c r="F623" s="1" t="str">
        <f>IFERROR(__xludf.DUMMYFUNCTION("CONCATENATE(GOOGLETRANSLATE(C623, ""en"", ""ja""))"),"シスレー フローラル トーニング ローション 女性用 - 8.4 オンス トーニング ローション、8.4 オンス")</f>
        <v>シスレー フローラル トーニング ローション 女性用 - 8.4 オンス トーニング ローション、8.4 オンス</v>
      </c>
    </row>
    <row r="624" ht="15.75" customHeight="1">
      <c r="A624" s="1">
        <v>4567.0</v>
      </c>
      <c r="B624" s="1" t="s">
        <v>6</v>
      </c>
      <c r="C624" s="1" t="s">
        <v>608</v>
      </c>
      <c r="D624" s="1" t="str">
        <f>IFERROR(__xludf.DUMMYFUNCTION("CONCATENATE(GOOGLETRANSLATE(C624, ""en"", ""zh-cn""))
"),"BRÜUN 剥离果冻面膜高级造型橡胶面膜水疗套装 - 10 种护理（24k 金、薰衣草、猕猴桃、薄荷、埃及玫瑰、抹茶、洋甘菊、茶树、茉莉花）")</f>
        <v>BRÜUN 剥离果冻面膜高级造型橡胶面膜水疗套装 - 10 种护理（24k 金、薰衣草、猕猴桃、薄荷、埃及玫瑰、抹茶、洋甘菊、茶树、茉莉花）</v>
      </c>
      <c r="E624" s="1" t="str">
        <f>IFERROR(__xludf.DUMMYFUNCTION("CONCATENATE(GOOGLETRANSLATE(C624, ""en"", ""ko""))"),"BRÜUN 필오프 젤리 마스크 프리미엄 모델링 러버 마스크 스파 세트 - 10가지 트리트먼트 (24k 골드, 라벤더, 키위, 페퍼민트, 이집트 로즈, 말차, 카모마일, 티트리, 재즈민)")</f>
        <v>BRÜUN 필오프 젤리 마스크 프리미엄 모델링 러버 마스크 스파 세트 - 10가지 트리트먼트 (24k 골드, 라벤더, 키위, 페퍼민트, 이집트 로즈, 말차, 카모마일, 티트리, 재즈민)</v>
      </c>
      <c r="F624" s="1" t="str">
        <f>IFERROR(__xludf.DUMMYFUNCTION("CONCATENATE(GOOGLETRANSLATE(C624, ""en"", ""ja""))"),"BRÜUN ピールオフ ジェリー マスク プレミアム モデリング ラバー マスク スパ セット - トリートメント 10 回 (24K ゴールド、ラベンダー、キウイ、ペパーミント、エジプシャン ローズ、抹茶、カモミール、ティー ツリー、ジャズミン)")</f>
        <v>BRÜUN ピールオフ ジェリー マスク プレミアム モデリング ラバー マスク スパ セット - トリートメント 10 回 (24K ゴールド、ラベンダー、キウイ、ペパーミント、エジプシャン ローズ、抹茶、カモミール、ティー ツリー、ジャズミン)</v>
      </c>
    </row>
    <row r="625" ht="15.75" customHeight="1">
      <c r="A625" s="1">
        <v>4640.0</v>
      </c>
      <c r="B625" s="1" t="s">
        <v>6</v>
      </c>
      <c r="C625" s="1" t="s">
        <v>609</v>
      </c>
      <c r="D625" s="1" t="str">
        <f>IFERROR(__xludf.DUMMYFUNCTION("CONCATENATE(GOOGLETRANSLATE(C625, ""en"", ""zh-cn""))
"),"ASSAULTFITNESS Assault AirBike Elite，灰色")</f>
        <v>ASSAULTFITNESS Assault AirBike Elite，灰色</v>
      </c>
      <c r="E625" s="1" t="str">
        <f>IFERROR(__xludf.DUMMYFUNCTION("CONCATENATE(GOOGLETRANSLATE(C625, ""en"", ""ko""))"),"ASSAULTFITNESS Assault AirBike 엘리트, 그레이")</f>
        <v>ASSAULTFITNESS Assault AirBike 엘리트, 그레이</v>
      </c>
      <c r="F625" s="1" t="str">
        <f>IFERROR(__xludf.DUMMYFUNCTION("CONCATENATE(GOOGLETRANSLATE(C625, ""en"", ""ja""))"),"ASSAULTFITNESS アサルト エアバイク エリート、グレー")</f>
        <v>ASSAULTFITNESS アサルト エアバイク エリート、グレー</v>
      </c>
    </row>
    <row r="626" ht="15.75" customHeight="1">
      <c r="A626" s="1">
        <v>4652.0</v>
      </c>
      <c r="B626" s="1" t="s">
        <v>6</v>
      </c>
      <c r="C626" s="1" t="s">
        <v>610</v>
      </c>
      <c r="D626" s="1" t="str">
        <f>IFERROR(__xludf.DUMMYFUNCTION("CONCATENATE(GOOGLETRANSLATE(C626, ""en"", ""zh-cn""))
"),"BFSB5 链传动室内自行车")</f>
        <v>BFSB5 链传动室内自行车</v>
      </c>
      <c r="E626" s="1" t="str">
        <f>IFERROR(__xludf.DUMMYFUNCTION("CONCATENATE(GOOGLETRANSLATE(C626, ""en"", ""ko""))"),"BFSB5 체인 드라이브 실내 사이클링 자전거")</f>
        <v>BFSB5 체인 드라이브 실내 사이클링 자전거</v>
      </c>
      <c r="F626" s="1" t="str">
        <f>IFERROR(__xludf.DUMMYFUNCTION("CONCATENATE(GOOGLETRANSLATE(C626, ""en"", ""ja""))"),"BFSB5 チェーンドライブインドアサイクリングバイク")</f>
        <v>BFSB5 チェーンドライブインドアサイクリングバイク</v>
      </c>
    </row>
    <row r="627" ht="15.75" customHeight="1">
      <c r="A627" s="1">
        <v>4655.0</v>
      </c>
      <c r="B627" s="1" t="s">
        <v>6</v>
      </c>
      <c r="C627" s="1" t="s">
        <v>611</v>
      </c>
      <c r="D627" s="1" t="str">
        <f>IFERROR(__xludf.DUMMYFUNCTION("CONCATENATE(GOOGLETRANSLATE(C627, ""en"", ""zh-cn""))
"),"Meta Quest 2 — 高级一体式虚拟现实耳机 — 128 GB 获取 Meta Quest 2，内含 GOLF+ 和 Space Pirate Trainer DX")</f>
        <v>Meta Quest 2 — 高级一体式虚拟现实耳机 — 128 GB 获取 Meta Quest 2，内含 GOLF+ 和 Space Pirate Trainer DX</v>
      </c>
      <c r="E627" s="1" t="str">
        <f>IFERROR(__xludf.DUMMYFUNCTION("CONCATENATE(GOOGLETRANSLATE(C627, ""en"", ""ko""))"),"Meta Quest 2 — 고급 올인원 가상 현실 헤드셋 — 128GB GOLF+ 및 Space Pirate Trainer DX가 포함된 Meta Quest 2를 구매하세요")</f>
        <v>Meta Quest 2 — 고급 올인원 가상 현실 헤드셋 — 128GB GOLF+ 및 Space Pirate Trainer DX가 포함된 Meta Quest 2를 구매하세요</v>
      </c>
      <c r="F627" s="1" t="str">
        <f>IFERROR(__xludf.DUMMYFUNCTION("CONCATENATE(GOOGLETRANSLATE(C627, ""en"", ""ja""))"),"Meta Quest 2 — 高度なオールインワン バーチャル リアリティ ヘッドセット — 128 GB GOLF+ および Space Pirate Trainer DX を含む Meta Quest 2 を入手")</f>
        <v>Meta Quest 2 — 高度なオールインワン バーチャル リアリティ ヘッドセット — 128 GB GOLF+ および Space Pirate Trainer DX を含む Meta Quest 2 を入手</v>
      </c>
    </row>
    <row r="628" ht="15.75" customHeight="1">
      <c r="A628" s="1">
        <v>4657.0</v>
      </c>
      <c r="B628" s="1" t="s">
        <v>6</v>
      </c>
      <c r="C628" s="1" t="s">
        <v>439</v>
      </c>
      <c r="D628" s="1" t="str">
        <f>IFERROR(__xludf.DUMMYFUNCTION("CONCATENATE(GOOGLETRANSLATE(C628, ""en"", ""zh-cn""))
"),"美国 Pride 家具瑜伽系列现代人造皮革弧形躺椅，适合伸展和放松，非常适合卧室、客厅、冥想室或办公室，常规，午夜黑")</f>
        <v>美国 Pride 家具瑜伽系列现代人造皮革弧形躺椅，适合伸展和放松，非常适合卧室、客厅、冥想室或办公室，常规，午夜黑</v>
      </c>
      <c r="E628" s="1" t="str">
        <f>IFERROR(__xludf.DUMMYFUNCTION("CONCATENATE(GOOGLETRANSLATE(C628, ""en"", ""ko""))"),"US Pride Furniture Yoga Collection 스트레칭과 휴식을 위한 현대적인 인조 가죽 곡선 라운지 의자, 침실, 거실, 명상실 또는 사무실에 이상적, 일반, 미드나잇 블랙")</f>
        <v>US Pride Furniture Yoga Collection 스트레칭과 휴식을 위한 현대적인 인조 가죽 곡선 라운지 의자, 침실, 거실, 명상실 또는 사무실에 이상적, 일반, 미드나잇 블랙</v>
      </c>
      <c r="F628" s="1" t="str">
        <f>IFERROR(__xludf.DUMMYFUNCTION("CONCATENATE(GOOGLETRANSLATE(C628, ""en"", ""ja""))"),"USプライドファニチャーヨガコレクション ストレッチとリラクゼーションのためのモダンなフェイクレザーの湾曲したラウンジ長椅子、寝室、リビング、瞑想室またはオフィスに最適、レギュラー、ミッドナイトブラック")</f>
        <v>USプライドファニチャーヨガコレクション ストレッチとリラクゼーションのためのモダンなフェイクレザーの湾曲したラウンジ長椅子、寝室、リビング、瞑想室またはオフィスに最適、レギュラー、ミッドナイトブラック</v>
      </c>
    </row>
    <row r="629" ht="15.75" customHeight="1">
      <c r="A629" s="1">
        <v>4663.0</v>
      </c>
      <c r="B629" s="1" t="s">
        <v>6</v>
      </c>
      <c r="C629" s="1" t="s">
        <v>612</v>
      </c>
      <c r="D629" s="1" t="str">
        <f>IFERROR(__xludf.DUMMYFUNCTION("CONCATENATE(GOOGLETRANSLATE(C629, ""en"", ""zh-cn""))
"),"Devoko 5 件套露台家具套装全天候户外组合沙发手动编织柳条藤条露台谈话套装带垫子和玻璃桌（米色）")</f>
        <v>Devoko 5 件套露台家具套装全天候户外组合沙发手动编织柳条藤条露台谈话套装带垫子和玻璃桌（米色）</v>
      </c>
      <c r="E629" s="1" t="str">
        <f>IFERROR(__xludf.DUMMYFUNCTION("CONCATENATE(GOOGLETRANSLATE(C629, ""en"", ""ko""))"),"Devoko 5 조각 파티오 가구 세트 전천후 야외 단면 소파 수동 직조 고리 버들 등나무 파티오 대화 세트 쿠션과 유리 테이블 (베이지 색)")</f>
        <v>Devoko 5 조각 파티오 가구 세트 전천후 야외 단면 소파 수동 직조 고리 버들 등나무 파티오 대화 세트 쿠션과 유리 테이블 (베이지 색)</v>
      </c>
      <c r="F629" s="1" t="str">
        <f>IFERROR(__xludf.DUMMYFUNCTION("CONCATENATE(GOOGLETRANSLATE(C629, ""en"", ""ja""))"),"Devoko パティオ家具 5 点セット 全天候型 屋外 セクショナルソファ 手動織り 籐ラタン パティオ会話セット クッションとガラステーブル付き (ベージュ)")</f>
        <v>Devoko パティオ家具 5 点セット 全天候型 屋外 セクショナルソファ 手動織り 籐ラタン パティオ会話セット クッションとガラステーブル付き (ベージュ)</v>
      </c>
    </row>
    <row r="630" ht="15.75" customHeight="1">
      <c r="A630" s="1">
        <v>4664.0</v>
      </c>
      <c r="B630" s="1" t="s">
        <v>6</v>
      </c>
      <c r="C630" s="1" t="s">
        <v>613</v>
      </c>
      <c r="D630" s="1" t="str">
        <f>IFERROR(__xludf.DUMMYFUNCTION("CONCATENATE(GOOGLETRANSLATE(C630, ""en"", ""zh-cn""))
"),"Alexia 冥想座椅符合人体工程学，适合人体生理学禅宗瑜伽人体工学椅子泡沫垫家庭或办公室（浅灰色 - 纯素皮革）")</f>
        <v>Alexia 冥想座椅符合人体工程学，适合人体生理学禅宗瑜伽人体工学椅子泡沫垫家庭或办公室（浅灰色 - 纯素皮革）</v>
      </c>
      <c r="E630" s="1" t="str">
        <f>IFERROR(__xludf.DUMMYFUNCTION("CONCATENATE(GOOGLETRANSLATE(C630, ""en"", ""ko""))"),"Alexia 명상 시트 인체 생리학에 인체 공학적으로 올바른 Zen Yoga 인체 공학적 의자 폼 쿠션 가정 또는 사무실 (밝은 회색 - 비건 가죽)")</f>
        <v>Alexia 명상 시트 인체 생리학에 인체 공학적으로 올바른 Zen Yoga 인체 공학적 의자 폼 쿠션 가정 또는 사무실 (밝은 회색 - 비건 가죽)</v>
      </c>
      <c r="F630" s="1" t="str">
        <f>IFERROR(__xludf.DUMMYFUNCTION("CONCATENATE(GOOGLETRANSLATE(C630, ""en"", ""ja""))"),"Alexia 瞑想シート 人間の生理学的に正しい 禅ヨガ 人間工学に基づいた椅子 フォームクッション 自宅またはオフィス (ライトグレー - ビーガンレザー)")</f>
        <v>Alexia 瞑想シート 人間の生理学的に正しい 禅ヨガ 人間工学に基づいた椅子 フォームクッション 自宅またはオフィス (ライトグレー - ビーガンレザー)</v>
      </c>
    </row>
    <row r="631" ht="15.75" customHeight="1">
      <c r="A631" s="1">
        <v>4675.0</v>
      </c>
      <c r="B631" s="1" t="s">
        <v>6</v>
      </c>
      <c r="C631" s="1" t="s">
        <v>243</v>
      </c>
      <c r="D631" s="1" t="str">
        <f>IFERROR(__xludf.DUMMYFUNCTION("CONCATENATE(GOOGLETRANSLATE(C631, ""en"", ""zh-cn""))
"),"Giro Vanquish MIPS 成人公路骑行头盔")</f>
        <v>Giro Vanquish MIPS 成人公路骑行头盔</v>
      </c>
      <c r="E631" s="1" t="str">
        <f>IFERROR(__xludf.DUMMYFUNCTION("CONCATENATE(GOOGLETRANSLATE(C631, ""en"", ""ko""))"),"Giro Vanquish MIPS 성인용 로드 사이클링 헬멧")</f>
        <v>Giro Vanquish MIPS 성인용 로드 사이클링 헬멧</v>
      </c>
      <c r="F631" s="1" t="str">
        <f>IFERROR(__xludf.DUMMYFUNCTION("CONCATENATE(GOOGLETRANSLATE(C631, ""en"", ""ja""))"),"Giro Vanquish MIPS 大人用ロードサイクリング ヘルメット")</f>
        <v>Giro Vanquish MIPS 大人用ロードサイクリング ヘルメット</v>
      </c>
    </row>
    <row r="632" ht="15.75" customHeight="1">
      <c r="A632" s="1">
        <v>4694.0</v>
      </c>
      <c r="B632" s="1" t="s">
        <v>6</v>
      </c>
      <c r="C632" s="1" t="s">
        <v>614</v>
      </c>
      <c r="D632" s="1" t="str">
        <f>IFERROR(__xludf.DUMMYFUNCTION("CONCATENATE(GOOGLETRANSLATE(C632, ""en"", ""zh-cn""))
"),"Igloo BMX 72 夸脱冷却器采用 Cool Riser 技术、鱼尺和系紧点")</f>
        <v>Igloo BMX 72 夸脱冷却器采用 Cool Riser 技术、鱼尺和系紧点</v>
      </c>
      <c r="E632" s="1" t="str">
        <f>IFERROR(__xludf.DUMMYFUNCTION("CONCATENATE(GOOGLETRANSLATE(C632, ""en"", ""ko""))"),"쿨 라이저 기술, 피시 눈금자 및 타이다운 포인트를 갖춘 이글루 BMX 72쿼트 쿨러")</f>
        <v>쿨 라이저 기술, 피시 눈금자 및 타이다운 포인트를 갖춘 이글루 BMX 72쿼트 쿨러</v>
      </c>
      <c r="F632" s="1" t="str">
        <f>IFERROR(__xludf.DUMMYFUNCTION("CONCATENATE(GOOGLETRANSLATE(C632, ""en"", ""ja""))"),"Igloo BMX 72 クォート クーラー、クール ライザー テクノロジー、フィッシュ ルーラー、タイダウン ポイント付き")</f>
        <v>Igloo BMX 72 クォート クーラー、クール ライザー テクノロジー、フィッシュ ルーラー、タイダウン ポイント付き</v>
      </c>
    </row>
    <row r="633" ht="15.75" customHeight="1">
      <c r="A633" s="1">
        <v>4718.0</v>
      </c>
      <c r="B633" s="1" t="s">
        <v>6</v>
      </c>
      <c r="C633" s="1" t="s">
        <v>68</v>
      </c>
      <c r="D633" s="1" t="str">
        <f>IFERROR(__xludf.DUMMYFUNCTION("CONCATENATE(GOOGLETRANSLATE(C633, ""en"", ""zh-cn""))
"),"Cuberspeed GAN 13 uv 涂层 MagLev 无贴纸 3x3 速度立方拼图 gan13 maglev uv 涂层旗舰拼图")</f>
        <v>Cuberspeed GAN 13 uv 涂层 MagLev 无贴纸 3x3 速度立方拼图 gan13 maglev uv 涂层旗舰拼图</v>
      </c>
      <c r="E633" s="1" t="str">
        <f>IFERROR(__xludf.DUMMYFUNCTION("CONCATENATE(GOOGLETRANSLATE(C633, ""en"", ""ko""))"),"Cuberspeed GAN 13 uv 코팅 MagLev 스티커가 없는 3x3 스피드 큐브 퍼즐 gan13 maglev uv 코팅 플래그십 퍼즐")</f>
        <v>Cuberspeed GAN 13 uv 코팅 MagLev 스티커가 없는 3x3 스피드 큐브 퍼즐 gan13 maglev uv 코팅 플래그십 퍼즐</v>
      </c>
      <c r="F633" s="1" t="str">
        <f>IFERROR(__xludf.DUMMYFUNCTION("CONCATENATE(GOOGLETRANSLATE(C633, ""en"", ""ja""))"),"Cuberspeed GAN 13 uv コーティングされた MagLev ステッカーレス 3x3 スピード キューブ パズル gan13 maglev uv コーティングされたフラッグシップ パズル")</f>
        <v>Cuberspeed GAN 13 uv コーティングされた MagLev ステッカーレス 3x3 スピード キューブ パズル gan13 maglev uv コーティングされたフラッグシップ パズル</v>
      </c>
    </row>
    <row r="634" ht="15.75" customHeight="1">
      <c r="A634" s="1">
        <v>4740.0</v>
      </c>
      <c r="B634" s="1" t="s">
        <v>6</v>
      </c>
      <c r="C634" s="1" t="s">
        <v>615</v>
      </c>
      <c r="D634" s="1" t="str">
        <f>IFERROR(__xludf.DUMMYFUNCTION("CONCATENATE(GOOGLETRANSLATE(C634, ""en"", ""zh-cn""))
"),"Bukefuno GAN 12 Maglev 3x3 磁性魔方 GAN12Maglev Speed GAN 12Maglev 拼图魔方 GAN12 Maglev 3x3 魔方（磨砂表面无贴纸）")</f>
        <v>Bukefuno GAN 12 Maglev 3x3 磁性魔方 GAN12Maglev Speed GAN 12Maglev 拼图魔方 GAN12 Maglev 3x3 魔方（磨砂表面无贴纸）</v>
      </c>
      <c r="E634" s="1" t="str">
        <f>IFERROR(__xludf.DUMMYFUNCTION("CONCATENATE(GOOGLETRANSLATE(C634, ""en"", ""ko""))"),"Bukefuno GAN 12 자기 부상 3x3 자기 매직 큐브 GAN12Maglev 속도 GAN 12 자기 부상 퍼즐 매직 큐브 GAN12 자기 부상 3x3 큐브(반투명 표면 스티커 없음)")</f>
        <v>Bukefuno GAN 12 자기 부상 3x3 자기 매직 큐브 GAN12Maglev 속도 GAN 12 자기 부상 퍼즐 매직 큐브 GAN12 자기 부상 3x3 큐브(반투명 표면 스티커 없음)</v>
      </c>
      <c r="F634" s="1" t="str">
        <f>IFERROR(__xludf.DUMMYFUNCTION("CONCATENATE(GOOGLETRANSLATE(C634, ""en"", ""ja""))"),"Bukefuno GAN 12 Maglev 3x3 Magnetic Magic Cube GAN12Maglev Speed GAN 12Maglev Puzzle Magic Cubes GAN12 Maglev 3x3 Cube (つや消し表面ステッカーなし)")</f>
        <v>Bukefuno GAN 12 Maglev 3x3 Magnetic Magic Cube GAN12Maglev Speed GAN 12Maglev Puzzle Magic Cubes GAN12 Maglev 3x3 Cube (つや消し表面ステッカーなし)</v>
      </c>
    </row>
    <row r="635" ht="15.75" customHeight="1">
      <c r="A635" s="1">
        <v>4753.0</v>
      </c>
      <c r="B635" s="1" t="s">
        <v>51</v>
      </c>
      <c r="C635" s="1" t="s">
        <v>54</v>
      </c>
      <c r="D635" s="1" t="str">
        <f>IFERROR(__xludf.DUMMYFUNCTION("CONCATENATE(GOOGLETRANSLATE(C635, ""en"", ""zh-cn""))
"),"男式佩斯利围巾日式印花开襟和服两件套")</f>
        <v>男式佩斯利围巾日式印花开襟和服两件套</v>
      </c>
      <c r="E635" s="1" t="str">
        <f>IFERROR(__xludf.DUMMYFUNCTION("CONCATENATE(GOOGLETRANSLATE(C635, ""en"", ""ko""))"),"남성 페이즐리 스카프 일본식 프린트 오픈 프론트 기모노 2피스 수트")</f>
        <v>남성 페이즐리 스카프 일본식 프린트 오픈 프론트 기모노 2피스 수트</v>
      </c>
      <c r="F635" s="1" t="str">
        <f>IFERROR(__xludf.DUMMYFUNCTION("CONCATENATE(GOOGLETRANSLATE(C635, ""en"", ""ja""))"),"メンズペイズリースカーフ日本のプリントオープンフロント着物ツーピーススーツ")</f>
        <v>メンズペイズリースカーフ日本のプリントオープンフロント着物ツーピーススーツ</v>
      </c>
    </row>
    <row r="636" ht="15.75" customHeight="1">
      <c r="A636" s="1">
        <v>4801.0</v>
      </c>
      <c r="B636" s="1" t="s">
        <v>6</v>
      </c>
      <c r="C636" s="1" t="s">
        <v>616</v>
      </c>
      <c r="D636" s="1" t="str">
        <f>IFERROR(__xludf.DUMMYFUNCTION("CONCATENATE(GOOGLETRANSLATE(C636, ""en"", ""zh-cn""))
"),"戴尔 Latitude 5000 5540 15.6 英寸全高清商务笔记本电脑，第 13 代英特尔 10 核 i7-1355U，32GB DDR4 RAM，1TB PCIe SSD，WiFi 6E，蓝牙，背光键盘，指纹识别器，Windows 11 Pro")</f>
        <v>戴尔 Latitude 5000 5540 15.6 英寸全高清商务笔记本电脑，第 13 代英特尔 10 核 i7-1355U，32GB DDR4 RAM，1TB PCIe SSD，WiFi 6E，蓝牙，背光键盘，指纹识别器，Windows 11 Pro</v>
      </c>
      <c r="E636" s="1" t="str">
        <f>IFERROR(__xludf.DUMMYFUNCTION("CONCATENATE(GOOGLETRANSLATE(C636, ""en"", ""ko""))"),"Dell Latitude 5000 5540 15.6인치 FHD 비즈니스 노트북 컴퓨터, 13세대 인텔 10코어 i7-1355U, 32GB DDR4 RAM, 1TB PCIe SSD, WiFi 6E, 블루투스, 백라이트 키보드, 지문 인식기, Windows 11 Pro")</f>
        <v>Dell Latitude 5000 5540 15.6인치 FHD 비즈니스 노트북 컴퓨터, 13세대 인텔 10코어 i7-1355U, 32GB DDR4 RAM, 1TB PCIe SSD, WiFi 6E, 블루투스, 백라이트 키보드, 지문 인식기, Windows 11 Pro</v>
      </c>
      <c r="F636" s="1" t="str">
        <f>IFERROR(__xludf.DUMMYFUNCTION("CONCATENATE(GOOGLETRANSLATE(C636, ""en"", ""ja""))"),"Dell Latitude 5000 5540 15.6 インチ FHD ビジネス ラップトップ コンピューター、第 13 世代インテル 10 コア i7-1355U、32GB DDR4 RAM、1TB PCIe SSD、WiFi 6E、Bluetooth、バックライト付きキーボード、指紋リーダー、Windows 11 Pro")</f>
        <v>Dell Latitude 5000 5540 15.6 インチ FHD ビジネス ラップトップ コンピューター、第 13 世代インテル 10 コア i7-1355U、32GB DDR4 RAM、1TB PCIe SSD、WiFi 6E、Bluetooth、バックライト付きキーボード、指紋リーダー、Windows 11 Pro</v>
      </c>
    </row>
    <row r="637" ht="15.75" customHeight="1">
      <c r="A637" s="1">
        <v>4805.0</v>
      </c>
      <c r="B637" s="1" t="s">
        <v>6</v>
      </c>
      <c r="C637" s="1" t="s">
        <v>617</v>
      </c>
      <c r="D637" s="1" t="str">
        <f>IFERROR(__xludf.DUMMYFUNCTION("CONCATENATE(GOOGLETRANSLATE(C637, ""en"", ""zh-cn""))
"),"Apple 2024 MacBook Air 13 英寸笔记本电脑，配备 M3 芯片：13.6 英寸 Liquid Retina 显示屏、8GB 统一内存、256GB SSD 存储、背光键盘、1080p FaceTime 高清摄像头、Touch ID；午夜")</f>
        <v>Apple 2024 MacBook Air 13 英寸笔记本电脑，配备 M3 芯片：13.6 英寸 Liquid Retina 显示屏、8GB 统一内存、256GB SSD 存储、背光键盘、1080p FaceTime 高清摄像头、Touch ID；午夜</v>
      </c>
      <c r="E637" s="1" t="str">
        <f>IFERROR(__xludf.DUMMYFUNCTION("CONCATENATE(GOOGLETRANSLATE(C637, ""en"", ""ko""))"),"M3 칩을 탑재한 Apple 2024 MacBook Air 13인치 노트북: 13.6인치 Liquid Retina 디스플레이, 8GB 통합 메모리, 256GB SSD 스토리지, 백라이트 키보드, 1080p FaceTime HD 카메라, Touch ID; 자정")</f>
        <v>M3 칩을 탑재한 Apple 2024 MacBook Air 13인치 노트북: 13.6인치 Liquid Retina 디스플레이, 8GB 통합 메모리, 256GB SSD 스토리지, 백라이트 키보드, 1080p FaceTime HD 카메라, Touch ID; 자정</v>
      </c>
      <c r="F637" s="1" t="str">
        <f>IFERROR(__xludf.DUMMYFUNCTION("CONCATENATE(GOOGLETRANSLATE(C637, ""en"", ""ja""))"),"M3 チップ搭載 Apple 2024 MacBook Air 13 インチ ラップトップ: 13.6 インチ Liquid Retina ディスプレイ、8GB ユニファイド メモリ、256GB SSD ストレージ、バックライト付きキーボード、1080p FaceTime HD カメラ、Touch ID。夜中")</f>
        <v>M3 チップ搭載 Apple 2024 MacBook Air 13 インチ ラップトップ: 13.6 インチ Liquid Retina ディスプレイ、8GB ユニファイド メモリ、256GB SSD ストレージ、バックライト付きキーボード、1080p FaceTime HD カメラ、Touch ID。夜中</v>
      </c>
    </row>
    <row r="638" ht="15.75" customHeight="1">
      <c r="A638" s="1">
        <v>4809.0</v>
      </c>
      <c r="B638" s="1" t="s">
        <v>6</v>
      </c>
      <c r="C638" s="1" t="s">
        <v>618</v>
      </c>
      <c r="D638" s="1" t="str">
        <f>IFERROR(__xludf.DUMMYFUNCTION("CONCATENATE(GOOGLETRANSLATE(C638, ""en"", ""zh-cn""))
"),"Apple 2024 MacBook Air 13 英寸笔记本电脑，配备 M3 芯片：13.6 英寸 Liquid Retina 显示屏、8GB 统一内存、512GB SSD 存储、背光键盘、1080p FaceTime 高清摄像头、Touch ID；午夜")</f>
        <v>Apple 2024 MacBook Air 13 英寸笔记本电脑，配备 M3 芯片：13.6 英寸 Liquid Retina 显示屏、8GB 统一内存、512GB SSD 存储、背光键盘、1080p FaceTime 高清摄像头、Touch ID；午夜</v>
      </c>
      <c r="E638" s="1" t="str">
        <f>IFERROR(__xludf.DUMMYFUNCTION("CONCATENATE(GOOGLETRANSLATE(C638, ""en"", ""ko""))"),"M3 칩을 탑재한 Apple 2024 MacBook Air 13인치 노트북: 13.6인치 Liquid Retina 디스플레이, 8GB 통합 메모리, 512GB SSD 스토리지, 백라이트 키보드, 1080p FaceTime HD 카메라, Touch ID; 자정")</f>
        <v>M3 칩을 탑재한 Apple 2024 MacBook Air 13인치 노트북: 13.6인치 Liquid Retina 디스플레이, 8GB 통합 메모리, 512GB SSD 스토리지, 백라이트 키보드, 1080p FaceTime HD 카메라, Touch ID; 자정</v>
      </c>
      <c r="F638" s="1" t="str">
        <f>IFERROR(__xludf.DUMMYFUNCTION("CONCATENATE(GOOGLETRANSLATE(C638, ""en"", ""ja""))"),"Apple 2024 MacBook Air 13 インチ ラップトップ (M3 チップ搭載): 13.6 インチ Liquid Retina ディスプレイ、8GB ユニファイド メモリ、512GB SSD ストレージ、バックライト付きキーボード、1080p FaceTime HD カメラ、Touch ID。夜中")</f>
        <v>Apple 2024 MacBook Air 13 インチ ラップトップ (M3 チップ搭載): 13.6 インチ Liquid Retina ディスプレイ、8GB ユニファイド メモリ、512GB SSD ストレージ、バックライト付きキーボード、1080p FaceTime HD カメラ、Touch ID。夜中</v>
      </c>
    </row>
    <row r="639" ht="15.75" customHeight="1">
      <c r="A639" s="1">
        <v>4821.0</v>
      </c>
      <c r="B639" s="1" t="s">
        <v>6</v>
      </c>
      <c r="C639" s="1" t="s">
        <v>619</v>
      </c>
      <c r="D639" s="1" t="str">
        <f>IFERROR(__xludf.DUMMYFUNCTION("CONCATENATE(GOOGLETRANSLATE(C639, ""en"", ""zh-cn""))
"),"Apple 2024 MacBook Air 15 英寸笔记本电脑，配备 M3 芯片：15.3 英寸 Liquid Retina 显示屏、8GB 统一内存、512GB SSD 存储、背光键盘、1080p FaceTime 高清摄像头、Touch ID；午夜")</f>
        <v>Apple 2024 MacBook Air 15 英寸笔记本电脑，配备 M3 芯片：15.3 英寸 Liquid Retina 显示屏、8GB 统一内存、512GB SSD 存储、背光键盘、1080p FaceTime 高清摄像头、Touch ID；午夜</v>
      </c>
      <c r="E639" s="1" t="str">
        <f>IFERROR(__xludf.DUMMYFUNCTION("CONCATENATE(GOOGLETRANSLATE(C639, ""en"", ""ko""))"),"M3 칩이 탑재된 Apple 2024 MacBook Air 15인치 노트북: 15.3인치 Liquid Retina 디스플레이, 8GB 통합 메모리, 512GB SSD 스토리지, 백라이트 키보드, 1080p FaceTime HD 카메라, Touch ID; 자정")</f>
        <v>M3 칩이 탑재된 Apple 2024 MacBook Air 15인치 노트북: 15.3인치 Liquid Retina 디스플레이, 8GB 통합 메모리, 512GB SSD 스토리지, 백라이트 키보드, 1080p FaceTime HD 카메라, Touch ID; 자정</v>
      </c>
      <c r="F639" s="1" t="str">
        <f>IFERROR(__xludf.DUMMYFUNCTION("CONCATENATE(GOOGLETRANSLATE(C639, ""en"", ""ja""))"),"Apple 2024 MacBook Air 15 インチ ラップトップ (M3 チップ搭載): 15.3 インチ Liquid Retina ディスプレイ、8GB ユニファイド メモリ、512GB SSD ストレージ、バックライト付きキーボード、1080p FaceTime HD カメラ、Touch ID。夜中")</f>
        <v>Apple 2024 MacBook Air 15 インチ ラップトップ (M3 チップ搭載): 15.3 インチ Liquid Retina ディスプレイ、8GB ユニファイド メモリ、512GB SSD ストレージ、バックライト付きキーボード、1080p FaceTime HD カメラ、Touch ID。夜中</v>
      </c>
    </row>
    <row r="640" ht="15.75" customHeight="1">
      <c r="A640" s="1">
        <v>4847.0</v>
      </c>
      <c r="B640" s="1" t="s">
        <v>6</v>
      </c>
      <c r="C640" s="1" t="s">
        <v>620</v>
      </c>
      <c r="D640" s="1" t="str">
        <f>IFERROR(__xludf.DUMMYFUNCTION("CONCATENATE(GOOGLETRANSLATE(C640, ""en"", ""zh-cn""))
"),"MSI WF66 11UJ-267 工作站笔记本电脑（Intel i7-11800H 8 核、64GB RAM、128GB PCIe SSD + 1TB HDD、RTX A2000、15.6"" 60Hz 全高清 (1920x1080)、WiFi、蓝牙、Win 10 Pro）带顶部装载包")</f>
        <v>MSI WF66 11UJ-267 工作站笔记本电脑（Intel i7-11800H 8 核、64GB RAM、128GB PCIe SSD + 1TB HDD、RTX A2000、15.6" 60Hz 全高清 (1920x1080)、WiFi、蓝牙、Win 10 Pro）带顶部装载包</v>
      </c>
      <c r="E640" s="1" t="str">
        <f>IFERROR(__xludf.DUMMYFUNCTION("CONCATENATE(GOOGLETRANSLATE(C640, ""en"", ""ko""))"),"MSI WF66 11UJ-267 워크스테이션 노트북(Intel i7-11800H 8코어, 64GB RAM, 128GB PCIe SSD + 1TB HDD, RTX A2000, 15.6인치 60Hz 풀 HD(1920x1080), WiFi, 블루투스, Win 10 Pro), 탑로드 백 포함")</f>
        <v>MSI WF66 11UJ-267 워크스테이션 노트북(Intel i7-11800H 8코어, 64GB RAM, 128GB PCIe SSD + 1TB HDD, RTX A2000, 15.6인치 60Hz 풀 HD(1920x1080), WiFi, 블루투스, Win 10 Pro), 탑로드 백 포함</v>
      </c>
      <c r="F640" s="1" t="str">
        <f>IFERROR(__xludf.DUMMYFUNCTION("CONCATENATE(GOOGLETRANSLATE(C640, ""en"", ""ja""))"),"MSI WF66 11UJ-267 ワークステーション ラップトップ (Intel i7-11800H 8 コア、64GB RAM、128GB PCIe SSD + 1TB HDD、RTX A2000、15.6 インチ 60Hz フル HD (1920x1080)、WiFi、Bluetooth、Win 10 Pro) トップロード バッグ付き")</f>
        <v>MSI WF66 11UJ-267 ワークステーション ラップトップ (Intel i7-11800H 8 コア、64GB RAM、128GB PCIe SSD + 1TB HDD、RTX A2000、15.6 インチ 60Hz フル HD (1920x1080)、WiFi、Bluetooth、Win 10 Pro) トップロード バッグ付き</v>
      </c>
    </row>
    <row r="641" ht="15.75" customHeight="1">
      <c r="A641" s="1">
        <v>5049.0</v>
      </c>
      <c r="B641" s="1" t="s">
        <v>6</v>
      </c>
      <c r="C641" s="1" t="s">
        <v>621</v>
      </c>
      <c r="D641" s="1" t="str">
        <f>IFERROR(__xludf.DUMMYFUNCTION("CONCATENATE(GOOGLETRANSLATE(C641, ""en"", ""zh-cn""))
"),"Apple iPhone 12 Pro，128GB，金色 - 无锁版（续订高级版）")</f>
        <v>Apple iPhone 12 Pro，128GB，金色 - 无锁版（续订高级版）</v>
      </c>
      <c r="E641" s="1" t="str">
        <f>IFERROR(__xludf.DUMMYFUNCTION("CONCATENATE(GOOGLETRANSLATE(C641, ""en"", ""ko""))"),"Apple iPhone 12 Pro, 128GB, 골드 - 공기계(리뉴얼 프리미엄)")</f>
        <v>Apple iPhone 12 Pro, 128GB, 골드 - 공기계(리뉴얼 프리미엄)</v>
      </c>
      <c r="F641" s="1" t="str">
        <f>IFERROR(__xludf.DUMMYFUNCTION("CONCATENATE(GOOGLETRANSLATE(C641, ""en"", ""ja""))"),"Apple iPhone 12 Pro、128GB、ゴールド - ロック解除済み (更新プレミアム)")</f>
        <v>Apple iPhone 12 Pro、128GB、ゴールド - ロック解除済み (更新プレミアム)</v>
      </c>
    </row>
    <row r="642" ht="15.75" customHeight="1">
      <c r="A642" s="1">
        <v>5061.0</v>
      </c>
      <c r="B642" s="1" t="s">
        <v>51</v>
      </c>
      <c r="C642" s="1" t="s">
        <v>245</v>
      </c>
      <c r="D642" s="1" t="str">
        <f>IFERROR(__xludf.DUMMYFUNCTION("CONCATENATE(GOOGLETRANSLATE(C642, ""en"", ""zh-cn""))
"),"男式两色拼接立领拉链前抓绒夹克")</f>
        <v>男式两色拼接立领拉链前抓绒夹克</v>
      </c>
      <c r="E642" s="1" t="str">
        <f>IFERROR(__xludf.DUMMYFUNCTION("CONCATENATE(GOOGLETRANSLATE(C642, ""en"", ""ko""))"),"남성 투톤 패치워크 스탠드 칼라 지퍼 프론트 플리스 재킷")</f>
        <v>남성 투톤 패치워크 스탠드 칼라 지퍼 프론트 플리스 재킷</v>
      </c>
      <c r="F642" s="1" t="str">
        <f>IFERROR(__xludf.DUMMYFUNCTION("CONCATENATE(GOOGLETRANSLATE(C642, ""en"", ""ja""))"),"メンズ ツートーン パッチワーク スタンド カラー ジップ フロント フリース ジャケット")</f>
        <v>メンズ ツートーン パッチワーク スタンド カラー ジップ フロント フリース ジャケット</v>
      </c>
    </row>
    <row r="643" ht="15.75" customHeight="1">
      <c r="A643" s="1">
        <v>5146.0</v>
      </c>
      <c r="B643" s="1" t="s">
        <v>6</v>
      </c>
      <c r="C643" s="1" t="s">
        <v>255</v>
      </c>
      <c r="D643" s="1" t="str">
        <f>IFERROR(__xludf.DUMMYFUNCTION("CONCATENATE(GOOGLETRANSLATE(C643, ""en"", ""zh-cn""))
"),"Drako 2 SRS 山地自行车鞋")</f>
        <v>Drako 2 SRS 山地自行车鞋</v>
      </c>
      <c r="E643" s="1" t="str">
        <f>IFERROR(__xludf.DUMMYFUNCTION("CONCATENATE(GOOGLETRANSLATE(C643, ""en"", ""ko""))"),"Drako 2 SRS 산악 자전거 신발")</f>
        <v>Drako 2 SRS 산악 자전거 신발</v>
      </c>
      <c r="F643" s="1" t="str">
        <f>IFERROR(__xludf.DUMMYFUNCTION("CONCATENATE(GOOGLETRANSLATE(C643, ""en"", ""ja""))"),"Drako 2 SRS マウンテン バイク シューズ")</f>
        <v>Drako 2 SRS マウンテン バイク シューズ</v>
      </c>
    </row>
    <row r="644" ht="15.75" customHeight="1">
      <c r="A644" s="1">
        <v>5158.0</v>
      </c>
      <c r="B644" s="1" t="s">
        <v>6</v>
      </c>
      <c r="C644" s="1" t="s">
        <v>614</v>
      </c>
      <c r="D644" s="1" t="str">
        <f>IFERROR(__xludf.DUMMYFUNCTION("CONCATENATE(GOOGLETRANSLATE(C644, ""en"", ""zh-cn""))
"),"Igloo BMX 72 夸脱冷却器采用 Cool Riser 技术、鱼尺和系紧点")</f>
        <v>Igloo BMX 72 夸脱冷却器采用 Cool Riser 技术、鱼尺和系紧点</v>
      </c>
      <c r="E644" s="1" t="str">
        <f>IFERROR(__xludf.DUMMYFUNCTION("CONCATENATE(GOOGLETRANSLATE(C644, ""en"", ""ko""))"),"쿨 라이저 기술, 피시 눈금자 및 타이다운 포인트를 갖춘 이글루 BMX 72쿼트 쿨러")</f>
        <v>쿨 라이저 기술, 피시 눈금자 및 타이다운 포인트를 갖춘 이글루 BMX 72쿼트 쿨러</v>
      </c>
      <c r="F644" s="1" t="str">
        <f>IFERROR(__xludf.DUMMYFUNCTION("CONCATENATE(GOOGLETRANSLATE(C644, ""en"", ""ja""))"),"Igloo BMX 72 クォート クーラー、クール ライザー テクノロジー、フィッシュ ルーラー、タイダウン ポイント付き")</f>
        <v>Igloo BMX 72 クォート クーラー、クール ライザー テクノロジー、フィッシュ ルーラー、タイダウン ポイント付き</v>
      </c>
    </row>
    <row r="645" ht="15.75" customHeight="1">
      <c r="A645" s="1">
        <v>5161.0</v>
      </c>
      <c r="B645" s="1" t="s">
        <v>6</v>
      </c>
      <c r="C645" s="1" t="s">
        <v>622</v>
      </c>
      <c r="D645" s="1" t="str">
        <f>IFERROR(__xludf.DUMMYFUNCTION("CONCATENATE(GOOGLETRANSLATE(C645, ""en"", ""zh-cn""))
"),"鱼雷巴")</f>
        <v>鱼雷巴</v>
      </c>
      <c r="E645" s="1" t="str">
        <f>IFERROR(__xludf.DUMMYFUNCTION("CONCATENATE(GOOGLETRANSLATE(C645, ""en"", ""ko""))"),"어뢰 바")</f>
        <v>어뢰 바</v>
      </c>
      <c r="F645" s="1" t="str">
        <f>IFERROR(__xludf.DUMMYFUNCTION("CONCATENATE(GOOGLETRANSLATE(C645, ""en"", ""ja""))"),"魚雷バ")</f>
        <v>魚雷バ</v>
      </c>
    </row>
    <row r="646" ht="15.75" customHeight="1">
      <c r="A646" s="1">
        <v>5199.0</v>
      </c>
      <c r="B646" s="1" t="s">
        <v>51</v>
      </c>
      <c r="C646" s="1" t="s">
        <v>623</v>
      </c>
      <c r="D646" s="1" t="str">
        <f>IFERROR(__xludf.DUMMYFUNCTION("CONCATENATE(GOOGLETRANSLATE(C646, ""en"", ""zh-cn""))
"),"男式纯色棒球领拉链休闲夹克")</f>
        <v>男式纯色棒球领拉链休闲夹克</v>
      </c>
      <c r="E646" s="1" t="str">
        <f>IFERROR(__xludf.DUMMYFUNCTION("CONCATENATE(GOOGLETRANSLATE(C646, ""en"", ""ko""))"),"남성용 솔리드 텍스처 야구 ​​칼라 지퍼 프론트 캐주얼 재킷")</f>
        <v>남성용 솔리드 텍스처 야구 ​​칼라 지퍼 프론트 캐주얼 재킷</v>
      </c>
      <c r="F646" s="1" t="str">
        <f>IFERROR(__xludf.DUMMYFUNCTION("CONCATENATE(GOOGLETRANSLATE(C646, ""en"", ""ja""))"),"メンズソリッドテクスチャ野球襟ジップフロントカジュアルジャケット")</f>
        <v>メンズソリッドテクスチャ野球襟ジップフロントカジュアルジャケット</v>
      </c>
    </row>
    <row r="647" ht="15.75" customHeight="1">
      <c r="A647" s="1">
        <v>5200.0</v>
      </c>
      <c r="B647" s="1" t="s">
        <v>51</v>
      </c>
      <c r="C647" s="1" t="s">
        <v>624</v>
      </c>
      <c r="D647" s="1" t="str">
        <f>IFERROR(__xludf.DUMMYFUNCTION("CONCATENATE(GOOGLETRANSLATE(C647, ""en"", ""zh-cn""))
"),"男士流苏下摆半袖开衫")</f>
        <v>男士流苏下摆半袖开衫</v>
      </c>
      <c r="E647" s="1" t="str">
        <f>IFERROR(__xludf.DUMMYFUNCTION("CONCATENATE(GOOGLETRANSLATE(C647, ""en"", ""ko""))"),"남성용 프린지 밑단 하프 슬리브 카디건")</f>
        <v>남성용 프린지 밑단 하프 슬리브 카디건</v>
      </c>
      <c r="F647" s="1" t="str">
        <f>IFERROR(__xludf.DUMMYFUNCTION("CONCATENATE(GOOGLETRANSLATE(C647, ""en"", ""ja""))"),"メンズ フリンジヘム ハーフスリーブ カーディガン")</f>
        <v>メンズ フリンジヘム ハーフスリーブ カーディガン</v>
      </c>
    </row>
    <row r="648" ht="15.75" customHeight="1">
      <c r="A648" s="1">
        <v>5201.0</v>
      </c>
      <c r="B648" s="1" t="s">
        <v>51</v>
      </c>
      <c r="C648" s="1" t="s">
        <v>625</v>
      </c>
      <c r="D648" s="1" t="str">
        <f>IFERROR(__xludf.DUMMYFUNCTION("CONCATENATE(GOOGLETRANSLATE(C648, ""en"", ""zh-cn""))
"),"男士纯色翻领 3/4 袖休闲西装外套")</f>
        <v>男士纯色翻领 3/4 袖休闲西装外套</v>
      </c>
      <c r="E648" s="1" t="str">
        <f>IFERROR(__xludf.DUMMYFUNCTION("CONCATENATE(GOOGLETRANSLATE(C648, ""en"", ""ko""))"),"남성 솔리드 라펠 3/4 슬리브 캐주얼 블레이저")</f>
        <v>남성 솔리드 라펠 3/4 슬리브 캐주얼 블레이저</v>
      </c>
      <c r="F648" s="1" t="str">
        <f>IFERROR(__xludf.DUMMYFUNCTION("CONCATENATE(GOOGLETRANSLATE(C648, ""en"", ""ja""))"),"メンズソリッドラペル3/4スリーブカジュアルブレザー")</f>
        <v>メンズソリッドラペル3/4スリーブカジュアルブレザー</v>
      </c>
    </row>
    <row r="649" ht="15.75" customHeight="1">
      <c r="A649" s="1">
        <v>5303.0</v>
      </c>
      <c r="B649" s="1" t="s">
        <v>6</v>
      </c>
      <c r="C649" s="1" t="s">
        <v>626</v>
      </c>
      <c r="D649" s="1" t="str">
        <f>IFERROR(__xludf.DUMMYFUNCTION("CONCATENATE(GOOGLETRANSLATE(C649, ""en"", ""zh-cn""))
"),"YOGABODY 瑜伽吊架，室内外使用")</f>
        <v>YOGABODY 瑜伽吊架，室内外使用</v>
      </c>
      <c r="E649" s="1" t="str">
        <f>IFERROR(__xludf.DUMMYFUNCTION("CONCATENATE(GOOGLETRANSLATE(C649, ""en"", ""ko""))"),"YOGABODY 요가 공중 그네 스탠드, 실내 및 실외 사용")</f>
        <v>YOGABODY 요가 공중 그네 스탠드, 실내 및 실외 사용</v>
      </c>
      <c r="F649" s="1" t="str">
        <f>IFERROR(__xludf.DUMMYFUNCTION("CONCATENATE(GOOGLETRANSLATE(C649, ""en"", ""ja""))"),"YOGABODY ヨガ空中ブランコスタンド、屋内および屋外で使用可能")</f>
        <v>YOGABODY ヨガ空中ブランコスタンド、屋内および屋外で使用可能</v>
      </c>
    </row>
    <row r="650" ht="15.75" customHeight="1">
      <c r="A650" s="1">
        <v>5328.0</v>
      </c>
      <c r="B650" s="1" t="s">
        <v>6</v>
      </c>
      <c r="C650" s="1" t="s">
        <v>627</v>
      </c>
      <c r="D650" s="1" t="str">
        <f>IFERROR(__xludf.DUMMYFUNCTION("CONCATENATE(GOOGLETRANSLATE(C650, ""en"", ""zh-cn""))
"),"HP Pavilion x360 二合一 14 英寸全高清触摸屏笔记本电脑，英特尔四核 i5-1135G7 高达 4.2GHz (Beat i7-1065G7)，8GB DDR4 RAM，512GB PCIe SSD，WiFi 6，银色，Windows 11，BROAG 延长线")</f>
        <v>HP Pavilion x360 二合一 14 英寸全高清触摸屏笔记本电脑，英特尔四核 i5-1135G7 高达 4.2GHz (Beat i7-1065G7)，8GB DDR4 RAM，512GB PCIe SSD，WiFi 6，银色，Windows 11，BROAG 延长线</v>
      </c>
      <c r="E650" s="1" t="str">
        <f>IFERROR(__xludf.DUMMYFUNCTION("CONCATENATE(GOOGLETRANSLATE(C650, ""en"", ""ko""))"),"HP Pavilion x360 2-in-1 14 FHD 터치스크린 노트북 컴퓨터, Intel 쿼드 코어 i5-1135G7 최대 4.2GHz(Beat i7-1065G7), 8GB DDR4 RAM, 512GB PCIe SSD, WiFi 6, 실버, Windows 11, BROAG 연장 케이블")</f>
        <v>HP Pavilion x360 2-in-1 14 FHD 터치스크린 노트북 컴퓨터, Intel 쿼드 코어 i5-1135G7 최대 4.2GHz(Beat i7-1065G7), 8GB DDR4 RAM, 512GB PCIe SSD, WiFi 6, 실버, Windows 11, BROAG 연장 케이블</v>
      </c>
      <c r="F650" s="1" t="str">
        <f>IFERROR(__xludf.DUMMYFUNCTION("CONCATENATE(GOOGLETRANSLATE(C650, ""en"", ""ja""))"),"HP Pavilion x360 2-in-1 14 FHD タッチスクリーン ラップトップ コンピューター、Intel クアッドコア i5-1135G7 最大 4.2 GHz (Beat i7-1065G7)、8GB DDR4 RAM、512GB PCIe SSD、WiFi 6、シルバー、Windows 11、BROAG 延長ケーブル")</f>
        <v>HP Pavilion x360 2-in-1 14 FHD タッチスクリーン ラップトップ コンピューター、Intel クアッドコア i5-1135G7 最大 4.2 GHz (Beat i7-1065G7)、8GB DDR4 RAM、512GB PCIe SSD、WiFi 6、シルバー、Windows 11、BROAG 延長ケーブル</v>
      </c>
    </row>
    <row r="651" ht="15.75" customHeight="1">
      <c r="A651" s="1">
        <v>5349.0</v>
      </c>
      <c r="B651" s="1" t="s">
        <v>6</v>
      </c>
      <c r="C651" s="1" t="s">
        <v>58</v>
      </c>
      <c r="D651" s="1" t="str">
        <f>IFERROR(__xludf.DUMMYFUNCTION("CONCATENATE(GOOGLETRANSLATE(C651, ""en"", ""zh-cn""))
"),"GAN 13 磁悬浮磨砂涂层，磁性速度魔方 3x3 无贴纸 56 毫米磁铁魔方拼图玩具，GAN 2022 旗舰")</f>
        <v>GAN 13 磁悬浮磨砂涂层，磁性速度魔方 3x3 无贴纸 56 毫米磁铁魔方拼图玩具，GAN 2022 旗舰</v>
      </c>
      <c r="E651" s="1" t="str">
        <f>IFERROR(__xludf.DUMMYFUNCTION("CONCATENATE(GOOGLETRANSLATE(C651, ""en"", ""ko""))"),"GAN 13 자기 부상 프로스트 코팅, 자기 속도 큐브 3x3 스티커 없는 56mm 자석 매직 큐브 퍼즐 장난감, GAN 2022 플래그십")</f>
        <v>GAN 13 자기 부상 프로스트 코팅, 자기 속도 큐브 3x3 스티커 없는 56mm 자석 매직 큐브 퍼즐 장난감, GAN 2022 플래그십</v>
      </c>
      <c r="F651" s="1" t="str">
        <f>IFERROR(__xludf.DUMMYFUNCTION("CONCATENATE(GOOGLETRANSLATE(C651, ""en"", ""ja""))"),"GAN 13 リニアモーターカー フロストコーティング、磁気スピードキューブ 3x3 ステッカーレス 56mm マグネット マジックキューブ パズルおもちゃ、GAN 2022 フラッグシップ")</f>
        <v>GAN 13 リニアモーターカー フロストコーティング、磁気スピードキューブ 3x3 ステッカーレス 56mm マグネット マジックキューブ パズルおもちゃ、GAN 2022 フラッグシップ</v>
      </c>
    </row>
    <row r="652" ht="15.75" customHeight="1">
      <c r="A652" s="1">
        <v>5365.0</v>
      </c>
      <c r="B652" s="1" t="s">
        <v>6</v>
      </c>
      <c r="C652" s="1" t="s">
        <v>253</v>
      </c>
      <c r="D652" s="1" t="str">
        <f>IFERROR(__xludf.DUMMYFUNCTION("CONCATENATE(GOOGLETRANSLATE(C652, ""en"", ""zh-cn""))
"),"GAN 13 磁悬浮 UV 涂层，磁性速度魔方 3x3 无贴纸 56 毫米磁铁魔方拼图玩具，GAN 2022 旗舰")</f>
        <v>GAN 13 磁悬浮 UV 涂层，磁性速度魔方 3x3 无贴纸 56 毫米磁铁魔方拼图玩具，GAN 2022 旗舰</v>
      </c>
      <c r="E652" s="1" t="str">
        <f>IFERROR(__xludf.DUMMYFUNCTION("CONCATENATE(GOOGLETRANSLATE(C652, ""en"", ""ko""))"),"GAN 13 자기 부상 UV 코팅, 자기 속도 큐브 3x3 스티커 없는 56mm 자석 매직 큐브 퍼즐 장난감, GAN 2022 플래그십")</f>
        <v>GAN 13 자기 부상 UV 코팅, 자기 속도 큐브 3x3 스티커 없는 56mm 자석 매직 큐브 퍼즐 장난감, GAN 2022 플래그십</v>
      </c>
      <c r="F652" s="1" t="str">
        <f>IFERROR(__xludf.DUMMYFUNCTION("CONCATENATE(GOOGLETRANSLATE(C652, ""en"", ""ja""))"),"GAN 13 リニアモーターカー UV コーティング、磁気スピード キューブ 3x3 ステッカーレス 56mm マグネット マジック キューブ パズル おもちゃ、GAN 2022 フラッグシップ")</f>
        <v>GAN 13 リニアモーターカー UV コーティング、磁気スピード キューブ 3x3 ステッカーレス 56mm マグネット マジック キューブ パズル おもちゃ、GAN 2022 フラッグシップ</v>
      </c>
    </row>
    <row r="653" ht="15.75" customHeight="1">
      <c r="A653" s="1">
        <v>5394.0</v>
      </c>
      <c r="B653" s="1" t="s">
        <v>51</v>
      </c>
      <c r="C653" s="1" t="s">
        <v>628</v>
      </c>
      <c r="D653" s="1" t="str">
        <f>IFERROR(__xludf.DUMMYFUNCTION("CONCATENATE(GOOGLETRANSLATE(C653, ""en"", ""zh-cn""))
"),"纯色立领正面系扣休闲宽松长连衣裙（侧袋）")</f>
        <v>纯色立领正面系扣休闲宽松长连衣裙（侧袋）</v>
      </c>
      <c r="E653" s="1" t="str">
        <f>IFERROR(__xludf.DUMMYFUNCTION("CONCATENATE(GOOGLETRANSLATE(C653, ""en"", ""ko""))"),"솔리드 컬러 스탠드 칼라 버튼 다운 프론트 레저 루즈 맥시 드레스(사이드 포켓 ​​포함)")</f>
        <v>솔리드 컬러 스탠드 칼라 버튼 다운 프론트 레저 루즈 맥시 드레스(사이드 포켓 ​​포함)</v>
      </c>
      <c r="F653" s="1" t="str">
        <f>IFERROR(__xludf.DUMMYFUNCTION("CONCATENATE(GOOGLETRANSLATE(C653, ""en"", ""ja""))"),"ソリッドカラー スタンドカラー ボタンダウン フロント レジャー ルーズ マキシ ドレス サイドポケット付き")</f>
        <v>ソリッドカラー スタンドカラー ボタンダウン フロント レジャー ルーズ マキシ ドレス サイドポケット付き</v>
      </c>
    </row>
    <row r="654" ht="15.75" customHeight="1">
      <c r="A654" s="1">
        <v>5402.0</v>
      </c>
      <c r="B654" s="1" t="s">
        <v>51</v>
      </c>
      <c r="C654" s="1" t="s">
        <v>629</v>
      </c>
      <c r="D654" s="1" t="str">
        <f>IFERROR(__xludf.DUMMYFUNCTION("CONCATENATE(GOOGLETRANSLATE(C654, ""en"", ""zh-cn""))
"),"女式豹纹 V 领泡泡袖系带超长连衣裙")</f>
        <v>女式豹纹 V 领泡泡袖系带超长连衣裙</v>
      </c>
      <c r="E654" s="1" t="str">
        <f>IFERROR(__xludf.DUMMYFUNCTION("CONCATENATE(GOOGLETRANSLATE(C654, ""en"", ""ko""))"),"여성용 레오파드 프린트 V 넥 퍼프 슬리브 레이스 업 맥시 드레스")</f>
        <v>여성용 레오파드 프린트 V 넥 퍼프 슬리브 레이스 업 맥시 드레스</v>
      </c>
      <c r="F654" s="1" t="str">
        <f>IFERROR(__xludf.DUMMYFUNCTION("CONCATENATE(GOOGLETRANSLATE(C654, ""en"", ""ja""))"),"女性のためのヒョウ柄 V ネック パフ スリーブ レースアップ マキシ ドレス")</f>
        <v>女性のためのヒョウ柄 V ネック パフ スリーブ レースアップ マキシ ドレス</v>
      </c>
    </row>
    <row r="655" ht="15.75" customHeight="1">
      <c r="A655" s="1">
        <v>5413.0</v>
      </c>
      <c r="B655" s="1" t="s">
        <v>6</v>
      </c>
      <c r="C655" s="1" t="s">
        <v>58</v>
      </c>
      <c r="D655" s="1" t="str">
        <f>IFERROR(__xludf.DUMMYFUNCTION("CONCATENATE(GOOGLETRANSLATE(C655, ""en"", ""zh-cn""))
"),"GAN 13 磁悬浮磨砂涂层，磁性速度魔方 3x3 无贴纸 56 毫米磁铁魔方拼图玩具，GAN 2022 旗舰")</f>
        <v>GAN 13 磁悬浮磨砂涂层，磁性速度魔方 3x3 无贴纸 56 毫米磁铁魔方拼图玩具，GAN 2022 旗舰</v>
      </c>
      <c r="E655" s="1" t="str">
        <f>IFERROR(__xludf.DUMMYFUNCTION("CONCATENATE(GOOGLETRANSLATE(C655, ""en"", ""ko""))"),"GAN 13 자기 부상 프로스트 코팅, 자기 속도 큐브 3x3 스티커 없는 56mm 자석 매직 큐브 퍼즐 장난감, GAN 2022 플래그십")</f>
        <v>GAN 13 자기 부상 프로스트 코팅, 자기 속도 큐브 3x3 스티커 없는 56mm 자석 매직 큐브 퍼즐 장난감, GAN 2022 플래그십</v>
      </c>
      <c r="F655" s="1" t="str">
        <f>IFERROR(__xludf.DUMMYFUNCTION("CONCATENATE(GOOGLETRANSLATE(C655, ""en"", ""ja""))"),"GAN 13 リニアモーターカー フロストコーティング、磁気スピードキューブ 3x3 ステッカーレス 56mm マグネット マジックキューブ パズルおもちゃ、GAN 2022 フラッグシップ")</f>
        <v>GAN 13 リニアモーターカー フロストコーティング、磁気スピードキューブ 3x3 ステッカーレス 56mm マグネット マジックキューブ パズルおもちゃ、GAN 2022 フラッグシップ</v>
      </c>
    </row>
    <row r="656" ht="15.75" customHeight="1">
      <c r="A656" s="1">
        <v>5416.0</v>
      </c>
      <c r="B656" s="1" t="s">
        <v>6</v>
      </c>
      <c r="C656" s="1" t="s">
        <v>454</v>
      </c>
      <c r="D656" s="1" t="str">
        <f>IFERROR(__xludf.DUMMYFUNCTION("CONCATENATE(GOOGLETRANSLATE(C656, ""en"", ""zh-cn""))
"),"GAN 460 M 速度魔方， 4x4 磁性魔方 Gans 460M 拼图玩具（无贴纸）")</f>
        <v>GAN 460 M 速度魔方， 4x4 磁性魔方 Gans 460M 拼图玩具（无贴纸）</v>
      </c>
      <c r="E656" s="1" t="str">
        <f>IFERROR(__xludf.DUMMYFUNCTION("CONCATENATE(GOOGLETRANSLATE(C656, ""en"", ""ko""))"),"GAN 460 M 스피드 큐브, 4x4 마그네틱 마스터 큐브 Gans 460M 퍼즐 장난감(스티커 없음)")</f>
        <v>GAN 460 M 스피드 큐브, 4x4 마그네틱 마스터 큐브 Gans 460M 퍼즐 장난감(스티커 없음)</v>
      </c>
      <c r="F656" s="1" t="str">
        <f>IFERROR(__xludf.DUMMYFUNCTION("CONCATENATE(GOOGLETRANSLATE(C656, ""en"", ""ja""))"),"GAN 460 M スピード キューブ、4x4 磁気マスター キューブ Gans 460M パズルおもちゃ (ステッカーなし)")</f>
        <v>GAN 460 M スピード キューブ、4x4 磁気マスター キューブ Gans 460M パズルおもちゃ (ステッカーなし)</v>
      </c>
    </row>
    <row r="657" ht="15.75" customHeight="1">
      <c r="A657" s="1">
        <v>5440.0</v>
      </c>
      <c r="B657" s="1" t="s">
        <v>6</v>
      </c>
      <c r="C657" s="1" t="s">
        <v>630</v>
      </c>
      <c r="D657" s="1" t="str">
        <f>IFERROR(__xludf.DUMMYFUNCTION("CONCATENATE(GOOGLETRANSLATE(C657, ""en"", ""zh-cn""))
"),"Alvantor 弹出式泡泡帐篷 - 6' x 6' 即时冰屋帐篷 - 2-3 人露台屏风屋 - 大型超大防风雨吊舱 - 防寒露营帐篷 - 米色")</f>
        <v>Alvantor 弹出式泡泡帐篷 - 6' x 6' 即时冰屋帐篷 - 2-3 人露台屏风屋 - 大型超大防风雨吊舱 - 防寒露营帐篷 - 米色</v>
      </c>
      <c r="E657" s="1" t="str">
        <f>IFERROR(__xludf.DUMMYFUNCTION("CONCATENATE(GOOGLETRANSLATE(C657, ""en"", ""ko""))"),"Alvantor 팝업 버블 텐트 - 6' x 6' 인스턴트 이글루 텐트 - 파티오용 2-3인용 스크린 하우스 - 대형 특대 전천후 포드 - 방한 캠핑 텐트 - 베이지")</f>
        <v>Alvantor 팝업 버블 텐트 - 6' x 6' 인스턴트 이글루 텐트 - 파티오용 2-3인용 스크린 하우스 - 대형 특대 전천후 포드 - 방한 캠핑 텐트 - 베이지</v>
      </c>
      <c r="F657" s="1" t="str">
        <f>IFERROR(__xludf.DUMMYFUNCTION("CONCATENATE(GOOGLETRANSLATE(C657, ""en"", ""ja""))"),"Alvantor ポップアップバブルテント - 6フィート x 6フィート インスタントイグルーテント - パティオ用2～3人用スクリーンハウス - 大型特大耐候性ポッド - 防寒キャンプテント - ベージュ")</f>
        <v>Alvantor ポップアップバブルテント - 6フィート x 6フィート インスタントイグルーテント - パティオ用2～3人用スクリーンハウス - 大型特大耐候性ポッド - 防寒キャンプテント - ベージュ</v>
      </c>
    </row>
    <row r="658" ht="15.75" customHeight="1">
      <c r="A658" s="1">
        <v>5444.0</v>
      </c>
      <c r="B658" s="1" t="s">
        <v>6</v>
      </c>
      <c r="C658" s="1" t="s">
        <v>631</v>
      </c>
      <c r="D658" s="1" t="str">
        <f>IFERROR(__xludf.DUMMYFUNCTION("CONCATENATE(GOOGLETRANSLATE(C658, ""en"", ""zh-cn""))
"),"Igloo 54 夸脱钢带传统不锈钢冷却器带开瓶器")</f>
        <v>Igloo 54 夸脱钢带传统不锈钢冷却器带开瓶器</v>
      </c>
      <c r="E658" s="1" t="str">
        <f>IFERROR(__xludf.DUMMYFUNCTION("CONCATENATE(GOOGLETRANSLATE(C658, ""en"", ""ko""))"),"이글루 54 Qt 스틸 벨티드 레거시 스테인리스 스틸 쿨러(병따개 포함)")</f>
        <v>이글루 54 Qt 스틸 벨티드 레거시 스테인리스 스틸 쿨러(병따개 포함)</v>
      </c>
      <c r="F658" s="1" t="str">
        <f>IFERROR(__xludf.DUMMYFUNCTION("CONCATENATE(GOOGLETRANSLATE(C658, ""en"", ""ja""))"),"Igloo 54 Qt スチールベルト付きレガシーステンレススチールクーラー ボトルオープナー付き")</f>
        <v>Igloo 54 Qt スチールベルト付きレガシーステンレススチールクーラー ボトルオープナー付き</v>
      </c>
    </row>
    <row r="659" ht="15.75" customHeight="1">
      <c r="A659" s="1">
        <v>5477.0</v>
      </c>
      <c r="B659" s="1" t="s">
        <v>6</v>
      </c>
      <c r="C659" s="1" t="s">
        <v>62</v>
      </c>
      <c r="D659" s="1" t="str">
        <f>IFERROR(__xludf.DUMMYFUNCTION("CONCATENATE(GOOGLETRANSLATE(C659, ""en"", ""zh-cn""))
"),"ALL4JIG 1500 件便携式带腿拼图桌，可调节拼图板，带 4 个抽屉和盖子，3 倾斜角度成人拼图桌")</f>
        <v>ALL4JIG 1500 件便携式带腿拼图桌，可调节拼图板，带 4 个抽屉和盖子，3 倾斜角度成人拼图桌</v>
      </c>
      <c r="E659" s="1" t="str">
        <f>IFERROR(__xludf.DUMMYFUNCTION("CONCATENATE(GOOGLETRANSLATE(C659, ""en"", ""ko""))"),"ALL4JIG 1500PCS 다리가 있는 휴대용 퍼즐 테이블, 4개의 서랍과 커버가 있는 조정 가능한 직소 퍼즐 보드, 성인을 위한 3-틸팅 각도 직소 퍼즐 테이블")</f>
        <v>ALL4JIG 1500PCS 다리가 있는 휴대용 퍼즐 테이블, 4개의 서랍과 커버가 있는 조정 가능한 직소 퍼즐 보드, 성인을 위한 3-틸팅 각도 직소 퍼즐 테이블</v>
      </c>
      <c r="F659" s="1" t="str">
        <f>IFERROR(__xludf.DUMMYFUNCTION("CONCATENATE(GOOGLETRANSLATE(C659, ""en"", ""ja""))"),"ALL4JIG 1500PCS 脚付きポータブルパズルテーブル、引き出し4つとカバー付き調節可能なジグソーパズルボード、大人用3傾斜角度ジグソーパズルテーブル")</f>
        <v>ALL4JIG 1500PCS 脚付きポータブルパズルテーブル、引き出し4つとカバー付き調節可能なジグソーパズルボード、大人用3傾斜角度ジグソーパズルテーブル</v>
      </c>
    </row>
    <row r="660" ht="15.75" customHeight="1">
      <c r="A660" s="1">
        <v>5482.0</v>
      </c>
      <c r="B660" s="1" t="s">
        <v>6</v>
      </c>
      <c r="C660" s="1" t="s">
        <v>632</v>
      </c>
      <c r="D660" s="1" t="str">
        <f>IFERROR(__xludf.DUMMYFUNCTION("CONCATENATE(GOOGLETRANSLATE(C660, ""en"", ""zh-cn""))
"),"学院体育 + 户外 44 英寸便携式篮球系统")</f>
        <v>学院体育 + 户外 44 英寸便携式篮球系统</v>
      </c>
      <c r="E660" s="1" t="str">
        <f>IFERROR(__xludf.DUMMYFUNCTION("CONCATENATE(GOOGLETRANSLATE(C660, ""en"", ""ko""))"),"아카데미 스포츠 + 아웃도어 44 휴대용 농구 시스템")</f>
        <v>아카데미 스포츠 + 아웃도어 44 휴대용 농구 시스템</v>
      </c>
      <c r="F660" s="1" t="str">
        <f>IFERROR(__xludf.DUMMYFUNCTION("CONCATENATE(GOOGLETRANSLATE(C660, ""en"", ""ja""))"),"アカデミー スポーツ + アウトドア 44 ポータブル バスケットボール システム")</f>
        <v>アカデミー スポーツ + アウトドア 44 ポータブル バスケットボール システム</v>
      </c>
    </row>
    <row r="661" ht="15.75" customHeight="1">
      <c r="A661" s="1">
        <v>5511.0</v>
      </c>
      <c r="B661" s="1" t="s">
        <v>6</v>
      </c>
      <c r="C661" s="1" t="s">
        <v>633</v>
      </c>
      <c r="D661" s="1" t="str">
        <f>IFERROR(__xludf.DUMMYFUNCTION("CONCATENATE(GOOGLETRANSLATE(C661, ""en"", ""zh-cn""))
"),"Costway 10 英尺 43 英寸室内/室外可调高度篮球框系统")</f>
        <v>Costway 10 英尺 43 英寸室内/室外可调高度篮球框系统</v>
      </c>
      <c r="E661" s="1" t="str">
        <f>IFERROR(__xludf.DUMMYFUNCTION("CONCATENATE(GOOGLETRANSLATE(C661, ""en"", ""ko""))"),"Costway 10피트 43'' 실내외 높이 조절 가능 농구 골대 시스템")</f>
        <v>Costway 10피트 43'' 실내외 높이 조절 가능 농구 골대 시스템</v>
      </c>
      <c r="F661" s="1" t="str">
        <f>IFERROR(__xludf.DUMMYFUNCTION("CONCATENATE(GOOGLETRANSLATE(C661, ""en"", ""ja""))"),"Costway 10フィート 43インチ 屋内/屋外 高さ調節可能なバスケットボールフープシステム")</f>
        <v>Costway 10フィート 43インチ 屋内/屋外 高さ調節可能なバスケットボールフープシステム</v>
      </c>
    </row>
    <row r="662" ht="15.75" customHeight="1">
      <c r="A662" s="1">
        <v>5526.0</v>
      </c>
      <c r="B662" s="1" t="s">
        <v>6</v>
      </c>
      <c r="C662" s="1" t="s">
        <v>634</v>
      </c>
      <c r="D662" s="1" t="str">
        <f>IFERROR(__xludf.DUMMYFUNCTION("CONCATENATE(GOOGLETRANSLATE(C662, ""en"", ""zh-cn""))
"),"戴尔 OptiPlex 小型台式计算机")</f>
        <v>戴尔 OptiPlex 小型台式计算机</v>
      </c>
      <c r="E662" s="1" t="str">
        <f>IFERROR(__xludf.DUMMYFUNCTION("CONCATENATE(GOOGLETRANSLATE(C662, ""en"", ""ko""))"),"Dell OptiPlex 소형 폼 팩터 데스크탑 컴퓨터")</f>
        <v>Dell OptiPlex 소형 폼 팩터 데스크탑 컴퓨터</v>
      </c>
      <c r="F662" s="1" t="str">
        <f>IFERROR(__xludf.DUMMYFUNCTION("CONCATENATE(GOOGLETRANSLATE(C662, ""en"", ""ja""))"),"Dell OptiPlex スモール フォーム ファクター デスクトップ コンピュータ")</f>
        <v>Dell OptiPlex スモール フォーム ファクター デスクトップ コンピュータ</v>
      </c>
    </row>
    <row r="663" ht="15.75" customHeight="1">
      <c r="A663" s="1">
        <v>5535.0</v>
      </c>
      <c r="B663" s="1" t="s">
        <v>6</v>
      </c>
      <c r="C663" s="1" t="s">
        <v>635</v>
      </c>
      <c r="D663" s="1" t="str">
        <f>IFERROR(__xludf.DUMMYFUNCTION("CONCATENATE(GOOGLETRANSLATE(C663, ""en"", ""zh-cn""))
"),"GEEKOM AX8 迷你电脑")</f>
        <v>GEEKOM AX8 迷你电脑</v>
      </c>
      <c r="E663" s="1" t="str">
        <f>IFERROR(__xludf.DUMMYFUNCTION("CONCATENATE(GOOGLETRANSLATE(C663, ""en"", ""ko""))"),"GEEKOM AX8 미니 PC")</f>
        <v>GEEKOM AX8 미니 PC</v>
      </c>
      <c r="F663" s="1" t="str">
        <f>IFERROR(__xludf.DUMMYFUNCTION("CONCATENATE(GOOGLETRANSLATE(C663, ""en"", ""ja""))"),"GEEKOM AX8 ミニ PC")</f>
        <v>GEEKOM AX8 ミニ PC</v>
      </c>
    </row>
    <row r="664" ht="15.75" customHeight="1">
      <c r="A664" s="1">
        <v>5536.0</v>
      </c>
      <c r="B664" s="1" t="s">
        <v>6</v>
      </c>
      <c r="C664" s="1" t="s">
        <v>636</v>
      </c>
      <c r="D664" s="1" t="str">
        <f>IFERROR(__xludf.DUMMYFUNCTION("CONCATENATE(GOOGLETRANSLATE(C664, ""en"", ""zh-cn""))
"),"微星 Cubi NUC 1M-007US")</f>
        <v>微星 Cubi NUC 1M-007US</v>
      </c>
      <c r="E664" s="1" t="str">
        <f>IFERROR(__xludf.DUMMYFUNCTION("CONCATENATE(GOOGLETRANSLATE(C664, ""en"", ""ko""))"),"MSI 큐비 NUC 1M-007US")</f>
        <v>MSI 큐비 NUC 1M-007US</v>
      </c>
      <c r="F664" s="1" t="str">
        <f>IFERROR(__xludf.DUMMYFUNCTION("CONCATENATE(GOOGLETRANSLATE(C664, ""en"", ""ja""))"),"MSI キュービ NUC 1M-007US")</f>
        <v>MSI キュービ NUC 1M-007US</v>
      </c>
    </row>
    <row r="665" ht="15.75" customHeight="1">
      <c r="A665" s="1">
        <v>5541.0</v>
      </c>
      <c r="B665" s="1" t="s">
        <v>6</v>
      </c>
      <c r="C665" s="1" t="s">
        <v>637</v>
      </c>
      <c r="D665" s="1" t="str">
        <f>IFERROR(__xludf.DUMMYFUNCTION("CONCATENATE(GOOGLETRANSLATE(C665, ""en"", ""zh-cn""))
"),"NZXT H7 Flow 中塔式机箱 CM-H72F")</f>
        <v>NZXT H7 Flow 中塔式机箱 CM-H72F</v>
      </c>
      <c r="E665" s="1" t="str">
        <f>IFERROR(__xludf.DUMMYFUNCTION("CONCATENATE(GOOGLETRANSLATE(C665, ""en"", ""ko""))"),"NZXT H7 Flow 미드 타워 케이스 CM-H72F")</f>
        <v>NZXT H7 Flow 미드 타워 케이스 CM-H72F</v>
      </c>
      <c r="F665" s="1" t="str">
        <f>IFERROR(__xludf.DUMMYFUNCTION("CONCATENATE(GOOGLETRANSLATE(C665, ""en"", ""ja""))"),"NZXT H7 Flow ミッドタワーケース CM-H72F")</f>
        <v>NZXT H7 Flow ミッドタワーケース CM-H72F</v>
      </c>
    </row>
    <row r="666" ht="15.75" customHeight="1">
      <c r="A666" s="1">
        <v>5542.0</v>
      </c>
      <c r="B666" s="1" t="s">
        <v>6</v>
      </c>
      <c r="C666" s="1" t="s">
        <v>638</v>
      </c>
      <c r="D666" s="1" t="str">
        <f>IFERROR(__xludf.DUMMYFUNCTION("CONCATENATE(GOOGLETRANSLATE(C666, ""en"", ""zh-cn""))
"),"Phanteks XT Pro Ultra 游戏机箱")</f>
        <v>Phanteks XT Pro Ultra 游戏机箱</v>
      </c>
      <c r="E666" s="1" t="str">
        <f>IFERROR(__xludf.DUMMYFUNCTION("CONCATENATE(GOOGLETRANSLATE(C666, ""en"", ""ko""))"),"Phanteks XT Pro 울트라 게이밍 섀시")</f>
        <v>Phanteks XT Pro 울트라 게이밍 섀시</v>
      </c>
      <c r="F666" s="1" t="str">
        <f>IFERROR(__xludf.DUMMYFUNCTION("CONCATENATE(GOOGLETRANSLATE(C666, ""en"", ""ja""))"),"Phanteks XT Pro ウルトラ ゲーミング シャーシ")</f>
        <v>Phanteks XT Pro ウルトラ ゲーミング シャーシ</v>
      </c>
    </row>
    <row r="667" ht="15.75" customHeight="1">
      <c r="A667" s="1">
        <v>5547.0</v>
      </c>
      <c r="B667" s="1" t="s">
        <v>6</v>
      </c>
      <c r="C667" s="1" t="s">
        <v>639</v>
      </c>
      <c r="D667" s="1" t="str">
        <f>IFERROR(__xludf.DUMMYFUNCTION("CONCATENATE(GOOGLETRANSLATE(C667, ""en"", ""zh-cn""))
"),"Best Buy Essentials 全尺寸无线薄膜键盘和鼠标套装")</f>
        <v>Best Buy Essentials 全尺寸无线薄膜键盘和鼠标套装</v>
      </c>
      <c r="E667" s="1" t="str">
        <f>IFERROR(__xludf.DUMMYFUNCTION("CONCATENATE(GOOGLETRANSLATE(C667, ""en"", ""ko""))"),"Best Buy Essentials 풀사이즈 무선 멤브레인 키보드 및 마우스 번들")</f>
        <v>Best Buy Essentials 풀사이즈 무선 멤브레인 키보드 및 마우스 번들</v>
      </c>
      <c r="F667" s="1" t="str">
        <f>IFERROR(__xludf.DUMMYFUNCTION("CONCATENATE(GOOGLETRANSLATE(C667, ""en"", ""ja""))"),"Best Buy Essentials フルサイズ ワイヤレス メンブレン キーボードとマウスのバンドル")</f>
        <v>Best Buy Essentials フルサイズ ワイヤレス メンブレン キーボードとマウスのバンドル</v>
      </c>
    </row>
    <row r="668" ht="15.75" customHeight="1">
      <c r="A668" s="1">
        <v>5566.0</v>
      </c>
      <c r="B668" s="1" t="s">
        <v>6</v>
      </c>
      <c r="C668" s="1" t="s">
        <v>640</v>
      </c>
      <c r="D668" s="1" t="str">
        <f>IFERROR(__xludf.DUMMYFUNCTION("CONCATENATE(GOOGLETRANSLATE(C668, ""en"", ""zh-cn""))
"),"Fashion to Figure 扭领锁孔中长连衣裙")</f>
        <v>Fashion to Figure 扭领锁孔中长连衣裙</v>
      </c>
      <c r="E668" s="1" t="str">
        <f>IFERROR(__xludf.DUMMYFUNCTION("CONCATENATE(GOOGLETRANSLATE(C668, ""en"", ""ko""))"),"패션 투 피겨 트위스트 넥 키홀 미디 드레스")</f>
        <v>패션 투 피겨 트위스트 넥 키홀 미디 드레스</v>
      </c>
      <c r="F668" s="1" t="str">
        <f>IFERROR(__xludf.DUMMYFUNCTION("CONCATENATE(GOOGLETRANSLATE(C668, ""en"", ""ja""))"),"ファッショントゥフィギュアツイストネックキーホールミディドレス")</f>
        <v>ファッショントゥフィギュアツイストネックキーホールミディドレス</v>
      </c>
    </row>
    <row r="669" ht="15.75" customHeight="1">
      <c r="A669" s="1">
        <v>5578.0</v>
      </c>
      <c r="B669" s="1" t="s">
        <v>6</v>
      </c>
      <c r="C669" s="1" t="s">
        <v>641</v>
      </c>
      <c r="D669" s="1" t="str">
        <f>IFERROR(__xludf.DUMMYFUNCTION("CONCATENATE(GOOGLETRANSLATE(C669, ""en"", ""zh-cn""))
"),"Boden 女式 Amelie 长袖连衣裙")</f>
        <v>Boden 女式 Amelie 长袖连衣裙</v>
      </c>
      <c r="E669" s="1" t="str">
        <f>IFERROR(__xludf.DUMMYFUNCTION("CONCATENATE(GOOGLETRANSLATE(C669, ""en"", ""ko""))"),"Boden 여성 아멜리에 긴팔 드레스")</f>
        <v>Boden 여성 아멜리에 긴팔 드레스</v>
      </c>
      <c r="F669" s="1" t="str">
        <f>IFERROR(__xludf.DUMMYFUNCTION("CONCATENATE(GOOGLETRANSLATE(C669, ""en"", ""ja""))"),"Boden レディース Amelie 長袖ドレス")</f>
        <v>Boden レディース Amelie 長袖ドレス</v>
      </c>
    </row>
    <row r="670" ht="15.75" customHeight="1">
      <c r="A670" s="1">
        <v>5579.0</v>
      </c>
      <c r="B670" s="1" t="s">
        <v>6</v>
      </c>
      <c r="C670" s="1" t="s">
        <v>642</v>
      </c>
      <c r="D670" s="1" t="str">
        <f>IFERROR(__xludf.DUMMYFUNCTION("CONCATENATE(GOOGLETRANSLATE(C670, ""en"", ""zh-cn""))
"),"INC International Concepts 女式金属色褶皱中长连衣裙")</f>
        <v>INC International Concepts 女式金属色褶皱中长连衣裙</v>
      </c>
      <c r="E670" s="1" t="str">
        <f>IFERROR(__xludf.DUMMYFUNCTION("CONCATENATE(GOOGLETRANSLATE(C670, ""en"", ""ko""))"),"INC International Concepts 여성 메탈릭 플리츠 미디 드레스")</f>
        <v>INC International Concepts 여성 메탈릭 플리츠 미디 드레스</v>
      </c>
      <c r="F670" s="1" t="str">
        <f>IFERROR(__xludf.DUMMYFUNCTION("CONCATENATE(GOOGLETRANSLATE(C670, ""en"", ""ja""))"),"INC International Concepts レディース メタリック プリーツ ミディ ドレス")</f>
        <v>INC International Concepts レディース メタリック プリーツ ミディ ドレス</v>
      </c>
    </row>
    <row r="671" ht="15.75" customHeight="1">
      <c r="A671" s="1">
        <v>5617.0</v>
      </c>
      <c r="B671" s="1" t="s">
        <v>6</v>
      </c>
      <c r="C671" s="1" t="s">
        <v>643</v>
      </c>
      <c r="D671" s="1" t="str">
        <f>IFERROR(__xludf.DUMMYFUNCTION("CONCATENATE(GOOGLETRANSLATE(C671, ""en"", ""zh-cn""))
"),"Kendra Scott Alex 35 毫米金色手表")</f>
        <v>Kendra Scott Alex 35 毫米金色手表</v>
      </c>
      <c r="E671" s="1" t="str">
        <f>IFERROR(__xludf.DUMMYFUNCTION("CONCATENATE(GOOGLETRANSLATE(C671, ""en"", ""ko""))"),"Kendra Scott Alex 35mm 골드 톤 시계")</f>
        <v>Kendra Scott Alex 35mm 골드 톤 시계</v>
      </c>
      <c r="F671" s="1" t="str">
        <f>IFERROR(__xludf.DUMMYFUNCTION("CONCATENATE(GOOGLETRANSLATE(C671, ""en"", ""ja""))"),"Kendra Scott Alex 35mm ゴールドトーン ウォッチ")</f>
        <v>Kendra Scott Alex 35mm ゴールドトーン ウォッチ</v>
      </c>
    </row>
    <row r="672" ht="15.75" customHeight="1">
      <c r="A672" s="1">
        <v>5619.0</v>
      </c>
      <c r="B672" s="1" t="s">
        <v>6</v>
      </c>
      <c r="C672" s="1" t="s">
        <v>644</v>
      </c>
      <c r="D672" s="1" t="str">
        <f>IFERROR(__xludf.DUMMYFUNCTION("CONCATENATE(GOOGLETRANSLATE(C672, ""en"", ""zh-cn""))
"),"JBW Cristal 28 颗钻石手链手表和手链套装")</f>
        <v>JBW Cristal 28 颗钻石手链手表和手链套装</v>
      </c>
      <c r="E672" s="1" t="str">
        <f>IFERROR(__xludf.DUMMYFUNCTION("CONCATENATE(GOOGLETRANSLATE(C672, ""en"", ""ko""))"),"JBW 크리스탈 28 다이아몬드 팔찌 시계 및 팔찌 세트")</f>
        <v>JBW 크리스탈 28 다이아몬드 팔찌 시계 및 팔찌 세트</v>
      </c>
      <c r="F672" s="1" t="str">
        <f>IFERROR(__xludf.DUMMYFUNCTION("CONCATENATE(GOOGLETRANSLATE(C672, ""en"", ""ja""))"),"JBW クリスタル 28 ダイヤモンド ブレスレット ウォッチ &amp; ブレスレット セット")</f>
        <v>JBW クリスタル 28 ダイヤモンド ブレスレット ウォッチ &amp; ブレスレット セット</v>
      </c>
    </row>
    <row r="673" ht="15.75" customHeight="1">
      <c r="A673" s="1">
        <v>5626.0</v>
      </c>
      <c r="B673" s="1" t="s">
        <v>6</v>
      </c>
      <c r="C673" s="1" t="s">
        <v>645</v>
      </c>
      <c r="D673" s="1" t="str">
        <f>IFERROR(__xludf.DUMMYFUNCTION("CONCATENATE(GOOGLETRANSLATE(C673, ""en"", ""zh-cn""))
"),"欧米茄海马潜水员 300M 自动男士手表")</f>
        <v>欧米茄海马潜水员 300M 自动男士手表</v>
      </c>
      <c r="E673" s="1" t="str">
        <f>IFERROR(__xludf.DUMMYFUNCTION("CONCATENATE(GOOGLETRANSLATE(C673, ""en"", ""ko""))"),"오메가 씨마스터 다이버 300M 자동 남성용 시계")</f>
        <v>오메가 씨마스터 다이버 300M 자동 남성용 시계</v>
      </c>
      <c r="F673" s="1" t="str">
        <f>IFERROR(__xludf.DUMMYFUNCTION("CONCATENATE(GOOGLETRANSLATE(C673, ""en"", ""ja""))"),"オメガ シーマスター ダイバー 300M 自動巻きメンズ腕時計")</f>
        <v>オメガ シーマスター ダイバー 300M 自動巻きメンズ腕時計</v>
      </c>
    </row>
    <row r="674" ht="15.75" customHeight="1">
      <c r="A674" s="1">
        <v>5630.0</v>
      </c>
      <c r="B674" s="1" t="s">
        <v>6</v>
      </c>
      <c r="C674" s="1" t="s">
        <v>646</v>
      </c>
      <c r="D674" s="1" t="str">
        <f>IFERROR(__xludf.DUMMYFUNCTION("CONCATENATE(GOOGLETRANSLATE(C674, ""en"", ""zh-cn""))
"),"精工 Presage 男士自动手表 SSA423")</f>
        <v>精工 Presage 男士自动手表 SSA423</v>
      </c>
      <c r="E674" s="1" t="str">
        <f>IFERROR(__xludf.DUMMYFUNCTION("CONCATENATE(GOOGLETRANSLATE(C674, ""en"", ""ko""))"),"세이코 프레시지 남성용 오토매틱 시계 SSA423")</f>
        <v>세이코 프레시지 남성용 오토매틱 시계 SSA423</v>
      </c>
      <c r="F674" s="1" t="str">
        <f>IFERROR(__xludf.DUMMYFUNCTION("CONCATENATE(GOOGLETRANSLATE(C674, ""en"", ""ja""))"),"セイコー プレザージュ メンズ 自動巻き時計 SSA423")</f>
        <v>セイコー プレザージュ メンズ 自動巻き時計 SSA423</v>
      </c>
    </row>
    <row r="675" ht="15.75" customHeight="1">
      <c r="A675" s="1">
        <v>5631.0</v>
      </c>
      <c r="B675" s="1" t="s">
        <v>6</v>
      </c>
      <c r="C675" s="1" t="s">
        <v>647</v>
      </c>
      <c r="D675" s="1" t="str">
        <f>IFERROR(__xludf.DUMMYFUNCTION("CONCATENATE(GOOGLETRANSLATE(C675, ""en"", ""zh-cn""))
"),"Tiffany Hardwear 纯银和钢钻石边框")</f>
        <v>Tiffany Hardwear 纯银和钢钻石边框</v>
      </c>
      <c r="E675" s="1" t="str">
        <f>IFERROR(__xludf.DUMMYFUNCTION("CONCATENATE(GOOGLETRANSLATE(C675, ""en"", ""ko""))"),"Tiffany Hardwear 스털링 실버 및 스틸 다이아몬드 베젤")</f>
        <v>Tiffany Hardwear 스털링 실버 및 스틸 다이아몬드 베젤</v>
      </c>
      <c r="F675" s="1" t="str">
        <f>IFERROR(__xludf.DUMMYFUNCTION("CONCATENATE(GOOGLETRANSLATE(C675, ""en"", ""ja""))"),"ティファニー ハードウェア スターリングシルバーとスチール ダイヤモンド ベゼル")</f>
        <v>ティファニー ハードウェア スターリングシルバーとスチール ダイヤモンド ベゼル</v>
      </c>
    </row>
    <row r="676" ht="15.75" customHeight="1">
      <c r="A676" s="1">
        <v>5635.0</v>
      </c>
      <c r="B676" s="1" t="s">
        <v>6</v>
      </c>
      <c r="C676" s="1" t="s">
        <v>648</v>
      </c>
      <c r="D676" s="1" t="str">
        <f>IFERROR(__xludf.DUMMYFUNCTION("CONCATENATE(GOOGLETRANSLATE(C676, ""en"", ""zh-cn""))
"),"Anne Klein 女士高级水晶手镯手表和手链套装")</f>
        <v>Anne Klein 女士高级水晶手镯手表和手链套装</v>
      </c>
      <c r="E676" s="1" t="str">
        <f>IFERROR(__xludf.DUMMYFUNCTION("CONCATENATE(GOOGLETRANSLATE(C676, ""en"", ""ko""))"),"Anne Klein 여성용 프리미엄 크리스탈 팔찌 시계 및 팔찌 세트")</f>
        <v>Anne Klein 여성용 프리미엄 크리스탈 팔찌 시계 및 팔찌 세트</v>
      </c>
      <c r="F676" s="1" t="str">
        <f>IFERROR(__xludf.DUMMYFUNCTION("CONCATENATE(GOOGLETRANSLATE(C676, ""en"", ""ja""))"),"Anne Klein レディース プレミアム クリスタル バングル ウォッチとブレスレット セット")</f>
        <v>Anne Klein レディース プレミアム クリスタル バングル ウォッチとブレスレット セット</v>
      </c>
    </row>
    <row r="677" ht="15.75" customHeight="1">
      <c r="A677" s="1">
        <v>5663.0</v>
      </c>
      <c r="B677" s="1" t="s">
        <v>6</v>
      </c>
      <c r="C677" s="1" t="s">
        <v>649</v>
      </c>
      <c r="D677" s="1" t="str">
        <f>IFERROR(__xludf.DUMMYFUNCTION("CONCATENATE(GOOGLETRANSLATE(C677, ""en"", ""zh-cn""))
"),"Sunny Health &amp; Fitness 椭圆运动机训练器，配有可选的独家 SunnyFit™ 应用程序和增强型蓝牙连接")</f>
        <v>Sunny Health &amp; Fitness 椭圆运动机训练器，配有可选的独家 SunnyFit™ 应用程序和增强型蓝牙连接</v>
      </c>
      <c r="E677" s="1" t="str">
        <f>IFERROR(__xludf.DUMMYFUNCTION("CONCATENATE(GOOGLETRANSLATE(C677, ""en"", ""ko""))"),"독점 SunnyFit™ 앱(옵션) 및 향상된 Bluetooth 연결 기능을 갖춘 Sunny 건강 및 피트니스 타원형 운동 기구 트레이너")</f>
        <v>독점 SunnyFit™ 앱(옵션) 및 향상된 Bluetooth 연결 기능을 갖춘 Sunny 건강 및 피트니스 타원형 운동 기구 트레이너</v>
      </c>
      <c r="F677" s="1" t="str">
        <f>IFERROR(__xludf.DUMMYFUNCTION("CONCATENATE(GOOGLETRANSLATE(C677, ""en"", ""ja""))"),"Sunny Health &amp; Fitness エリプティカル エクササイズ マシン トレーナー (オプションの専用 SunnyFit™ アプリと強化された Bluetooth 接続を備え)")</f>
        <v>Sunny Health &amp; Fitness エリプティカル エクササイズ マシン トレーナー (オプションの専用 SunnyFit™ アプリと強化された Bluetooth 接続を備え)</v>
      </c>
    </row>
    <row r="678" ht="15.75" customHeight="1">
      <c r="A678" s="1">
        <v>5676.0</v>
      </c>
      <c r="B678" s="1" t="s">
        <v>6</v>
      </c>
      <c r="C678" s="1" t="s">
        <v>61</v>
      </c>
      <c r="D678" s="1" t="str">
        <f>IFERROR(__xludf.DUMMYFUNCTION("CONCATENATE(GOOGLETRANSLATE(C678, ""en"", ""zh-cn""))
"),"GAN 机器人，魔方解谜机自动解谜器和解谜器，兼容 GAN 356i2 i3 iplay iCarry Speed Cubes（不含魔方）和最新版本 APP")</f>
        <v>GAN 机器人，魔方解谜机自动解谜器和解谜器，兼容 GAN 356i2 i3 iplay iCarry Speed Cubes（不含魔方）和最新版本 APP</v>
      </c>
      <c r="E678" s="1" t="str">
        <f>IFERROR(__xludf.DUMMYFUNCTION("CONCATENATE(GOOGLETRANSLATE(C678, ""en"", ""ko""))"),"GAN 로봇, 큐브 ​​해결 기계 자동 퍼즐 스크램블러 및 솔버, GAN 356i2 i3 iplay iCarry 스피드 큐브(큐브는 포함되지 않음) 및 최신 버전 앱과 호환 가능")</f>
        <v>GAN 로봇, 큐브 ​​해결 기계 자동 퍼즐 스크램블러 및 솔버, GAN 356i2 i3 iplay iCarry 스피드 큐브(큐브는 포함되지 않음) 및 최신 버전 앱과 호환 가능</v>
      </c>
      <c r="F678" s="1" t="str">
        <f>IFERROR(__xludf.DUMMYFUNCTION("CONCATENATE(GOOGLETRANSLATE(C678, ""en"", ""ja""))"),"GAN ロボット、キューブ解決マシン自動パズル スクランブラー &amp; ソルバー、GAN 356i2 i3 iplay iCarry Speed Cubes と互換性あり (キューブは含まれません) &amp; 最新バージョンのアプリ付き")</f>
        <v>GAN ロボット、キューブ解決マシン自動パズル スクランブラー &amp; ソルバー、GAN 356i2 i3 iplay iCarry Speed Cubes と互換性あり (キューブは含まれません) &amp; 最新バージョンのアプリ付き</v>
      </c>
    </row>
    <row r="679" ht="15.75" customHeight="1">
      <c r="A679" s="1">
        <v>5690.0</v>
      </c>
      <c r="B679" s="1" t="s">
        <v>6</v>
      </c>
      <c r="C679" s="1" t="s">
        <v>454</v>
      </c>
      <c r="D679" s="1" t="str">
        <f>IFERROR(__xludf.DUMMYFUNCTION("CONCATENATE(GOOGLETRANSLATE(C679, ""en"", ""zh-cn""))
"),"GAN 460 M 速度魔方， 4x4 磁性魔方 Gans 460M 拼图玩具（无贴纸）")</f>
        <v>GAN 460 M 速度魔方， 4x4 磁性魔方 Gans 460M 拼图玩具（无贴纸）</v>
      </c>
      <c r="E679" s="1" t="str">
        <f>IFERROR(__xludf.DUMMYFUNCTION("CONCATENATE(GOOGLETRANSLATE(C679, ""en"", ""ko""))"),"GAN 460 M 스피드 큐브, 4x4 마그네틱 마스터 큐브 Gans 460M 퍼즐 장난감(스티커 없음)")</f>
        <v>GAN 460 M 스피드 큐브, 4x4 마그네틱 마스터 큐브 Gans 460M 퍼즐 장난감(스티커 없음)</v>
      </c>
      <c r="F679" s="1" t="str">
        <f>IFERROR(__xludf.DUMMYFUNCTION("CONCATENATE(GOOGLETRANSLATE(C679, ""en"", ""ja""))"),"GAN 460 M スピード キューブ、4x4 磁気マスター キューブ Gans 460M パズルおもちゃ (ステッカーなし)")</f>
        <v>GAN 460 M スピード キューブ、4x4 磁気マスター キューブ Gans 460M パズルおもちゃ (ステッカーなし)</v>
      </c>
    </row>
    <row r="680" ht="15.75" customHeight="1">
      <c r="A680" s="1">
        <v>5700.0</v>
      </c>
      <c r="B680" s="1" t="s">
        <v>6</v>
      </c>
      <c r="C680" s="1" t="s">
        <v>252</v>
      </c>
      <c r="D680" s="1" t="str">
        <f>IFERROR(__xludf.DUMMYFUNCTION("CONCATENATE(GOOGLETRANSLATE(C680, ""en"", ""zh-cn""))
"),"带抽屉和盖垫的拼图板 - 拼图桌，带防滑表面，可容纳 1500 块 35x27 便携式拼图板，适合成人和儿童，用于存放正在进行的拼图")</f>
        <v>带抽屉和盖垫的拼图板 - 拼图桌，带防滑表面，可容纳 1500 块 35x27 便携式拼图板，适合成人和儿童，用于存放正在进行的拼图</v>
      </c>
      <c r="E680" s="1" t="str">
        <f>IFERROR(__xludf.DUMMYFUNCTION("CONCATENATE(GOOGLETRANSLATE(C680, ""en"", ""ko""))"),"서랍과 커버가 있는 퍼즐 보드 미끄럼 방지 표면이 있는 매트 직소 퍼즐 테이블은 1500개 조각을 지탱합니다. 35x27 진행 중인 퍼즐 보관을 위한 성인 및 어린이용 휴대용 퍼즐 보드")</f>
        <v>서랍과 커버가 있는 퍼즐 보드 미끄럼 방지 표면이 있는 매트 직소 퍼즐 테이블은 1500개 조각을 지탱합니다. 35x27 진행 중인 퍼즐 보관을 위한 성인 및 어린이용 휴대용 퍼즐 보드</v>
      </c>
      <c r="F680" s="1" t="str">
        <f>IFERROR(__xludf.DUMMYFUNCTION("CONCATENATE(GOOGLETRANSLATE(C680, ""en"", ""ja""))"),"引き出しとカバー付きパズルボード マットジグソーパズルテーブル 滑り止め表面付き 1500ピースまで保持可能 35x27 ポータブルパズルボード 大人と子供向け 進行中のパズルの保管用")</f>
        <v>引き出しとカバー付きパズルボード マットジグソーパズルテーブル 滑り止め表面付き 1500ピースまで保持可能 35x27 ポータブルパズルボード 大人と子供向け 進行中のパズルの保管用</v>
      </c>
    </row>
    <row r="681" ht="15.75" customHeight="1">
      <c r="A681" s="1">
        <v>5708.0</v>
      </c>
      <c r="B681" s="1" t="s">
        <v>6</v>
      </c>
      <c r="C681" s="1" t="s">
        <v>250</v>
      </c>
      <c r="D681" s="1" t="str">
        <f>IFERROR(__xludf.DUMMYFUNCTION("CONCATENATE(GOOGLETRANSLATE(C681, ""en"", ""zh-cn""))
"),"GAN 460 M， Gan 4x4 磁性速度魔方， gan 460 m 4 x 4 儿童和成人无贴纸拼图玩具")</f>
        <v>GAN 460 M， Gan 4x4 磁性速度魔方， gan 460 m 4 x 4 儿童和成人无贴纸拼图玩具</v>
      </c>
      <c r="E681" s="1" t="str">
        <f>IFERROR(__xludf.DUMMYFUNCTION("CONCATENATE(GOOGLETRANSLATE(C681, ""en"", ""ko""))"),"GAN 460 M, Gan 4x4 자기 속도 큐브, gan 460 m 4 by 4 어린이와 성인을 위한 스티커 없는 퍼즐 장난감")</f>
        <v>GAN 460 M, Gan 4x4 자기 속도 큐브, gan 460 m 4 by 4 어린이와 성인을 위한 스티커 없는 퍼즐 장난감</v>
      </c>
      <c r="F681" s="1" t="str">
        <f>IFERROR(__xludf.DUMMYFUNCTION("CONCATENATE(GOOGLETRANSLATE(C681, ""en"", ""ja""))"),"GAN 460 M、Gan 4x4 磁気スピードキューブ、GAN 460 m 4 by 4 ステッカーレスパズルおもちゃ子供と大人向け")</f>
        <v>GAN 460 M、Gan 4x4 磁気スピードキューブ、GAN 460 m 4 by 4 ステッカーレスパズルおもちゃ子供と大人向け</v>
      </c>
    </row>
    <row r="682" ht="15.75" customHeight="1">
      <c r="A682" s="1">
        <v>5726.0</v>
      </c>
      <c r="B682" s="1" t="s">
        <v>6</v>
      </c>
      <c r="C682" s="1" t="s">
        <v>650</v>
      </c>
      <c r="D682" s="1" t="str">
        <f>IFERROR(__xludf.DUMMYFUNCTION("CONCATENATE(GOOGLETRANSLATE(C682, ""en"", ""zh-cn""))
"),"女式高低不对称荷叶边下摆荷叶边衬衫连衣裙")</f>
        <v>女式高低不对称荷叶边下摆荷叶边衬衫连衣裙</v>
      </c>
      <c r="E682" s="1" t="str">
        <f>IFERROR(__xludf.DUMMYFUNCTION("CONCATENATE(GOOGLETRANSLATE(C682, ""en"", ""ko""))"),"여성용 하이 로우 비대칭 프릴 밑단 페플럼 셔츠 드레스")</f>
        <v>여성용 하이 로우 비대칭 프릴 밑단 페플럼 셔츠 드레스</v>
      </c>
      <c r="F682" s="1" t="str">
        <f>IFERROR(__xludf.DUMMYFUNCTION("CONCATENATE(GOOGLETRANSLATE(C682, ""en"", ""ja""))"),"レディースハイロー非対称フリルヘムペプラムシャツドレス")</f>
        <v>レディースハイロー非対称フリルヘムペプラムシャツドレス</v>
      </c>
    </row>
    <row r="683" ht="15.75" customHeight="1">
      <c r="A683" s="1">
        <v>5739.0</v>
      </c>
      <c r="B683" s="1" t="s">
        <v>6</v>
      </c>
      <c r="C683" s="1" t="s">
        <v>651</v>
      </c>
      <c r="D683" s="1" t="str">
        <f>IFERROR(__xludf.DUMMYFUNCTION("CONCATENATE(GOOGLETRANSLATE(C683, ""en"", ""zh-cn""))
"),"劳伦·拉尔夫·劳伦 (Lauren Ralph Lauren) 女式传统羽绒羽毛填充填充羽绒服")</f>
        <v>劳伦·拉尔夫·劳伦 (Lauren Ralph Lauren) 女式传统羽绒羽毛填充填充羽绒服</v>
      </c>
      <c r="E683" s="1" t="str">
        <f>IFERROR(__xludf.DUMMYFUNCTION("CONCATENATE(GOOGLETRANSLATE(C683, ""en"", ""ko""))"),"Lauren Ralph Lauren 여성 헤리티지 다운 &amp; 페더 필 퍼퍼 코트, 인조-")</f>
        <v>Lauren Ralph Lauren 여성 헤리티지 다운 &amp; 페더 필 퍼퍼 코트, 인조-</v>
      </c>
      <c r="F683" s="1" t="str">
        <f>IFERROR(__xludf.DUMMYFUNCTION("CONCATENATE(GOOGLETRANSLATE(C683, ""en"", ""ja""))"),"ローレン ラルフローレン レディース ヘリテージ ダウン &amp; フェザー フィル パファー コート フェイク-")</f>
        <v>ローレン ラルフローレン レディース ヘリテージ ダウン &amp; フェザー フィル パファー コート フェイク-</v>
      </c>
    </row>
    <row r="684" ht="15.75" customHeight="1">
      <c r="A684" s="1">
        <v>5753.0</v>
      </c>
      <c r="B684" s="1" t="s">
        <v>6</v>
      </c>
      <c r="C684" s="1" t="s">
        <v>652</v>
      </c>
      <c r="D684" s="1" t="str">
        <f>IFERROR(__xludf.DUMMYFUNCTION("CONCATENATE(GOOGLETRANSLATE(C684, ""en"", ""zh-cn""))
"),"Fashion Nova 男士 Attucks 绗缝尼龙衬衫")</f>
        <v>Fashion Nova 男士 Attucks 绗缝尼龙衬衫</v>
      </c>
      <c r="E684" s="1" t="str">
        <f>IFERROR(__xludf.DUMMYFUNCTION("CONCATENATE(GOOGLETRANSLATE(C684, ""en"", ""ko""))"),"패션 Nova 남성 Attucks 퀼팅 나일론 셔츠")</f>
        <v>패션 Nova 남성 Attucks 퀼팅 나일론 셔츠</v>
      </c>
      <c r="F684" s="1" t="str">
        <f>IFERROR(__xludf.DUMMYFUNCTION("CONCATENATE(GOOGLETRANSLATE(C684, ""en"", ""ja""))"),"Fashion Nova メンズ Attucks キルティング ナイロン シャツ")</f>
        <v>Fashion Nova メンズ Attucks キルティング ナイロン シャツ</v>
      </c>
    </row>
    <row r="685" ht="15.75" customHeight="1">
      <c r="A685" s="1">
        <v>5759.0</v>
      </c>
      <c r="B685" s="1" t="s">
        <v>6</v>
      </c>
      <c r="C685" s="1" t="s">
        <v>653</v>
      </c>
      <c r="D685" s="1" t="str">
        <f>IFERROR(__xludf.DUMMYFUNCTION("CONCATENATE(GOOGLETRANSLATE(C685, ""en"", ""zh-cn""))
"),"Cotton King 男士长袖牛津衬衫")</f>
        <v>Cotton King 男士长袖牛津衬衫</v>
      </c>
      <c r="E685" s="1" t="str">
        <f>IFERROR(__xludf.DUMMYFUNCTION("CONCATENATE(GOOGLETRANSLATE(C685, ""en"", ""ko""))"),"코튼 킹 남성용 긴팔 옥스포드 셔츠")</f>
        <v>코튼 킹 남성용 긴팔 옥스포드 셔츠</v>
      </c>
      <c r="F685" s="1" t="str">
        <f>IFERROR(__xludf.DUMMYFUNCTION("CONCATENATE(GOOGLETRANSLATE(C685, ""en"", ""ja""))"),"Cotton King メンズ 長袖オックスフォード シャツ")</f>
        <v>Cotton King メンズ 長袖オックスフォード シャツ</v>
      </c>
    </row>
    <row r="686" ht="15.75" customHeight="1">
      <c r="A686" s="1">
        <v>5773.0</v>
      </c>
      <c r="B686" s="1" t="s">
        <v>6</v>
      </c>
      <c r="C686" s="1" t="s">
        <v>654</v>
      </c>
      <c r="D686" s="1" t="str">
        <f>IFERROR(__xludf.DUMMYFUNCTION("CONCATENATE(GOOGLETRANSLATE(C686, ""en"", ""zh-cn""))
"),"COOFANDY 男士休闲防皱长袖纽扣正装衬衫")</f>
        <v>COOFANDY 男士休闲防皱长袖纽扣正装衬衫</v>
      </c>
      <c r="E686" s="1" t="str">
        <f>IFERROR(__xludf.DUMMYFUNCTION("CONCATENATE(GOOGLETRANSLATE(C686, ""en"", ""ko""))"),"COOFANDY 남성 캐주얼 링클프리 긴소매 버튼다운 드레스 셔츠")</f>
        <v>COOFANDY 남성 캐주얼 링클프리 긴소매 버튼다운 드레스 셔츠</v>
      </c>
      <c r="F686" s="1" t="str">
        <f>IFERROR(__xludf.DUMMYFUNCTION("CONCATENATE(GOOGLETRANSLATE(C686, ""en"", ""ja""))"),"COOFANDY メンズ カジュアル シワ防止 長袖 ボタンダウン ドレスシャツ")</f>
        <v>COOFANDY メンズ カジュアル シワ防止 長袖 ボタンダウン ドレスシャツ</v>
      </c>
    </row>
    <row r="687" ht="15.75" customHeight="1">
      <c r="A687" s="1">
        <v>5785.0</v>
      </c>
      <c r="B687" s="1" t="s">
        <v>6</v>
      </c>
      <c r="C687" s="1" t="s">
        <v>655</v>
      </c>
      <c r="D687" s="1" t="str">
        <f>IFERROR(__xludf.DUMMYFUNCTION("CONCATENATE(GOOGLETRANSLATE(C687, ""en"", ""zh-cn""))
"),"Kenneth Cole Reaction 男士 Ready Flex 修身西装")</f>
        <v>Kenneth Cole Reaction 男士 Ready Flex 修身西装</v>
      </c>
      <c r="E687" s="1" t="str">
        <f>IFERROR(__xludf.DUMMYFUNCTION("CONCATENATE(GOOGLETRANSLATE(C687, ""en"", ""ko""))"),"Kenneth Cole Reaction 남성용 레디 플렉스 슬림핏 수트")</f>
        <v>Kenneth Cole Reaction 남성용 레디 플렉스 슬림핏 수트</v>
      </c>
      <c r="F687" s="1" t="str">
        <f>IFERROR(__xludf.DUMMYFUNCTION("CONCATENATE(GOOGLETRANSLATE(C687, ""en"", ""ja""))"),"Kenneth Cole Reaction メンズ レディ フレックス スリム フィット スーツ")</f>
        <v>Kenneth Cole Reaction メンズ レディ フレックス スリム フィット スーツ</v>
      </c>
    </row>
    <row r="688" ht="15.75" customHeight="1">
      <c r="A688" s="1">
        <v>5786.0</v>
      </c>
      <c r="B688" s="1" t="s">
        <v>6</v>
      </c>
      <c r="C688" s="1" t="s">
        <v>656</v>
      </c>
      <c r="D688" s="1" t="str">
        <f>IFERROR(__xludf.DUMMYFUNCTION("CONCATENATE(GOOGLETRANSLATE(C688, ""en"", ""zh-cn""))
"),"男士拼色系扣衬衫")</f>
        <v>男士拼色系扣衬衫</v>
      </c>
      <c r="E688" s="1" t="str">
        <f>IFERROR(__xludf.DUMMYFUNCTION("CONCATENATE(GOOGLETRANSLATE(C688, ""en"", ""ko""))"),"남성용 컬러블록 버튼다운 셔츠")</f>
        <v>남성용 컬러블록 버튼다운 셔츠</v>
      </c>
      <c r="F688" s="1" t="str">
        <f>IFERROR(__xludf.DUMMYFUNCTION("CONCATENATE(GOOGLETRANSLATE(C688, ""en"", ""ja""))"),"メンズ カラーブロック ボタンダウン シャツ")</f>
        <v>メンズ カラーブロック ボタンダウン シャツ</v>
      </c>
    </row>
    <row r="689" ht="15.75" customHeight="1">
      <c r="A689" s="1">
        <v>5793.0</v>
      </c>
      <c r="B689" s="1" t="s">
        <v>6</v>
      </c>
      <c r="C689" s="1" t="s">
        <v>657</v>
      </c>
      <c r="D689" s="1" t="str">
        <f>IFERROR(__xludf.DUMMYFUNCTION("CONCATENATE(GOOGLETRANSLATE(C689, ""en"", ""zh-cn""))
"),"戴尔坞站 USB 3.0")</f>
        <v>戴尔坞站 USB 3.0</v>
      </c>
      <c r="E689" s="1" t="str">
        <f>IFERROR(__xludf.DUMMYFUNCTION("CONCATENATE(GOOGLETRANSLATE(C689, ""en"", ""ko""))"),"Dell 도킹 스테이션 USB 3.0")</f>
        <v>Dell 도킹 스테이션 USB 3.0</v>
      </c>
      <c r="F689" s="1" t="str">
        <f>IFERROR(__xludf.DUMMYFUNCTION("CONCATENATE(GOOGLETRANSLATE(C689, ""en"", ""ja""))"),"デル ドッキング ステーション USB 3.0")</f>
        <v>デル ドッキング ステーション USB 3.0</v>
      </c>
    </row>
    <row r="690" ht="15.75" customHeight="1">
      <c r="A690" s="1">
        <v>5813.0</v>
      </c>
      <c r="B690" s="1" t="s">
        <v>6</v>
      </c>
      <c r="C690" s="1" t="s">
        <v>658</v>
      </c>
      <c r="D690" s="1" t="str">
        <f>IFERROR(__xludf.DUMMYFUNCTION("CONCATENATE(GOOGLETRANSLATE(C690, ""en"", ""zh-cn""))
"),"芯能 DDR5 64GB 内存")</f>
        <v>芯能 DDR5 64GB 内存</v>
      </c>
      <c r="E690" s="1" t="str">
        <f>IFERROR(__xludf.DUMMYFUNCTION("CONCATENATE(GOOGLETRANSLATE(C690, ""en"", ""ko""))"),"실리콘 파워 DDR5 64GB 메모리")</f>
        <v>실리콘 파워 DDR5 64GB 메모리</v>
      </c>
      <c r="F690" s="1" t="str">
        <f>IFERROR(__xludf.DUMMYFUNCTION("CONCATENATE(GOOGLETRANSLATE(C690, ""en"", ""ja""))"),"シリコンパワーDDR5 64GBメモリ")</f>
        <v>シリコンパワーDDR5 64GBメモリ</v>
      </c>
    </row>
    <row r="691" ht="15.75" customHeight="1">
      <c r="A691" s="1">
        <v>5815.0</v>
      </c>
      <c r="B691" s="1" t="s">
        <v>6</v>
      </c>
      <c r="C691" s="1" t="s">
        <v>659</v>
      </c>
      <c r="D691" s="1" t="str">
        <f>IFERROR(__xludf.DUMMYFUNCTION("CONCATENATE(GOOGLETRANSLATE(C691, ""en"", ""zh-cn""))
"),"“惠普便携式笔记本电脑，学生和商用，14 英寸高清显示屏，英特尔四核 N4120，16GB DDR4 RAM，64GB eMMC，1 年 Office 365，网络摄像头，SD 卡读卡器")</f>
        <v>“惠普便携式笔记本电脑，学生和商用，14 英寸高清显示屏，英特尔四核 N4120，16GB DDR4 RAM，64GB eMMC，1 年 Office 365，网络摄像头，SD 卡读卡器</v>
      </c>
      <c r="E691" s="1" t="str">
        <f>IFERROR(__xludf.DUMMYFUNCTION("CONCATENATE(GOOGLETRANSLATE(C691, ""en"", ""ko""))"),"""HP 휴대용 노트북, 학생 및 비즈니스, 14"" HD 디스플레이, Intel 쿼드 코어 N4120, 16GB DDR4 RAM, 64GB eMMC, 1년 Office 365, 웹캠, SD 카드 리더")</f>
        <v>"HP 휴대용 노트북, 학생 및 비즈니스, 14" HD 디스플레이, Intel 쿼드 코어 N4120, 16GB DDR4 RAM, 64GB eMMC, 1년 Office 365, 웹캠, SD 카드 리더</v>
      </c>
      <c r="F691" s="1" t="str">
        <f>IFERROR(__xludf.DUMMYFUNCTION("CONCATENATE(GOOGLETRANSLATE(C691, ""en"", ""ja""))"),"「HP ポータブル ラップトップ、学生およびビジネス、14 インチ HD ディスプレイ、インテル クアッドコア N4120、16GB DDR4 RAM、64GB eMMC、1 年間の Office 365、Web カメラ、SD カード リーダー")</f>
        <v>「HP ポータブル ラップトップ、学生およびビジネス、14 インチ HD ディスプレイ、インテル クアッドコア N4120、16GB DDR4 RAM、64GB eMMC、1 年間の Office 365、Web カメラ、SD カード リーダー</v>
      </c>
    </row>
    <row r="692" ht="15.75" customHeight="1">
      <c r="A692" s="1">
        <v>5883.0</v>
      </c>
      <c r="B692" s="1" t="s">
        <v>6</v>
      </c>
      <c r="C692" s="1" t="s">
        <v>660</v>
      </c>
      <c r="D692" s="1" t="str">
        <f>IFERROR(__xludf.DUMMYFUNCTION("CONCATENATE(GOOGLETRANSLATE(C692, ""en"", ""zh-cn""))
"),"升级版快推游戏流行泡泡玩具儿童、有趣的男孩玩具 5-7 岁 8-13 岁儿童圣诞生日礼物，适合 3-12 岁男孩，")</f>
        <v>升级版快推游戏流行泡泡玩具儿童、有趣的男孩玩具 5-7 岁 8-13 岁儿童圣诞生日礼物，适合 3-12 岁男孩，</v>
      </c>
      <c r="E692" s="1" t="str">
        <f>IFERROR(__xludf.DUMMYFUNCTION("CONCATENATE(GOOGLETRANSLATE(C692, ""en"", ""ko""))"),"업그레이드된 빠른 푸시 게임 어린이를 위한 팝 버블 업 장난감, 소년을 위한 재미있는 장난감 어린이 연령 5-7 8-13 어린이 3-12세 소년을 위한 크리스마스 생일 선물,")</f>
        <v>업그레이드된 빠른 푸시 게임 어린이를 위한 팝 버블 업 장난감, 소년을 위한 재미있는 장난감 어린이 연령 5-7 8-13 어린이 3-12세 소년을 위한 크리스마스 생일 선물,</v>
      </c>
      <c r="F692" s="1" t="str">
        <f>IFERROR(__xludf.DUMMYFUNCTION("CONCATENATE(GOOGLETRANSLATE(C692, ""en"", ""ja""))"),"アップグレードされたクイックプッシュゲーム ポップバブルアップおもちゃ 子供用 面白いおもちゃ 男の子用 年齢5-7 8-13歳 クリスマス 誕生日プレゼント 3-12歳の男の子向け")</f>
        <v>アップグレードされたクイックプッシュゲーム ポップバブルアップおもちゃ 子供用 面白いおもちゃ 男の子用 年齢5-7 8-13歳 クリスマス 誕生日プレゼント 3-12歳の男の子向け</v>
      </c>
    </row>
    <row r="693" ht="15.75" customHeight="1">
      <c r="A693" s="1">
        <v>5899.0</v>
      </c>
      <c r="B693" s="1" t="s">
        <v>6</v>
      </c>
      <c r="C693" s="1" t="s">
        <v>661</v>
      </c>
      <c r="D693" s="1" t="str">
        <f>IFERROR(__xludf.DUMMYFUNCTION("CONCATENATE(GOOGLETRANSLATE(C693, ""en"", ""zh-cn""))
"),"儿童智能手机玩具圣诞生日礼物，适合 3-10 岁儿童")</f>
        <v>儿童智能手机玩具圣诞生日礼物，适合 3-10 岁儿童</v>
      </c>
      <c r="E693" s="1" t="str">
        <f>IFERROR(__xludf.DUMMYFUNCTION("CONCATENATE(GOOGLETRANSLATE(C693, ""en"", ""ko""))"),"어린이 스마트폰 장난감 크리스마스 생일 선물 3-10세")</f>
        <v>어린이 스마트폰 장난감 크리스마스 생일 선물 3-10세</v>
      </c>
      <c r="F693" s="1" t="str">
        <f>IFERROR(__xludf.DUMMYFUNCTION("CONCATENATE(GOOGLETRANSLATE(C693, ""en"", ""ja""))"),"キッズ スマートフォン おもちゃ クリスマス 誕生日 ギフト 対象年齢 3～10歳")</f>
        <v>キッズ スマートフォン おもちゃ クリスマス 誕生日 ギフト 対象年齢 3～10歳</v>
      </c>
    </row>
    <row r="694" ht="15.75" customHeight="1">
      <c r="A694" s="1">
        <v>5908.0</v>
      </c>
      <c r="B694" s="1" t="s">
        <v>6</v>
      </c>
      <c r="C694" s="1" t="s">
        <v>662</v>
      </c>
      <c r="D694" s="1" t="str">
        <f>IFERROR(__xludf.DUMMYFUNCTION("CONCATENATE(GOOGLETRANSLATE(C694, ""en"", ""zh-cn""))
"),"Fisher Price Laugh &amp; Learn Mix &amp; Learn DJ 台")</f>
        <v>Fisher Price Laugh &amp; Learn Mix &amp; Learn DJ 台</v>
      </c>
      <c r="E694" s="1" t="str">
        <f>IFERROR(__xludf.DUMMYFUNCTION("CONCATENATE(GOOGLETRANSLATE(C694, ""en"", ""ko""))"),"Fisher Price 웃음 &amp; 배우기 믹스 &amp; 배우기 DJ 테이블")</f>
        <v>Fisher Price 웃음 &amp; 배우기 믹스 &amp; 배우기 DJ 테이블</v>
      </c>
      <c r="F694" s="1" t="str">
        <f>IFERROR(__xludf.DUMMYFUNCTION("CONCATENATE(GOOGLETRANSLATE(C694, ""en"", ""ja""))"),"フィッシャープライス 笑って学んでミックスして学ぶ DJテーブル")</f>
        <v>フィッシャープライス 笑って学んでミックスして学ぶ DJテーブル</v>
      </c>
    </row>
    <row r="695" ht="15.75" customHeight="1">
      <c r="A695" s="1">
        <v>5909.0</v>
      </c>
      <c r="B695" s="1" t="s">
        <v>6</v>
      </c>
      <c r="C695" s="1" t="s">
        <v>663</v>
      </c>
      <c r="D695" s="1" t="str">
        <f>IFERROR(__xludf.DUMMYFUNCTION("CONCATENATE(GOOGLETRANSLATE(C695, ""en"", ""zh-cn""))
"),"Aigybobo 学习玩具 农场动物玩具")</f>
        <v>Aigybobo 学习玩具 农场动物玩具</v>
      </c>
      <c r="E695" s="1" t="str">
        <f>IFERROR(__xludf.DUMMYFUNCTION("CONCATENATE(GOOGLETRANSLATE(C695, ""en"", ""ko""))"),"Aigybobo 학습 장난감 농장 동물 장난감")</f>
        <v>Aigybobo 학습 장난감 농장 동물 장난감</v>
      </c>
      <c r="F695" s="1" t="str">
        <f>IFERROR(__xludf.DUMMYFUNCTION("CONCATENATE(GOOGLETRANSLATE(C695, ""en"", ""ja""))"),"Aigybobo 学習おもちゃ 家畜のおもちゃ")</f>
        <v>Aigybobo 学習おもちゃ 家畜のおもちゃ</v>
      </c>
    </row>
    <row r="696" ht="15.75" customHeight="1">
      <c r="A696" s="1">
        <v>5917.0</v>
      </c>
      <c r="B696" s="1" t="s">
        <v>6</v>
      </c>
      <c r="C696" s="1" t="s">
        <v>664</v>
      </c>
      <c r="D696" s="1" t="str">
        <f>IFERROR(__xludf.DUMMYFUNCTION("CONCATENATE(GOOGLETRANSLATE(C696, ""en"", ""zh-cn""))
"),"BSN 运动户外排球套装")</f>
        <v>BSN 运动户外排球套装</v>
      </c>
      <c r="E696" s="1" t="str">
        <f>IFERROR(__xludf.DUMMYFUNCTION("CONCATENATE(GOOGLETRANSLATE(C696, ""en"", ""ko""))"),"BSN 스포츠 야외 배구 세트")</f>
        <v>BSN 스포츠 야외 배구 세트</v>
      </c>
      <c r="F696" s="1" t="str">
        <f>IFERROR(__xludf.DUMMYFUNCTION("CONCATENATE(GOOGLETRANSLATE(C696, ""en"", ""ja""))"),"BSN スポーツ アウトドア バレーボール セット")</f>
        <v>BSN スポーツ アウトドア バレーボール セット</v>
      </c>
    </row>
    <row r="697" ht="15.75" customHeight="1">
      <c r="A697" s="1">
        <v>5927.0</v>
      </c>
      <c r="B697" s="1" t="s">
        <v>6</v>
      </c>
      <c r="C697" s="1" t="s">
        <v>665</v>
      </c>
      <c r="D697" s="1" t="str">
        <f>IFERROR(__xludf.DUMMYFUNCTION("CONCATENATE(GOOGLETRANSLATE(C697, ""en"", ""zh-cn""))
"),"Gared Sports户外篮球系统")</f>
        <v>Gared Sports户外篮球系统</v>
      </c>
      <c r="E697" s="1" t="str">
        <f>IFERROR(__xludf.DUMMYFUNCTION("CONCATENATE(GOOGLETRANSLATE(C697, ""en"", ""ko""))"),"Gared Sports 야외 농구 시스템")</f>
        <v>Gared Sports 야외 농구 시스템</v>
      </c>
      <c r="F697" s="1" t="str">
        <f>IFERROR(__xludf.DUMMYFUNCTION("CONCATENATE(GOOGLETRANSLATE(C697, ""en"", ""ja""))"),"Gared スポーツ アウトドア バスケットボール システム")</f>
        <v>Gared スポーツ アウトドア バスケットボール システム</v>
      </c>
    </row>
    <row r="698" ht="15.75" customHeight="1">
      <c r="A698" s="1">
        <v>5939.0</v>
      </c>
      <c r="B698" s="1" t="s">
        <v>6</v>
      </c>
      <c r="C698" s="1" t="s">
        <v>666</v>
      </c>
      <c r="D698" s="1" t="str">
        <f>IFERROR(__xludf.DUMMYFUNCTION("CONCATENATE(GOOGLETRANSLATE(C698, ""en"", ""zh-cn""))
"),"Park &amp; Sun Spiker SL 排球网系统")</f>
        <v>Park &amp; Sun Spiker SL 排球网系统</v>
      </c>
      <c r="E698" s="1" t="str">
        <f>IFERROR(__xludf.DUMMYFUNCTION("CONCATENATE(GOOGLETRANSLATE(C698, ""en"", ""ko""))"),"파크앤선스파이커 SL 배구네트 시스템")</f>
        <v>파크앤선스파이커 SL 배구네트 시스템</v>
      </c>
      <c r="F698" s="1" t="str">
        <f>IFERROR(__xludf.DUMMYFUNCTION("CONCATENATE(GOOGLETRANSLATE(C698, ""en"", ""ja""))"),"パーク&amp;サン スパイカーSLバレーボールネットシステム")</f>
        <v>パーク&amp;サン スパイカーSLバレーボールネットシステム</v>
      </c>
    </row>
    <row r="699" ht="15.75" customHeight="1">
      <c r="A699" s="1">
        <v>5952.0</v>
      </c>
      <c r="B699" s="1" t="s">
        <v>6</v>
      </c>
      <c r="C699" s="1" t="s">
        <v>667</v>
      </c>
      <c r="D699" s="1" t="str">
        <f>IFERROR(__xludf.DUMMYFUNCTION("CONCATENATE(GOOGLETRANSLATE(C699, ""en"", ""zh-cn""))
"),"Timex 女士连衣裙水晶手表和手链礼品套装")</f>
        <v>Timex 女士连衣裙水晶手表和手链礼品套装</v>
      </c>
      <c r="E699" s="1" t="str">
        <f>IFERROR(__xludf.DUMMYFUNCTION("CONCATENATE(GOOGLETRANSLATE(C699, ""en"", ""ko""))"),"타이멕스 여성용 드레스 크리스탈 시계 &amp; 팔찌 선물 세트")</f>
        <v>타이멕스 여성용 드레스 크리스탈 시계 &amp; 팔찌 선물 세트</v>
      </c>
      <c r="F699" s="1" t="str">
        <f>IFERROR(__xludf.DUMMYFUNCTION("CONCATENATE(GOOGLETRANSLATE(C699, ""en"", ""ja""))"),"タイメックス レディース ドレス クリスタル ウォッチ &amp; ブレスレット ギフト セット")</f>
        <v>タイメックス レディース ドレス クリスタル ウォッチ &amp; ブレスレット ギフト セット</v>
      </c>
    </row>
    <row r="700" ht="15.75" customHeight="1">
      <c r="A700" s="1">
        <v>5956.0</v>
      </c>
      <c r="B700" s="1" t="s">
        <v>6</v>
      </c>
      <c r="C700" s="1" t="s">
        <v>668</v>
      </c>
      <c r="D700" s="1" t="str">
        <f>IFERROR(__xludf.DUMMYFUNCTION("CONCATENATE(GOOGLETRANSLATE(C700, ""en"", ""zh-cn""))
"),"Anne Klein 女士八角形手动石英金属链环手链手表")</f>
        <v>Anne Klein 女士八角形手动石英金属链环手链手表</v>
      </c>
      <c r="E700" s="1" t="str">
        <f>IFERROR(__xludf.DUMMYFUNCTION("CONCATENATE(GOOGLETRANSLATE(C700, ""en"", ""ko""))"),"Anne Klein 여성용 팔각형 핸드 쿼츠 메탈 링크 팔찌 시계")</f>
        <v>Anne Klein 여성용 팔각형 핸드 쿼츠 메탈 링크 팔찌 시계</v>
      </c>
      <c r="F700" s="1" t="str">
        <f>IFERROR(__xludf.DUMMYFUNCTION("CONCATENATE(GOOGLETRANSLATE(C700, ""en"", ""ja""))"),"Anne Klein レディース オクタゴナル ハンド クォーツ メタル リンク ブレスレット ウォッチ")</f>
        <v>Anne Klein レディース オクタゴナル ハンド クォーツ メタル リンク ブレスレット ウォッチ</v>
      </c>
    </row>
    <row r="701" ht="15.75" customHeight="1">
      <c r="A701" s="1">
        <v>5967.0</v>
      </c>
      <c r="B701" s="1" t="s">
        <v>6</v>
      </c>
      <c r="C701" s="1" t="s">
        <v>669</v>
      </c>
      <c r="D701" s="1" t="str">
        <f>IFERROR(__xludf.DUMMYFUNCTION("CONCATENATE(GOOGLETRANSLATE(C701, ""en"", ""zh-cn""))
"),"Michele Serein 计时石英钻石腕表")</f>
        <v>Michele Serein 计时石英钻石腕表</v>
      </c>
      <c r="E701" s="1" t="str">
        <f>IFERROR(__xludf.DUMMYFUNCTION("CONCATENATE(GOOGLETRANSLATE(C701, ""en"", ""ko""))"),"Michele Serein 크로노그래프 쿼츠 다이아몬드 시계")</f>
        <v>Michele Serein 크로노그래프 쿼츠 다이아몬드 시계</v>
      </c>
      <c r="F701" s="1" t="str">
        <f>IFERROR(__xludf.DUMMYFUNCTION("CONCATENATE(GOOGLETRANSLATE(C701, ""en"", ""ja""))"),"ミシェル セライン クロノグラフ クォーツ ダイヤモンド ウォッチ")</f>
        <v>ミシェル セライン クロノグラフ クォーツ ダイヤモンド ウォッチ</v>
      </c>
    </row>
    <row r="702" ht="15.75" customHeight="1">
      <c r="A702" s="1">
        <v>5978.0</v>
      </c>
      <c r="B702" s="1" t="s">
        <v>6</v>
      </c>
      <c r="C702" s="1" t="s">
        <v>670</v>
      </c>
      <c r="D702" s="1" t="str">
        <f>IFERROR(__xludf.DUMMYFUNCTION("CONCATENATE(GOOGLETRANSLATE(C702, ""en"", ""zh-cn""))
"),"杰西卡·辛普森 (Jessica Simpson) 玫瑰金色扩展表带戒指手表套装")</f>
        <v>杰西卡·辛普森 (Jessica Simpson) 玫瑰金色扩展表带戒指手表套装</v>
      </c>
      <c r="E702" s="1" t="str">
        <f>IFERROR(__xludf.DUMMYFUNCTION("CONCATENATE(GOOGLETRANSLATE(C702, ""en"", ""ko""))"),"제시카 심슨 로즈 골드 톤 확장 밴드 링 시계 세트")</f>
        <v>제시카 심슨 로즈 골드 톤 확장 밴드 링 시계 세트</v>
      </c>
      <c r="F702" s="1" t="str">
        <f>IFERROR(__xludf.DUMMYFUNCTION("CONCATENATE(GOOGLETRANSLATE(C702, ""en"", ""ja""))"),"ジェシカ シンプソン ローズゴールドトーン拡張バンド リング ウォッチ セット")</f>
        <v>ジェシカ シンプソン ローズゴールドトーン拡張バンド リング ウォッチ セット</v>
      </c>
    </row>
    <row r="703" ht="15.75" customHeight="1">
      <c r="A703" s="1">
        <v>6028.0</v>
      </c>
      <c r="B703" s="1" t="s">
        <v>6</v>
      </c>
      <c r="C703" s="1" t="s">
        <v>671</v>
      </c>
      <c r="D703" s="1" t="str">
        <f>IFERROR(__xludf.DUMMYFUNCTION("CONCATENATE(GOOGLETRANSLATE(C703, ""en"", ""zh-cn""))
"),"智能手机带")</f>
        <v>智能手机带</v>
      </c>
      <c r="E703" s="1" t="str">
        <f>IFERROR(__xludf.DUMMYFUNCTION("CONCATENATE(GOOGLETRANSLATE(C703, ""en"", ""ko""))"),"스마트폰 스트랩")</f>
        <v>스마트폰 스트랩</v>
      </c>
      <c r="F703" s="1" t="str">
        <f>IFERROR(__xludf.DUMMYFUNCTION("CONCATENATE(GOOGLETRANSLATE(C703, ""en"", ""ja""))"),"スマホストラップ")</f>
        <v>スマホストラップ</v>
      </c>
    </row>
    <row r="704" ht="15.75" customHeight="1">
      <c r="A704" s="1">
        <v>6046.0</v>
      </c>
      <c r="B704" s="1" t="s">
        <v>6</v>
      </c>
      <c r="C704" s="1" t="s">
        <v>672</v>
      </c>
      <c r="D704" s="1" t="str">
        <f>IFERROR(__xludf.DUMMYFUNCTION("CONCATENATE(GOOGLETRANSLATE(C704, ""en"", ""zh-cn""))
"),"Hamilton Beach 超长槽 2 片烤面包机")</f>
        <v>Hamilton Beach 超长槽 2 片烤面包机</v>
      </c>
      <c r="E704" s="1" t="str">
        <f>IFERROR(__xludf.DUMMYFUNCTION("CONCATENATE(GOOGLETRANSLATE(C704, ""en"", ""ko""))"),"해밀턴 비치 엑스트라 롱 슬롯 2슬라이스 토스터")</f>
        <v>해밀턴 비치 엑스트라 롱 슬롯 2슬라이스 토스터</v>
      </c>
      <c r="F704" s="1" t="str">
        <f>IFERROR(__xludf.DUMMYFUNCTION("CONCATENATE(GOOGLETRANSLATE(C704, ""en"", ""ja""))"),"ハミルトンビーチ エクストラ ロング スロット 2 スライス トースター")</f>
        <v>ハミルトンビーチ エクストラ ロング スロット 2 スライス トースター</v>
      </c>
    </row>
    <row r="705" ht="15.75" customHeight="1">
      <c r="A705" s="1">
        <v>6067.0</v>
      </c>
      <c r="B705" s="1" t="s">
        <v>6</v>
      </c>
      <c r="C705" s="1" t="s">
        <v>673</v>
      </c>
      <c r="D705" s="1" t="str">
        <f>IFERROR(__xludf.DUMMYFUNCTION("CONCATENATE(GOOGLETRANSLATE(C705, ""en"", ""zh-cn""))
"),"Hunter Fan Pacer 44 吊扇带 LED 灯")</f>
        <v>Hunter Fan Pacer 44 吊扇带 LED 灯</v>
      </c>
      <c r="E705" s="1" t="str">
        <f>IFERROR(__xludf.DUMMYFUNCTION("CONCATENATE(GOOGLETRANSLATE(C705, ""en"", ""ko""))"),"Hunter Fan Pacer 44 천장 선풍기(LED 조명 포함)")</f>
        <v>Hunter Fan Pacer 44 천장 선풍기(LED 조명 포함)</v>
      </c>
      <c r="F705" s="1" t="str">
        <f>IFERROR(__xludf.DUMMYFUNCTION("CONCATENATE(GOOGLETRANSLATE(C705, ""en"", ""ja""))"),"Hunter Fan Pacer 44 LEDライト付きシーリングファン")</f>
        <v>Hunter Fan Pacer 44 LEDライト付きシーリングファン</v>
      </c>
    </row>
    <row r="706" ht="15.75" customHeight="1">
      <c r="A706" s="1">
        <v>6069.0</v>
      </c>
      <c r="B706" s="1" t="s">
        <v>6</v>
      </c>
      <c r="C706" s="1" t="s">
        <v>674</v>
      </c>
      <c r="D706" s="1" t="str">
        <f>IFERROR(__xludf.DUMMYFUNCTION("CONCATENATE(GOOGLETRANSLATE(C706, ""en"", ""zh-cn""))
"),"Comfee CMO-C20M1WH 复古微波炉，11 级功率，快速多级烹饪")</f>
        <v>Comfee CMO-C20M1WH 复古微波炉，11 级功率，快速多级烹饪</v>
      </c>
      <c r="E706" s="1" t="str">
        <f>IFERROR(__xludf.DUMMYFUNCTION("CONCATENATE(GOOGLETRANSLATE(C706, ""en"", ""ko""))"),"Comfee CMO-C20M1WH 11가지 전력 레벨의 빠른 다단계 조리 기능을 갖춘 복고풍 전자레인지")</f>
        <v>Comfee CMO-C20M1WH 11가지 전력 레벨의 빠른 다단계 조리 기능을 갖춘 복고풍 전자레인지</v>
      </c>
      <c r="F706" s="1" t="str">
        <f>IFERROR(__xludf.DUMMYFUNCTION("CONCATENATE(GOOGLETRANSLATE(C706, ""en"", ""ja""))"),"Comfee CMO-C20M1WH レトロ電子レンジ 11 出力レベル 高速多段階調理")</f>
        <v>Comfee CMO-C20M1WH レトロ電子レンジ 11 出力レベル 高速多段階調理</v>
      </c>
    </row>
    <row r="707" ht="15.75" customHeight="1">
      <c r="A707" s="1">
        <v>6096.0</v>
      </c>
      <c r="B707" s="1" t="s">
        <v>6</v>
      </c>
      <c r="C707" s="1" t="s">
        <v>675</v>
      </c>
      <c r="D707" s="1" t="str">
        <f>IFERROR(__xludf.DUMMYFUNCTION("CONCATENATE(GOOGLETRANSLATE(C707, ""en"", ""zh-cn""))
"),"生物素头发生长补充剂")</f>
        <v>生物素头发生长补充剂</v>
      </c>
      <c r="E707" s="1" t="str">
        <f>IFERROR(__xludf.DUMMYFUNCTION("CONCATENATE(GOOGLETRANSLATE(C707, ""en"", ""ko""))"),"비오틴 모발 성장 보조제")</f>
        <v>비오틴 모발 성장 보조제</v>
      </c>
      <c r="F707" s="1" t="str">
        <f>IFERROR(__xludf.DUMMYFUNCTION("CONCATENATE(GOOGLETRANSLATE(C707, ""en"", ""ja""))"),"ビオチン育毛サプリメント")</f>
        <v>ビオチン育毛サプリメント</v>
      </c>
    </row>
    <row r="708" ht="15.75" customHeight="1">
      <c r="A708" s="1">
        <v>6100.0</v>
      </c>
      <c r="B708" s="1" t="s">
        <v>6</v>
      </c>
      <c r="C708" s="1" t="s">
        <v>676</v>
      </c>
      <c r="D708" s="1" t="str">
        <f>IFERROR(__xludf.DUMMYFUNCTION("CONCATENATE(GOOGLETRANSLATE(C708, ""en"", ""zh-cn""))
"),"生物素 + 可溶性角蛋白护发补充剂")</f>
        <v>生物素 + 可溶性角蛋白护发补充剂</v>
      </c>
      <c r="E708" s="1" t="str">
        <f>IFERROR(__xludf.DUMMYFUNCTION("CONCATENATE(GOOGLETRANSLATE(C708, ""en"", ""ko""))"),"비오틴 + 수용성 케라틴 헤어 트리트먼트 보충제")</f>
        <v>비오틴 + 수용성 케라틴 헤어 트리트먼트 보충제</v>
      </c>
      <c r="F708" s="1" t="str">
        <f>IFERROR(__xludf.DUMMYFUNCTION("CONCATENATE(GOOGLETRANSLATE(C708, ""en"", ""ja""))"),"ビオチン + 可溶性ケラチン ヘアトリートメント サプリメント")</f>
        <v>ビオチン + 可溶性ケラチン ヘアトリートメント サプリメント</v>
      </c>
    </row>
    <row r="709" ht="15.75" customHeight="1">
      <c r="A709" s="1">
        <v>6141.0</v>
      </c>
      <c r="B709" s="1" t="s">
        <v>6</v>
      </c>
      <c r="C709" s="1" t="s">
        <v>677</v>
      </c>
      <c r="D709" s="1" t="str">
        <f>IFERROR(__xludf.DUMMYFUNCTION("CONCATENATE(GOOGLETRANSLATE(C709, ""en"", ""zh-cn""))
"),"Hairfluence - 含生物素、烟酸、胶原蛋白，健康皮肤、头发和指甲")</f>
        <v>Hairfluence - 含生物素、烟酸、胶原蛋白，健康皮肤、头发和指甲</v>
      </c>
      <c r="E709" s="1" t="str">
        <f>IFERROR(__xludf.DUMMYFUNCTION("CONCATENATE(GOOGLETRANSLATE(C709, ""en"", ""ko""))"),"Hairfluence - 비오틴, 니아신, 콜라겐 함유, 건강한 피부, 헤어 &amp; 손톱")</f>
        <v>Hairfluence - 비오틴, 니아신, 콜라겐 함유, 건강한 피부, 헤어 &amp; 손톱</v>
      </c>
      <c r="F709" s="1" t="str">
        <f>IFERROR(__xludf.DUMMYFUNCTION("CONCATENATE(GOOGLETRANSLATE(C709, ""en"", ""ja""))"),"Hairfluence - ビオチン、ナイアシン、コラーゲン、健康な肌、髪、爪を配合")</f>
        <v>Hairfluence - ビオチン、ナイアシン、コラーゲン、健康な肌、髪、爪を配合</v>
      </c>
    </row>
    <row r="710" ht="15.75" customHeight="1">
      <c r="A710" s="1">
        <v>6207.0</v>
      </c>
      <c r="B710" s="1" t="s">
        <v>6</v>
      </c>
      <c r="C710" s="1" t="s">
        <v>678</v>
      </c>
      <c r="D710" s="1" t="str">
        <f>IFERROR(__xludf.DUMMYFUNCTION("CONCATENATE(GOOGLETRANSLATE(C710, ""en"", ""zh-cn""))
"),"我们能做的最好的事情：一本带插图的回忆录")</f>
        <v>我们能做的最好的事情：一本带插图的回忆录</v>
      </c>
      <c r="E710" s="1" t="str">
        <f>IFERROR(__xludf.DUMMYFUNCTION("CONCATENATE(GOOGLETRANSLATE(C710, ""en"", ""ko""))"),"우리가 할 수 있는 최선: 그림이 담긴 회고록")</f>
        <v>우리가 할 수 있는 최선: 그림이 담긴 회고록</v>
      </c>
      <c r="F710" s="1" t="str">
        <f>IFERROR(__xludf.DUMMYFUNCTION("CONCATENATE(GOOGLETRANSLATE(C710, ""en"", ""ja""))"),"私たちにできる最善のこと：イラスト付き回想録")</f>
        <v>私たちにできる最善のこと：イラスト付き回想録</v>
      </c>
    </row>
    <row r="711" ht="15.75" customHeight="1">
      <c r="A711" s="1">
        <v>6259.0</v>
      </c>
      <c r="B711" s="1" t="s">
        <v>6</v>
      </c>
      <c r="C711" s="1" t="s">
        <v>679</v>
      </c>
      <c r="D711" s="1" t="str">
        <f>IFERROR(__xludf.DUMMYFUNCTION("CONCATENATE(GOOGLETRANSLATE(C711, ""en"", ""zh-cn""))
"),"Apple 礼品卡 App Store Itunes 值：10.25.50.100。仅供我们使用")</f>
        <v>Apple 礼品卡 App Store Itunes 值：10.25.50.100。仅供我们使用</v>
      </c>
      <c r="E711" s="1" t="str">
        <f>IFERROR(__xludf.DUMMYFUNCTION("CONCATENATE(GOOGLETRANSLATE(C711, ""en"", ""ko""))"),"Apple 기프트 카드 앱 스토어 Itunes 값:10.25.50.100. 우리만을 위해")</f>
        <v>Apple 기프트 카드 앱 스토어 Itunes 값:10.25.50.100. 우리만을 위해</v>
      </c>
      <c r="F711" s="1" t="str">
        <f>IFERROR(__xludf.DUMMYFUNCTION("CONCATENATE(GOOGLETRANSLATE(C711, ""en"", ""ja""))"),"Apple Gift Card App Store Itunes 値:10.25.50.100。私たち専用")</f>
        <v>Apple Gift Card App Store Itunes 値:10.25.50.100。私たち専用</v>
      </c>
    </row>
    <row r="712" ht="15.75" customHeight="1">
      <c r="A712" s="1">
        <v>6264.0</v>
      </c>
      <c r="B712" s="1" t="s">
        <v>6</v>
      </c>
      <c r="C712" s="1" t="s">
        <v>680</v>
      </c>
      <c r="D712" s="1" t="str">
        <f>IFERROR(__xludf.DUMMYFUNCTION("CONCATENATE(GOOGLETRANSLATE(C712, ""en"", ""zh-cn""))
"),"Apple 礼品卡 App Store Itunes 值：10.25.50.100 仅供我们使用")</f>
        <v>Apple 礼品卡 App Store Itunes 值：10.25.50.100 仅供我们使用</v>
      </c>
      <c r="E712" s="1" t="str">
        <f>IFERROR(__xludf.DUMMYFUNCTION("CONCATENATE(GOOGLETRANSLATE(C712, ""en"", ""ko""))"),"Apple Gift Card App Store Itunes 값:10.25.50.100 For Us Only")</f>
        <v>Apple Gift Card App Store Itunes 값:10.25.50.100 For Us Only</v>
      </c>
      <c r="F712" s="1" t="str">
        <f>IFERROR(__xludf.DUMMYFUNCTION("CONCATENATE(GOOGLETRANSLATE(C712, ""en"", ""ja""))"),"Apple Gift Card App Store Itunes-value:10.25.50.100 当社限定")</f>
        <v>Apple Gift Card App Store Itunes-value:10.25.50.100 当社限定</v>
      </c>
    </row>
    <row r="713" ht="15.75" customHeight="1">
      <c r="A713" s="1">
        <v>6290.0</v>
      </c>
      <c r="B713" s="1" t="s">
        <v>6</v>
      </c>
      <c r="C713" s="1" t="s">
        <v>681</v>
      </c>
      <c r="D713" s="1" t="str">
        <f>IFERROR(__xludf.DUMMYFUNCTION("CONCATENATE(GOOGLETRANSLATE(C713, ""en"", ""zh-cn""))
"),"刺客信条幻影豪华版")</f>
        <v>刺客信条幻影豪华版</v>
      </c>
      <c r="E713" s="1" t="str">
        <f>IFERROR(__xludf.DUMMYFUNCTION("CONCATENATE(GOOGLETRANSLATE(C713, ""en"", ""ko""))"),"Assassin's Creed Mirage 디럭스 에디션")</f>
        <v>Assassin's Creed Mirage 디럭스 에디션</v>
      </c>
      <c r="F713" s="1" t="str">
        <f>IFERROR(__xludf.DUMMYFUNCTION("CONCATENATE(GOOGLETRANSLATE(C713, ""en"", ""ja""))"),"アサシン クリード ミラージュ デラックス エディション")</f>
        <v>アサシン クリード ミラージュ デラックス エディション</v>
      </c>
    </row>
    <row r="714" ht="15.75" customHeight="1">
      <c r="A714" s="1">
        <v>6302.0</v>
      </c>
      <c r="B714" s="1" t="s">
        <v>6</v>
      </c>
      <c r="C714" s="1" t="s">
        <v>682</v>
      </c>
      <c r="D714" s="1" t="str">
        <f>IFERROR(__xludf.DUMMYFUNCTION("CONCATENATE(GOOGLETRANSLATE(C714, ""en"", ""zh-cn""))
"),"《地平线：禁域西部》完整游戏数字代码 - 索尼 Ps5 和 Ps4")</f>
        <v>《地平线：禁域西部》完整游戏数字代码 - 索尼 Ps5 和 Ps4</v>
      </c>
      <c r="E714" s="1" t="str">
        <f>IFERROR(__xludf.DUMMYFUNCTION("CONCATENATE(GOOGLETRANSLATE(C714, ""en"", ""ko""))"),"Horizon Forbidden West 전체 게임 디지털 코드 - Sony Ps5 및 Ps4")</f>
        <v>Horizon Forbidden West 전체 게임 디지털 코드 - Sony Ps5 및 Ps4</v>
      </c>
      <c r="F714" s="1" t="str">
        <f>IFERROR(__xludf.DUMMYFUNCTION("CONCATENATE(GOOGLETRANSLATE(C714, ""en"", ""ja""))"),"Horizo​​n Forbidden West フルゲーム デジタル コード - Sony Ps5 &amp; Ps4")</f>
        <v>Horizo​​n Forbidden West フルゲーム デジタル コード - Sony Ps5 &amp; Ps4</v>
      </c>
    </row>
    <row r="715" ht="15.75" customHeight="1">
      <c r="A715" s="1">
        <v>6316.0</v>
      </c>
      <c r="B715" s="1" t="s">
        <v>6</v>
      </c>
      <c r="C715" s="1" t="s">
        <v>683</v>
      </c>
      <c r="D715" s="1" t="str">
        <f>IFERROR(__xludf.DUMMYFUNCTION("CONCATENATE(GOOGLETRANSLATE(C715, ""en"", ""zh-cn""))
"),"任天堂 eShop 数字礼品卡")</f>
        <v>任天堂 eShop 数字礼品卡</v>
      </c>
      <c r="E715" s="1" t="str">
        <f>IFERROR(__xludf.DUMMYFUNCTION("CONCATENATE(GOOGLETRANSLATE(C715, ""en"", ""ko""))"),"Nintendo eShop 디지털 기프트 카드")</f>
        <v>Nintendo eShop 디지털 기프트 카드</v>
      </c>
      <c r="F715" s="1" t="str">
        <f>IFERROR(__xludf.DUMMYFUNCTION("CONCATENATE(GOOGLETRANSLATE(C715, ""en"", ""ja""))"),"ニンテンドーeショップデジタルギフトカード")</f>
        <v>ニンテンドーeショップデジタルギフトカード</v>
      </c>
    </row>
    <row r="716" ht="15.75" customHeight="1">
      <c r="A716" s="1">
        <v>6317.0</v>
      </c>
      <c r="B716" s="1" t="s">
        <v>6</v>
      </c>
      <c r="C716" s="1" t="s">
        <v>684</v>
      </c>
      <c r="D716" s="1" t="str">
        <f>IFERROR(__xludf.DUMMYFUNCTION("CONCATENATE(GOOGLETRANSLATE(C716, ""en"", ""zh-cn""))
"),"任天堂 eShop 卡")</f>
        <v>任天堂 eShop 卡</v>
      </c>
      <c r="E716" s="1" t="str">
        <f>IFERROR(__xludf.DUMMYFUNCTION("CONCATENATE(GOOGLETRANSLATE(C716, ""en"", ""ko""))"),"닌텐도 e숍 카드")</f>
        <v>닌텐도 e숍 카드</v>
      </c>
      <c r="F716" s="1" t="str">
        <f>IFERROR(__xludf.DUMMYFUNCTION("CONCATENATE(GOOGLETRANSLATE(C716, ""en"", ""ja""))"),"ニンテンドーeショップカード")</f>
        <v>ニンテンドーeショップカード</v>
      </c>
    </row>
    <row r="717" ht="15.75" customHeight="1">
      <c r="A717" s="1">
        <v>6337.0</v>
      </c>
      <c r="B717" s="1" t="s">
        <v>6</v>
      </c>
      <c r="C717" s="1" t="s">
        <v>685</v>
      </c>
      <c r="D717" s="1" t="str">
        <f>IFERROR(__xludf.DUMMYFUNCTION("CONCATENATE(GOOGLETRANSLATE(C717, ""en"", ""zh-cn""))
"),"俱乐部会所游戏 51 场全球经典")</f>
        <v>俱乐部会所游戏 51 场全球经典</v>
      </c>
      <c r="E717" s="1" t="str">
        <f>IFERROR(__xludf.DUMMYFUNCTION("CONCATENATE(GOOGLETRANSLATE(C717, ""en"", ""ko""))"),"클럽하우스 게임 51 월드와이드 클래식")</f>
        <v>클럽하우스 게임 51 월드와이드 클래식</v>
      </c>
      <c r="F717" s="1" t="str">
        <f>IFERROR(__xludf.DUMMYFUNCTION("CONCATENATE(GOOGLETRANSLATE(C717, ""en"", ""ja""))"),"クラブハウス ゲーム 51 のワールドワイド クラシック")</f>
        <v>クラブハウス ゲーム 51 のワールドワイド クラシック</v>
      </c>
    </row>
    <row r="718" ht="15.75" customHeight="1">
      <c r="A718" s="1">
        <v>6339.0</v>
      </c>
      <c r="B718" s="1" t="s">
        <v>6</v>
      </c>
      <c r="C718" s="1" t="s">
        <v>686</v>
      </c>
      <c r="D718" s="1" t="str">
        <f>IFERROR(__xludf.DUMMYFUNCTION("CONCATENATE(GOOGLETRANSLATE(C718, ""en"", ""zh-cn""))
"),"游戏机流浪者")</f>
        <v>游戏机流浪者</v>
      </c>
      <c r="E718" s="1" t="str">
        <f>IFERROR(__xludf.DUMMYFUNCTION("CONCATENATE(GOOGLETRANSLATE(C718, ""en"", ""ko""))"),"플레이스테이션 스트레이")</f>
        <v>플레이스테이션 스트레이</v>
      </c>
      <c r="F718" s="1" t="str">
        <f>IFERROR(__xludf.DUMMYFUNCTION("CONCATENATE(GOOGLETRANSLATE(C718, ""en"", ""ja""))"),"プレイステーション・ストレイ")</f>
        <v>プレイステーション・ストレイ</v>
      </c>
    </row>
    <row r="719" ht="15.75" customHeight="1">
      <c r="A719" s="1">
        <v>6340.0</v>
      </c>
      <c r="B719" s="1" t="s">
        <v>6</v>
      </c>
      <c r="C719" s="1" t="s">
        <v>687</v>
      </c>
      <c r="D719" s="1" t="str">
        <f>IFERROR(__xludf.DUMMYFUNCTION("CONCATENATE(GOOGLETRANSLATE(C719, ""en"", ""zh-cn""))
"),"任天堂 eShop 数字卡")</f>
        <v>任天堂 eShop 数字卡</v>
      </c>
      <c r="E719" s="1" t="str">
        <f>IFERROR(__xludf.DUMMYFUNCTION("CONCATENATE(GOOGLETRANSLATE(C719, ""en"", ""ko""))"),"Nintendo eShop 디지털 카드")</f>
        <v>Nintendo eShop 디지털 카드</v>
      </c>
      <c r="F719" s="1" t="str">
        <f>IFERROR(__xludf.DUMMYFUNCTION("CONCATENATE(GOOGLETRANSLATE(C719, ""en"", ""ja""))"),"ニンテンドーeショップデジタルカード")</f>
        <v>ニンテンドーeショップデジタルカード</v>
      </c>
    </row>
    <row r="720" ht="15.75" customHeight="1">
      <c r="A720" s="1">
        <v>6363.0</v>
      </c>
      <c r="B720" s="1" t="s">
        <v>6</v>
      </c>
      <c r="C720" s="1" t="s">
        <v>688</v>
      </c>
      <c r="D720" s="1" t="str">
        <f>IFERROR(__xludf.DUMMYFUNCTION("CONCATENATE(GOOGLETRANSLATE(C720, ""en"", ""zh-cn""))
"),"阿迪达斯 (adidas) 女式 Farm Tiro 运动上衣")</f>
        <v>阿迪达斯 (adidas) 女式 Farm Tiro 运动上衣</v>
      </c>
      <c r="E720" s="1" t="str">
        <f>IFERROR(__xludf.DUMMYFUNCTION("CONCATENATE(GOOGLETRANSLATE(C720, ""en"", ""ko""))"),"adidas 여성용 팜 티로 트랙 탑")</f>
        <v>adidas 여성용 팜 티로 트랙 탑</v>
      </c>
      <c r="F720" s="1" t="str">
        <f>IFERROR(__xludf.DUMMYFUNCTION("CONCATENATE(GOOGLETRANSLATE(C720, ""en"", ""ja""))"),"アディダス ウィメンズ ファーム ティロ トラック トップ")</f>
        <v>アディダス ウィメンズ ファーム ティロ トラック トップ</v>
      </c>
    </row>
    <row r="721" ht="15.75" customHeight="1">
      <c r="A721" s="1">
        <v>6369.0</v>
      </c>
      <c r="B721" s="1" t="s">
        <v>6</v>
      </c>
      <c r="C721" s="1" t="s">
        <v>689</v>
      </c>
      <c r="D721" s="1" t="str">
        <f>IFERROR(__xludf.DUMMYFUNCTION("CONCATENATE(GOOGLETRANSLATE(C721, ""en"", ""zh-cn""))
"),"Adidas Originals Adicolor Firebird 运动裤")</f>
        <v>Adidas Originals Adicolor Firebird 运动裤</v>
      </c>
      <c r="E721" s="1" t="str">
        <f>IFERROR(__xludf.DUMMYFUNCTION("CONCATENATE(GOOGLETRANSLATE(C721, ""en"", ""ko""))"),"Adidas Originals Adicolor 파이어버드 트랙팬츠")</f>
        <v>Adidas Originals Adicolor 파이어버드 트랙팬츠</v>
      </c>
      <c r="F721" s="1" t="str">
        <f>IFERROR(__xludf.DUMMYFUNCTION("CONCATENATE(GOOGLETRANSLATE(C721, ""en"", ""ja""))"),"アディダス オリジナルス アディカラー ファイアバード トラック パンツ")</f>
        <v>アディダス オリジナルス アディカラー ファイアバード トラック パンツ</v>
      </c>
    </row>
    <row r="722" ht="15.75" customHeight="1">
      <c r="A722" s="1">
        <v>6390.0</v>
      </c>
      <c r="B722" s="1" t="s">
        <v>6</v>
      </c>
      <c r="C722" s="1" t="s">
        <v>690</v>
      </c>
      <c r="D722" s="1" t="str">
        <f>IFERROR(__xludf.DUMMYFUNCTION("CONCATENATE(GOOGLETRANSLATE(C722, ""en"", ""zh-cn""))
"),"阿迪达斯女式 VL Court 3.0")</f>
        <v>阿迪达斯女式 VL Court 3.0</v>
      </c>
      <c r="E722" s="1" t="str">
        <f>IFERROR(__xludf.DUMMYFUNCTION("CONCATENATE(GOOGLETRANSLATE(C722, ""en"", ""ko""))"),"아디다스 여성용 VL 코트 3.0")</f>
        <v>아디다스 여성용 VL 코트 3.0</v>
      </c>
      <c r="F722" s="1" t="str">
        <f>IFERROR(__xludf.DUMMYFUNCTION("CONCATENATE(GOOGLETRANSLATE(C722, ""en"", ""ja""))"),"アディダス ウィメンズ VL コート 3.0")</f>
        <v>アディダス ウィメンズ VL コート 3.0</v>
      </c>
    </row>
    <row r="723" ht="15.75" customHeight="1">
      <c r="A723" s="1">
        <v>6416.0</v>
      </c>
      <c r="B723" s="1" t="s">
        <v>6</v>
      </c>
      <c r="C723" s="1" t="s">
        <v>691</v>
      </c>
      <c r="D723" s="1" t="str">
        <f>IFERROR(__xludf.DUMMYFUNCTION("CONCATENATE(GOOGLETRANSLATE(C723, ""en"", ""zh-cn""))
"),"ASICS 男士双层编织 7 英寸短裤")</f>
        <v>ASICS 男士双层编织 7 英寸短裤</v>
      </c>
      <c r="E723" s="1" t="str">
        <f>IFERROR(__xludf.DUMMYFUNCTION("CONCATENATE(GOOGLETRANSLATE(C723, ""en"", ""ko""))"),"아식스 남성용 더블 위브 7인치 반바지")</f>
        <v>아식스 남성용 더블 위브 7인치 반바지</v>
      </c>
      <c r="F723" s="1" t="str">
        <f>IFERROR(__xludf.DUMMYFUNCTION("CONCATENATE(GOOGLETRANSLATE(C723, ""en"", ""ja""))"),"アシックス メンズ ダブルウィーブ 7インチ ショーツ")</f>
        <v>アシックス メンズ ダブルウィーブ 7インチ ショーツ</v>
      </c>
    </row>
    <row r="724" ht="15.75" customHeight="1">
      <c r="A724" s="1">
        <v>6428.0</v>
      </c>
      <c r="B724" s="1" t="s">
        <v>6</v>
      </c>
      <c r="C724" s="1" t="s">
        <v>692</v>
      </c>
      <c r="D724" s="1" t="str">
        <f>IFERROR(__xludf.DUMMYFUNCTION("CONCATENATE(GOOGLETRANSLATE(C724, ""en"", ""zh-cn""))
"),"ASICS 男士 ACTIBREEZE 提花夹克")</f>
        <v>ASICS 男士 ACTIBREEZE 提花夹克</v>
      </c>
      <c r="E724" s="1" t="str">
        <f>IFERROR(__xludf.DUMMYFUNCTION("CONCATENATE(GOOGLETRANSLATE(C724, ""en"", ""ko""))"),"아식스 남성 ACTIBREEZE 자카드 재킷")</f>
        <v>아식스 남성 ACTIBREEZE 자카드 재킷</v>
      </c>
      <c r="F724" s="1" t="str">
        <f>IFERROR(__xludf.DUMMYFUNCTION("CONCATENATE(GOOGLETRANSLATE(C724, ""en"", ""ja""))"),"アシックス ACTIBREEZE ジャカード ジャケット メンズ")</f>
        <v>アシックス ACTIBREEZE ジャカード ジャケット メンズ</v>
      </c>
    </row>
    <row r="725" ht="15.75" customHeight="1">
      <c r="A725" s="1">
        <v>6459.0</v>
      </c>
      <c r="B725" s="1" t="s">
        <v>6</v>
      </c>
      <c r="C725" s="1" t="s">
        <v>693</v>
      </c>
      <c r="D725" s="1" t="str">
        <f>IFERROR(__xludf.DUMMYFUNCTION("CONCATENATE(GOOGLETRANSLATE(C725, ""en"", ""zh-cn""))
"),"Gymshark Arrival 5' 短裤")</f>
        <v>Gymshark Arrival 5' 短裤</v>
      </c>
      <c r="E725" s="1" t="str">
        <f>IFERROR(__xludf.DUMMYFUNCTION("CONCATENATE(GOOGLETRANSLATE(C725, ""en"", ""ko""))"),"Gymshark 어라이벌 5' 반바지")</f>
        <v>Gymshark 어라이벌 5' 반바지</v>
      </c>
      <c r="F725" s="1" t="str">
        <f>IFERROR(__xludf.DUMMYFUNCTION("CONCATENATE(GOOGLETRANSLATE(C725, ""en"", ""ja""))"),"Gymshark アライバル 5 フィート ショーツ")</f>
        <v>Gymshark アライバル 5 フィート ショーツ</v>
      </c>
    </row>
    <row r="726" ht="15.75" customHeight="1">
      <c r="A726" s="1">
        <v>6465.0</v>
      </c>
      <c r="B726" s="1" t="s">
        <v>6</v>
      </c>
      <c r="C726" s="1" t="s">
        <v>694</v>
      </c>
      <c r="D726" s="1" t="str">
        <f>IFERROR(__xludf.DUMMYFUNCTION("CONCATENATE(GOOGLETRANSLATE(C726, ""en"", ""zh-cn""))
"),"Gymshark 交叉护腿")</f>
        <v>Gymshark 交叉护腿</v>
      </c>
      <c r="E726" s="1" t="str">
        <f>IFERROR(__xludf.DUMMYFUNCTION("CONCATENATE(GOOGLETRANSLATE(C726, ""en"", ""ko""))"),"Gymshark 크로스오버 레깅스")</f>
        <v>Gymshark 크로스오버 레깅스</v>
      </c>
      <c r="F726" s="1" t="str">
        <f>IFERROR(__xludf.DUMMYFUNCTION("CONCATENATE(GOOGLETRANSLATE(C726, ""en"", ""ja""))"),"Gymshark クロスオーバー レギンス")</f>
        <v>Gymshark クロスオーバー レギンス</v>
      </c>
    </row>
    <row r="727" ht="15.75" customHeight="1">
      <c r="A727" s="1">
        <v>6470.0</v>
      </c>
      <c r="B727" s="1" t="s">
        <v>6</v>
      </c>
      <c r="C727" s="1" t="s">
        <v>695</v>
      </c>
      <c r="D727" s="1" t="str">
        <f>IFERROR(__xludf.DUMMYFUNCTION("CONCATENATE(GOOGLETRANSLATE(C727, ""en"", ""zh-cn""))
"),"Gymshark Vital 无缝 2.0 长袖上衣")</f>
        <v>Gymshark Vital 无缝 2.0 长袖上衣</v>
      </c>
      <c r="E727" s="1" t="str">
        <f>IFERROR(__xludf.DUMMYFUNCTION("CONCATENATE(GOOGLETRANSLATE(C727, ""en"", ""ko""))"),"Gymshark Vital Seamless 2.0 긴팔 탑")</f>
        <v>Gymshark Vital Seamless 2.0 긴팔 탑</v>
      </c>
      <c r="F727" s="1" t="str">
        <f>IFERROR(__xludf.DUMMYFUNCTION("CONCATENATE(GOOGLETRANSLATE(C727, ""en"", ""ja""))"),"Gymshark バイタル シームレス 2.0 長袖トップ")</f>
        <v>Gymshark バイタル シームレス 2.0 長袖トップ</v>
      </c>
    </row>
    <row r="728" ht="15.75" customHeight="1">
      <c r="A728" s="1">
        <v>6520.0</v>
      </c>
      <c r="B728" s="1" t="s">
        <v>6</v>
      </c>
      <c r="C728" s="1" t="s">
        <v>696</v>
      </c>
      <c r="D728" s="1" t="str">
        <f>IFERROR(__xludf.DUMMYFUNCTION("CONCATENATE(GOOGLETRANSLATE(C728, ""en"", ""zh-cn""))
"),"耐克女式运动服 Tech Fleece 高腰修身裤")</f>
        <v>耐克女式运动服 Tech Fleece 高腰修身裤</v>
      </c>
      <c r="E728" s="1" t="str">
        <f>IFERROR(__xludf.DUMMYFUNCTION("CONCATENATE(GOOGLETRANSLATE(C728, ""en"", ""ko""))"),"나이키 여성용 스포츠웨어 테크 플리스 하이웨이스트 슬림 팬츠")</f>
        <v>나이키 여성용 스포츠웨어 테크 플리스 하이웨이스트 슬림 팬츠</v>
      </c>
      <c r="F728" s="1" t="str">
        <f>IFERROR(__xludf.DUMMYFUNCTION("CONCATENATE(GOOGLETRANSLATE(C728, ""en"", ""ja""))"),"ナイキ レディース スポーツウェア テック フリース ハイウエスト スリム パンツ")</f>
        <v>ナイキ レディース スポーツウェア テック フリース ハイウエスト スリム パンツ</v>
      </c>
    </row>
    <row r="729" ht="15.75" customHeight="1">
      <c r="A729" s="1">
        <v>6541.0</v>
      </c>
      <c r="B729" s="1" t="s">
        <v>6</v>
      </c>
      <c r="C729" s="1" t="s">
        <v>697</v>
      </c>
      <c r="D729" s="1" t="str">
        <f>IFERROR(__xludf.DUMMYFUNCTION("CONCATENATE(GOOGLETRANSLATE(C729, ""en"", ""zh-cn""))
"),"Nike 男士 Solo Swoosh 运动裤")</f>
        <v>Nike 男士 Solo Swoosh 运动裤</v>
      </c>
      <c r="E729" s="1" t="str">
        <f>IFERROR(__xludf.DUMMYFUNCTION("CONCATENATE(GOOGLETRANSLATE(C729, ""en"", ""ko""))"),"나이키 남성 솔로 스우시 트랙 팬츠")</f>
        <v>나이키 남성 솔로 스우시 트랙 팬츠</v>
      </c>
      <c r="F729" s="1" t="str">
        <f>IFERROR(__xludf.DUMMYFUNCTION("CONCATENATE(GOOGLETRANSLATE(C729, ""en"", ""ja""))"),"ナイキ メンズ ソロ スウッシュ トラック パンツ")</f>
        <v>ナイキ メンズ ソロ スウッシュ トラック パンツ</v>
      </c>
    </row>
    <row r="730" ht="15.75" customHeight="1">
      <c r="A730" s="1">
        <v>6551.0</v>
      </c>
      <c r="B730" s="1" t="s">
        <v>6</v>
      </c>
      <c r="C730" s="1" t="s">
        <v>698</v>
      </c>
      <c r="D730" s="1" t="str">
        <f>IFERROR(__xludf.DUMMYFUNCTION("CONCATENATE(GOOGLETRANSLATE(C730, ""en"", ""zh-cn""))
"),"耐克男士运动服俱乐部抓绒图案套头连帽衫")</f>
        <v>耐克男士运动服俱乐部抓绒图案套头连帽衫</v>
      </c>
      <c r="E730" s="1" t="str">
        <f>IFERROR(__xludf.DUMMYFUNCTION("CONCATENATE(GOOGLETRANSLATE(C730, ""en"", ""ko""))"),"나이키 남성 스포츠웨어 클럽 플리스 그래픽 풀오버 후디")</f>
        <v>나이키 남성 스포츠웨어 클럽 플리스 그래픽 풀오버 후디</v>
      </c>
      <c r="F730" s="1" t="str">
        <f>IFERROR(__xludf.DUMMYFUNCTION("CONCATENATE(GOOGLETRANSLATE(C730, ""en"", ""ja""))"),"ナイキ メンズ スポーツウェア クラブ フリース グラフィック プルオーバー パーカー")</f>
        <v>ナイキ メンズ スポーツウェア クラブ フリース グラフィック プルオーバー パーカー</v>
      </c>
    </row>
    <row r="731" ht="15.75" customHeight="1">
      <c r="A731" s="1">
        <v>6562.0</v>
      </c>
      <c r="B731" s="1" t="s">
        <v>6</v>
      </c>
      <c r="C731" s="1" t="s">
        <v>699</v>
      </c>
      <c r="D731" s="1" t="str">
        <f>IFERROR(__xludf.DUMMYFUNCTION("CONCATENATE(GOOGLETRANSLATE(C731, ""en"", ""zh-cn""))
"),"Puma 男子球队 Liga 训练裤")</f>
        <v>Puma 男子球队 Liga 训练裤</v>
      </c>
      <c r="E731" s="1" t="str">
        <f>IFERROR(__xludf.DUMMYFUNCTION("CONCATENATE(GOOGLETRANSLATE(C731, ""en"", ""ko""))"),"푸마 남성 팀 리가 트레이닝 팬츠")</f>
        <v>푸마 남성 팀 리가 트레이닝 팬츠</v>
      </c>
      <c r="F731" s="1" t="str">
        <f>IFERROR(__xludf.DUMMYFUNCTION("CONCATENATE(GOOGLETRANSLATE(C731, ""en"", ""ja""))"),"プーマ メンズ チーム リーガ トレーニング パンツ")</f>
        <v>プーマ メンズ チーム リーガ トレーニング パンツ</v>
      </c>
    </row>
    <row r="732" ht="15.75" customHeight="1">
      <c r="A732" s="1">
        <v>6567.0</v>
      </c>
      <c r="B732" s="1" t="s">
        <v>6</v>
      </c>
      <c r="C732" s="1" t="s">
        <v>700</v>
      </c>
      <c r="D732" s="1" t="str">
        <f>IFERROR(__xludf.DUMMYFUNCTION("CONCATENATE(GOOGLETRANSLATE(C732, ""en"", ""zh-cn""))
"),"Puma 男士撞色长裤")</f>
        <v>Puma 男士撞色长裤</v>
      </c>
      <c r="E732" s="1" t="str">
        <f>IFERROR(__xludf.DUMMYFUNCTION("CONCATENATE(GOOGLETRANSLATE(C732, ""en"", ""ko""))"),"푸마 남성 콘트라스트 팬츠")</f>
        <v>푸마 남성 콘트라스트 팬츠</v>
      </c>
      <c r="F732" s="1" t="str">
        <f>IFERROR(__xludf.DUMMYFUNCTION("CONCATENATE(GOOGLETRANSLATE(C732, ""en"", ""ja""))"),"プーマ メンズ コントラスト パンツ")</f>
        <v>プーマ メンズ コントラスト パンツ</v>
      </c>
    </row>
    <row r="733" ht="15.75" customHeight="1">
      <c r="A733" s="1">
        <v>6587.0</v>
      </c>
      <c r="B733" s="1" t="s">
        <v>6</v>
      </c>
      <c r="C733" s="1" t="s">
        <v>701</v>
      </c>
      <c r="D733" s="1" t="str">
        <f>IFERROR(__xludf.DUMMYFUNCTION("CONCATENATE(GOOGLETRANSLATE(C733, ""en"", ""zh-cn""))
"),"Puma 男子团体联赛训练夹克")</f>
        <v>Puma 男子团体联赛训练夹克</v>
      </c>
      <c r="E733" s="1" t="str">
        <f>IFERROR(__xludf.DUMMYFUNCTION("CONCATENATE(GOOGLETRANSLATE(C733, ""en"", ""ko""))"),"재킷 푸마 남자 팀 리가 훈련")</f>
        <v>재킷 푸마 남자 팀 리가 훈련</v>
      </c>
      <c r="F733" s="1" t="str">
        <f>IFERROR(__xludf.DUMMYFUNCTION("CONCATENATE(GOOGLETRANSLATE(C733, ""en"", ""ja""))"),"ジャケット プーマ メンズ チーム リーガ トレーニング")</f>
        <v>ジャケット プーマ メンズ チーム リーガ トレーニング</v>
      </c>
    </row>
    <row r="734" ht="15.75" customHeight="1">
      <c r="A734" s="1">
        <v>6596.0</v>
      </c>
      <c r="B734" s="1" t="s">
        <v>6</v>
      </c>
      <c r="C734" s="1" t="s">
        <v>702</v>
      </c>
      <c r="D734" s="1" t="str">
        <f>IFERROR(__xludf.DUMMYFUNCTION("CONCATENATE(GOOGLETRANSLATE(C734, ""en"", ""zh-cn""))
"),"Reebok 女式锻炼高腰打底裤")</f>
        <v>Reebok 女式锻炼高腰打底裤</v>
      </c>
      <c r="E734" s="1" t="str">
        <f>IFERROR(__xludf.DUMMYFUNCTION("CONCATENATE(GOOGLETRANSLATE(C734, ""en"", ""ko""))"),"Reebok 여성용 워크아웃 레디 하이라이즈 레깅스")</f>
        <v>Reebok 여성용 워크아웃 레디 하이라이즈 레깅스</v>
      </c>
      <c r="F734" s="1" t="str">
        <f>IFERROR(__xludf.DUMMYFUNCTION("CONCATENATE(GOOGLETRANSLATE(C734, ""en"", ""ja""))"),"リーボック レディース Work Out Ready ハイライズ レギンス")</f>
        <v>リーボック レディース Work Out Ready ハイライズ レギンス</v>
      </c>
    </row>
    <row r="735" ht="15.75" customHeight="1">
      <c r="A735" s="1">
        <v>6600.0</v>
      </c>
      <c r="B735" s="1" t="s">
        <v>6</v>
      </c>
      <c r="C735" s="1" t="s">
        <v>703</v>
      </c>
      <c r="D735" s="1" t="str">
        <f>IFERROR(__xludf.DUMMYFUNCTION("CONCATENATE(GOOGLETRANSLATE(C735, ""en"", ""zh-cn""))
"),"Reebok 女式 Identity Back 矢量经编运动裤")</f>
        <v>Reebok 女式 Identity Back 矢量经编运动裤</v>
      </c>
      <c r="E735" s="1" t="str">
        <f>IFERROR(__xludf.DUMMYFUNCTION("CONCATENATE(GOOGLETRANSLATE(C735, ""en"", ""ko""))"),"Reebok 여성용 아이덴티티 백 벡터 트리코 트랙 팬츠")</f>
        <v>Reebok 여성용 아이덴티티 백 벡터 트리코 트랙 팬츠</v>
      </c>
      <c r="F735" s="1" t="str">
        <f>IFERROR(__xludf.DUMMYFUNCTION("CONCATENATE(GOOGLETRANSLATE(C735, ""en"", ""ja""))"),"リーボック レディース アイデンティティ バック ベクター トリコット トラック パンツ")</f>
        <v>リーボック レディース アイデンティティ バック ベクター トリコット トラック パンツ</v>
      </c>
    </row>
    <row r="736" ht="15.75" customHeight="1">
      <c r="A736" s="1">
        <v>6610.0</v>
      </c>
      <c r="B736" s="1" t="s">
        <v>6</v>
      </c>
      <c r="C736" s="1" t="s">
        <v>704</v>
      </c>
      <c r="D736" s="1" t="str">
        <f>IFERROR(__xludf.DUMMYFUNCTION("CONCATENATE(GOOGLETRANSLATE(C736, ""en"", ""zh-cn""))
"),"Reebok 女式 Identity Back 矢量经编运动夹克")</f>
        <v>Reebok 女式 Identity Back 矢量经编运动夹克</v>
      </c>
      <c r="E736" s="1" t="str">
        <f>IFERROR(__xludf.DUMMYFUNCTION("CONCATENATE(GOOGLETRANSLATE(C736, ""en"", ""ko""))"),"Reebok 여성용 아이덴티티 백 벡터 트리코 트랙 재킷")</f>
        <v>Reebok 여성용 아이덴티티 백 벡터 트리코 트랙 재킷</v>
      </c>
      <c r="F736" s="1" t="str">
        <f>IFERROR(__xludf.DUMMYFUNCTION("CONCATENATE(GOOGLETRANSLATE(C736, ""en"", ""ja""))"),"リーボック レディース アイデンティティ バック ベクター トリコット トラック ジャケット")</f>
        <v>リーボック レディース アイデンティティ バック ベクター トリコット トラック ジャケット</v>
      </c>
    </row>
    <row r="737" ht="15.75" customHeight="1">
      <c r="A737" s="1">
        <v>6627.0</v>
      </c>
      <c r="B737" s="1" t="s">
        <v>6</v>
      </c>
      <c r="C737" s="1" t="s">
        <v>705</v>
      </c>
      <c r="D737" s="1" t="str">
        <f>IFERROR(__xludf.DUMMYFUNCTION("CONCATENATE(GOOGLETRANSLATE(C737, ""en"", ""zh-cn""))
"),"Reebok 男士锻炼短裤")</f>
        <v>Reebok 男士锻炼短裤</v>
      </c>
      <c r="E737" s="1" t="str">
        <f>IFERROR(__xludf.DUMMYFUNCTION("CONCATENATE(GOOGLETRANSLATE(C737, ""en"", ""ko""))"),"Reebok 남성용 워크아웃 레디 반바지")</f>
        <v>Reebok 남성용 워크아웃 레디 반바지</v>
      </c>
      <c r="F737" s="1" t="str">
        <f>IFERROR(__xludf.DUMMYFUNCTION("CONCATENATE(GOOGLETRANSLATE(C737, ""en"", ""ja""))"),"リーボック メンズ ワークアウトレディ ショーツ")</f>
        <v>リーボック メンズ ワークアウトレディ ショーツ</v>
      </c>
    </row>
    <row r="738" ht="15.75" customHeight="1">
      <c r="A738" s="1">
        <v>6633.0</v>
      </c>
      <c r="B738" s="1" t="s">
        <v>6</v>
      </c>
      <c r="C738" s="1" t="s">
        <v>706</v>
      </c>
      <c r="D738" s="1" t="str">
        <f>IFERROR(__xludf.DUMMYFUNCTION("CONCATENATE(GOOGLETRANSLATE(C738, ""en"", ""zh-cn""))
"),"Reebok 女式锻炼 3/4 打底裤")</f>
        <v>Reebok 女式锻炼 3/4 打底裤</v>
      </c>
      <c r="E738" s="1" t="str">
        <f>IFERROR(__xludf.DUMMYFUNCTION("CONCATENATE(GOOGLETRANSLATE(C738, ""en"", ""ko""))"),"Reebok 여성 워크아웃 레디 3/4 레깅스")</f>
        <v>Reebok 여성 워크아웃 레디 3/4 레깅스</v>
      </c>
      <c r="F738" s="1" t="str">
        <f>IFERROR(__xludf.DUMMYFUNCTION("CONCATENATE(GOOGLETRANSLATE(C738, ""en"", ""ja""))"),"リーボック レディース Workout Ready 3/4 レギンス")</f>
        <v>リーボック レディース Workout Ready 3/4 レギンス</v>
      </c>
    </row>
    <row r="739" ht="15.75" customHeight="1">
      <c r="A739" s="1">
        <v>6636.0</v>
      </c>
      <c r="B739" s="1" t="s">
        <v>6</v>
      </c>
      <c r="C739" s="1" t="s">
        <v>707</v>
      </c>
      <c r="D739" s="1" t="str">
        <f>IFERROR(__xludf.DUMMYFUNCTION("CONCATENATE(GOOGLETRANSLATE(C739, ""en"", ""zh-cn""))
"),"Homfa 独立式浴室储物地柜")</f>
        <v>Homfa 独立式浴室储物地柜</v>
      </c>
      <c r="E739" s="1" t="str">
        <f>IFERROR(__xludf.DUMMYFUNCTION("CONCATENATE(GOOGLETRANSLATE(C739, ""en"", ""ko""))"),"Homfa 독립형 욕실 보관 바닥 캐비닛")</f>
        <v>Homfa 독립형 욕실 보관 바닥 캐비닛</v>
      </c>
      <c r="F739" s="1" t="str">
        <f>IFERROR(__xludf.DUMMYFUNCTION("CONCATENATE(GOOGLETRANSLATE(C739, ""en"", ""ja""))"),"Homfa 自立式バスルーム収納フロアキャビネット")</f>
        <v>Homfa 自立式バスルーム収納フロアキャビネット</v>
      </c>
    </row>
    <row r="740" ht="15.75" customHeight="1">
      <c r="A740" s="1">
        <v>6655.0</v>
      </c>
      <c r="B740" s="1" t="s">
        <v>6</v>
      </c>
      <c r="C740" s="1" t="s">
        <v>708</v>
      </c>
      <c r="D740" s="1" t="str">
        <f>IFERROR(__xludf.DUMMYFUNCTION("CONCATENATE(GOOGLETRANSLATE(C740, ""en"", ""zh-cn""))
"),"家居装饰系列 Ashburn 60 英寸宽 x 21.75 英寸深梳妆柜")</f>
        <v>家居装饰系列 Ashburn 60 英寸宽 x 21.75 英寸深梳妆柜</v>
      </c>
      <c r="E740" s="1" t="str">
        <f>IFERROR(__xludf.DUMMYFUNCTION("CONCATENATE(GOOGLETRANSLATE(C740, ""en"", ""ko""))"),"홈 데코레이터 컬렉션 Ashburn 60인치 W x 21.75인치 D 화장대 캐비닛")</f>
        <v>홈 데코레이터 컬렉션 Ashburn 60인치 W x 21.75인치 D 화장대 캐비닛</v>
      </c>
      <c r="F740" s="1" t="str">
        <f>IFERROR(__xludf.DUMMYFUNCTION("CONCATENATE(GOOGLETRANSLATE(C740, ""en"", ""ja""))"),"ホームデコレーターズコレクション Ashburn 幅 60 インチ x 奥行き 21.75 インチ 化粧台キャビネット")</f>
        <v>ホームデコレーターズコレクション Ashburn 幅 60 インチ x 奥行き 21.75 インチ 化粧台キャビネット</v>
      </c>
    </row>
    <row r="741" ht="15.75" customHeight="1">
      <c r="A741" s="1">
        <v>6666.0</v>
      </c>
      <c r="B741" s="1" t="s">
        <v>6</v>
      </c>
      <c r="C741" s="1" t="s">
        <v>709</v>
      </c>
      <c r="D741" s="1" t="str">
        <f>IFERROR(__xludf.DUMMYFUNCTION("CONCATENATE(GOOGLETRANSLATE(C741, ""en"", ""zh-cn""))
"),"Homfa 2件套浴室柜")</f>
        <v>Homfa 2件套浴室柜</v>
      </c>
      <c r="E741" s="1" t="str">
        <f>IFERROR(__xludf.DUMMYFUNCTION("CONCATENATE(GOOGLETRANSLATE(C741, ""en"", ""ko""))"),"Homfa 2pcs 욕실 캐비닛")</f>
        <v>Homfa 2pcs 욕실 캐비닛</v>
      </c>
      <c r="F741" s="1" t="str">
        <f>IFERROR(__xludf.DUMMYFUNCTION("CONCATENATE(GOOGLETRANSLATE(C741, ""en"", ""ja""))"),"Homfa 2 個のバスルームキャビネット")</f>
        <v>Homfa 2 個のバスルームキャビネット</v>
      </c>
    </row>
    <row r="742" ht="15.75" customHeight="1">
      <c r="A742" s="1">
        <v>6711.0</v>
      </c>
      <c r="B742" s="1" t="s">
        <v>6</v>
      </c>
      <c r="C742" s="1" t="s">
        <v>710</v>
      </c>
      <c r="D742" s="1" t="str">
        <f>IFERROR(__xludf.DUMMYFUNCTION("CONCATENATE(GOOGLETRANSLATE(C742, ""en"", ""zh-cn""))
"),"36 英寸浴室柜，不带水槽 Takason 基色：白色")</f>
        <v>36 英寸浴室柜，不带水槽 Takason 基色：白色</v>
      </c>
      <c r="E742" s="1" t="str">
        <f>IFERROR(__xludf.DUMMYFUNCTION("CONCATENATE(GOOGLETRANSLATE(C742, ""en"", ""ko""))"),"세면대 없는 36인치 욕실 세면대 Takason 기본 색상: 흰색")</f>
        <v>세면대 없는 36인치 욕실 세면대 Takason 기본 색상: 흰색</v>
      </c>
      <c r="F742" s="1" t="str">
        <f>IFERROR(__xludf.DUMMYFUNCTION("CONCATENATE(GOOGLETRANSLATE(C742, ""en"", ""ja""))"),"36 インチ 洗面化粧台 シンクなし タカソン ベースカラー: ホワイト")</f>
        <v>36 インチ 洗面化粧台 シンクなし タカソン ベースカラー: ホワイト</v>
      </c>
    </row>
    <row r="743" ht="15.75" customHeight="1">
      <c r="A743" s="1">
        <v>6720.0</v>
      </c>
      <c r="B743" s="1" t="s">
        <v>6</v>
      </c>
      <c r="C743" s="1" t="s">
        <v>711</v>
      </c>
      <c r="D743" s="1" t="str">
        <f>IFERROR(__xludf.DUMMYFUNCTION("CONCATENATE(GOOGLETRANSLATE(C743, ""en"", ""zh-cn""))
"),"Fluidmaster 完整马桶水箱维修套件 400AKRP10")</f>
        <v>Fluidmaster 完整马桶水箱维修套件 400AKRP10</v>
      </c>
      <c r="E743" s="1" t="str">
        <f>IFERROR(__xludf.DUMMYFUNCTION("CONCATENATE(GOOGLETRANSLATE(C743, ""en"", ""ko""))"),"Fluidmaster 전체 변기 탱크 수리 키트 400AKRP10")</f>
        <v>Fluidmaster 전체 변기 탱크 수리 키트 400AKRP10</v>
      </c>
      <c r="F743" s="1" t="str">
        <f>IFERROR(__xludf.DUMMYFUNCTION("CONCATENATE(GOOGLETRANSLATE(C743, ""en"", ""ja""))"),"Fluidmaster トイレタンク修理キット一式 400AKRP10")</f>
        <v>Fluidmaster トイレタンク修理キット一式 400AKRP10</v>
      </c>
    </row>
    <row r="744" ht="15.75" customHeight="1">
      <c r="A744" s="1">
        <v>6744.0</v>
      </c>
      <c r="B744" s="1" t="s">
        <v>6</v>
      </c>
      <c r="C744" s="1" t="s">
        <v>712</v>
      </c>
      <c r="D744" s="1" t="str">
        <f>IFERROR(__xludf.DUMMYFUNCTION("CONCATENATE(GOOGLETRANSLATE(C744, ""en"", ""zh-cn""))
"),"Fluidmaster PerforMAX 2"" 橡胶通用节水马桶挡板")</f>
        <v>Fluidmaster PerforMAX 2" 橡胶通用节水马桶挡板</v>
      </c>
      <c r="E744" s="1" t="str">
        <f>IFERROR(__xludf.DUMMYFUNCTION("CONCATENATE(GOOGLETRANSLATE(C744, ""en"", ""ko""))"),"Fluidmaster PerforMAX 2"" 고무 범용 절수 변기 플래퍼")</f>
        <v>Fluidmaster PerforMAX 2" 고무 범용 절수 변기 플래퍼</v>
      </c>
      <c r="F744" s="1" t="str">
        <f>IFERROR(__xludf.DUMMYFUNCTION("CONCATENATE(GOOGLETRANSLATE(C744, ""en"", ""ja""))"),"Fluidmaster PerforMAX 2 インチ ゴム製ユニバーサル節水トイレフラッパー")</f>
        <v>Fluidmaster PerforMAX 2 インチ ゴム製ユニバーサル節水トイレフラッパー</v>
      </c>
    </row>
    <row r="745" ht="15.75" customHeight="1">
      <c r="A745" s="1">
        <v>6745.0</v>
      </c>
      <c r="B745" s="1" t="s">
        <v>6</v>
      </c>
      <c r="C745" s="1" t="s">
        <v>713</v>
      </c>
      <c r="D745" s="1" t="str">
        <f>IFERROR(__xludf.DUMMYFUNCTION("CONCATENATE(GOOGLETRANSLATE(C745, ""en"", ""zh-cn""))
"),"Fluidmaster PerforMAX 马桶进水阀")</f>
        <v>Fluidmaster PerforMAX 马桶进水阀</v>
      </c>
      <c r="E745" s="1" t="str">
        <f>IFERROR(__xludf.DUMMYFUNCTION("CONCATENATE(GOOGLETRANSLATE(C745, ""en"", ""ko""))"),"Fluidmaster PerforMAX 변기 채우기 밸브")</f>
        <v>Fluidmaster PerforMAX 변기 채우기 밸브</v>
      </c>
      <c r="F745" s="1" t="str">
        <f>IFERROR(__xludf.DUMMYFUNCTION("CONCATENATE(GOOGLETRANSLATE(C745, ""en"", ""ja""))"),"Fluidmaster PerforMAX トイレ充填バルブ")</f>
        <v>Fluidmaster PerforMAX トイレ充填バルブ</v>
      </c>
    </row>
    <row r="746" ht="15.75" customHeight="1">
      <c r="A746" s="1">
        <v>6772.0</v>
      </c>
      <c r="B746" s="1" t="s">
        <v>6</v>
      </c>
      <c r="C746" s="1" t="s">
        <v>714</v>
      </c>
      <c r="D746" s="1" t="str">
        <f>IFERROR(__xludf.DUMMYFUNCTION("CONCATENATE(GOOGLETRANSLATE(C746, ""en"", ""zh-cn""))
"),"Brita Total 360 2 级饮用水过滤系统")</f>
        <v>Brita Total 360 2 级饮用水过滤系统</v>
      </c>
      <c r="E746" s="1" t="str">
        <f>IFERROR(__xludf.DUMMYFUNCTION("CONCATENATE(GOOGLETRANSLATE(C746, ""en"", ""ko""))"),"브리타 토탈 360 2단 식수 정수 시스템")</f>
        <v>브리타 토탈 360 2단 식수 정수 시스템</v>
      </c>
      <c r="F746" s="1" t="str">
        <f>IFERROR(__xludf.DUMMYFUNCTION("CONCATENATE(GOOGLETRANSLATE(C746, ""en"", ""ja""))"),"Brita Total 360 2 段階飲料水ろ過システム")</f>
        <v>Brita Total 360 2 段階飲料水ろ過システム</v>
      </c>
    </row>
    <row r="747" ht="15.75" customHeight="1">
      <c r="A747" s="1">
        <v>6774.0</v>
      </c>
      <c r="B747" s="1" t="s">
        <v>6</v>
      </c>
      <c r="C747" s="1" t="s">
        <v>715</v>
      </c>
      <c r="D747" s="1" t="str">
        <f>IFERROR(__xludf.DUMMYFUNCTION("CONCATENATE(GOOGLETRANSLATE(C747, ""en"", ""zh-cn""))
"),"Brita 大号 Tahoe 滤水罐 50686")</f>
        <v>Brita 大号 Tahoe 滤水罐 50686</v>
      </c>
      <c r="E747" s="1" t="str">
        <f>IFERROR(__xludf.DUMMYFUNCTION("CONCATENATE(GOOGLETRANSLATE(C747, ""en"", ""ko""))"),"브리타 대형 타호 정수 필터 투수 50686")</f>
        <v>브리타 대형 타호 정수 필터 투수 50686</v>
      </c>
      <c r="F747" s="1" t="str">
        <f>IFERROR(__xludf.DUMMYFUNCTION("CONCATENATE(GOOGLETRANSLATE(C747, ""en"", ""ja""))"),"ブリタ ラージ タホ 浄水器 ピッチャー 50686")</f>
        <v>ブリタ ラージ タホ 浄水器 ピッチャー 50686</v>
      </c>
    </row>
    <row r="748" ht="15.75" customHeight="1">
      <c r="A748" s="1">
        <v>6777.0</v>
      </c>
      <c r="B748" s="1" t="s">
        <v>6</v>
      </c>
      <c r="C748" s="1" t="s">
        <v>716</v>
      </c>
      <c r="D748" s="1" t="str">
        <f>IFERROR(__xludf.DUMMYFUNCTION("CONCATENATE(GOOGLETRANSLATE(C748, ""en"", ""zh-cn""))
"),"Brita 超薄 5 杯水罐，带 1 个高级过滤器")</f>
        <v>Brita 超薄 5 杯水罐，带 1 个高级过滤器</v>
      </c>
      <c r="E748" s="1" t="str">
        <f>IFERROR(__xludf.DUMMYFUNCTION("CONCATENATE(GOOGLETRANSLATE(C748, ""en"", ""ko""))"),"브리타 슬림 5컵 물 주전자(고급 필터 1개 포함)")</f>
        <v>브리타 슬림 5컵 물 주전자(고급 필터 1개 포함)</v>
      </c>
      <c r="F748" s="1" t="str">
        <f>IFERROR(__xludf.DUMMYFUNCTION("CONCATENATE(GOOGLETRANSLATE(C748, ""en"", ""ja""))"),"Brita スリム 5 カップ ウォーター ピッチャー 1 つの高度なフィルター付き")</f>
        <v>Brita スリム 5 カップ ウォーター ピッチャー 1 つの高度なフィルター付き</v>
      </c>
    </row>
    <row r="749" ht="15.75" customHeight="1">
      <c r="A749" s="1">
        <v>6779.0</v>
      </c>
      <c r="B749" s="1" t="s">
        <v>6</v>
      </c>
      <c r="C749" s="1" t="s">
        <v>717</v>
      </c>
      <c r="D749" s="1" t="str">
        <f>IFERROR(__xludf.DUMMYFUNCTION("CONCATENATE(GOOGLETRANSLATE(C749, ""en"", ""zh-cn""))
"),"Brita Tahoe 大号滤水器水罐")</f>
        <v>Brita Tahoe 大号滤水器水罐</v>
      </c>
      <c r="E749" s="1" t="str">
        <f>IFERROR(__xludf.DUMMYFUNCTION("CONCATENATE(GOOGLETRANSLATE(C749, ""en"", ""ko""))"),"브리타 타호 대형 정수 필터 물 투수")</f>
        <v>브리타 타호 대형 정수 필터 물 투수</v>
      </c>
      <c r="F749" s="1" t="str">
        <f>IFERROR(__xludf.DUMMYFUNCTION("CONCATENATE(GOOGLETRANSLATE(C749, ""en"", ""ja""))"),"ブリタ タホ 大型浄水フィルター ウォーターピッチャー")</f>
        <v>ブリタ タホ 大型浄水フィルター ウォーターピッチャー</v>
      </c>
    </row>
    <row r="750" ht="15.75" customHeight="1">
      <c r="A750" s="1">
        <v>6822.0</v>
      </c>
      <c r="B750" s="1" t="s">
        <v>6</v>
      </c>
      <c r="C750" s="1" t="s">
        <v>718</v>
      </c>
      <c r="D750" s="1" t="str">
        <f>IFERROR(__xludf.DUMMYFUNCTION("CONCATENATE(GOOGLETRANSLATE(C750, ""en"", ""zh-cn""))
"),"PUR 水龙头安装替换水过滤器基本 2 件装")</f>
        <v>PUR 水龙头安装替换水过滤器基本 2 件装</v>
      </c>
      <c r="E750" s="1" t="str">
        <f>IFERROR(__xludf.DUMMYFUNCTION("CONCATENATE(GOOGLETRANSLATE(C750, ""en"", ""ko""))"),"PUR 수전 장착형 교체용 정수 필터 기본 2팩")</f>
        <v>PUR 수전 장착형 교체용 정수 필터 기본 2팩</v>
      </c>
      <c r="F750" s="1" t="str">
        <f>IFERROR(__xludf.DUMMYFUNCTION("CONCATENATE(GOOGLETRANSLATE(C750, ""en"", ""ja""))"),"PUR 蛇口マウント交換用浄水フィルターベーシック 2 個パック")</f>
        <v>PUR 蛇口マウント交換用浄水フィルターベーシック 2 個パック</v>
      </c>
    </row>
    <row r="751" ht="15.75" customHeight="1">
      <c r="A751" s="1">
        <v>6838.0</v>
      </c>
      <c r="B751" s="1" t="s">
        <v>6</v>
      </c>
      <c r="C751" s="1" t="s">
        <v>719</v>
      </c>
      <c r="D751" s="1" t="str">
        <f>IFERROR(__xludf.DUMMYFUNCTION("CONCATENATE(GOOGLETRANSLATE(C751, ""en"", ""zh-cn""))
"),"Equate 男士头发再生治疗 3 个月供应美国，（3 瓶")</f>
        <v>Equate 男士头发再生治疗 3 个月供应美国，（3 瓶</v>
      </c>
      <c r="E751" s="1" t="str">
        <f>IFERROR(__xludf.DUMMYFUNCTION("CONCATENATE(GOOGLETRANSLATE(C751, ""en"", ""ko""))"),"Eequate 남성용 모발 재성장 치료 3개월분 미국, (3병)")</f>
        <v>Eequate 남성용 모발 재성장 치료 3개월분 미국, (3병)</v>
      </c>
      <c r="F751" s="1" t="str">
        <f>IFERROR(__xludf.DUMMYFUNCTION("CONCATENATE(GOOGLETRANSLATE(C751, ""en"", ""ja""))"),"イクエイト 育毛トリートメント 男性用 3ヶ月分 アメリカ (3ボトル)")</f>
        <v>イクエイト 育毛トリートメント 男性用 3ヶ月分 アメリカ (3ボトル)</v>
      </c>
    </row>
    <row r="752" ht="15.75" customHeight="1">
      <c r="A752" s="1">
        <v>6840.0</v>
      </c>
      <c r="B752" s="1" t="s">
        <v>6</v>
      </c>
      <c r="C752" s="1" t="s">
        <v>720</v>
      </c>
      <c r="D752" s="1" t="str">
        <f>IFERROR(__xludf.DUMMYFUNCTION("CONCATENATE(GOOGLETRANSLATE(C752, ""en"", ""zh-cn""))
"),"Equate 脚气抗真菌霜")</f>
        <v>Equate 脚气抗真菌霜</v>
      </c>
      <c r="E752" s="1" t="str">
        <f>IFERROR(__xludf.DUMMYFUNCTION("CONCATENATE(GOOGLETRANSLATE(C752, ""en"", ""ko""))"),"Equate 무좀 항진균 크림")</f>
        <v>Equate 무좀 항진균 크림</v>
      </c>
      <c r="F752" s="1" t="str">
        <f>IFERROR(__xludf.DUMMYFUNCTION("CONCATENATE(GOOGLETRANSLATE(C752, ""en"", ""ja""))"),"エクアテ水虫抗真菌クリーム")</f>
        <v>エクアテ水虫抗真菌クリーム</v>
      </c>
    </row>
    <row r="753" ht="15.75" customHeight="1">
      <c r="A753" s="1">
        <v>6885.0</v>
      </c>
      <c r="B753" s="1" t="s">
        <v>6</v>
      </c>
      <c r="C753" s="1" t="s">
        <v>721</v>
      </c>
      <c r="D753" s="1" t="str">
        <f>IFERROR(__xludf.DUMMYFUNCTION("CONCATENATE(GOOGLETRANSLATE(C753, ""en"", ""zh-cn""))
"),"Hi Pro Pac 强效蛋白质护理，角蛋白防止毛躁头发，1.75 液量盎司（52 毫升）_140211")</f>
        <v>Hi Pro Pac 强效蛋白质护理，角蛋白防止毛躁头发，1.75 液量盎司（52 毫升）_140211</v>
      </c>
      <c r="E753" s="1" t="str">
        <f>IFERROR(__xludf.DUMMYFUNCTION("CONCATENATE(GOOGLETRANSLATE(C753, ""en"", ""ko""))"),"Hi Pro Pac 인텐스 프로틴 트리트먼트, 케라틴 단백질 곱슬거림 없는 모발, 1.75fl oz(52ml)_140211")</f>
        <v>Hi Pro Pac 인텐스 프로틴 트리트먼트, 케라틴 단백질 곱슬거림 없는 모발, 1.75fl oz(52ml)_140211</v>
      </c>
      <c r="F753" s="1" t="str">
        <f>IFERROR(__xludf.DUMMYFUNCTION("CONCATENATE(GOOGLETRANSLATE(C753, ""en"", ""ja""))"),"Hi Pro Pac インテンス プロテイン トリートメント、ケラチン プロテイン ノー縮毛ヘア、1.75 fl oz (52 ml)_140211")</f>
        <v>Hi Pro Pac インテンス プロテイン トリートメント、ケラチン プロテイン ノー縮毛ヘア、1.75 fl oz (52 ml)_140211</v>
      </c>
    </row>
    <row r="754" ht="15.75" customHeight="1">
      <c r="A754" s="1">
        <v>6900.0</v>
      </c>
      <c r="B754" s="1" t="s">
        <v>6</v>
      </c>
      <c r="C754" s="1" t="s">
        <v>722</v>
      </c>
      <c r="D754" s="1" t="str">
        <f>IFERROR(__xludf.DUMMYFUNCTION("CONCATENATE(GOOGLETRANSLATE(C754, ""en"", ""zh-cn""))
"),"Hi Pro Pac 澳洲坚果油滋养护理")</f>
        <v>Hi Pro Pac 澳洲坚果油滋养护理</v>
      </c>
      <c r="E754" s="1" t="str">
        <f>IFERROR(__xludf.DUMMYFUNCTION("CONCATENATE(GOOGLETRANSLATE(C754, ""en"", ""ko""))"),"하이프로팩 ​​마카다미아 넛 오일 너리싱 트리트먼트")</f>
        <v>하이프로팩 ​​마카다미아 넛 오일 너리싱 트리트먼트</v>
      </c>
      <c r="F754" s="1" t="str">
        <f>IFERROR(__xludf.DUMMYFUNCTION("CONCATENATE(GOOGLETRANSLATE(C754, ""en"", ""ja""))"),"ハイ プロ パック マカダミア ナッツ オイル ナリッシング トリートメント")</f>
        <v>ハイ プロ パック マカダミア ナッツ オイル ナリッシング トリートメント</v>
      </c>
    </row>
    <row r="755" ht="15.75" customHeight="1">
      <c r="A755" s="1">
        <v>6903.0</v>
      </c>
      <c r="B755" s="1" t="s">
        <v>6</v>
      </c>
      <c r="C755" s="1" t="s">
        <v>723</v>
      </c>
      <c r="D755" s="1" t="str">
        <f>IFERROR(__xludf.DUMMYFUNCTION("CONCATENATE(GOOGLETRANSLATE(C755, ""en"", ""zh-cn""))
"),"Hi Pro Pac 澳洲坚果油滋养面膜")</f>
        <v>Hi Pro Pac 澳洲坚果油滋养面膜</v>
      </c>
      <c r="E755" s="1" t="str">
        <f>IFERROR(__xludf.DUMMYFUNCTION("CONCATENATE(GOOGLETRANSLATE(C755, ""en"", ""ko""))"),"하이프로팩 ​​마카다미아 넛 오일 너리싱 마스크")</f>
        <v>하이프로팩 ​​마카다미아 넛 오일 너리싱 마스크</v>
      </c>
      <c r="F755" s="1" t="str">
        <f>IFERROR(__xludf.DUMMYFUNCTION("CONCATENATE(GOOGLETRANSLATE(C755, ""en"", ""ja""))"),"ハイプロパック マカダミアナッツオイルナリッシングマスク")</f>
        <v>ハイプロパック マカダミアナッツオイルナリッシングマスク</v>
      </c>
    </row>
    <row r="756" ht="15.75" customHeight="1">
      <c r="A756" s="1">
        <v>6906.0</v>
      </c>
      <c r="B756" s="1" t="s">
        <v>6</v>
      </c>
      <c r="C756" s="1" t="s">
        <v>724</v>
      </c>
      <c r="D756" s="1" t="str">
        <f>IFERROR(__xludf.DUMMYFUNCTION("CONCATENATE(GOOGLETRANSLATE(C756, ""en"", ""zh-cn""))
"),"Hi-pro-pac 角蛋白强效蛋白护理剂 8 盎司 235 毫升（3 包）")</f>
        <v>Hi-pro-pac 角蛋白强效蛋白护理剂 8 盎司 235 毫升（3 包）</v>
      </c>
      <c r="E756" s="1" t="str">
        <f>IFERROR(__xludf.DUMMYFUNCTION("CONCATENATE(GOOGLETRANSLATE(C756, ""en"", ""ko""))"),"하이프로팩 ​​케라틴 인텐스 프로틴 트리트먼트 8온스 235ml(3팩)")</f>
        <v>하이프로팩 ​​케라틴 인텐스 프로틴 트리트먼트 8온스 235ml(3팩)</v>
      </c>
      <c r="F756" s="1" t="str">
        <f>IFERROR(__xludf.DUMMYFUNCTION("CONCATENATE(GOOGLETRANSLATE(C756, ""en"", ""ja""))"),"Hi-pro-pac ケラチン インテンス プロテイン トリートメント 8 オンス 235ml (3 パック)")</f>
        <v>Hi-pro-pac ケラチン インテンス プロテイン トリートメント 8 オンス 235ml (3 パック)</v>
      </c>
    </row>
    <row r="757" ht="15.75" customHeight="1">
      <c r="A757" s="1">
        <v>6908.0</v>
      </c>
      <c r="B757" s="1" t="s">
        <v>6</v>
      </c>
      <c r="C757" s="1" t="s">
        <v>725</v>
      </c>
      <c r="D757" s="1" t="str">
        <f>IFERROR(__xludf.DUMMYFUNCTION("CONCATENATE(GOOGLETRANSLATE(C757, ""en"", ""zh-cn""))
"),"Joico K-Pak 深层穿透重建器")</f>
        <v>Joico K-Pak 深层穿透重建器</v>
      </c>
      <c r="E757" s="1" t="str">
        <f>IFERROR(__xludf.DUMMYFUNCTION("CONCATENATE(GOOGLETRANSLATE(C757, ""en"", ""ko""))"),"Joico K-Pak 심층 관통 재구성기")</f>
        <v>Joico K-Pak 심층 관통 재구성기</v>
      </c>
      <c r="F757" s="1" t="str">
        <f>IFERROR(__xludf.DUMMYFUNCTION("CONCATENATE(GOOGLETRANSLATE(C757, ""en"", ""ja""))"),"ジョイコ K-Pak 深部貫通リコンストラクター")</f>
        <v>ジョイコ K-Pak 深部貫通リコンストラクター</v>
      </c>
    </row>
    <row r="758" ht="15.75" customHeight="1">
      <c r="A758" s="1">
        <v>6910.0</v>
      </c>
      <c r="B758" s="1" t="s">
        <v>6</v>
      </c>
      <c r="C758" s="1" t="s">
        <v>726</v>
      </c>
      <c r="D758" s="1" t="str">
        <f>IFERROR(__xludf.DUMMYFUNCTION("CONCATENATE(GOOGLETRANSLATE(C758, ""en"", ""zh-cn""))
"),"X2 Hi Pro Pac 极度受损头发修复强效蛋白质护理")</f>
        <v>X2 Hi Pro Pac 极度受损头发修复强效蛋白质护理</v>
      </c>
      <c r="E758" s="1" t="str">
        <f>IFERROR(__xludf.DUMMYFUNCTION("CONCATENATE(GOOGLETRANSLATE(C758, ""en"", ""ko""))"),"X2 하이 프로 팩 극도로 손상된 헤어 리페어 인텐스 프로틴 트리트먼트")</f>
        <v>X2 하이 프로 팩 극도로 손상된 헤어 리페어 인텐스 프로틴 트리트먼트</v>
      </c>
      <c r="F758" s="1" t="str">
        <f>IFERROR(__xludf.DUMMYFUNCTION("CONCATENATE(GOOGLETRANSLATE(C758, ""en"", ""ja""))"),"X2 Hi Pro Pac 極度にダメージを受けた髪の修復インテンス プロテイン トリートメント")</f>
        <v>X2 Hi Pro Pac 極度にダメージを受けた髪の修復インテンス プロテイン トリートメント</v>
      </c>
    </row>
    <row r="759" ht="15.75" customHeight="1">
      <c r="A759" s="1">
        <v>6933.0</v>
      </c>
      <c r="B759" s="1" t="s">
        <v>6</v>
      </c>
      <c r="C759" s="1" t="s">
        <v>727</v>
      </c>
      <c r="D759" s="1" t="str">
        <f>IFERROR(__xludf.DUMMYFUNCTION("CONCATENATE(GOOGLETRANSLATE(C759, ""en"", ""zh-cn""))
"),"露得清 (Neutrogena) 可见修复再生霜，含视黄醇 + 肽，用于抗衰老、皱纹和细纹 - 50 克")</f>
        <v>露得清 (Neutrogena) 可见修复再生霜，含视黄醇 + 肽，用于抗衰老、皱纹和细纹 - 50 克</v>
      </c>
      <c r="E759" s="1" t="str">
        <f>IFERROR(__xludf.DUMMYFUNCTION("CONCATENATE(GOOGLETRANSLATE(C759, ""en"", ""ko""))"),"뉴트로지나 비저블 리페어 재생 크림(레티놀 + 펩타이드 포함) 노화 방지, 주름 및 잔주름 개선 - 50 gm")</f>
        <v>뉴트로지나 비저블 리페어 재생 크림(레티놀 + 펩타이드 포함) 노화 방지, 주름 및 잔주름 개선 - 50 gm</v>
      </c>
      <c r="F759" s="1" t="str">
        <f>IFERROR(__xludf.DUMMYFUNCTION("CONCATENATE(GOOGLETRANSLATE(C759, ""en"", ""ja""))"),"ニュートロジーナ アンチエイジング、シワ、小じわのためのレチノール + ペプチド配合のビジブルリペア再生クリーム - 50 gm")</f>
        <v>ニュートロジーナ アンチエイジング、シワ、小じわのためのレチノール + ペプチド配合のビジブルリペア再生クリーム - 50 gm</v>
      </c>
    </row>
    <row r="760" ht="15.75" customHeight="1">
      <c r="A760" s="1">
        <v>6954.0</v>
      </c>
      <c r="B760" s="1" t="s">
        <v>6</v>
      </c>
      <c r="C760" s="1" t="s">
        <v>728</v>
      </c>
      <c r="D760" s="1" t="str">
        <f>IFERROR(__xludf.DUMMYFUNCTION("CONCATENATE(GOOGLETRANSLATE(C760, ""en"", ""zh-cn""))
"),"Neutrogena Hydro Boost 保湿水凝胶面膜")</f>
        <v>Neutrogena Hydro Boost 保湿水凝胶面膜</v>
      </c>
      <c r="E760" s="1" t="str">
        <f>IFERROR(__xludf.DUMMYFUNCTION("CONCATENATE(GOOGLETRANSLATE(C760, ""en"", ""ko""))"),"뉴트로지나 하이드로 부스트 하이드레이팅 하이드로겔 마스크")</f>
        <v>뉴트로지나 하이드로 부스트 하이드레이팅 하이드로겔 마스크</v>
      </c>
      <c r="F760" s="1" t="str">
        <f>IFERROR(__xludf.DUMMYFUNCTION("CONCATENATE(GOOGLETRANSLATE(C760, ""en"", ""ja""))"),"ニュートロジーナ ハイドロ ブースト ハイドレーティング ハイドロゲル マスク")</f>
        <v>ニュートロジーナ ハイドロ ブースト ハイドレーティング ハイドロゲル マスク</v>
      </c>
    </row>
    <row r="761" ht="15.75" customHeight="1">
      <c r="A761" s="1">
        <v>6964.0</v>
      </c>
      <c r="B761" s="1" t="s">
        <v>6</v>
      </c>
      <c r="C761" s="1" t="s">
        <v>729</v>
      </c>
      <c r="D761" s="1" t="str">
        <f>IFERROR(__xludf.DUMMYFUNCTION("CONCATENATE(GOOGLETRANSLATE(C761, ""en"", ""zh-cn""))
"),"Neutrogena 强效修护身体乳 400 毫升")</f>
        <v>Neutrogena 强效修护身体乳 400 毫升</v>
      </c>
      <c r="E761" s="1" t="str">
        <f>IFERROR(__xludf.DUMMYFUNCTION("CONCATENATE(GOOGLETRANSLATE(C761, ""en"", ""ko""))"),"뉴트로지나 인텐스 리페어 바디 밀크 400 ml")</f>
        <v>뉴트로지나 인텐스 리페어 바디 밀크 400 ml</v>
      </c>
      <c r="F761" s="1" t="str">
        <f>IFERROR(__xludf.DUMMYFUNCTION("CONCATENATE(GOOGLETRANSLATE(C761, ""en"", ""ja""))"),"ニュートロジーナ インテンス リペア ボディミルク 400ml")</f>
        <v>ニュートロジーナ インテンス リペア ボディミルク 400ml</v>
      </c>
    </row>
    <row r="762" ht="15.75" customHeight="1">
      <c r="A762" s="1">
        <v>3159.0</v>
      </c>
      <c r="B762" s="1" t="s">
        <v>51</v>
      </c>
      <c r="C762" s="1" t="s">
        <v>730</v>
      </c>
      <c r="D762" s="1" t="str">
        <f>IFERROR(__xludf.DUMMYFUNCTION("CONCATENATE(GOOGLETRANSLATE(C762, ""en"", ""zh-cn""))
"),"DIY物理实验科技套件马格德堡半球大气压演示测试学生学习玩具")</f>
        <v>DIY物理实验科技套件马格德堡半球大气压演示测试学生学习玩具</v>
      </c>
      <c r="E762" s="1" t="str">
        <f>IFERROR(__xludf.DUMMYFUNCTION("CONCATENATE(GOOGLETRANSLATE(C762, ""en"", ""ko""))"),"DIY 물리적 실험 기술 키트 Magdeburg 반구 대기압 데모 테스트 학생 학습 장난감")</f>
        <v>DIY 물리적 실험 기술 키트 Magdeburg 반구 대기압 데모 테스트 학생 학습 장난감</v>
      </c>
      <c r="F762" s="1" t="str">
        <f>IFERROR(__xludf.DUMMYFUNCTION("CONCATENATE(GOOGLETRANSLATE(C762, ""en"", ""ja""))"),"DIY 物理実験技術キットマクデブルク半球大気圧デモンストレーションテスト学生学習おもちゃ")</f>
        <v>DIY 物理実験技術キットマクデブルク半球大気圧デモンストレーションテスト学生学習おもちゃ</v>
      </c>
    </row>
    <row r="763" ht="15.75" customHeight="1">
      <c r="A763" s="1">
        <v>3195.0</v>
      </c>
      <c r="B763" s="1" t="s">
        <v>6</v>
      </c>
      <c r="C763" s="1" t="s">
        <v>731</v>
      </c>
      <c r="D763" s="1" t="str">
        <f>IFERROR(__xludf.DUMMYFUNCTION("CONCATENATE(GOOGLETRANSLATE(C763, ""en"", ""zh-cn""))
"),"JURA GIGA 6 自动咖啡机，银色和玻璃牛奶容器套装（2 件）")</f>
        <v>JURA GIGA 6 自动咖啡机，银色和玻璃牛奶容器套装（2 件）</v>
      </c>
      <c r="E763" s="1" t="str">
        <f>IFERROR(__xludf.DUMMYFUNCTION("CONCATENATE(GOOGLETRANSLATE(C763, ""en"", ""ko""))"),"JURA GIGA 6 자동 커피 머신, 은색 및 유리 우유 용기 번들(2개 품목)")</f>
        <v>JURA GIGA 6 자동 커피 머신, 은색 및 유리 우유 용기 번들(2개 품목)</v>
      </c>
      <c r="F763" s="1" t="str">
        <f>IFERROR(__xludf.DUMMYFUNCTION("CONCATENATE(GOOGLETRANSLATE(C763, ""en"", ""ja""))"),"JURA GIGA 6 自動コーヒーマシン、シルバーとガラスのミルクコンテナバンドル (2 アイテム)")</f>
        <v>JURA GIGA 6 自動コーヒーマシン、シルバーとガラスのミルクコンテナバンドル (2 アイテム)</v>
      </c>
    </row>
    <row r="764" ht="15.75" customHeight="1">
      <c r="A764" s="1">
        <v>3248.0</v>
      </c>
      <c r="B764" s="1" t="s">
        <v>6</v>
      </c>
      <c r="C764" s="1" t="s">
        <v>732</v>
      </c>
      <c r="D764" s="1" t="str">
        <f>IFERROR(__xludf.DUMMYFUNCTION("CONCATENATE(GOOGLETRANSLATE(C764, ""en"", ""zh-cn""))
"),"Jura WE6 专业浓缩咖啡和咖啡中心")</f>
        <v>Jura WE6 专业浓缩咖啡和咖啡中心</v>
      </c>
      <c r="E764" s="1" t="str">
        <f>IFERROR(__xludf.DUMMYFUNCTION("CONCATENATE(GOOGLETRANSLATE(C764, ""en"", ""ko""))"),"Jura WE6 프로페셔널 에스프레소 및 커피 센터")</f>
        <v>Jura WE6 프로페셔널 에스프레소 및 커피 센터</v>
      </c>
      <c r="F764" s="1" t="str">
        <f>IFERROR(__xludf.DUMMYFUNCTION("CONCATENATE(GOOGLETRANSLATE(C764, ""en"", ""ja""))"),"Jura WE6 プロフェッショナル エスプレッソ アンド コーヒー センター")</f>
        <v>Jura WE6 プロフェッショナル エスプレッソ アンド コーヒー センター</v>
      </c>
    </row>
    <row r="765" ht="15.75" customHeight="1">
      <c r="A765" s="1">
        <v>3340.0</v>
      </c>
      <c r="B765" s="1" t="s">
        <v>6</v>
      </c>
      <c r="C765" s="1" t="s">
        <v>733</v>
      </c>
      <c r="D765" s="1" t="str">
        <f>IFERROR(__xludf.DUMMYFUNCTION("CONCATENATE(GOOGLETRANSLATE(C765, ""en"", ""zh-cn""))
"),"SIENWIEY 组合沙发套装，L 形仿皮沙发客厅沙发套装带贵妃椅，客厅家具用储物脚凳（左贵妃椅，姜黄色）")</f>
        <v>SIENWIEY 组合沙发套装，L 形仿皮沙发客厅沙发套装带贵妃椅，客厅家具用储物脚凳（左贵妃椅，姜黄色）</v>
      </c>
      <c r="E765" s="1" t="str">
        <f>IFERROR(__xludf.DUMMYFUNCTION("CONCATENATE(GOOGLETRANSLATE(C765, ""en"", ""ko""))"),"SIENWIEY 단면 소파 세트, 긴 의자가 포함된 L자형 인조 가죽 소파 거실 소파 세트, 거실 가구에 사용하는 수납 오토만(왼쪽 긴 의자, 생강)")</f>
        <v>SIENWIEY 단면 소파 세트, 긴 의자가 포함된 L자형 인조 가죽 소파 거실 소파 세트, 거실 가구에 사용하는 수납 오토만(왼쪽 긴 의자, 생강)</v>
      </c>
      <c r="F765" s="1" t="str">
        <f>IFERROR(__xludf.DUMMYFUNCTION("CONCATENATE(GOOGLETRANSLATE(C765, ""en"", ""ja""))"),"SIENWIEY セクショナルソファセット、L字型フェイクレザーソファリビングルームソファセット、寝椅子付き、収納オットマン、リビングルームの家具に使用(左寝椅子、ジンジャー)")</f>
        <v>SIENWIEY セクショナルソファセット、L字型フェイクレザーソファリビングルームソファセット、寝椅子付き、収納オットマン、リビングルームの家具に使用(左寝椅子、ジンジャー)</v>
      </c>
    </row>
    <row r="766" ht="15.75" customHeight="1">
      <c r="A766" s="1">
        <v>3344.0</v>
      </c>
      <c r="B766" s="1" t="s">
        <v>6</v>
      </c>
      <c r="C766" s="1" t="s">
        <v>734</v>
      </c>
      <c r="D766" s="1" t="str">
        <f>IFERROR(__xludf.DUMMYFUNCTION("CONCATENATE(GOOGLETRANSLATE(C766, ""en"", ""zh-cn""))
"),"Zulay Magia 超级自动咖啡浓缩咖啡机 - 带研磨机的耐用自动浓缩咖啡机 - 浓缩咖啡机，配有易于使用的 7 英寸触摸屏，20 种咖啡配方，10 个用户配置文件")</f>
        <v>Zulay Magia 超级自动咖啡浓缩咖啡机 - 带研磨机的耐用自动浓缩咖啡机 - 浓缩咖啡机，配有易于使用的 7 英寸触摸屏，20 种咖啡配方，10 个用户配置文件</v>
      </c>
      <c r="E766" s="1" t="str">
        <f>IFERROR(__xludf.DUMMYFUNCTION("CONCATENATE(GOOGLETRANSLATE(C766, ""en"", ""ko""))"),"Zulay Magia 초자동 커피 에스프레소 머신 - 그라인더가 포함된 내구성이 뛰어난 자동 에스프레소 머신 - 사용하기 쉬운 7인치 터치스크린, 20가지 커피 레시피, 10가지 사용자 프로필을 갖춘 에스프레소 커피 메이커")</f>
        <v>Zulay Magia 초자동 커피 에스프레소 머신 - 그라인더가 포함된 내구성이 뛰어난 자동 에스프레소 머신 - 사용하기 쉬운 7인치 터치스크린, 20가지 커피 레시피, 10가지 사용자 프로필을 갖춘 에스프레소 커피 메이커</v>
      </c>
      <c r="F766" s="1" t="str">
        <f>IFERROR(__xludf.DUMMYFUNCTION("CONCATENATE(GOOGLETRANSLATE(C766, ""en"", ""ja""))"),"Zulay Magia 超自動コーヒーエスプレッソマシン - グラインダー付き耐久性のある自動エスプレッソマシン - 使いやすい7インチタッチスクリーン付きエスプレッソコーヒーメーカー、20のコーヒーレシピ、10のユーザープロフィール")</f>
        <v>Zulay Magia 超自動コーヒーエスプレッソマシン - グラインダー付き耐久性のある自動エスプレッソマシン - 使いやすい7インチタッチスクリーン付きエスプレッソコーヒーメーカー、20のコーヒーレシピ、10のユーザープロフィール</v>
      </c>
    </row>
    <row r="767" ht="15.75" customHeight="1">
      <c r="A767" s="1">
        <v>3350.0</v>
      </c>
      <c r="B767" s="1" t="s">
        <v>6</v>
      </c>
      <c r="C767" s="1" t="s">
        <v>735</v>
      </c>
      <c r="D767" s="1" t="str">
        <f>IFERROR(__xludf.DUMMYFUNCTION("CONCATENATE(GOOGLETRANSLATE(C767, ""en"", ""zh-cn""))
"),"Ashley Jesolo 标志性设计现代人造皮革手动拉片双人斜倚沙发，深棕色")</f>
        <v>Ashley Jesolo 标志性设计现代人造皮革手动拉片双人斜倚沙发，深棕色</v>
      </c>
      <c r="E767" s="1" t="str">
        <f>IFERROR(__xludf.DUMMYFUNCTION("CONCATENATE(GOOGLETRANSLATE(C767, ""en"", ""ko""))"),"Ashley Jesolo의 시그니처 디자인 모던 인조 가죽 수동 풀탭 더블 리클라이닝 소파, 다크 브라운")</f>
        <v>Ashley Jesolo의 시그니처 디자인 모던 인조 가죽 수동 풀탭 더블 리클라이닝 소파, 다크 브라운</v>
      </c>
      <c r="F767" s="1" t="str">
        <f>IFERROR(__xludf.DUMMYFUNCTION("CONCATENATE(GOOGLETRANSLATE(C767, ""en"", ""ja""))"),"アシュリー・ジェソロによる署名デザイン モダンフェイクレザー 手動プルタブ ダブルリクライニングソファ ダークブラウン")</f>
        <v>アシュリー・ジェソロによる署名デザイン モダンフェイクレザー 手動プルタブ ダブルリクライニングソファ ダークブラウン</v>
      </c>
    </row>
    <row r="768" ht="15.75" customHeight="1">
      <c r="A768" s="1">
        <v>3369.0</v>
      </c>
      <c r="B768" s="1" t="s">
        <v>6</v>
      </c>
      <c r="C768" s="1" t="s">
        <v>736</v>
      </c>
      <c r="D768" s="1" t="str">
        <f>IFERROR(__xludf.DUMMYFUNCTION("CONCATENATE(GOOGLETRANSLATE(C768, ""en"", ""zh-cn""))
"),"OSP Home Furnishings Russell 双面组合沙发带 2 个枕头和咖啡色成品腿，海军蓝")</f>
        <v>OSP Home Furnishings Russell 双面组合沙发带 2 个枕头和咖啡色成品腿，海军蓝</v>
      </c>
      <c r="E768" s="1" t="str">
        <f>IFERROR(__xludf.DUMMYFUNCTION("CONCATENATE(GOOGLETRANSLATE(C768, ""en"", ""ko""))"),"OSP 가정용 가구 러셀 양면 단면 소파, 베개 2개 및 커피 마감 다리, 네이비")</f>
        <v>OSP 가정용 가구 러셀 양면 단면 소파, 베개 2개 및 커피 마감 다리, 네이비</v>
      </c>
      <c r="F768" s="1" t="str">
        <f>IFERROR(__xludf.DUMMYFUNCTION("CONCATENATE(GOOGLETRANSLATE(C768, ""en"", ""ja""))"),"OSP ホームファニシング ラッセル リバーシブル セクショナル ソファ 枕 2 個とコーヒー仕上げの脚付き、ネイビー")</f>
        <v>OSP ホームファニシング ラッセル リバーシブル セクショナル ソファ 枕 2 個とコーヒー仕上げの脚付き、ネイビー</v>
      </c>
    </row>
    <row r="769" ht="15.75" customHeight="1">
      <c r="A769" s="1">
        <v>3375.0</v>
      </c>
      <c r="B769" s="1" t="s">
        <v>6</v>
      </c>
      <c r="C769" s="1" t="s">
        <v>737</v>
      </c>
      <c r="D769" s="1" t="str">
        <f>IFERROR(__xludf.DUMMYFUNCTION("CONCATENATE(GOOGLETRANSLATE(C769, ""en"", ""zh-cn""))
"),"亚马逊品牌 – Stone &amp; Beam Lessing 簇绒软垫滑翔机，32.7W，Cadet Blue")</f>
        <v>亚马逊品牌 – Stone &amp; Beam Lessing 簇绒软垫滑翔机，32.7W，Cadet Blue</v>
      </c>
      <c r="E769" s="1" t="str">
        <f>IFERROR(__xludf.DUMMYFUNCTION("CONCATENATE(GOOGLETRANSLATE(C769, ""en"", ""ko""))"),"아마존 브랜드 – Stone &amp; Beam Lessing Tufted Upholstered 글라이더, 32.7W, Cadet Blue")</f>
        <v>아마존 브랜드 – Stone &amp; Beam Lessing Tufted Upholstered 글라이더, 32.7W, Cadet Blue</v>
      </c>
      <c r="F769" s="1" t="str">
        <f>IFERROR(__xludf.DUMMYFUNCTION("CONCATENATE(GOOGLETRANSLATE(C769, ""en"", ""ja""))"),"Amazon ブランド – Stone &amp; Beam Lessing タフテッド布張りグライダー、32.7W、カデットブルー")</f>
        <v>Amazon ブランド – Stone &amp; Beam Lessing タフテッド布張りグライダー、32.7W、カデットブルー</v>
      </c>
    </row>
    <row r="770" ht="15.75" customHeight="1">
      <c r="A770" s="1">
        <v>3392.0</v>
      </c>
      <c r="B770" s="1" t="s">
        <v>6</v>
      </c>
      <c r="C770" s="1" t="s">
        <v>738</v>
      </c>
      <c r="D770" s="1" t="str">
        <f>IFERROR(__xludf.DUMMYFUNCTION("CONCATENATE(GOOGLETRANSLATE(C770, ""en"", ""zh-cn""))
"),"SZUBEE 8888 L 形组合沙发客厅家具深扣簇绒天鹅绒软垫卷臂经典切斯特菲尔德 含 3 个枕头，灰色")</f>
        <v>SZUBEE 8888 L 形组合沙发客厅家具深扣簇绒天鹅绒软垫卷臂经典切斯特菲尔德 含 3 个枕头，灰色</v>
      </c>
      <c r="E770" s="1" t="str">
        <f>IFERROR(__xludf.DUMMYFUNCTION("CONCATENATE(GOOGLETRANSLATE(C770, ""en"", ""ko""))"),"SZUBEE 8888 L 모양의 단면 소파 거실 가구 깊은 단추 술을 단 벨벳 덮개를 씌운 압연 팔 클래식 체스터필드 베개 3개 포함, 회색")</f>
        <v>SZUBEE 8888 L 모양의 단면 소파 거실 가구 깊은 단추 술을 단 벨벳 덮개를 씌운 압연 팔 클래식 체스터필드 베개 3개 포함, 회색</v>
      </c>
      <c r="F770" s="1" t="str">
        <f>IFERROR(__xludf.DUMMYFUNCTION("CONCATENATE(GOOGLETRANSLATE(C770, ""en"", ""ja""))"),"SZUBEE 8888 L字型セクショナルソファ リビングルーム家具 ディープボタン 房状ベルベット布張り ロールアーム クラシックチェスターフィールド 枕3個付き グレー")</f>
        <v>SZUBEE 8888 L字型セクショナルソファ リビングルーム家具 ディープボタン 房状ベルベット布張り ロールアーム クラシックチェスターフィールド 枕3個付き グレー</v>
      </c>
    </row>
    <row r="771" ht="15.75" customHeight="1">
      <c r="A771" s="1">
        <v>3422.0</v>
      </c>
      <c r="B771" s="1" t="s">
        <v>6</v>
      </c>
      <c r="C771" s="1" t="s">
        <v>218</v>
      </c>
      <c r="D771" s="1" t="str">
        <f>IFERROR(__xludf.DUMMYFUNCTION("CONCATENATE(GOOGLETRANSLATE(C771, ""en"", ""zh-cn""))
"),"Edenbrook Jensen 软垫沙发 - 客厅沙发 - 木炭软垫沙发 - 客厅家具 - 小沙发 - 三人座 - 勺臂现代沙发")</f>
        <v>Edenbrook Jensen 软垫沙发 - 客厅沙发 - 木炭软垫沙发 - 客厅家具 - 小沙发 - 三人座 - 勺臂现代沙发</v>
      </c>
      <c r="E771" s="1" t="str">
        <f>IFERROR(__xludf.DUMMYFUNCTION("CONCATENATE(GOOGLETRANSLATE(C771, ""en"", ""ko""))"),"Edenbrook Jensen 덮개를 씌운 소파 - 거실용 소파 - 차콜 덮개를 씌운 소파 - 거실 가구 - 소형 소파 - 3인용 - 스쿠프 암 모던 소파")</f>
        <v>Edenbrook Jensen 덮개를 씌운 소파 - 거실용 소파 - 차콜 덮개를 씌운 소파 - 거실 가구 - 소형 소파 - 3인용 - 스쿠프 암 모던 소파</v>
      </c>
      <c r="F771" s="1" t="str">
        <f>IFERROR(__xludf.DUMMYFUNCTION("CONCATENATE(GOOGLETRANSLATE(C771, ""en"", ""ja""))"),"エデンブルック ジェンセン 布張りソファ - リビングルーム用ソファ - チャコール布張りソファ - リビングルーム家具 - 小さなソファ - 3人掛け - スクープアームモダンソファ")</f>
        <v>エデンブルック ジェンセン 布張りソファ - リビングルーム用ソファ - チャコール布張りソファ - リビングルーム家具 - 小さなソファ - 3人掛け - スクープアームモダンソファ</v>
      </c>
    </row>
    <row r="772" ht="15.75" customHeight="1">
      <c r="A772" s="1">
        <v>3447.0</v>
      </c>
      <c r="B772" s="1" t="s">
        <v>6</v>
      </c>
      <c r="C772" s="1" t="s">
        <v>739</v>
      </c>
      <c r="D772" s="1" t="str">
        <f>IFERROR(__xludf.DUMMYFUNCTION("CONCATENATE(GOOGLETRANSLATE(C772, ""en"", ""zh-cn""))
"),"NOSGA 现代切斯特菲尔德织物 3 座沙发家具，带卷臂的深纽扣簇绒切斯特菲尔德天鹅绒沙发，客厅软垫钉头装饰沙发沙发（灰色）")</f>
        <v>NOSGA 现代切斯特菲尔德织物 3 座沙发家具，带卷臂的深纽扣簇绒切斯特菲尔德天鹅绒沙发，客厅软垫钉头装饰沙发沙发（灰色）</v>
      </c>
      <c r="E772" s="1" t="str">
        <f>IFERROR(__xludf.DUMMYFUNCTION("CONCATENATE(GOOGLETRANSLATE(C772, ""en"", ""ko""))"),"NOSGA 모던 체스터필드 패브릭 3인용 소파 가구, 스크롤 암이 있는 깊은 버튼 터프트 체스터필드 벨벳 소파, 거실용 장식품 네일헤드 트림 소파 소파(회색)")</f>
        <v>NOSGA 모던 체스터필드 패브릭 3인용 소파 가구, 스크롤 암이 있는 깊은 버튼 터프트 체스터필드 벨벳 소파, 거실용 장식품 네일헤드 트림 소파 소파(회색)</v>
      </c>
      <c r="F772" s="1" t="str">
        <f>IFERROR(__xludf.DUMMYFUNCTION("CONCATENATE(GOOGLETRANSLATE(C772, ""en"", ""ja""))"),"NOSGA モダンなチェスターフィールドファブリック 3人掛けソファ家具、深いボタンタフテッドチェスターフィールドベルベットソファ、スクロールアーム付き、室内装飾ネイルヘッドトリムソファソファ、リビングルーム用(グレー)")</f>
        <v>NOSGA モダンなチェスターフィールドファブリック 3人掛けソファ家具、深いボタンタフテッドチェスターフィールドベルベットソファ、スクロールアーム付き、室内装飾ネイルヘッドトリムソファソファ、リビングルーム用(グレー)</v>
      </c>
    </row>
    <row r="773" ht="15.75" customHeight="1">
      <c r="A773" s="1">
        <v>3455.0</v>
      </c>
      <c r="B773" s="1" t="s">
        <v>6</v>
      </c>
      <c r="C773" s="1" t="s">
        <v>740</v>
      </c>
      <c r="D773" s="1" t="str">
        <f>IFERROR(__xludf.DUMMYFUNCTION("CONCATENATE(GOOGLETRANSLATE(C773, ""en"", ""zh-cn""))
"),"亚马逊品牌 – Stone &amp; Beam 5 层书柜，75H，风化橡木饰面")</f>
        <v>亚马逊品牌 – Stone &amp; Beam 5 层书柜，75H，风化橡木饰面</v>
      </c>
      <c r="E773" s="1" t="str">
        <f>IFERROR(__xludf.DUMMYFUNCTION("CONCATENATE(GOOGLETRANSLATE(C773, ""en"", ""ko""))"),"아마존 브랜드 – Stone &amp; Beam 5단 책장, 75H, 풍화 오크 마감")</f>
        <v>아마존 브랜드 – Stone &amp; Beam 5단 책장, 75H, 풍화 오크 마감</v>
      </c>
      <c r="F773" s="1" t="str">
        <f>IFERROR(__xludf.DUMMYFUNCTION("CONCATENATE(GOOGLETRANSLATE(C773, ""en"", ""ja""))"),"Amazon ブランド – Stone &amp; Beam 5 段本棚、75H、風化オーク仕上げ")</f>
        <v>Amazon ブランド – Stone &amp; Beam 5 段本棚、75H、風化オーク仕上げ</v>
      </c>
    </row>
    <row r="774" ht="15.75" customHeight="1">
      <c r="A774" s="1">
        <v>3484.0</v>
      </c>
      <c r="B774" s="1" t="s">
        <v>6</v>
      </c>
      <c r="C774" s="1" t="s">
        <v>741</v>
      </c>
      <c r="D774" s="1" t="str">
        <f>IFERROR(__xludf.DUMMYFUNCTION("CONCATENATE(GOOGLETRANSLATE(C774, ""en"", ""zh-cn""))
"),"Tripp Lite Smart SM2200RMDVTAA 2200VA 双电压 120V - 230V TAA/GSA UPS（黑色）")</f>
        <v>Tripp Lite Smart SM2200RMDVTAA 2200VA 双电压 120V - 230V TAA/GSA UPS（黑色）</v>
      </c>
      <c r="E774" s="1" t="str">
        <f>IFERROR(__xludf.DUMMYFUNCTION("CONCATENATE(GOOGLETRANSLATE(C774, ""en"", ""ko""))"),"Tripp Lite 스마트 SM2200RMDVTAA 2200VA 이중 전압 120V - 230V TAA/GSA UPS(검은색)")</f>
        <v>Tripp Lite 스마트 SM2200RMDVTAA 2200VA 이중 전압 120V - 230V TAA/GSA UPS(검은색)</v>
      </c>
      <c r="F774" s="1" t="str">
        <f>IFERROR(__xludf.DUMMYFUNCTION("CONCATENATE(GOOGLETRANSLATE(C774, ""en"", ""ja""))"),"Tripp Lite Smart SM2200RMDVTAA 2200VA デュアル電圧 120V - 230V TAA/GSA UPS (ブラック)")</f>
        <v>Tripp Lite Smart SM2200RMDVTAA 2200VA デュアル電圧 120V - 230V TAA/GSA UPS (ブラック)</v>
      </c>
    </row>
    <row r="775" ht="15.75" customHeight="1">
      <c r="A775" s="1">
        <v>3504.0</v>
      </c>
      <c r="B775" s="1" t="s">
        <v>6</v>
      </c>
      <c r="C775" s="1" t="s">
        <v>742</v>
      </c>
      <c r="D775" s="1" t="str">
        <f>IFERROR(__xludf.DUMMYFUNCTION("CONCATENATE(GOOGLETRANSLATE(C775, ""en"", ""zh-cn""))
"),"Apple 2021 款 12.9 英寸 iPad Pro 无线网络 + 蜂窝网络 512GB - 深空灰色")</f>
        <v>Apple 2021 款 12.9 英寸 iPad Pro 无线网络 + 蜂窝网络 512GB - 深空灰色</v>
      </c>
      <c r="E775" s="1" t="str">
        <f>IFERROR(__xludf.DUMMYFUNCTION("CONCATENATE(GOOGLETRANSLATE(C775, ""en"", ""ko""))"),"Apple 2021 12.9인치 iPad Pro Wi-Fi + Cellular 512GB - 스페이스 그레이")</f>
        <v>Apple 2021 12.9인치 iPad Pro Wi-Fi + Cellular 512GB - 스페이스 그레이</v>
      </c>
      <c r="F775" s="1" t="str">
        <f>IFERROR(__xludf.DUMMYFUNCTION("CONCATENATE(GOOGLETRANSLATE(C775, ""en"", ""ja""))"),"Apple 2021 12.9 インチ iPad Pro Wi‑Fi + Cellular 512GB - スペース グレイ")</f>
        <v>Apple 2021 12.9 インチ iPad Pro Wi‑Fi + Cellular 512GB - スペース グレイ</v>
      </c>
    </row>
    <row r="776" ht="15.75" customHeight="1">
      <c r="A776" s="1">
        <v>3525.0</v>
      </c>
      <c r="B776" s="1" t="s">
        <v>6</v>
      </c>
      <c r="C776" s="1" t="s">
        <v>743</v>
      </c>
      <c r="D776" s="1" t="str">
        <f>IFERROR(__xludf.DUMMYFUNCTION("CONCATENATE(GOOGLETRANSLATE(C776, ""en"", ""zh-cn""))
"),"戴尔 Inspiron 灵越 14 Plus 7420 笔记本电脑 - 14 英寸，2.2K 16:10，英特尔酷睿 i7-12700H，16GB DDR5 RAM，1TB 固态硬盘，英特尔 Iris Xe，2 年现场 + 防病毒，迁移，Windows 11 Pro + Office 365 - 大西洋蓝")</f>
        <v>戴尔 Inspiron 灵越 14 Plus 7420 笔记本电脑 - 14 英寸，2.2K 16:10，英特尔酷睿 i7-12700H，16GB DDR5 RAM，1TB 固态硬盘，英特尔 Iris Xe，2 年现场 + 防病毒，迁移，Windows 11 Pro + Office 365 - 大西洋蓝</v>
      </c>
      <c r="E776" s="1" t="str">
        <f>IFERROR(__xludf.DUMMYFUNCTION("CONCATENATE(GOOGLETRANSLATE(C776, ""en"", ""ko""))"),"Dell Inspiron 14 Plus 7420 노트북 - 14인치, 2.2K 16:10, Intel Core i7-12700H, 16GB DDR5 RAM, 1TB SSD, Intel Iris Xe, 2년 방문 서비스 + 안티바이러스, 마이그레이션, Windows 11 Pro + Office 365 - 대서양 블루")</f>
        <v>Dell Inspiron 14 Plus 7420 노트북 - 14인치, 2.2K 16:10, Intel Core i7-12700H, 16GB DDR5 RAM, 1TB SSD, Intel Iris Xe, 2년 방문 서비스 + 안티바이러스, 마이그레이션, Windows 11 Pro + Office 365 - 대서양 블루</v>
      </c>
      <c r="F776" s="1" t="str">
        <f>IFERROR(__xludf.DUMMYFUNCTION("CONCATENATE(GOOGLETRANSLATE(C776, ""en"", ""ja""))"),"Dell Inspiron 14 Plus 7420 ラップトップ - 14 インチ、2.2K 16:10、Intel Core i7-12700H、16GB DDR5 RAM、1TB SSD、Intel Iris Xe、2 年間オンサイト + アンチウイルス、移行、Windows 11 Pro + Office 365 - アトランティック ブルー")</f>
        <v>Dell Inspiron 14 Plus 7420 ラップトップ - 14 インチ、2.2K 16:10、Intel Core i7-12700H、16GB DDR5 RAM、1TB SSD、Intel Iris Xe、2 年間オンサイト + アンチウイルス、移行、Windows 11 Pro + Office 365 - アトランティック ブルー</v>
      </c>
    </row>
    <row r="777" ht="15.75" customHeight="1">
      <c r="A777" s="1">
        <v>3595.0</v>
      </c>
      <c r="B777" s="1" t="s">
        <v>6</v>
      </c>
      <c r="C777" s="1" t="s">
        <v>744</v>
      </c>
      <c r="D777" s="1" t="str">
        <f>IFERROR(__xludf.DUMMYFUNCTION("CONCATENATE(GOOGLETRANSLATE(C777, ""en"", ""zh-cn""))
"),"HP LTO Ultrium-7 数据盒带，20 个 LTO Ultrium 7-6 TB / 15 TB - 条形码标签为 C7977AN")</f>
        <v>HP LTO Ultrium-7 数据盒带，20 个 LTO Ultrium 7-6 TB / 15 TB - 条形码标签为 C7977AN</v>
      </c>
      <c r="E777" s="1" t="str">
        <f>IFERROR(__xludf.DUMMYFUNCTION("CONCATENATE(GOOGLETRANSLATE(C777, ""en"", ""ko""))"),"HP LTO Ultrium-7 데이터 카트리지, LTO Ultrium 7-6TB/15TB 20개 - 바코드 라벨 C7977AN")</f>
        <v>HP LTO Ultrium-7 데이터 카트리지, LTO Ultrium 7-6TB/15TB 20개 - 바코드 라벨 C7977AN</v>
      </c>
      <c r="F777" s="1" t="str">
        <f>IFERROR(__xludf.DUMMYFUNCTION("CONCATENATE(GOOGLETRANSLATE(C777, ""en"", ""ja""))"),"HP LTO Ultrium-7 データ カートリッジ、20 x LTO Ultrium 7-6 TB / 15 TB - バーコード ラベル付き C7977AN")</f>
        <v>HP LTO Ultrium-7 データ カートリッジ、20 x LTO Ultrium 7-6 TB / 15 TB - バーコード ラベル付き C7977AN</v>
      </c>
    </row>
    <row r="778" ht="15.75" customHeight="1">
      <c r="A778" s="1">
        <v>3596.0</v>
      </c>
      <c r="B778" s="1" t="s">
        <v>6</v>
      </c>
      <c r="C778" s="1" t="s">
        <v>745</v>
      </c>
      <c r="D778" s="1" t="str">
        <f>IFERROR(__xludf.DUMMYFUNCTION("CONCATENATE(GOOGLETRANSLATE(C778, ""en"", ""zh-cn""))
"),"联想 ThinkPad E15 Gen 3 15.6 FHD + IPS 显示屏笔记本电脑（Ryzen 7 5825U 8 核，16GB RAM，512GB PCIe SSD，AMD Radeon，15.6 全高清 (1920x1080)，WiFi 6，BT 5.2，网络摄像头，USB 3.2，Win 10P）带集线器")</f>
        <v>联想 ThinkPad E15 Gen 3 15.6 FHD + IPS 显示屏笔记本电脑（Ryzen 7 5825U 8 核，16GB RAM，512GB PCIe SSD，AMD Radeon，15.6 全高清 (1920x1080)，WiFi 6，BT 5.2，网络摄像头，USB 3.2，Win 10P）带集线器</v>
      </c>
      <c r="E778" s="1" t="str">
        <f>IFERROR(__xludf.DUMMYFUNCTION("CONCATENATE(GOOGLETRANSLATE(C778, ""en"", ""ko""))"),"Lenovo ThinkPad E15 Gen 3 15.6 FHD + IPS 디스플레이 노트북(Ryzen 7 5825U 8코어, 16GB RAM, 512GB PCIe SSD, AMD Radeon, 15.6 풀 HD(1920x1080), WiFi 6, BT 5.2, 웹캠, USB 3.2, Win 10P) 허브 포함")</f>
        <v>Lenovo ThinkPad E15 Gen 3 15.6 FHD + IPS 디스플레이 노트북(Ryzen 7 5825U 8코어, 16GB RAM, 512GB PCIe SSD, AMD Radeon, 15.6 풀 HD(1920x1080), WiFi 6, BT 5.2, 웹캠, USB 3.2, Win 10P) 허브 포함</v>
      </c>
      <c r="F778" s="1" t="str">
        <f>IFERROR(__xludf.DUMMYFUNCTION("CONCATENATE(GOOGLETRANSLATE(C778, ""en"", ""ja""))"),"Lenovo ThinkPad E15 Gen 3 15.6 FHD + IPS ディスプレイ ラップトップ (Ryzen 7 5825U 8 コア、16GB RAM、512GB PCIe SSD、AMD Radeon、15.6 フル HD (1920x1080)、WiFi 6、BT 5.2、Web カメラ、USB 3.2、Win 10P) ハブ付き")</f>
        <v>Lenovo ThinkPad E15 Gen 3 15.6 FHD + IPS ディスプレイ ラップトップ (Ryzen 7 5825U 8 コア、16GB RAM、512GB PCIe SSD、AMD Radeon、15.6 フル HD (1920x1080)、WiFi 6、BT 5.2、Web カメラ、USB 3.2、Win 10P) ハブ付き</v>
      </c>
    </row>
    <row r="779" ht="15.75" customHeight="1">
      <c r="A779" s="1">
        <v>3610.0</v>
      </c>
      <c r="B779" s="1" t="s">
        <v>6</v>
      </c>
      <c r="C779" s="1" t="s">
        <v>746</v>
      </c>
      <c r="D779" s="1" t="str">
        <f>IFERROR(__xludf.DUMMYFUNCTION("CONCATENATE(GOOGLETRANSLATE(C779, ""en"", ""zh-cn""))
"),"华硕 TUF F15 游戏笔记本电脑 | 15.6 FHD 144Hz（自适应同步）|第 11 代英特尔 6 核 i5-11400H (&gt;i7-9750H) | 16GB DDR4 512GB 固态硬盘 | GeForce RTX 3050 4GB |背光 USB-C Win11 黑色 + 32GB MicroSD 卡")</f>
        <v>华硕 TUF F15 游戏笔记本电脑 | 15.6 FHD 144Hz（自适应同步）|第 11 代英特尔 6 核 i5-11400H (&gt;i7-9750H) | 16GB DDR4 512GB 固态硬盘 | GeForce RTX 3050 4GB |背光 USB-C Win11 黑色 + 32GB MicroSD 卡</v>
      </c>
      <c r="E779" s="1" t="str">
        <f>IFERROR(__xludf.DUMMYFUNCTION("CONCATENATE(GOOGLETRANSLATE(C779, ""en"", ""ko""))"),"ASUS TUF F15 게이밍 노트북 | 15.6 FHD 144Hz(적응형 동기화) | 11세대 Intel 6코어 i5-11400H(&gt;i7-9750H) | 16GB DDR4 512GB SSD | 지포스 RTX 3050 4GB | 백라이트 USB-C Win11 블랙 + 32GB MicroSD 카드")</f>
        <v>ASUS TUF F15 게이밍 노트북 | 15.6 FHD 144Hz(적응형 동기화) | 11세대 Intel 6코어 i5-11400H(&gt;i7-9750H) | 16GB DDR4 512GB SSD | 지포스 RTX 3050 4GB | 백라이트 USB-C Win11 블랙 + 32GB MicroSD 카드</v>
      </c>
      <c r="F779" s="1" t="str">
        <f>IFERROR(__xludf.DUMMYFUNCTION("CONCATENATE(GOOGLETRANSLATE(C779, ""en"", ""ja""))"),"ASUS TUF F15 ゲーミング ノートパソコン | 15.6 FHD 144Hz (アダプティブ同期) |第 11 世代インテル 6 コア i5-11400H (&gt;i7-9750H) | 16GB DDR4 512GB SSD | GeForce RTX 3050 4GB |バックライト付き USB-C Win11 ブラック + 32GB MicroSD カード")</f>
        <v>ASUS TUF F15 ゲーミング ノートパソコン | 15.6 FHD 144Hz (アダプティブ同期) |第 11 世代インテル 6 コア i5-11400H (&gt;i7-9750H) | 16GB DDR4 512GB SSD | GeForce RTX 3050 4GB |バックライト付き USB-C Win11 ブラック + 32GB MicroSD カード</v>
      </c>
    </row>
    <row r="780" ht="15.75" customHeight="1">
      <c r="A780" s="1">
        <v>3611.0</v>
      </c>
      <c r="B780" s="1" t="s">
        <v>6</v>
      </c>
      <c r="C780" s="1" t="s">
        <v>747</v>
      </c>
      <c r="D780" s="1" t="str">
        <f>IFERROR(__xludf.DUMMYFUNCTION("CONCATENATE(GOOGLETRANSLATE(C780, ""en"", ""zh-cn""))
"),"富士通 Fi-8170")</f>
        <v>富士通 Fi-8170</v>
      </c>
      <c r="E780" s="1" t="str">
        <f>IFERROR(__xludf.DUMMYFUNCTION("CONCATENATE(GOOGLETRANSLATE(C780, ""en"", ""ko""))"),"후지쯔 Fi-8170")</f>
        <v>후지쯔 Fi-8170</v>
      </c>
      <c r="F780" s="1" t="str">
        <f>IFERROR(__xludf.DUMMYFUNCTION("CONCATENATE(GOOGLETRANSLATE(C780, ""en"", ""ja""))"),"富士通 Fi-8170")</f>
        <v>富士通 Fi-8170</v>
      </c>
    </row>
    <row r="781" ht="15.75" customHeight="1">
      <c r="A781" s="1">
        <v>3624.0</v>
      </c>
      <c r="B781" s="1" t="s">
        <v>6</v>
      </c>
      <c r="C781" s="1" t="s">
        <v>748</v>
      </c>
      <c r="D781" s="1" t="str">
        <f>IFERROR(__xludf.DUMMYFUNCTION("CONCATENATE(GOOGLETRANSLATE(C781, ""en"", ""zh-cn""))
"),"联想 IdeaPad 3i 15.6 FHD 游戏笔记本电脑 2022，第 11 代 Intel i5-11300H（高达 4.4GHz），16GB RAM 1TB NVMe SSD，GeForce GTX 1650，USB-A&amp;C RJ45，Windows 11")</f>
        <v>联想 IdeaPad 3i 15.6 FHD 游戏笔记本电脑 2022，第 11 代 Intel i5-11300H（高达 4.4GHz），16GB RAM 1TB NVMe SSD，GeForce GTX 1650，USB-A&amp;C RJ45，Windows 11</v>
      </c>
      <c r="E781" s="1" t="str">
        <f>IFERROR(__xludf.DUMMYFUNCTION("CONCATENATE(GOOGLETRANSLATE(C781, ""en"", ""ko""))"),"Lenovo IdeaPad 3i 15.6 FHD 게이밍 노트북 2022, 11세대 Intel i5-11300H(최대 4.4GHz), 16GB RAM 1TB NVMe SSD, GeForce GTX 1650, USB-A&amp;C RJ45, Windows 11")</f>
        <v>Lenovo IdeaPad 3i 15.6 FHD 게이밍 노트북 2022, 11세대 Intel i5-11300H(최대 4.4GHz), 16GB RAM 1TB NVMe SSD, GeForce GTX 1650, USB-A&amp;C RJ45, Windows 11</v>
      </c>
      <c r="F781" s="1" t="str">
        <f>IFERROR(__xludf.DUMMYFUNCTION("CONCATENATE(GOOGLETRANSLATE(C781, ""en"", ""ja""))"),"Lenovo IdeaPad 3i 15.6 FHD ゲーミング ラップトップ 2022、第 11 世代 Intel i5-11300H(最大 4.4GHz)、16GB RAM 1TB NVMe SSD、GeForce GTX 1650、USB-A&amp;C RJ45、Windows 11")</f>
        <v>Lenovo IdeaPad 3i 15.6 FHD ゲーミング ラップトップ 2022、第 11 世代 Intel i5-11300H(最大 4.4GHz)、16GB RAM 1TB NVMe SSD、GeForce GTX 1650、USB-A&amp;C RJ45、Windows 11</v>
      </c>
    </row>
    <row r="782" ht="15.75" customHeight="1">
      <c r="A782" s="1">
        <v>3630.0</v>
      </c>
      <c r="B782" s="1" t="s">
        <v>6</v>
      </c>
      <c r="C782" s="1" t="s">
        <v>749</v>
      </c>
      <c r="D782" s="1" t="str">
        <f>IFERROR(__xludf.DUMMYFUNCTION("CONCATENATE(GOOGLETRANSLATE(C782, ""en"", ""zh-cn""))
"),"Lenovo IdeaPad Gaming 3 - 2022 - 日常游戏笔记本电脑 - NVIDIA GeForce RTX 3050 显卡 - 15.6 FHD 显示屏 - 120 Hz - AMD Ryzen 5 6600H - 8GB DDR5 - 258GB SSD - Win 11 - 免费 3 个月 Xbox GamePass")</f>
        <v>Lenovo IdeaPad Gaming 3 - 2022 - 日常游戏笔记本电脑 - NVIDIA GeForce RTX 3050 显卡 - 15.6 FHD 显示屏 - 120 Hz - AMD Ryzen 5 6600H - 8GB DDR5 - 258GB SSD - Win 11 - 免费 3 个月 Xbox GamePass</v>
      </c>
      <c r="E782" s="1" t="str">
        <f>IFERROR(__xludf.DUMMYFUNCTION("CONCATENATE(GOOGLETRANSLATE(C782, ""en"", ""ko""))"),"Lenovo IdeaPad 게이밍 3 - 2022 - 일상용 게이밍 노트북 - NVIDIA GeForce RTX 3050 그래픽 - 15.6 FHD 디스플레이 - 120Hz - AMD Ryzen 5 6600H - 8GB DDR5 - 258GB SSD - Win 11 - 무료 3개월 Xbox GamePass")</f>
        <v>Lenovo IdeaPad 게이밍 3 - 2022 - 일상용 게이밍 노트북 - NVIDIA GeForce RTX 3050 그래픽 - 15.6 FHD 디스플레이 - 120Hz - AMD Ryzen 5 6600H - 8GB DDR5 - 258GB SSD - Win 11 - 무료 3개월 Xbox GamePass</v>
      </c>
      <c r="F782" s="1" t="str">
        <f>IFERROR(__xludf.DUMMYFUNCTION("CONCATENATE(GOOGLETRANSLATE(C782, ""en"", ""ja""))"),"Lenovo IdeaPad Gaming 3 - 2022 - 毎日のゲーミング ノートパソコン - NVIDIA GeForce RTX 3050 グラフィックス - 15.6 FHD ディスプレイ - 120 Hz - AMD Ryzen 5 6600H - 8GB DDR5 - 258GB SSD - Win 11 - 無料の 3 か月 Xbox GamePass")</f>
        <v>Lenovo IdeaPad Gaming 3 - 2022 - 毎日のゲーミング ノートパソコン - NVIDIA GeForce RTX 3050 グラフィックス - 15.6 FHD ディスプレイ - 120 Hz - AMD Ryzen 5 6600H - 8GB DDR5 - 258GB SSD - Win 11 - 無料の 3 か月 Xbox GamePass</v>
      </c>
    </row>
    <row r="783" ht="15.75" customHeight="1">
      <c r="A783" s="1">
        <v>3646.0</v>
      </c>
      <c r="B783" s="1" t="s">
        <v>6</v>
      </c>
      <c r="C783" s="1" t="s">
        <v>750</v>
      </c>
      <c r="D783" s="1" t="str">
        <f>IFERROR(__xludf.DUMMYFUNCTION("CONCATENATE(GOOGLETRANSLATE(C783, ""en"", ""zh-cn""))
"),"ZEN - 英特尔第 12 代多媒体台式电脑 - 非常适合学习和工作")</f>
        <v>ZEN - 英特尔第 12 代多媒体台式电脑 - 非常适合学习和工作</v>
      </c>
      <c r="E783" s="1" t="str">
        <f>IFERROR(__xludf.DUMMYFUNCTION("CONCATENATE(GOOGLETRANSLATE(C783, ""en"", ""ko""))"),"ZEN - 인텔 12세대 멀티미디어 데스크탑 PC - 학습 및 업무에 적합")</f>
        <v>ZEN - 인텔 12세대 멀티미디어 데스크탑 PC - 학습 및 업무에 적합</v>
      </c>
      <c r="F783" s="1" t="str">
        <f>IFERROR(__xludf.DUMMYFUNCTION("CONCATENATE(GOOGLETRANSLATE(C783, ""en"", ""ja""))"),"ZEN - インテル第 12 世代マルチメディア デスクトップ PC - 勉強や仕事に最適")</f>
        <v>ZEN - インテル第 12 世代マルチメディア デスクトップ PC - 勉強や仕事に最適</v>
      </c>
    </row>
    <row r="784" ht="15.75" customHeight="1">
      <c r="A784" s="1">
        <v>3648.0</v>
      </c>
      <c r="B784" s="1" t="s">
        <v>6</v>
      </c>
      <c r="C784" s="1" t="s">
        <v>751</v>
      </c>
      <c r="D784" s="1" t="str">
        <f>IFERROR(__xludf.DUMMYFUNCTION("CONCATENATE(GOOGLETRANSLATE(C784, ""en"", ""zh-cn""))
"),"2021 最新戴尔 OptiPlex 3080 微型商用台式机，英特尔酷睿 i5-10500T，16GB DDR4 RAM，512GB SSD，WiFi，HDMI，蓝牙，有线键盘和鼠标，Windows 10 Pro")</f>
        <v>2021 最新戴尔 OptiPlex 3080 微型商用台式机，英特尔酷睿 i5-10500T，16GB DDR4 RAM，512GB SSD，WiFi，HDMI，蓝牙，有线键盘和鼠标，Windows 10 Pro</v>
      </c>
      <c r="E784" s="1" t="str">
        <f>IFERROR(__xludf.DUMMYFUNCTION("CONCATENATE(GOOGLETRANSLATE(C784, ""en"", ""ko""))"),"2021 최신 Dell OptiPlex 3080 마이크로 폼 팩터 비즈니스 데스크탑, Intel Core i5-10500T, 16GB DDR4 RAM, 512GB SSD, WiFi, HDMI, Bluetooth, 유선 키보드 및 마우스, Windows 10 Pro")</f>
        <v>2021 최신 Dell OptiPlex 3080 마이크로 폼 팩터 비즈니스 데스크탑, Intel Core i5-10500T, 16GB DDR4 RAM, 512GB SSD, WiFi, HDMI, Bluetooth, 유선 키보드 및 마우스, Windows 10 Pro</v>
      </c>
      <c r="F784" s="1" t="str">
        <f>IFERROR(__xludf.DUMMYFUNCTION("CONCATENATE(GOOGLETRANSLATE(C784, ""en"", ""ja""))"),"2021 最新の Dell OptiPlex 3080 マイクロ フォーム ファクター ビジネス デスクトップ、Intel Core i5-10500T、16GB DDR4 RAM、512GB SSD、WiFi、HDMI、Bluetooth、有線キーボード&amp;マウス、Windows 10 Pro")</f>
        <v>2021 最新の Dell OptiPlex 3080 マイクロ フォーム ファクター ビジネス デスクトップ、Intel Core i5-10500T、16GB DDR4 RAM、512GB SSD、WiFi、HDMI、Bluetooth、有線キーボード&amp;マウス、Windows 10 Pro</v>
      </c>
    </row>
    <row r="785" ht="15.75" customHeight="1">
      <c r="A785" s="1">
        <v>3661.0</v>
      </c>
      <c r="B785" s="1" t="s">
        <v>6</v>
      </c>
      <c r="C785" s="1" t="s">
        <v>752</v>
      </c>
      <c r="D785" s="1" t="str">
        <f>IFERROR(__xludf.DUMMYFUNCTION("CONCATENATE(GOOGLETRANSLATE(C785, ""en"", ""zh-cn""))
"),"Talvania 33 英尺充气投影仪屏幕，适合户外和室内电视电影观看，巨大的屏幕，鼓风机，系紧装置，木桩，沙袋和储物袋，快速爆炸，巨型（33 英尺紫色）")</f>
        <v>Talvania 33 英尺充气投影仪屏幕，适合户外和室内电视电影观看，巨大的屏幕，鼓风机，系紧装置，木桩，沙袋和储物袋，快速爆炸，巨型（33 英尺紫色）</v>
      </c>
      <c r="E785" s="1" t="str">
        <f>IFERROR(__xludf.DUMMYFUNCTION("CONCATENATE(GOOGLETRANSLATE(C785, ""en"", ""ko""))"),"야외 및 실내 TV 영화 감상을 위한 탈바니아 33피트 풍선 프로젝터 스크린, 대형 스크린, 송풍기, 타이 다운, 스테이크, 샌드백 및 보관 가방, 퀵 블로우 업, 점보(33' 보라색)")</f>
        <v>야외 및 실내 TV 영화 감상을 위한 탈바니아 33피트 풍선 프로젝터 스크린, 대형 스크린, 송풍기, 타이 다운, 스테이크, 샌드백 및 보관 가방, 퀵 블로우 업, 점보(33' 보라색)</v>
      </c>
      <c r="F785" s="1" t="str">
        <f>IFERROR(__xludf.DUMMYFUNCTION("CONCATENATE(GOOGLETRANSLATE(C785, ""en"", ""ja""))"),"Talvonia 33 フィート インフレータブル プロジェクター スクリーン 屋外および屋内でのテレビ映画鑑賞用、巨大スクリーン、送風機、タイダウン、杭、土嚢、収納バッグ、クイックブローアップ、ジャンボ (33 フィート パープル)")</f>
        <v>Talvonia 33 フィート インフレータブル プロジェクター スクリーン 屋外および屋内でのテレビ映画鑑賞用、巨大スクリーン、送風機、タイダウン、杭、土嚢、収納バッグ、クイックブローアップ、ジャンボ (33 フィート パープル)</v>
      </c>
    </row>
    <row r="786" ht="15.75" customHeight="1">
      <c r="A786" s="1">
        <v>3668.0</v>
      </c>
      <c r="B786" s="1" t="s">
        <v>6</v>
      </c>
      <c r="C786" s="1" t="s">
        <v>753</v>
      </c>
      <c r="D786" s="1" t="str">
        <f>IFERROR(__xludf.DUMMYFUNCTION("CONCATENATE(GOOGLETRANSLATE(C786, ""en"", ""zh-cn""))
"),"Apple iPad Pro 2 12.9 英寸 (2017) 256GB，Wi-Fi - 深空灰色（更新版）")</f>
        <v>Apple iPad Pro 2 12.9 英寸 (2017) 256GB，Wi-Fi - 深空灰色（更新版）</v>
      </c>
      <c r="E786" s="1" t="str">
        <f>IFERROR(__xludf.DUMMYFUNCTION("CONCATENATE(GOOGLETRANSLATE(C786, ""en"", ""ko""))"),"애플 아이패드 프로 2 12.9인치(2017) 256GB, Wi-Fi - 스페이스 그레이(리뉴얼)")</f>
        <v>애플 아이패드 프로 2 12.9인치(2017) 256GB, Wi-Fi - 스페이스 그레이(리뉴얼)</v>
      </c>
      <c r="F786" s="1" t="str">
        <f>IFERROR(__xludf.DUMMYFUNCTION("CONCATENATE(GOOGLETRANSLATE(C786, ""en"", ""ja""))"),"Apple iPad Pro 2 12.9インチ (2017) 256GB、Wi-Fi - スペースグレイ (リニューアル)")</f>
        <v>Apple iPad Pro 2 12.9インチ (2017) 256GB、Wi-Fi - スペースグレイ (リニューアル)</v>
      </c>
    </row>
    <row r="787" ht="15.75" customHeight="1">
      <c r="A787" s="1">
        <v>3689.0</v>
      </c>
      <c r="B787" s="1" t="s">
        <v>6</v>
      </c>
      <c r="C787" s="1" t="s">
        <v>754</v>
      </c>
      <c r="D787" s="1" t="str">
        <f>IFERROR(__xludf.DUMMYFUNCTION("CONCATENATE(GOOGLETRANSLATE(C787, ""en"", ""zh-cn""))
"),"Apple iPad Pro 12.9 英寸 512GB MPKY2LL/A（第 2 代，仅 Wi-Fi，深空灰色）2017 年中（续订）")</f>
        <v>Apple iPad Pro 12.9 英寸 512GB MPKY2LL/A（第 2 代，仅 Wi-Fi，深空灰色）2017 年中（续订）</v>
      </c>
      <c r="E787" s="1" t="str">
        <f>IFERROR(__xludf.DUMMYFUNCTION("CONCATENATE(GOOGLETRANSLATE(C787, ""en"", ""ko""))"),"Apple iPad Pro 12.9인치 512GB MPKY2LL/A(2세대, Wi-Fi 전용, 스페이스 그레이) 2017년 중반(리뉴얼)")</f>
        <v>Apple iPad Pro 12.9인치 512GB MPKY2LL/A(2세대, Wi-Fi 전용, 스페이스 그레이) 2017년 중반(리뉴얼)</v>
      </c>
      <c r="F787" s="1" t="str">
        <f>IFERROR(__xludf.DUMMYFUNCTION("CONCATENATE(GOOGLETRANSLATE(C787, ""en"", ""ja""))"),"Apple iPad Pro 12.9 インチ 512GB MPKY2LL/A (第 2 世代、Wi-Fi のみ、スペースグレイ) 2017 年中期 (リニューアル)")</f>
        <v>Apple iPad Pro 12.9 インチ 512GB MPKY2LL/A (第 2 世代、Wi-Fi のみ、スペースグレイ) 2017 年中期 (リニューアル)</v>
      </c>
    </row>
    <row r="788" ht="15.75" customHeight="1">
      <c r="A788" s="1">
        <v>3695.0</v>
      </c>
      <c r="B788" s="1" t="s">
        <v>6</v>
      </c>
      <c r="C788" s="1" t="s">
        <v>755</v>
      </c>
      <c r="D788" s="1" t="str">
        <f>IFERROR(__xludf.DUMMYFUNCTION("CONCATENATE(GOOGLETRANSLATE(C788, ""en"", ""zh-cn""))
"),"三星 Freestyle 550 流明全高清 HDR 智能投影仪大屏幕体验，带优质 360 度音效 (SP-LSP3BLAXZA) + HDMI 电缆 + 电缆扎带 + 清洁套件 + 更多")</f>
        <v>三星 Freestyle 550 流明全高清 HDR 智能投影仪大屏幕体验，带优质 360 度音效 (SP-LSP3BLAXZA) + HDMI 电缆 + 电缆扎带 + 清洁套件 + 更多</v>
      </c>
      <c r="E788" s="1" t="str">
        <f>IFERROR(__xludf.DUMMYFUNCTION("CONCATENATE(GOOGLETRANSLATE(C788, ""en"", ""ko""))"),"Samsung 프리스타일 550루멘 풀 HD HDR 스마트 프로젝터 대형 화면 경험 및 프리미엄 360 사운드(SP-LSP3BLAXZA) + HDMI 케이블 + 케이블 스트랩 + 클리닝 키트 등")</f>
        <v>Samsung 프리스타일 550루멘 풀 HD HDR 스마트 프로젝터 대형 화면 경험 및 프리미엄 360 사운드(SP-LSP3BLAXZA) + HDMI 케이블 + 케이블 스트랩 + 클리닝 키트 등</v>
      </c>
      <c r="F788" s="1" t="str">
        <f>IFERROR(__xludf.DUMMYFUNCTION("CONCATENATE(GOOGLETRANSLATE(C788, ""en"", ""ja""))"),"Samsung フリースタイル 550 ルーメン フル HD HDR スマート プロジェクター 大画面体験、プレミアム 360 サウンド (SP-LSP3BLAXZA) + HDMI ケーブル + ケーブル ストラップ + クリーニング キットなど")</f>
        <v>Samsung フリースタイル 550 ルーメン フル HD HDR スマート プロジェクター 大画面体験、プレミアム 360 サウンド (SP-LSP3BLAXZA) + HDMI ケーブル + ケーブル ストラップ + クリーニング キットなど</v>
      </c>
    </row>
    <row r="789" ht="15.75" customHeight="1">
      <c r="A789" s="1">
        <v>3696.0</v>
      </c>
      <c r="B789" s="1" t="s">
        <v>6</v>
      </c>
      <c r="C789" s="1" t="s">
        <v>756</v>
      </c>
      <c r="D789" s="1" t="str">
        <f>IFERROR(__xludf.DUMMYFUNCTION("CONCATENATE(GOOGLETRANSLATE(C789, ""en"", ""zh-cn""))
"),"联想 Ideapad 15.6 FHD 笔记本电脑，适合大学和商务，AMD Ryzen 5 5625U(&gt; i5-11320H)，16GB DDR4 RAM，512GB NVMe SSD，指纹识别，背光键盘，WiFi 6，网络摄像头，HDMI，Win 11，CUE 配件")</f>
        <v>联想 Ideapad 15.6 FHD 笔记本电脑，适合大学和商务，AMD Ryzen 5 5625U(&gt; i5-11320H)，16GB DDR4 RAM，512GB NVMe SSD，指纹识别，背光键盘，WiFi 6，网络摄像头，HDMI，Win 11，CUE 配件</v>
      </c>
      <c r="E789" s="1" t="str">
        <f>IFERROR(__xludf.DUMMYFUNCTION("CONCATENATE(GOOGLETRANSLATE(C789, ""en"", ""ko""))"),"Lenovo Ideapad 15.6 FHD 노트북, 대학 및 기업용, AMD Ryzen 5 5625U(&gt; i5-11320H), 16GB DDR4 RAM, 512GB NVMe SSD, 지문 인식, 백라이트 키보드, WiFi 6, 웹캠, HDMI, Win 11, CUE 액세서리")</f>
        <v>Lenovo Ideapad 15.6 FHD 노트북, 대학 및 기업용, AMD Ryzen 5 5625U(&gt; i5-11320H), 16GB DDR4 RAM, 512GB NVMe SSD, 지문 인식, 백라이트 키보드, WiFi 6, 웹캠, HDMI, Win 11, CUE 액세서리</v>
      </c>
      <c r="F789" s="1" t="str">
        <f>IFERROR(__xludf.DUMMYFUNCTION("CONCATENATE(GOOGLETRANSLATE(C789, ""en"", ""ja""))"),"Lenovo Ideapad 15.6 FHD ラップトップ、大学およびビジネス向け、AMD Ryzen 5 5625U(&gt; i5-11320H)、16GB DDR4 RAM、512GB NVMe SSD、指紋認証、バックライト付きキーボード、WiFi 6、Web カメラ、HDMI、Win 11、CUE アクセサリ")</f>
        <v>Lenovo Ideapad 15.6 FHD ラップトップ、大学およびビジネス向け、AMD Ryzen 5 5625U(&gt; i5-11320H)、16GB DDR4 RAM、512GB NVMe SSD、指紋認証、バックライト付きキーボード、WiFi 6、Web カメラ、HDMI、Win 11、CUE アクセサリ</v>
      </c>
    </row>
    <row r="790" ht="15.75" customHeight="1">
      <c r="A790" s="1">
        <v>3712.0</v>
      </c>
      <c r="B790" s="1" t="s">
        <v>6</v>
      </c>
      <c r="C790" s="1" t="s">
        <v>757</v>
      </c>
      <c r="D790" s="1" t="str">
        <f>IFERROR(__xludf.DUMMYFUNCTION("CONCATENATE(GOOGLETRANSLATE(C790, ""en"", ""zh-cn""))
"),"2022 Apple iPad Air（10.9 英寸，Wi-Fi + 蜂窝网络，64GB）蓝色（续订）")</f>
        <v>2022 Apple iPad Air（10.9 英寸，Wi-Fi + 蜂窝网络，64GB）蓝色（续订）</v>
      </c>
      <c r="E790" s="1" t="str">
        <f>IFERROR(__xludf.DUMMYFUNCTION("CONCATENATE(GOOGLETRANSLATE(C790, ""en"", ""ko""))"),"2022 애플 아이패드 에어(10.9인치, Wi-Fi + 셀룰러, 64GB) 블루(리뉴얼)")</f>
        <v>2022 애플 아이패드 에어(10.9인치, Wi-Fi + 셀룰러, 64GB) 블루(리뉴얼)</v>
      </c>
      <c r="F790" s="1" t="str">
        <f>IFERROR(__xludf.DUMMYFUNCTION("CONCATENATE(GOOGLETRANSLATE(C790, ""en"", ""ja""))"),"2022 Apple iPad Air (10.9 インチ、Wi-Fi + Cellular、64GB) ブルー (リニューアル)")</f>
        <v>2022 Apple iPad Air (10.9 インチ、Wi-Fi + Cellular、64GB) ブルー (リニューアル)</v>
      </c>
    </row>
    <row r="791" ht="15.75" customHeight="1">
      <c r="A791" s="1">
        <v>3740.0</v>
      </c>
      <c r="B791" s="1" t="s">
        <v>6</v>
      </c>
      <c r="C791" s="1" t="s">
        <v>758</v>
      </c>
      <c r="D791" s="1" t="str">
        <f>IFERROR(__xludf.DUMMYFUNCTION("CONCATENATE(GOOGLETRANSLATE(C791, ""en"", ""zh-cn""))
"),"WEMAX PSA01 UST 投影仪屏幕，100 英寸环境光抑制 ALR 投影仪超短焦投影仪屏幕，Nova 固定框架屏幕支持其他品牌 UST 投影仪")</f>
        <v>WEMAX PSA01 UST 投影仪屏幕，100 英寸环境光抑制 ALR 投影仪超短焦投影仪屏幕，Nova 固定框架屏幕支持其他品牌 UST 投影仪</v>
      </c>
      <c r="E791" s="1" t="str">
        <f>IFERROR(__xludf.DUMMYFUNCTION("CONCATENATE(GOOGLETRANSLATE(C791, ""en"", ""ko""))"),"WEMAX PSA01 UST 프로젝터 스크린, 초단초점 프로젝션을 위한 100인치 주변광 차단 ALR 프로젝션 스크린, Nova 지원용 고정 프레임 스크린 기타 브랜드 UST 프로젝터")</f>
        <v>WEMAX PSA01 UST 프로젝터 스크린, 초단초점 프로젝션을 위한 100인치 주변광 차단 ALR 프로젝션 스크린, Nova 지원용 고정 프레임 스크린 기타 브랜드 UST 프로젝터</v>
      </c>
      <c r="F791" s="1" t="str">
        <f>IFERROR(__xludf.DUMMYFUNCTION("CONCATENATE(GOOGLETRANSLATE(C791, ""en"", ""ja""))"),"WEMAX PSA01 UST プロジェクター スクリーン、超短焦点投影用 100 インチ周囲光除去 ALR 投影スクリーン、Nova 用固定フレーム スクリーン サポート他ブランド UST プロジェクター")</f>
        <v>WEMAX PSA01 UST プロジェクター スクリーン、超短焦点投影用 100 インチ周囲光除去 ALR 投影スクリーン、Nova 用固定フレーム スクリーン サポート他ブランド UST プロジェクター</v>
      </c>
    </row>
    <row r="792" ht="15.75" customHeight="1">
      <c r="A792" s="1">
        <v>3788.0</v>
      </c>
      <c r="B792" s="1" t="s">
        <v>6</v>
      </c>
      <c r="C792" s="1" t="s">
        <v>759</v>
      </c>
      <c r="D792" s="1" t="str">
        <f>IFERROR(__xludf.DUMMYFUNCTION("CONCATENATE(GOOGLETRANSLATE(C792, ""en"", ""zh-cn""))
"),"Sysracks - 壁挂式服务器机架 - 锁定网络机柜 - AV 外壳 - 通风音频机架 - 网络外壳 24 英寸深度 IT 计算机机柜 - 脚轮 - PDU - 架子（18U（24w x24d x35h））")</f>
        <v>Sysracks - 壁挂式服务器机架 - 锁定网络机柜 - AV 外壳 - 通风音频机架 - 网络外壳 24 英寸深度 IT 计算机机柜 - 脚轮 - PDU - 架子（18U（24w x24d x35h））</v>
      </c>
      <c r="E792" s="1" t="str">
        <f>IFERROR(__xludf.DUMMYFUNCTION("CONCATENATE(GOOGLETRANSLATE(C792, ""en"", ""ko""))"),"Sysracks - 벽 장착형 서버 랙 - 잠금 네트워크 캐비닛 - AV 인클로저 - 통풍이 되는 오디오 랙 - 네트워킹 인클로저 24인치 깊이 IT 컴퓨터 캐비닛 - 캐스터 - PDU - 선반(18U(24w x24d x35h))")</f>
        <v>Sysracks - 벽 장착형 서버 랙 - 잠금 네트워크 캐비닛 - AV 인클로저 - 통풍이 되는 오디오 랙 - 네트워킹 인클로저 24인치 깊이 IT 컴퓨터 캐비닛 - 캐스터 - PDU - 선반(18U(24w x24d x35h))</v>
      </c>
      <c r="F792" s="1" t="str">
        <f>IFERROR(__xludf.DUMMYFUNCTION("CONCATENATE(GOOGLETRANSLATE(C792, ""en"", ""ja""))"),"Sysracks - ウォールマウントサーバーラック - ロックネットワークキャビネット - AV エンクロージャ - VENTED オーディオラック - ネットワークエンクロージャ 奥行き 24 インチ IT コンピュータキャビネット - キャスター - PDU - シェルフ (18U (24w x24d x35h))")</f>
        <v>Sysracks - ウォールマウントサーバーラック - ロックネットワークキャビネット - AV エンクロージャ - VENTED オーディオラック - ネットワークエンクロージャ 奥行き 24 インチ IT コンピュータキャビネット - キャスター - PDU - シェルフ (18U (24w x24d x35h))</v>
      </c>
    </row>
    <row r="793" ht="15.75" customHeight="1">
      <c r="A793" s="1">
        <v>3789.0</v>
      </c>
      <c r="B793" s="1" t="s">
        <v>6</v>
      </c>
      <c r="C793" s="1" t="s">
        <v>760</v>
      </c>
      <c r="D793" s="1" t="str">
        <f>IFERROR(__xludf.DUMMYFUNCTION("CONCATENATE(GOOGLETRANSLATE(C793, ""en"", ""zh-cn""))
"),"REOLINK 智能 5MP 8 路家庭安全摄像头系统，4 台有线 5MP PoE IP 摄像机户外带人员车辆检测，4K 8 路 NVR，带 2TB 硬盘，可进行 24-7 小时录像，RLK8-520D4-5MP")</f>
        <v>REOLINK 智能 5MP 8 路家庭安全摄像头系统，4 台有线 5MP PoE IP 摄像机户外带人员车辆检测，4K 8 路 NVR，带 2TB 硬盘，可进行 24-7 小时录像，RLK8-520D4-5MP</v>
      </c>
      <c r="E793" s="1" t="str">
        <f>IFERROR(__xludf.DUMMYFUNCTION("CONCATENATE(GOOGLETRANSLATE(C793, ""en"", ""ko""))"),"REOLINK 스마트 5MP 8CH 홈 보안 카메라 시스템, 사람 차량 감지 기능이 있는 실외 유선 5MP PoE IP 카메라 4개, 24-7 녹화용 2TB HDD가 장착된 4K 8CH NVR, RLK8-520D4-5MP")</f>
        <v>REOLINK 스마트 5MP 8CH 홈 보안 카메라 시스템, 사람 차량 감지 기능이 있는 실외 유선 5MP PoE IP 카메라 4개, 24-7 녹화용 2TB HDD가 장착된 4K 8CH NVR, RLK8-520D4-5MP</v>
      </c>
      <c r="F793" s="1" t="str">
        <f>IFERROR(__xludf.DUMMYFUNCTION("CONCATENATE(GOOGLETRANSLATE(C793, ""en"", ""ja""))"),"REOLINK スマート 5MP 8CH ホームセキュリティカメラシステム、屋外用有線 5MP PoE IP カメラ 4 台、人車両検出機能付き、24 時間 365 日録画用 2TB HDD 付き 4K 8CH NVR、RLK8-520D4-5MP")</f>
        <v>REOLINK スマート 5MP 8CH ホームセキュリティカメラシステム、屋外用有線 5MP PoE IP カメラ 4 台、人車両検出機能付き、24 時間 365 日録画用 2TB HDD 付き 4K 8CH NVR、RLK8-520D4-5MP</v>
      </c>
    </row>
    <row r="794" ht="15.75" customHeight="1">
      <c r="A794" s="1">
        <v>3809.0</v>
      </c>
      <c r="B794" s="1" t="s">
        <v>6</v>
      </c>
      <c r="C794" s="1" t="s">
        <v>761</v>
      </c>
      <c r="D794" s="1" t="str">
        <f>IFERROR(__xludf.DUMMYFUNCTION("CONCATENATE(GOOGLETRANSLATE(C794, ""en"", ""zh-cn""))
"),"DS18 ZR1600.4D 汽车放大器 D 类 4 通道立体声全频放大器 7200 瓦峰值功率 - 可调节频率高/低通设置 - 保证为您的汽车音响音响系统增压")</f>
        <v>DS18 ZR1600.4D 汽车放大器 D 类 4 通道立体声全频放大器 7200 瓦峰值功率 - 可调节频率高/低通设置 - 保证为您的汽车音响音响系统增压</v>
      </c>
      <c r="E794" s="1" t="str">
        <f>IFERROR(__xludf.DUMMYFUNCTION("CONCATENATE(GOOGLETRANSLATE(C794, ""en"", ""ko""))"),"DS18 ZR1600.4D 차량용 앰프 클래스 D 4채널 스테레오 풀레인지 앰프 7200와트 피크 전력 - 조정 가능한 주파수 하이/로우 패스 설정 - 자동차 오디오 사운드 시스템의 강력한 충전 보장")</f>
        <v>DS18 ZR1600.4D 차량용 앰프 클래스 D 4채널 스테레오 풀레인지 앰프 7200와트 피크 전력 - 조정 가능한 주파수 하이/로우 패스 설정 - 자동차 오디오 사운드 시스템의 강력한 충전 보장</v>
      </c>
      <c r="F794" s="1" t="str">
        <f>IFERROR(__xludf.DUMMYFUNCTION("CONCATENATE(GOOGLETRANSLATE(C794, ""en"", ""ja""))"),"DS18 ZR1600.4D カーアンプ クラス D 4 チャンネル ステレオ フルレンジ アンプ 7200 ワット ピークパワー - 調整可能な周波数ハイ/ローパス設定 - カーオーディオ サウンド システムを強化することを保証")</f>
        <v>DS18 ZR1600.4D カーアンプ クラス D 4 チャンネル ステレオ フルレンジ アンプ 7200 ワット ピークパワー - 調整可能な周波数ハイ/ローパス設定 - カーオーディオ サウンド システムを強化することを保証</v>
      </c>
    </row>
    <row r="795" ht="15.75" customHeight="1">
      <c r="A795" s="1">
        <v>3813.0</v>
      </c>
      <c r="B795" s="1" t="s">
        <v>6</v>
      </c>
      <c r="C795" s="1" t="s">
        <v>762</v>
      </c>
      <c r="D795" s="1" t="str">
        <f>IFERROR(__xludf.DUMMYFUNCTION("CONCATENATE(GOOGLETRANSLATE(C795, ""en"", ""zh-cn""))
"),"Apple iPad Pro 10.5 英寸（Wi-Fi + 蜂窝网络）- 64GB，深空灰色（续订）")</f>
        <v>Apple iPad Pro 10.5 英寸（Wi-Fi + 蜂窝网络）- 64GB，深空灰色（续订）</v>
      </c>
      <c r="E795" s="1" t="str">
        <f>IFERROR(__xludf.DUMMYFUNCTION("CONCATENATE(GOOGLETRANSLATE(C795, ""en"", ""ko""))"),"애플 아이패드 프로 10.5인치(Wi-Fi + 셀룰러) - 64GB, 스페이스 그레이(리뉴얼)")</f>
        <v>애플 아이패드 프로 10.5인치(Wi-Fi + 셀룰러) - 64GB, 스페이스 그레이(리뉴얼)</v>
      </c>
      <c r="F795" s="1" t="str">
        <f>IFERROR(__xludf.DUMMYFUNCTION("CONCATENATE(GOOGLETRANSLATE(C795, ""en"", ""ja""))"),"Apple iPad Pro 10.5インチ (Wi-Fi + Cellular) - 64GB、スペースグレイ (リニューアル)")</f>
        <v>Apple iPad Pro 10.5インチ (Wi-Fi + Cellular) - 64GB、スペースグレイ (リニューアル)</v>
      </c>
    </row>
    <row r="796" ht="15.75" customHeight="1">
      <c r="A796" s="1">
        <v>3886.0</v>
      </c>
      <c r="B796" s="1" t="s">
        <v>6</v>
      </c>
      <c r="C796" s="1" t="s">
        <v>763</v>
      </c>
      <c r="D796" s="1" t="str">
        <f>IFERROR(__xludf.DUMMYFUNCTION("CONCATENATE(GOOGLETRANSLATE(C796, ""en"", ""zh-cn""))
"),"Apple iPhone 13 Pro，256GB，Sierra Blue - AT&amp;T（续订）")</f>
        <v>Apple iPhone 13 Pro，256GB，Sierra Blue - AT&amp;T（续订）</v>
      </c>
      <c r="E796" s="1" t="str">
        <f>IFERROR(__xludf.DUMMYFUNCTION("CONCATENATE(GOOGLETRANSLATE(C796, ""en"", ""ko""))"),"Apple iPhone 13 Pro, 256GB, Sierra 블루 - AT&amp;T(리뉴얼)")</f>
        <v>Apple iPhone 13 Pro, 256GB, Sierra 블루 - AT&amp;T(리뉴얼)</v>
      </c>
      <c r="F796" s="1" t="str">
        <f>IFERROR(__xludf.DUMMYFUNCTION("CONCATENATE(GOOGLETRANSLATE(C796, ""en"", ""ja""))"),"Apple iPhone 13 Pro、256GB、シエラブルー - AT&amp;T (新品)")</f>
        <v>Apple iPhone 13 Pro、256GB、シエラブルー - AT&amp;T (新品)</v>
      </c>
    </row>
    <row r="797" ht="15.75" customHeight="1">
      <c r="A797" s="1">
        <v>3902.0</v>
      </c>
      <c r="B797" s="1" t="s">
        <v>6</v>
      </c>
      <c r="C797" s="1" t="s">
        <v>764</v>
      </c>
      <c r="D797" s="1" t="str">
        <f>IFERROR(__xludf.DUMMYFUNCTION("CONCATENATE(GOOGLETRANSLATE(C797, ""en"", ""zh-cn""))
"),"Apple iPhone 14， 128GB，（产品）红色 - 已解锁（续订）")</f>
        <v>Apple iPhone 14， 128GB，（产品）红色 - 已解锁（续订）</v>
      </c>
      <c r="E797" s="1" t="str">
        <f>IFERROR(__xludf.DUMMYFUNCTION("CONCATENATE(GOOGLETRANSLATE(C797, ""en"", ""ko""))"),"Apple iPhone 14, 128GB, (제품) 레드 - 공기계 (리뉴얼)")</f>
        <v>Apple iPhone 14, 128GB, (제품) 레드 - 공기계 (리뉴얼)</v>
      </c>
      <c r="F797" s="1" t="str">
        <f>IFERROR(__xludf.DUMMYFUNCTION("CONCATENATE(GOOGLETRANSLATE(C797, ""en"", ""ja""))"),"Apple iPhone 14、128GB、(製品) レッド - ロック解除済み (更新済み)")</f>
        <v>Apple iPhone 14、128GB、(製品) レッド - ロック解除済み (更新済み)</v>
      </c>
    </row>
    <row r="798" ht="15.75" customHeight="1">
      <c r="A798" s="1">
        <v>3916.0</v>
      </c>
      <c r="B798" s="1" t="s">
        <v>6</v>
      </c>
      <c r="C798" s="1" t="s">
        <v>765</v>
      </c>
      <c r="D798" s="1" t="str">
        <f>IFERROR(__xludf.DUMMYFUNCTION("CONCATENATE(GOOGLETRANSLATE(C798, ""en"", ""zh-cn""))
"),"三星 Galaxy A53 5G (128GB，6GB) 6.5 120Hz 全高清+，IP67 防水，双 SIM GSM 4G Volte 解锁（适用于美国 + 全球）国际型号 A536E/DS（25W 充电盒套装，令人惊叹的蓝色）")</f>
        <v>三星 Galaxy A53 5G (128GB，6GB) 6.5 120Hz 全高清+，IP67 防水，双 SIM GSM 4G Volte 解锁（适用于美国 + 全球）国际型号 A536E/DS（25W 充电盒套装，令人惊叹的蓝色）</v>
      </c>
      <c r="E798" s="1" t="str">
        <f>IFERROR(__xludf.DUMMYFUNCTION("CONCATENATE(GOOGLETRANSLATE(C798, ""en"", ""ko""))"),"삼성 갤럭시 A53 5G(128GB, 6GB) 6.5 120Hz 풀 HD+, IP67 방수, 듀얼 SIM GSM 4G 전압 잠금 해제(미국 + 글로벌) 국제 모델 A536E/DS(25W 충전 큐브 번들, 어썸 블루)")</f>
        <v>삼성 갤럭시 A53 5G(128GB, 6GB) 6.5 120Hz 풀 HD+, IP67 방수, 듀얼 SIM GSM 4G 전압 잠금 해제(미국 + 글로벌) 국제 모델 A536E/DS(25W 충전 큐브 번들, 어썸 블루)</v>
      </c>
      <c r="F798" s="1" t="str">
        <f>IFERROR(__xludf.DUMMYFUNCTION("CONCATENATE(GOOGLETRANSLATE(C798, ""en"", ""ja""))"),"Samsung Galaxy A53 5G (128GB、6GB) 6.5 120Hz フル HD+、IP67 防水、デュアル SIM GSM 4G Volte ロック解除済み (米国 + グローバル向け) インターナショナル モデル A536E/DS (25W 充電キューブ バンドル、オーサム ブルー)")</f>
        <v>Samsung Galaxy A53 5G (128GB、6GB) 6.5 120Hz フル HD+、IP67 防水、デュアル SIM GSM 4G Volte ロック解除済み (米国 + グローバル向け) インターナショナル モデル A536E/DS (25W 充電キューブ バンドル、オーサム ブルー)</v>
      </c>
    </row>
    <row r="799" ht="15.75" customHeight="1">
      <c r="A799" s="1">
        <v>3923.0</v>
      </c>
      <c r="B799" s="1" t="s">
        <v>6</v>
      </c>
      <c r="C799" s="1" t="s">
        <v>766</v>
      </c>
      <c r="D799" s="1" t="str">
        <f>IFERROR(__xludf.DUMMYFUNCTION("CONCATENATE(GOOGLETRANSLATE(C799, ""en"", ""zh-cn""))
"),"Apple iPhone XS Max，美国版，64GB，深空灰色 - 解锁（续订）")</f>
        <v>Apple iPhone XS Max，美国版，64GB，深空灰色 - 解锁（续订）</v>
      </c>
      <c r="E799" s="1" t="str">
        <f>IFERROR(__xludf.DUMMYFUNCTION("CONCATENATE(GOOGLETRANSLATE(C799, ""en"", ""ko""))"),"Apple iPhone XS Max, 미국 버전, 64GB, 스페이스 그레이 - 공기계(갱신)")</f>
        <v>Apple iPhone XS Max, 미국 버전, 64GB, 스페이스 그레이 - 공기계(갱신)</v>
      </c>
      <c r="F799" s="1" t="str">
        <f>IFERROR(__xludf.DUMMYFUNCTION("CONCATENATE(GOOGLETRANSLATE(C799, ""en"", ""ja""))"),"Apple iPhone XS Max、US バージョン、64GB、スペース グレイ - ロック解除済み (更新済み)")</f>
        <v>Apple iPhone XS Max、US バージョン、64GB、スペース グレイ - ロック解除済み (更新済み)</v>
      </c>
    </row>
    <row r="800" ht="15.75" customHeight="1">
      <c r="A800" s="1">
        <v>3940.0</v>
      </c>
      <c r="B800" s="1" t="s">
        <v>6</v>
      </c>
      <c r="C800" s="1" t="s">
        <v>767</v>
      </c>
      <c r="D800" s="1" t="str">
        <f>IFERROR(__xludf.DUMMYFUNCTION("CONCATENATE(GOOGLETRANSLATE(C800, ""en"", ""zh-cn""))
"),"Google Pixel 6 – 5G Android 手机 - 带广角和超广角镜头的解锁智能手机 - 128GB - 暴风雨黑（续订）")</f>
        <v>Google Pixel 6 – 5G Android 手机 - 带广角和超广角镜头的解锁智能手机 - 128GB - 暴风雨黑（续订）</v>
      </c>
      <c r="E800" s="1" t="str">
        <f>IFERROR(__xludf.DUMMYFUNCTION("CONCATENATE(GOOGLETRANSLATE(C800, ""en"", ""ko""))"),"Google Pixel 6 – 5G Android 휴대폰 - 광각 및 초광각 렌즈가 탑재된 공기계 스마트폰 - 128GB - 스토미 블랙(리뉴얼)")</f>
        <v>Google Pixel 6 – 5G Android 휴대폰 - 광각 및 초광각 렌즈가 탑재된 공기계 스마트폰 - 128GB - 스토미 블랙(리뉴얼)</v>
      </c>
      <c r="F800" s="1" t="str">
        <f>IFERROR(__xludf.DUMMYFUNCTION("CONCATENATE(GOOGLETRANSLATE(C800, ""en"", ""ja""))"),"Google Pixel 6 – 5G Android Phone - ワイドおよびウルトラワイド レンズ付きロック解除スマートフォン - 128GB - ストーミー ブラック (リニューアル)")</f>
        <v>Google Pixel 6 – 5G Android Phone - ワイドおよびウルトラワイド レンズ付きロック解除スマートフォン - 128GB - ストーミー ブラック (リニューアル)</v>
      </c>
    </row>
    <row r="801" ht="15.75" customHeight="1">
      <c r="A801" s="1">
        <v>3944.0</v>
      </c>
      <c r="B801" s="1" t="s">
        <v>6</v>
      </c>
      <c r="C801" s="1" t="s">
        <v>768</v>
      </c>
      <c r="D801" s="1" t="str">
        <f>IFERROR(__xludf.DUMMYFUNCTION("CONCATENATE(GOOGLETRANSLATE(C801, ""en"", ""zh-cn""))
"),"欧米茄超霸月球表 304.33.44.52.03.001")</f>
        <v>欧米茄超霸月球表 304.33.44.52.03.001</v>
      </c>
      <c r="E801" s="1" t="str">
        <f>IFERROR(__xludf.DUMMYFUNCTION("CONCATENATE(GOOGLETRANSLATE(C801, ""en"", ""ko""))"),"오메가 스피드마스터 문워치 304.33.44.52.03.001")</f>
        <v>오메가 스피드마스터 문워치 304.33.44.52.03.001</v>
      </c>
      <c r="F801" s="1" t="str">
        <f>IFERROR(__xludf.DUMMYFUNCTION("CONCATENATE(GOOGLETRANSLATE(C801, ""en"", ""ja""))"),"オメガ スピードマスター ムーンウォッチ 304.33.44.52.03.001")</f>
        <v>オメガ スピードマスター ムーンウォッチ 304.33.44.52.03.001</v>
      </c>
    </row>
    <row r="802" ht="15.75" customHeight="1">
      <c r="A802" s="1">
        <v>3962.0</v>
      </c>
      <c r="B802" s="1" t="s">
        <v>6</v>
      </c>
      <c r="C802" s="1" t="s">
        <v>769</v>
      </c>
      <c r="D802" s="1" t="str">
        <f>IFERROR(__xludf.DUMMYFUNCTION("CONCATENATE(GOOGLETRANSLATE(C802, ""en"", ""zh-cn""))
"),"欧米茄 326.30.40.50.11.001 超霸赛车男士计时腕表")</f>
        <v>欧米茄 326.30.40.50.11.001 超霸赛车男士计时腕表</v>
      </c>
      <c r="E802" s="1" t="str">
        <f>IFERROR(__xludf.DUMMYFUNCTION("CONCATENATE(GOOGLETRANSLATE(C802, ""en"", ""ko""))"),"오메가 326.30.40.50.11.001 스피드마스터 레이싱 남성용 크로노그래프 시계")</f>
        <v>오메가 326.30.40.50.11.001 스피드마스터 레이싱 남성용 크로노그래프 시계</v>
      </c>
      <c r="F802" s="1" t="str">
        <f>IFERROR(__xludf.DUMMYFUNCTION("CONCATENATE(GOOGLETRANSLATE(C802, ""en"", ""ja""))"),"オメガ 326.30.40.50.11.001 スピードマスター レーシング メンズ クロノグラフ ウォッチ")</f>
        <v>オメガ 326.30.40.50.11.001 スピードマスター レーシング メンズ クロノグラフ ウォッチ</v>
      </c>
    </row>
    <row r="803" ht="15.75" customHeight="1">
      <c r="A803" s="1">
        <v>3970.0</v>
      </c>
      <c r="B803" s="1" t="s">
        <v>6</v>
      </c>
      <c r="C803" s="1" t="s">
        <v>770</v>
      </c>
      <c r="D803" s="1" t="str">
        <f>IFERROR(__xludf.DUMMYFUNCTION("CONCATENATE(GOOGLETRANSLATE(C803, ""en"", ""zh-cn""))
"),"卡其航空 X-WIND DAY DATE 自动计时码表")</f>
        <v>卡其航空 X-WIND DAY DATE 自动计时码表</v>
      </c>
      <c r="E803" s="1" t="str">
        <f>IFERROR(__xludf.DUMMYFUNCTION("CONCATENATE(GOOGLETRANSLATE(C803, ""en"", ""ko""))"),"카키 에비에이션 X-WIND DAY DATE 오토 크로노")</f>
        <v>카키 에비에이션 X-WIND DAY DATE 오토 크로노</v>
      </c>
      <c r="F803" s="1" t="str">
        <f>IFERROR(__xludf.DUMMYFUNCTION("CONCATENATE(GOOGLETRANSLATE(C803, ""en"", ""ja""))"),"カーキ アビエーション X-WIND デイデイト オート クロノ")</f>
        <v>カーキ アビエーション X-WIND デイデイト オート クロノ</v>
      </c>
    </row>
    <row r="804" ht="15.75" customHeight="1">
      <c r="A804" s="1">
        <v>3974.0</v>
      </c>
      <c r="B804" s="1" t="s">
        <v>6</v>
      </c>
      <c r="C804" s="1" t="s">
        <v>771</v>
      </c>
      <c r="D804" s="1" t="str">
        <f>IFERROR(__xludf.DUMMYFUNCTION("CONCATENATE(GOOGLETRANSLATE(C804, ""en"", ""zh-cn""))
"),"施华洛世奇 10x42 NL Pure 双筒望远镜")</f>
        <v>施华洛世奇 10x42 NL Pure 双筒望远镜</v>
      </c>
      <c r="E804" s="1" t="str">
        <f>IFERROR(__xludf.DUMMYFUNCTION("CONCATENATE(GOOGLETRANSLATE(C804, ""en"", ""ko""))"),"스와로브스키 10x42 NL 순수 쌍안경")</f>
        <v>스와로브스키 10x42 NL 순수 쌍안경</v>
      </c>
      <c r="F804" s="1" t="str">
        <f>IFERROR(__xludf.DUMMYFUNCTION("CONCATENATE(GOOGLETRANSLATE(C804, ""en"", ""ja""))"),"スワロフスキー 10x42 NL ピュア双眼鏡")</f>
        <v>スワロフスキー 10x42 NL ピュア双眼鏡</v>
      </c>
    </row>
    <row r="805" ht="15.75" customHeight="1">
      <c r="A805" s="1">
        <v>3977.0</v>
      </c>
      <c r="B805" s="1" t="s">
        <v>6</v>
      </c>
      <c r="C805" s="1" t="s">
        <v>772</v>
      </c>
      <c r="D805" s="1" t="str">
        <f>IFERROR(__xludf.DUMMYFUNCTION("CONCATENATE(GOOGLETRANSLATE(C805, ""en"", ""zh-cn""))
"),"欧米茄男士 42410372001001 模拟显示瑞士自动银色手表")</f>
        <v>欧米茄男士 42410372001001 模拟显示瑞士自动银色手表</v>
      </c>
      <c r="E805" s="1" t="str">
        <f>IFERROR(__xludf.DUMMYFUNCTION("CONCATENATE(GOOGLETRANSLATE(C805, ""en"", ""ko""))"),"오메가 남성용 42410372001001 아날로그 디스플레이 스위스 오토매틱 실버 시계")</f>
        <v>오메가 남성용 42410372001001 아날로그 디스플레이 스위스 오토매틱 실버 시계</v>
      </c>
      <c r="F805" s="1" t="str">
        <f>IFERROR(__xludf.DUMMYFUNCTION("CONCATENATE(GOOGLETRANSLATE(C805, ""en"", ""ja""))"),"オメガ メンズ 42410372001001 アナログ表示 スイス製自動巻き シルバー ウォッチ")</f>
        <v>オメガ メンズ 42410372001001 アナログ表示 スイス製自動巻き シルバー ウォッチ</v>
      </c>
    </row>
    <row r="806" ht="15.75" customHeight="1">
      <c r="A806" s="1">
        <v>3992.0</v>
      </c>
      <c r="B806" s="1" t="s">
        <v>6</v>
      </c>
      <c r="C806" s="1" t="s">
        <v>773</v>
      </c>
      <c r="D806" s="1" t="str">
        <f>IFERROR(__xludf.DUMMYFUNCTION("CONCATENATE(GOOGLETRANSLATE(C806, ""en"", ""zh-cn""))
"),"汉密尔顿男士 H77616533 卡其色；表盘颜色 - 黑色 X 计时腕表")</f>
        <v>汉密尔顿男士 H77616533 卡其色；表盘颜色 - 黑色 X 计时腕表</v>
      </c>
      <c r="E806" s="1" t="str">
        <f>IFERROR(__xludf.DUMMYFUNCTION("CONCATENATE(GOOGLETRANSLATE(C806, ""en"", ""ko""))"),"해밀턴 남성용 H77616533 카키 ; 다이얼 색상 - 블랙 X 크로노그래프 시계")</f>
        <v>해밀턴 남성용 H77616533 카키 ; 다이얼 색상 - 블랙 X 크로노그래프 시계</v>
      </c>
      <c r="F806" s="1" t="str">
        <f>IFERROR(__xludf.DUMMYFUNCTION("CONCATENATE(GOOGLETRANSLATE(C806, ""en"", ""ja""))"),"ハミルトン メンズ H77616533 カーキ ;文字盤の色 - ブラック X クロノグラフ ウォッチ")</f>
        <v>ハミルトン メンズ H77616533 カーキ ;文字盤の色 - ブラック X クロノグラフ ウォッチ</v>
      </c>
    </row>
    <row r="807" ht="15.75" customHeight="1">
      <c r="A807" s="1">
        <v>3999.0</v>
      </c>
      <c r="B807" s="1" t="s">
        <v>6</v>
      </c>
      <c r="C807" s="1" t="s">
        <v>774</v>
      </c>
      <c r="D807" s="1" t="str">
        <f>IFERROR(__xludf.DUMMYFUNCTION("CONCATENATE(GOOGLETRANSLATE(C807, ""en"", ""zh-cn""))
"),"汉密尔顿男士“爵士大师”瑞士自动不锈钢手表，颜色：银色（型号：H32596181）")</f>
        <v>汉密尔顿男士“爵士大师”瑞士自动不锈钢手表，颜色：银色（型号：H32596181）</v>
      </c>
      <c r="E807" s="1" t="str">
        <f>IFERROR(__xludf.DUMMYFUNCTION("CONCATENATE(GOOGLETRANSLATE(C807, ""en"", ""ko""))"),"해밀턴 남성용 '재즈마스터' 스위스 오토매틱 스테인레스 스틸 시계, 색상:실버 톤(모델: H32596181)")</f>
        <v>해밀턴 남성용 '재즈마스터' 스위스 오토매틱 스테인레스 스틸 시계, 색상:실버 톤(모델: H32596181)</v>
      </c>
      <c r="F807" s="1" t="str">
        <f>IFERROR(__xludf.DUMMYFUNCTION("CONCATENATE(GOOGLETRANSLATE(C807, ""en"", ""ja""))"),"ハミルトン メンズ 'ジャズマスター' スイス自動巻きステンレススチール時計、カラー: シルバートーン (モデル: H32596181)")</f>
        <v>ハミルトン メンズ 'ジャズマスター' スイス自動巻きステンレススチール時計、カラー: シルバートーン (モデル: H32596181)</v>
      </c>
    </row>
    <row r="808" ht="15.75" customHeight="1">
      <c r="A808" s="1">
        <v>4007.0</v>
      </c>
      <c r="B808" s="1" t="s">
        <v>6</v>
      </c>
      <c r="C808" s="1" t="s">
        <v>775</v>
      </c>
      <c r="D808" s="1" t="str">
        <f>IFERROR(__xludf.DUMMYFUNCTION("CONCATENATE(GOOGLETRANSLATE(C808, ""en"", ""zh-cn""))
"),"SEIKO PROSPEX SBDC141 [Diver Scuba 1965 机械潜水员现代设计男士尼龙表带]")</f>
        <v>SEIKO PROSPEX SBDC141 [Diver Scuba 1965 机械潜水员现代设计男士尼龙表带]</v>
      </c>
      <c r="E808" s="1" t="str">
        <f>IFERROR(__xludf.DUMMYFUNCTION("CONCATENATE(GOOGLETRANSLATE(C808, ""en"", ""ko""))"),"SEIKO PROSPEX SBDC141 [다이버 스쿠버 1965 기계식 다이버 모던 디자인 남성용 나일론 밴드]")</f>
        <v>SEIKO PROSPEX SBDC141 [다이버 스쿠버 1965 기계식 다이버 모던 디자인 남성용 나일론 밴드]</v>
      </c>
      <c r="F808" s="1" t="str">
        <f>IFERROR(__xludf.DUMMYFUNCTION("CONCATENATE(GOOGLETRANSLATE(C808, ""en"", ""ja""))"),"セイコー プロスペックス SBDC141 【ダイバースキューバ 1965 メカニカル ダイバーズ モダンデザイン メンズ ナイロンバンド】")</f>
        <v>セイコー プロスペックス SBDC141 【ダイバースキューバ 1965 メカニカル ダイバーズ モダンデザイン メンズ ナイロンバンド】</v>
      </c>
    </row>
    <row r="809" ht="15.75" customHeight="1">
      <c r="A809" s="1">
        <v>4023.0</v>
      </c>
      <c r="B809" s="1" t="s">
        <v>6</v>
      </c>
      <c r="C809" s="1" t="s">
        <v>776</v>
      </c>
      <c r="D809" s="1" t="str">
        <f>IFERROR(__xludf.DUMMYFUNCTION("CONCATENATE(GOOGLETRANSLATE(C809, ""en"", ""zh-cn""))
"),"卡西欧男士 G-SHOCK GMW-B5000G-1JF 电波太阳能手表（日本国内正品）")</f>
        <v>卡西欧男士 G-SHOCK GMW-B5000G-1JF 电波太阳能手表（日本国内正品）</v>
      </c>
      <c r="E809" s="1" t="str">
        <f>IFERROR(__xludf.DUMMYFUNCTION("CONCATENATE(GOOGLETRANSLATE(C809, ""en"", ""ko""))"),"카시오 Men G-SHOCK GMW-B5000G-1JF Radio Solar 시계 (일본 국내 정품 제품)")</f>
        <v>카시오 Men G-SHOCK GMW-B5000G-1JF Radio Solar 시계 (일본 국내 정품 제품)</v>
      </c>
      <c r="F809" s="1" t="str">
        <f>IFERROR(__xludf.DUMMYFUNCTION("CONCATENATE(GOOGLETRANSLATE(C809, ""en"", ""ja""))"),"[カシオ] 電波ソーラー腕時計 G-SHOCK GMW-B5000G-1JF メンズ (日本国内正規品)")</f>
        <v>[カシオ] 電波ソーラー腕時計 G-SHOCK GMW-B5000G-1JF メンズ (日本国内正規品)</v>
      </c>
    </row>
    <row r="810" ht="15.75" customHeight="1">
      <c r="A810" s="1">
        <v>4028.0</v>
      </c>
      <c r="B810" s="1" t="s">
        <v>6</v>
      </c>
      <c r="C810" s="1" t="s">
        <v>777</v>
      </c>
      <c r="D810" s="1" t="str">
        <f>IFERROR(__xludf.DUMMYFUNCTION("CONCATENATE(GOOGLETRANSLATE(C810, ""en"", ""zh-cn""))
"),"Seiko Prospex 第三代相扑潜水员 200 米自动黑色表盘蓝宝石玻璃手表 SPB101J1")</f>
        <v>Seiko Prospex 第三代相扑潜水员 200 米自动黑色表盘蓝宝石玻璃手表 SPB101J1</v>
      </c>
      <c r="E810" s="1" t="str">
        <f>IFERROR(__xludf.DUMMYFUNCTION("CONCATENATE(GOOGLETRANSLATE(C810, ""en"", ""ko""))"),"세이코 프로스펙스 3세대 스모 다이버용 200m 오토매틱 블랙 다이얼 사파이어 글래스 시계 SPB101J1")</f>
        <v>세이코 프로스펙스 3세대 스모 다이버용 200m 오토매틱 블랙 다이얼 사파이어 글래스 시계 SPB101J1</v>
      </c>
      <c r="F810" s="1" t="str">
        <f>IFERROR(__xludf.DUMMYFUNCTION("CONCATENATE(GOOGLETRANSLATE(C810, ""en"", ""ja""))"),"セイコー プロスペックス 3rd GenSumo ダイバーズ 200m 自動巻き ブラック ダイヤル サファイアガラス ウォッチ SPB101J1")</f>
        <v>セイコー プロスペックス 3rd GenSumo ダイバーズ 200m 自動巻き ブラック ダイヤル サファイアガラス ウォッチ SPB101J1</v>
      </c>
    </row>
    <row r="811" ht="15.75" customHeight="1">
      <c r="A811" s="1">
        <v>4061.0</v>
      </c>
      <c r="B811" s="1" t="s">
        <v>6</v>
      </c>
      <c r="C811" s="1" t="s">
        <v>778</v>
      </c>
      <c r="D811" s="1" t="str">
        <f>IFERROR(__xludf.DUMMYFUNCTION("CONCATENATE(GOOGLETRANSLATE(C811, ""en"", ""zh-cn""))
"),"Luminox 男士海军海豹太平洋潜水员 3120 系列银色不锈钢牡蛎带黑色表盘石英模拟手表")</f>
        <v>Luminox 男士海军海豹太平洋潜水员 3120 系列银色不锈钢牡蛎带黑色表盘石英模拟手表</v>
      </c>
      <c r="E811" s="1" t="str">
        <f>IFERROR(__xludf.DUMMYFUNCTION("CONCATENATE(GOOGLETRANSLATE(C811, ""en"", ""ko""))"),"루미녹스 남성용 Navy Seal Pacific 다이버 3120 시리즈 실버 스테인레스 스틸 오이스터 밴드 블랙 다이얼 쿼츠 아날로그 시계")</f>
        <v>루미녹스 남성용 Navy Seal Pacific 다이버 3120 시리즈 실버 스테인레스 스틸 오이스터 밴드 블랙 다이얼 쿼츠 아날로그 시계</v>
      </c>
      <c r="F811" s="1" t="str">
        <f>IFERROR(__xludf.DUMMYFUNCTION("CONCATENATE(GOOGLETRANSLATE(C811, ""en"", ""ja""))"),"ルミノックス メンズ ネイビー シール パシフィック ダイバー 3120 シリーズ シルバー ステンレススチール オイスターバンド ブラック ダイヤル クォーツ アナログ時計")</f>
        <v>ルミノックス メンズ ネイビー シール パシフィック ダイバー 3120 シリーズ シルバー ステンレススチール オイスターバンド ブラック ダイヤル クォーツ アナログ時計</v>
      </c>
    </row>
    <row r="812" ht="15.75" customHeight="1">
      <c r="A812" s="1">
        <v>4072.0</v>
      </c>
      <c r="B812" s="1" t="s">
        <v>6</v>
      </c>
      <c r="C812" s="1" t="s">
        <v>779</v>
      </c>
      <c r="D812" s="1" t="str">
        <f>IFERROR(__xludf.DUMMYFUNCTION("CONCATENATE(GOOGLETRANSLATE(C812, ""en"", ""zh-cn""))
"),"Luminox Bear Grylls Air 系列 GMT XB.3761 瑞士制造黑色手表")</f>
        <v>Luminox Bear Grylls Air 系列 GMT XB.3761 瑞士制造黑色手表</v>
      </c>
      <c r="E812" s="1" t="str">
        <f>IFERROR(__xludf.DUMMYFUNCTION("CONCATENATE(GOOGLETRANSLATE(C812, ""en"", ""ko""))"),"Luminox Bear Grylls Air Series GMT XB.3761 스위스 메이드 블랙 시계")</f>
        <v>Luminox Bear Grylls Air Series GMT XB.3761 스위스 메이드 블랙 시계</v>
      </c>
      <c r="F812" s="1" t="str">
        <f>IFERROR(__xludf.DUMMYFUNCTION("CONCATENATE(GOOGLETRANSLATE(C812, ""en"", ""ja""))"),"ルミノックス ベア グリルス エア シリーズ GMT XB.3761 スイス製ブラック ウォッチ")</f>
        <v>ルミノックス ベア グリルス エア シリーズ GMT XB.3761 スイス製ブラック ウォッチ</v>
      </c>
    </row>
    <row r="813" ht="15.75" customHeight="1">
      <c r="A813" s="1">
        <v>4093.0</v>
      </c>
      <c r="B813" s="1" t="s">
        <v>6</v>
      </c>
      <c r="C813" s="1" t="s">
        <v>780</v>
      </c>
      <c r="D813" s="1" t="str">
        <f>IFERROR(__xludf.DUMMYFUNCTION("CONCATENATE(GOOGLETRANSLATE(C813, ""en"", ""zh-cn""))
"),"TSAR BOMBA 豪华男士自动机械手表 - 日本机芯蓝宝石玻璃 - 50M 防水男士手表 - 方形腕表硅胶表带夜光优雅男士礼物")</f>
        <v>TSAR BOMBA 豪华男士自动机械手表 - 日本机芯蓝宝石玻璃 - 50M 防水男士手表 - 方形腕表硅胶表带夜光优雅男士礼物</v>
      </c>
      <c r="E813" s="1" t="str">
        <f>IFERROR(__xludf.DUMMYFUNCTION("CONCATENATE(GOOGLETRANSLATE(C813, ""en"", ""ko""))"),"TSAR BOMBA 럭셔리 남성용 자동 기계식 시계 - 일본식 무브먼트 사파이어 유리 - 50M 방수 남성용 시계 - 사각 손목 시계 실리콘 밴드 남성용 빛나는 우아한 선물")</f>
        <v>TSAR BOMBA 럭셔리 남성용 자동 기계식 시계 - 일본식 무브먼트 사파이어 유리 - 50M 방수 남성용 시계 - 사각 손목 시계 실리콘 밴드 남성용 빛나는 우아한 선물</v>
      </c>
      <c r="F813" s="1" t="str">
        <f>IFERROR(__xludf.DUMMYFUNCTION("CONCATENATE(GOOGLETRANSLATE(C813, ""en"", ""ja""))"),"TSAR BOMBA 高級メンズ自動機械式時計 - 日本製ムーブメント サファイアガラス - 50M 防水メンズウォッチ - スクエア腕時計 シリコンバンド 発光エレガントな男性へのギフト")</f>
        <v>TSAR BOMBA 高級メンズ自動機械式時計 - 日本製ムーブメント サファイアガラス - 50M 防水メンズウォッチ - スクエア腕時計 シリコンバンド 発光エレガントな男性へのギフト</v>
      </c>
    </row>
    <row r="814" ht="15.75" customHeight="1">
      <c r="A814" s="1">
        <v>4107.0</v>
      </c>
      <c r="B814" s="1" t="s">
        <v>6</v>
      </c>
      <c r="C814" s="1" t="s">
        <v>781</v>
      </c>
      <c r="D814" s="1" t="str">
        <f>IFERROR(__xludf.DUMMYFUNCTION("CONCATENATE(GOOGLETRANSLATE(C814, ""en"", ""zh-cn""))
"),"Luminox 海军海豹计时码表 Blackout XS.3581.BO 男士手表 45 毫米 - 黑色军用手表日期功能计时码表 200m 防水")</f>
        <v>Luminox 海军海豹计时码表 Blackout XS.3581.BO 男士手表 45 毫米 - 黑色军用手表日期功能计时码表 200m 防水</v>
      </c>
      <c r="E814" s="1" t="str">
        <f>IFERROR(__xludf.DUMMYFUNCTION("CONCATENATE(GOOGLETRANSLATE(C814, ""en"", ""ko""))"),"Luminox Navy Seal 크로노그래프 블랙아웃 XS.3581.BO 남성용 시계 45mm - 블랙 날짜 기능 크로노그래프 200m 방수 군용 시계")</f>
        <v>Luminox Navy Seal 크로노그래프 블랙아웃 XS.3581.BO 남성용 시계 45mm - 블랙 날짜 기능 크로노그래프 200m 방수 군용 시계</v>
      </c>
      <c r="F814" s="1" t="str">
        <f>IFERROR(__xludf.DUMMYFUNCTION("CONCATENATE(GOOGLETRANSLATE(C814, ""en"", ""ja""))"),"ルミノックス ネイビー シール クロノグラフ ブラックアウト XS.3581.BO メンズ ウォッチ 45mm - ブラックのミリタリーウォッチ 日付機能 クロノグラフ 200m 防水")</f>
        <v>ルミノックス ネイビー シール クロノグラフ ブラックアウト XS.3581.BO メンズ ウォッチ 45mm - ブラックのミリタリーウォッチ 日付機能 クロノグラフ 200m 防水</v>
      </c>
    </row>
    <row r="815" ht="15.75" customHeight="1">
      <c r="A815" s="1">
        <v>4123.0</v>
      </c>
      <c r="B815" s="1" t="s">
        <v>6</v>
      </c>
      <c r="C815" s="1" t="s">
        <v>782</v>
      </c>
      <c r="D815" s="1" t="str">
        <f>IFERROR(__xludf.DUMMYFUNCTION("CONCATENATE(GOOGLETRANSLATE(C815, ""en"", ""zh-cn""))
"),"Luminox Atacama Adventurer Field XL.1762 男士手表 42 毫米 - 探险手表银色/黑色日期功能 200 米防水蓝宝石玻璃")</f>
        <v>Luminox Atacama Adventurer Field XL.1762 男士手表 42 毫米 - 探险手表银色/黑色日期功能 200 米防水蓝宝石玻璃</v>
      </c>
      <c r="E815" s="1" t="str">
        <f>IFERROR(__xludf.DUMMYFUNCTION("CONCATENATE(GOOGLETRANSLATE(C815, ""en"", ""ko""))"),"Luminox Atacama Adventurer Field XL.1762 남성용 시계 42mm - 실버/블랙 날짜 기능 200m 방수 사파이어 글래스 어드벤처 시계")</f>
        <v>Luminox Atacama Adventurer Field XL.1762 남성용 시계 42mm - 실버/블랙 날짜 기능 200m 방수 사파이어 글래스 어드벤처 시계</v>
      </c>
      <c r="F815" s="1" t="str">
        <f>IFERROR(__xludf.DUMMYFUNCTION("CONCATENATE(GOOGLETRANSLATE(C815, ""en"", ""ja""))"),"ルミノックス アタカマ アドベンチャラー フィールド XL.1762 メンズ ウォッチ 42mm - アドベンチャー ウォッチ シルバー/ブラック 日付機能 200m 防水 サファイアガラス")</f>
        <v>ルミノックス アタカマ アドベンチャラー フィールド XL.1762 メンズ ウォッチ 42mm - アドベンチャー ウォッチ シルバー/ブラック 日付機能 200m 防水 サファイアガラス</v>
      </c>
    </row>
    <row r="816" ht="15.75" customHeight="1">
      <c r="A816" s="1">
        <v>4142.0</v>
      </c>
      <c r="B816" s="1" t="s">
        <v>6</v>
      </c>
      <c r="C816" s="1" t="s">
        <v>783</v>
      </c>
      <c r="D816" s="1" t="str">
        <f>IFERROR(__xludf.DUMMYFUNCTION("CONCATENATE(GOOGLETRANSLATE(C816, ""en"", ""zh-cn""))
"),"Fossil Gen 6 44 毫米触摸屏智能手表，内置 Alexa，心率，血氧，活动跟踪，GPS，扬声器，智能手机通知")</f>
        <v>Fossil Gen 6 44 毫米触摸屏智能手表，内置 Alexa，心率，血氧，活动跟踪，GPS，扬声器，智能手机通知</v>
      </c>
      <c r="E816" s="1" t="str">
        <f>IFERROR(__xludf.DUMMYFUNCTION("CONCATENATE(GOOGLETRANSLATE(C816, ""en"", ""ko""))"),"Fossil Gen 6 44mm 터치스크린 스마트워치(알렉사 내장, 심박수, 혈중 산소, 활동 추적, GPS, 스피커, 스마트폰 알림)")</f>
        <v>Fossil Gen 6 44mm 터치스크린 스마트워치(알렉사 내장, 심박수, 혈중 산소, 활동 추적, GPS, 스피커, 스마트폰 알림)</v>
      </c>
      <c r="F816" s="1" t="str">
        <f>IFERROR(__xludf.DUMMYFUNCTION("CONCATENATE(GOOGLETRANSLATE(C816, ""en"", ""ja""))"),"Fossil Gen 6 44mm タッチスクリーン スマートウォッチ、Alexa 内蔵、心拍数、血中酸素、活動追跡、GPS、スピーカー、スマートフォン通知")</f>
        <v>Fossil Gen 6 44mm タッチスクリーン スマートウォッチ、Alexa 内蔵、心拍数、血中酸素、活動追跡、GPS、スピーカー、スマートフォン通知</v>
      </c>
    </row>
    <row r="817" ht="15.75" customHeight="1">
      <c r="A817" s="1">
        <v>4163.0</v>
      </c>
      <c r="B817" s="1" t="s">
        <v>6</v>
      </c>
      <c r="C817" s="1" t="s">
        <v>784</v>
      </c>
      <c r="D817" s="1" t="str">
        <f>IFERROR(__xludf.DUMMYFUNCTION("CONCATENATE(GOOGLETRANSLATE(C817, ""en"", ""zh-cn""))
"),"施华洛世奇朗讯耳环珠宝系列，铑色饰面，蓝水晶，粉水晶")</f>
        <v>施华洛世奇朗讯耳环珠宝系列，铑色饰面，蓝水晶，粉水晶</v>
      </c>
      <c r="E817" s="1" t="str">
        <f>IFERROR(__xludf.DUMMYFUNCTION("CONCATENATE(GOOGLETRANSLATE(C817, ""en"", ""ko""))"),"스와로브스키 루센트 이어링 주얼리 컬렉션, 로듐 톤 마감, 블루 크리스탈, 핑크 크리스탈")</f>
        <v>스와로브스키 루센트 이어링 주얼리 컬렉션, 로듐 톤 마감, 블루 크리스탈, 핑크 크리스탈</v>
      </c>
      <c r="F817" s="1" t="str">
        <f>IFERROR(__xludf.DUMMYFUNCTION("CONCATENATE(GOOGLETRANSLATE(C817, ""en"", ""ja""))"),"スワロフスキー ルーセント イヤリング ジュエリー コレクション、ロジウムトーン仕上げ、ブルー クリスタル、ピンク クリスタル")</f>
        <v>スワロフスキー ルーセント イヤリング ジュエリー コレクション、ロジウムトーン仕上げ、ブルー クリスタル、ピンク クリスタル</v>
      </c>
    </row>
    <row r="818" ht="15.75" customHeight="1">
      <c r="A818" s="1">
        <v>4179.0</v>
      </c>
      <c r="B818" s="1" t="s">
        <v>6</v>
      </c>
      <c r="C818" s="1" t="s">
        <v>785</v>
      </c>
      <c r="D818" s="1" t="str">
        <f>IFERROR(__xludf.DUMMYFUNCTION("CONCATENATE(GOOGLETRANSLATE(C818, ""en"", ""zh-cn""))
"),"Timex 40 毫米 Marlin 自动皮革表带手表")</f>
        <v>Timex 40 毫米 Marlin 自动皮革表带手表</v>
      </c>
      <c r="E818" s="1" t="str">
        <f>IFERROR(__xludf.DUMMYFUNCTION("CONCATENATE(GOOGLETRANSLATE(C818, ""en"", ""ko""))"),"타이멕스 40mm 말린 오토매틱 가죽 스트랩 시계")</f>
        <v>타이멕스 40mm 말린 오토매틱 가죽 스트랩 시계</v>
      </c>
      <c r="F818" s="1" t="str">
        <f>IFERROR(__xludf.DUMMYFUNCTION("CONCATENATE(GOOGLETRANSLATE(C818, ""en"", ""ja""))"),"タイメックス 40 mm マーリン オートマチック レザーストラップ ウォッチ")</f>
        <v>タイメックス 40 mm マーリン オートマチック レザーストラップ ウォッチ</v>
      </c>
    </row>
    <row r="819" ht="15.75" customHeight="1">
      <c r="A819" s="1">
        <v>4191.0</v>
      </c>
      <c r="B819" s="1" t="s">
        <v>6</v>
      </c>
      <c r="C819" s="1" t="s">
        <v>786</v>
      </c>
      <c r="D819" s="1" t="str">
        <f>IFERROR(__xludf.DUMMYFUNCTION("CONCATENATE(GOOGLETRANSLATE(C819, ""en"", ""zh-cn""))
"),"TRIWA Nikki 女士简约手表 – 女士时尚模拟腕表 36 毫米")</f>
        <v>TRIWA Nikki 女士简约手表 – 女士时尚模拟腕表 36 毫米</v>
      </c>
      <c r="E819" s="1" t="str">
        <f>IFERROR(__xludf.DUMMYFUNCTION("CONCATENATE(GOOGLETRANSLATE(C819, ""en"", ""ko""))"),"TRIWA Nikki 여성용 미니멀리스트 시계 – 여성 패션 아날로그 손목 시계 36mm")</f>
        <v>TRIWA Nikki 여성용 미니멀리스트 시계 – 여성 패션 아날로그 손목 시계 36mm</v>
      </c>
      <c r="F819" s="1" t="str">
        <f>IFERROR(__xludf.DUMMYFUNCTION("CONCATENATE(GOOGLETRANSLATE(C819, ""en"", ""ja""))"),"TRIWA Nikki ミニマリストウォッチ 女性用 – レディースファッションアナログ腕時計 36mm")</f>
        <v>TRIWA Nikki ミニマリストウォッチ 女性用 – レディースファッションアナログ腕時計 36mm</v>
      </c>
    </row>
    <row r="820" ht="15.75" customHeight="1">
      <c r="A820" s="1">
        <v>4211.0</v>
      </c>
      <c r="B820" s="1" t="s">
        <v>6</v>
      </c>
      <c r="C820" s="1" t="s">
        <v>787</v>
      </c>
      <c r="D820" s="1" t="str">
        <f>IFERROR(__xludf.DUMMYFUNCTION("CONCATENATE(GOOGLETRANSLATE(C820, ""en"", ""zh-cn""))
"),"SEIKO SRPD77 5 运动男士手表绿色 42.5 毫米不锈钢")</f>
        <v>SEIKO SRPD77 5 运动男士手表绿色 42.5 毫米不锈钢</v>
      </c>
      <c r="E820" s="1" t="str">
        <f>IFERROR(__xludf.DUMMYFUNCTION("CONCATENATE(GOOGLETRANSLATE(C820, ""en"", ""ko""))"),"SEIKO SRPD77 5 스포츠 남성용 시계 그린 42.5mm 스테인리스 스틸")</f>
        <v>SEIKO SRPD77 5 스포츠 남성용 시계 그린 42.5mm 스테인리스 스틸</v>
      </c>
      <c r="F820" s="1" t="str">
        <f>IFERROR(__xludf.DUMMYFUNCTION("CONCATENATE(GOOGLETRANSLATE(C820, ""en"", ""ja""))"),"セイコー SRPD77 5 スポーツ メンズ 腕時計 グリーン 42.5mm ステンレススチール")</f>
        <v>セイコー SRPD77 5 スポーツ メンズ 腕時計 グリーン 42.5mm ステンレススチール</v>
      </c>
    </row>
    <row r="821" ht="15.75" customHeight="1">
      <c r="A821" s="1">
        <v>4232.0</v>
      </c>
      <c r="B821" s="1" t="s">
        <v>6</v>
      </c>
      <c r="C821" s="1" t="s">
        <v>788</v>
      </c>
      <c r="D821" s="1" t="str">
        <f>IFERROR(__xludf.DUMMYFUNCTION("CONCATENATE(GOOGLETRANSLATE(C821, ""en"", ""zh-cn""))
"),"西铁城男士运动休闲 Garrison 3 指针星期/日期生态驱动尼龙表带手表，阿拉伯标记，100 米防水，夜光指针和标记")</f>
        <v>西铁城男士运动休闲 Garrison 3 指针星期/日期生态驱动尼龙表带手表，阿拉伯标记，100 米防水，夜光指针和标记</v>
      </c>
      <c r="E821" s="1" t="str">
        <f>IFERROR(__xludf.DUMMYFUNCTION("CONCATENATE(GOOGLETRANSLATE(C821, ""en"", ""ko""))"),"Citizen 남성 스포츠 캐주얼 개리슨 3핸드 요일/날짜 에코드라이브 나일론 스트랩 시계, ​​아랍어 마커, 100미터 방수, 야광 시계 바늘 및 마커")</f>
        <v>Citizen 남성 스포츠 캐주얼 개리슨 3핸드 요일/날짜 에코드라이브 나일론 스트랩 시계, ​​아랍어 마커, 100미터 방수, 야광 시계 바늘 및 마커</v>
      </c>
      <c r="F821" s="1" t="str">
        <f>IFERROR(__xludf.DUMMYFUNCTION("CONCATENATE(GOOGLETRANSLATE(C821, ""en"", ""ja""))"),"シチズン メンズ スポーツ カジュアル ギャリソン 3 針デイ/デイト エコドライブ ナイロン ストラップ ウォッチ、アラビア語マーカー、100 メートル防水、夜光針とマーカー")</f>
        <v>シチズン メンズ スポーツ カジュアル ギャリソン 3 針デイ/デイト エコドライブ ナイロン ストラップ ウォッチ、アラビア語マーカー、100 メートル防水、夜光針とマーカー</v>
      </c>
    </row>
    <row r="822" ht="15.75" customHeight="1">
      <c r="A822" s="1">
        <v>4247.0</v>
      </c>
      <c r="B822" s="1" t="s">
        <v>6</v>
      </c>
      <c r="C822" s="1" t="s">
        <v>789</v>
      </c>
      <c r="D822" s="1" t="str">
        <f>IFERROR(__xludf.DUMMYFUNCTION("CONCATENATE(GOOGLETRANSLATE(C822, ""en"", ""zh-cn""))
"),"SEIKO 男士 SNK809 5 自动不锈钢手表带黑色帆布表带")</f>
        <v>SEIKO 男士 SNK809 5 自动不锈钢手表带黑色帆布表带</v>
      </c>
      <c r="E822" s="1" t="str">
        <f>IFERROR(__xludf.DUMMYFUNCTION("CONCATENATE(GOOGLETRANSLATE(C822, ""en"", ""ko""))"),"세이코 남성용 SNK809 5 자동 스테인리스 스틸 시계(블랙 캔버스 스트랩 포함)")</f>
        <v>세이코 남성용 SNK809 5 자동 스테인리스 스틸 시계(블랙 캔버스 스트랩 포함)</v>
      </c>
      <c r="F822" s="1" t="str">
        <f>IFERROR(__xludf.DUMMYFUNCTION("CONCATENATE(GOOGLETRANSLATE(C822, ""en"", ""ja""))"),"セイコー メンズ SNK809 5 自動巻きステンレススチールウォッチ ブラックキャンバスストラップ付き")</f>
        <v>セイコー メンズ SNK809 5 自動巻きステンレススチールウォッチ ブラックキャンバスストラップ付き</v>
      </c>
    </row>
    <row r="823" ht="15.75" customHeight="1">
      <c r="A823" s="1">
        <v>4417.0</v>
      </c>
      <c r="B823" s="1" t="s">
        <v>6</v>
      </c>
      <c r="C823" s="1" t="s">
        <v>790</v>
      </c>
      <c r="D823" s="1" t="str">
        <f>IFERROR(__xludf.DUMMYFUNCTION("CONCATENATE(GOOGLETRANSLATE(C823, ""en"", ""zh-cn""))
"),"JULYFOX 黄色天鹅绒布艺沙发，70 英寸宽中世纪现代客厅沙发 700 磅重型")</f>
        <v>JULYFOX 黄色天鹅绒布艺沙发，70 英寸宽中世纪现代客厅沙发 700 磅重型</v>
      </c>
      <c r="E823" s="1" t="str">
        <f>IFERROR(__xludf.DUMMYFUNCTION("CONCATENATE(GOOGLETRANSLATE(C823, ""en"", ""ko""))"),"JULYFOX 노란색 벨벳 패브릭 소파 소파, 70인치 폭 미드 센츄리 모던 거실 소파 700파운드 내구성")</f>
        <v>JULYFOX 노란색 벨벳 패브릭 소파 소파, 70인치 폭 미드 센츄리 모던 거실 소파 700파운드 내구성</v>
      </c>
      <c r="F823" s="1" t="str">
        <f>IFERROR(__xludf.DUMMYFUNCTION("CONCATENATE(GOOGLETRANSLATE(C823, ""en"", ""ja""))"),"JULYFOX イエローベルベット生地ソファカウチ、幅70インチミッドセンチュリーモダンリビングルームソファ700ポンド高耐久")</f>
        <v>JULYFOX イエローベルベット生地ソファカウチ、幅70インチミッドセンチュリーモダンリビングルームソファ700ポンド高耐久</v>
      </c>
    </row>
    <row r="824" ht="15.75" customHeight="1">
      <c r="A824" s="1">
        <v>4433.0</v>
      </c>
      <c r="B824" s="1" t="s">
        <v>6</v>
      </c>
      <c r="C824" s="1" t="s">
        <v>791</v>
      </c>
      <c r="D824" s="1" t="str">
        <f>IFERROR(__xludf.DUMMYFUNCTION("CONCATENATE(GOOGLETRANSLATE(C824, ""en"", ""zh-cn""))
"),"Acme Furniture 皮卡第 1 号娱乐中心，古董珍珠")</f>
        <v>Acme Furniture 皮卡第 1 号娱乐中心，古董珍珠</v>
      </c>
      <c r="E824" s="1" t="str">
        <f>IFERROR(__xludf.DUMMYFUNCTION("CONCATENATE(GOOGLETRANSLATE(C824, ""en"", ""ko""))"),"Acme Furniture Picardy 1 엔터테인먼트 센터, 골동품 진주")</f>
        <v>Acme Furniture Picardy 1 엔터테인먼트 센터, 골동품 진주</v>
      </c>
      <c r="F824" s="1" t="str">
        <f>IFERROR(__xludf.DUMMYFUNCTION("CONCATENATE(GOOGLETRANSLATE(C824, ""en"", ""ja""))"),"Acme Furniture Picardy 1 エンターテイメント センター、アンティーク パール")</f>
        <v>Acme Furniture Picardy 1 エンターテイメント センター、アンティーク パール</v>
      </c>
    </row>
    <row r="825" ht="15.75" customHeight="1">
      <c r="A825" s="1">
        <v>4458.0</v>
      </c>
      <c r="B825" s="1" t="s">
        <v>6</v>
      </c>
      <c r="C825" s="1" t="s">
        <v>792</v>
      </c>
      <c r="D825" s="1" t="str">
        <f>IFERROR(__xludf.DUMMYFUNCTION("CONCATENATE(GOOGLETRANSLATE(C825, ""en"", ""zh-cn""))
"),"香奈儿 SUBLIMAGE LE TEINT 终极亮泽粉底霜 # 30 米色")</f>
        <v>香奈儿 SUBLIMAGE LE TEINT 终极亮泽粉底霜 # 30 米色</v>
      </c>
      <c r="E825" s="1" t="str">
        <f>IFERROR(__xludf.DUMMYFUNCTION("CONCATENATE(GOOGLETRANSLATE(C825, ""en"", ""ko""))"),"샤넬 수블리마지 르 땡 얼티밋 래디언스-제너레이팅 크림 파운데이션 # 30 베이지")</f>
        <v>샤넬 수블리마지 르 땡 얼티밋 래디언스-제너레이팅 크림 파운데이션 # 30 베이지</v>
      </c>
      <c r="F825" s="1" t="str">
        <f>IFERROR(__xludf.DUMMYFUNCTION("CONCATENATE(GOOGLETRANSLATE(C825, ""en"", ""ja""))"),"シャネル サブリマージュ ル タン アルティメット ラディアンス ジェネレイティング クリーム ファンデーション # 30 ベージュ")</f>
        <v>シャネル サブリマージュ ル タン アルティメット ラディアンス ジェネレイティング クリーム ファンデーション # 30 ベージュ</v>
      </c>
    </row>
    <row r="826" ht="15.75" customHeight="1">
      <c r="A826" s="1">
        <v>4462.0</v>
      </c>
      <c r="B826" s="1" t="s">
        <v>6</v>
      </c>
      <c r="C826" s="1" t="s">
        <v>793</v>
      </c>
      <c r="D826" s="1" t="str">
        <f>IFERROR(__xludf.DUMMYFUNCTION("CONCATENATE(GOOGLETRANSLATE(C826, ""en"", ""zh-cn""))
"),"Chanel Sublimage Le Teint 终极光彩粉底霜 - # 30 米色女士粉底 1 盎司")</f>
        <v>Chanel Sublimage Le Teint 终极光彩粉底霜 - # 30 米色女士粉底 1 盎司</v>
      </c>
      <c r="E826" s="1" t="str">
        <f>IFERROR(__xludf.DUMMYFUNCTION("CONCATENATE(GOOGLETRANSLATE(C826, ""en"", ""ko""))"),"샤넬 수블리마지 르 떼 얼티밋 래디언스-제너레이팅 크림 파운데이션 - # 30 베이지 여성 파운데이션 1온스")</f>
        <v>샤넬 수블리마지 르 떼 얼티밋 래디언스-제너레이팅 크림 파운데이션 - # 30 베이지 여성 파운데이션 1온스</v>
      </c>
      <c r="F826" s="1" t="str">
        <f>IFERROR(__xludf.DUMMYFUNCTION("CONCATENATE(GOOGLETRANSLATE(C826, ""en"", ""ja""))"),"シャネル サブリマージュ ル タン アルティメット ラディアンス ジェネレーティング クリーム ファンデーション - # 30 ベージュ ウィメンズ ファンデーション 1 オンス")</f>
        <v>シャネル サブリマージュ ル タン アルティメット ラディアンス ジェネレーティング クリーム ファンデーション - # 30 ベージュ ウィメンズ ファンデーション 1 オンス</v>
      </c>
    </row>
    <row r="827" ht="15.75" customHeight="1">
      <c r="A827" s="1">
        <v>4472.0</v>
      </c>
      <c r="B827" s="1" t="s">
        <v>6</v>
      </c>
      <c r="C827" s="1" t="s">
        <v>794</v>
      </c>
      <c r="D827" s="1" t="str">
        <f>IFERROR(__xludf.DUMMYFUNCTION("CONCATENATE(GOOGLETRANSLATE(C827, ""en"", ""zh-cn""))
"),"BIOEFFECT EGF 日间精华液，含透明质酸和天然大麦生长因子，面部无油抗皱精华液，促进保湿，紧致，细致毛孔，平滑肌肤纹理，适合所有肤质")</f>
        <v>BIOEFFECT EGF 日间精华液，含透明质酸和天然大麦生长因子，面部无油抗皱精华液，促进保湿，紧致，细致毛孔，平滑肌肤纹理，适合所有肤质</v>
      </c>
      <c r="E827" s="1" t="str">
        <f>IFERROR(__xludf.DUMMYFUNCTION("CONCATENATE(GOOGLETRANSLATE(C827, ""en"", ""ko""))"),"히알루론산과 천연 보리 성장 인자가 함유된 바이오이펙트 EGF 데이 세럼, 얼굴용 오일 프리 링클 세럼, 수분 공급 강화, 퍼밍, 모공 개선, 모든 피부 타입의 피부 결을 부드럽게 해줍니다.")</f>
        <v>히알루론산과 천연 보리 성장 인자가 함유된 바이오이펙트 EGF 데이 세럼, 얼굴용 오일 프리 링클 세럼, 수분 공급 강화, 퍼밍, 모공 개선, 모든 피부 타입의 피부 결을 부드럽게 해줍니다.</v>
      </c>
      <c r="F827" s="1" t="str">
        <f>IFERROR(__xludf.DUMMYFUNCTION("CONCATENATE(GOOGLETRANSLATE(C827, ""en"", ""ja""))"),"ヒアルロン酸と天然大麦成長因子を配合したBIOEFFECT EGFデイセラム、顔用オイルフリーのシワセラム、水分補給を高め、引き締め、毛穴を引き締め、あらゆる肌タイプの肌の質感を滑らかにします")</f>
        <v>ヒアルロン酸と天然大麦成長因子を配合したBIOEFFECT EGFデイセラム、顔用オイルフリーのシワセラム、水分補給を高め、引き締め、毛穴を引き締め、あらゆる肌タイプの肌の質感を滑らかにします</v>
      </c>
    </row>
    <row r="828" ht="15.75" customHeight="1">
      <c r="A828" s="1">
        <v>4511.0</v>
      </c>
      <c r="B828" s="1" t="s">
        <v>6</v>
      </c>
      <c r="C828" s="1" t="s">
        <v>795</v>
      </c>
      <c r="D828" s="1" t="str">
        <f>IFERROR(__xludf.DUMMYFUNCTION("CONCATENATE(GOOGLETRANSLATE(C828, ""en"", ""zh-cn""))
"),"香奈儿 Sublimage .17 盎司/5 毫升终极肌肤再生质感至尊")</f>
        <v>香奈儿 Sublimage .17 盎司/5 毫升终极肌肤再生质感至尊</v>
      </c>
      <c r="E828" s="1" t="str">
        <f>IFERROR(__xludf.DUMMYFUNCTION("CONCATENATE(GOOGLETRANSLATE(C828, ""en"", ""ko""))"),"샤넬 수블리마지 .17온스 / 5ml 얼티밋 스킨 리제너레이팅 텍스쳐 슈프림")</f>
        <v>샤넬 수블리마지 .17온스 / 5ml 얼티밋 스킨 리제너레이팅 텍스쳐 슈프림</v>
      </c>
      <c r="F828" s="1" t="str">
        <f>IFERROR(__xludf.DUMMYFUNCTION("CONCATENATE(GOOGLETRANSLATE(C828, ""en"", ""ja""))"),"シャネル サブリマージュ .17 オンス / 5 ml アルティメット スキン リジェネレイティング テクスチャー シュプリーム")</f>
        <v>シャネル サブリマージュ .17 オンス / 5 ml アルティメット スキン リジェネレイティング テクスチャー シュプリーム</v>
      </c>
    </row>
    <row r="829" ht="15.75" customHeight="1">
      <c r="A829" s="1">
        <v>4556.0</v>
      </c>
      <c r="B829" s="1" t="s">
        <v>6</v>
      </c>
      <c r="C829" s="1" t="s">
        <v>796</v>
      </c>
      <c r="D829" s="1" t="str">
        <f>IFERROR(__xludf.DUMMYFUNCTION("CONCATENATE(GOOGLETRANSLATE(C829, ""en"", ""zh-cn""))
"),"SIMPEXPE玉石面膜，100%天然石玉石睡眠面膜，抗衰老玉石眼膜美容按摩工具针对浮肿的眼睛黑眼圈")</f>
        <v>SIMPEXPE玉石面膜，100%天然石玉石睡眠面膜，抗衰老玉石眼膜美容按摩工具针对浮肿的眼睛黑眼圈</v>
      </c>
      <c r="E829" s="1" t="str">
        <f>IFERROR(__xludf.DUMMYFUNCTION("CONCATENATE(GOOGLETRANSLATE(C829, ""en"", ""ko""))"),"SIMPEXPE 제이드 페이셜 마스크, 100% 천연석 제이드 수면 마스크, 안티 에이징 제이드 아이 마스크 푹신한 눈 다크 서클을 위한 뷰티 마사지 도구")</f>
        <v>SIMPEXPE 제이드 페이셜 마스크, 100% 천연석 제이드 수면 마스크, 안티 에이징 제이드 아이 마스크 푹신한 눈 다크 서클을 위한 뷰티 마사지 도구</v>
      </c>
      <c r="F829" s="1" t="str">
        <f>IFERROR(__xludf.DUMMYFUNCTION("CONCATENATE(GOOGLETRANSLATE(C829, ""en"", ""ja""))"),"SIMPEXPE 翡翠フェイシャルマスク、100% 天然石翡翠スリープマスク、アンチエイジング翡翠アイマスクふくらみ目のくま用美容マッサージツール")</f>
        <v>SIMPEXPE 翡翠フェイシャルマスク、100% 天然石翡翠スリープマスク、アンチエイジング翡翠アイマスクふくらみ目のくま用美容マッサージツール</v>
      </c>
    </row>
    <row r="830" ht="15.75" customHeight="1">
      <c r="A830" s="1">
        <v>4563.0</v>
      </c>
      <c r="B830" s="1" t="s">
        <v>6</v>
      </c>
      <c r="C830" s="1" t="s">
        <v>797</v>
      </c>
      <c r="D830" s="1" t="str">
        <f>IFERROR(__xludf.DUMMYFUNCTION("CONCATENATE(GOOGLETRANSLATE(C830, ""en"", ""zh-cn""))
"),"Mediheal 20 组合装面膜 - N.M.F、茶树、W.H.P、胶原蛋白、Vita Lightbeam - 最佳面膜组合超值多款装 - 保湿日常护肤面膜")</f>
        <v>Mediheal 20 组合装面膜 - N.M.F、茶树、W.H.P、胶原蛋白、Vita Lightbeam - 最佳面膜组合超值多款装 - 保湿日常护肤面膜</v>
      </c>
      <c r="E830" s="1" t="str">
        <f>IFERROR(__xludf.DUMMYFUNCTION("CONCATENATE(GOOGLETRANSLATE(C830, ""en"", ""ko""))"),"메디힐 20 콤보 팩 페이셜 시트 마스크 - N.M.F, 티트리, W.H.P, 콜라겐, 비타 라이트빔 - 베스트 마스크 시트 콤보 밸류 버라이어티 팩 - 수분 공급 데일리 스킨케어 시트 페이스 시트 마스크")</f>
        <v>메디힐 20 콤보 팩 페이셜 시트 마스크 - N.M.F, 티트리, W.H.P, 콜라겐, 비타 라이트빔 - 베스트 마스크 시트 콤보 밸류 버라이어티 팩 - 수분 공급 데일리 스킨케어 시트 페이스 시트 마스크</v>
      </c>
      <c r="F830" s="1" t="str">
        <f>IFERROR(__xludf.DUMMYFUNCTION("CONCATENATE(GOOGLETRANSLATE(C830, ""en"", ""ja""))"),"メディヒール 20 コンボパック フェイシャル シート マスク - N.M.F、ティー ツリー、W.H.P、コラーゲン、ビタ ライトビーム - ベスト マスク シート コンボ バリュー バラエティ パック - 保湿デイリー スキンケア シート フェイス シート マスク")</f>
        <v>メディヒール 20 コンボパック フェイシャル シート マスク - N.M.F、ティー ツリー、W.H.P、コラーゲン、ビタ ライトビーム - ベスト マスク シート コンボ バリュー バラエティ パック - 保湿デイリー スキンケア シート フェイス シート マスク</v>
      </c>
    </row>
    <row r="831" ht="15.75" customHeight="1">
      <c r="A831" s="1">
        <v>4653.0</v>
      </c>
      <c r="B831" s="1" t="s">
        <v>6</v>
      </c>
      <c r="C831" s="1" t="s">
        <v>59</v>
      </c>
      <c r="D831" s="1" t="str">
        <f>IFERROR(__xludf.DUMMYFUNCTION("CONCATENATE(GOOGLETRANSLATE(C831, ""en"", ""zh-cn""))
"),"Sidi 男士 Ergo 5 Carbon Scape 骑行鞋")</f>
        <v>Sidi 男士 Ergo 5 Carbon Scape 骑行鞋</v>
      </c>
      <c r="E831" s="1" t="str">
        <f>IFERROR(__xludf.DUMMYFUNCTION("CONCATENATE(GOOGLETRANSLATE(C831, ""en"", ""ko""))"),"Sidi 남성용 Ergo 5 카본 스케이프 사이클링")</f>
        <v>Sidi 남성용 Ergo 5 카본 스케이프 사이클링</v>
      </c>
      <c r="F831" s="1" t="str">
        <f>IFERROR(__xludf.DUMMYFUNCTION("CONCATENATE(GOOGLETRANSLATE(C831, ""en"", ""ja""))"),"シディ メンズ エルゴ 5 カーボン スケープ サイクリング")</f>
        <v>シディ メンズ エルゴ 5 カーボン スケープ サイクリング</v>
      </c>
    </row>
    <row r="832" ht="15.75" customHeight="1">
      <c r="A832" s="1">
        <v>4676.0</v>
      </c>
      <c r="B832" s="1" t="s">
        <v>6</v>
      </c>
      <c r="C832" s="1" t="s">
        <v>798</v>
      </c>
      <c r="D832" s="1" t="str">
        <f>IFERROR(__xludf.DUMMYFUNCTION("CONCATENATE(GOOGLETRANSLATE(C832, ""en"", ""zh-cn""))
"),"Giro Aries 球形成人公路自行车头盔")</f>
        <v>Giro Aries 球形成人公路自行车头盔</v>
      </c>
      <c r="E832" s="1" t="str">
        <f>IFERROR(__xludf.DUMMYFUNCTION("CONCATENATE(GOOGLETRANSLATE(C832, ""en"", ""ko""))"),"Giro Aries 구형 성인용 로드 자전거 헬멧")</f>
        <v>Giro Aries 구형 성인용 로드 자전거 헬멧</v>
      </c>
      <c r="F832" s="1" t="str">
        <f>IFERROR(__xludf.DUMMYFUNCTION("CONCATENATE(GOOGLETRANSLATE(C832, ""en"", ""ja""))"),"Giro Aries 球状大人用ロードバイク ヘルメット")</f>
        <v>Giro Aries 球状大人用ロードバイク ヘルメット</v>
      </c>
    </row>
    <row r="833" ht="15.75" customHeight="1">
      <c r="A833" s="1">
        <v>4682.0</v>
      </c>
      <c r="B833" s="1" t="s">
        <v>6</v>
      </c>
      <c r="C833" s="1" t="s">
        <v>799</v>
      </c>
      <c r="D833" s="1" t="str">
        <f>IFERROR(__xludf.DUMMYFUNCTION("CONCATENATE(GOOGLETRANSLATE(C833, ""en"", ""zh-cn""))
"),"Altor SAF 锁 - 防角磨机自行车 U 型锁")</f>
        <v>Altor SAF 锁 - 防角磨机自行车 U 型锁</v>
      </c>
      <c r="E833" s="1" t="str">
        <f>IFERROR(__xludf.DUMMYFUNCTION("CONCATENATE(GOOGLETRANSLATE(C833, ""en"", ""ko""))"),"Altor SAF 잠금 장치 - 앵글 그라인더 방지 자전거 U 잠금 장치")</f>
        <v>Altor SAF 잠금 장치 - 앵글 그라인더 방지 자전거 U 잠금 장치</v>
      </c>
      <c r="F833" s="1" t="str">
        <f>IFERROR(__xludf.DUMMYFUNCTION("CONCATENATE(GOOGLETRANSLATE(C833, ""en"", ""ja""))"),"Altor SAF ロック - アングル グラインダー プルーフ自転車 U ロック")</f>
        <v>Altor SAF ロック - アングル グラインダー プルーフ自転車 U ロック</v>
      </c>
    </row>
    <row r="834" ht="15.75" customHeight="1">
      <c r="A834" s="1">
        <v>4713.0</v>
      </c>
      <c r="B834" s="1" t="s">
        <v>6</v>
      </c>
      <c r="C834" s="1" t="s">
        <v>253</v>
      </c>
      <c r="D834" s="1" t="str">
        <f>IFERROR(__xludf.DUMMYFUNCTION("CONCATENATE(GOOGLETRANSLATE(C834, ""en"", ""zh-cn""))
"),"GAN 13 磁悬浮 UV 涂层，磁性速度魔方 3x3 无贴纸 56 毫米磁铁魔方拼图玩具，GAN 2022 旗舰")</f>
        <v>GAN 13 磁悬浮 UV 涂层，磁性速度魔方 3x3 无贴纸 56 毫米磁铁魔方拼图玩具，GAN 2022 旗舰</v>
      </c>
      <c r="E834" s="1" t="str">
        <f>IFERROR(__xludf.DUMMYFUNCTION("CONCATENATE(GOOGLETRANSLATE(C834, ""en"", ""ko""))"),"GAN 13 자기 부상 UV 코팅, 자기 속도 큐브 3x3 스티커 없는 56mm 자석 매직 큐브 퍼즐 장난감, GAN 2022 플래그십")</f>
        <v>GAN 13 자기 부상 UV 코팅, 자기 속도 큐브 3x3 스티커 없는 56mm 자석 매직 큐브 퍼즐 장난감, GAN 2022 플래그십</v>
      </c>
      <c r="F834" s="1" t="str">
        <f>IFERROR(__xludf.DUMMYFUNCTION("CONCATENATE(GOOGLETRANSLATE(C834, ""en"", ""ja""))"),"GAN 13 リニアモーターカー UV コーティング、磁気スピード キューブ 3x3 ステッカーレス 56mm マグネット マジック キューブ パズル おもちゃ、GAN 2022 フラッグシップ")</f>
        <v>GAN 13 リニアモーターカー UV コーティング、磁気スピード キューブ 3x3 ステッカーレス 56mm マグネット マジック キューブ パズル おもちゃ、GAN 2022 フラッグシップ</v>
      </c>
    </row>
    <row r="835" ht="15.75" customHeight="1">
      <c r="A835" s="1">
        <v>4723.0</v>
      </c>
      <c r="B835" s="1" t="s">
        <v>6</v>
      </c>
      <c r="C835" s="1" t="s">
        <v>254</v>
      </c>
      <c r="D835" s="1" t="str">
        <f>IFERROR(__xludf.DUMMYFUNCTION("CONCATENATE(GOOGLETRANSLATE(C835, ""en"", ""zh-cn""))
"),"CuberShop GAN 12 MagLev UV 涂层， GAN 12 M MagLev 2021 旗舰 3x3 磁力速度立方体无贴纸， GAN 12 M Pro 3x3 （GAN12 MagLev UV 速度立方体，UV 涂层光面和初级内部）")</f>
        <v>CuberShop GAN 12 MagLev UV 涂层， GAN 12 M MagLev 2021 旗舰 3x3 磁力速度立方体无贴纸， GAN 12 M Pro 3x3 （GAN12 MagLev UV 速度立方体，UV 涂层光面和初级内部）</v>
      </c>
      <c r="E835" s="1" t="str">
        <f>IFERROR(__xludf.DUMMYFUNCTION("CONCATENATE(GOOGLETRANSLATE(C835, ""en"", ""ko""))"),"CuberShop GAN 12 MagLev UV 코팅, GAN 12 M MagLev 2021 플래그십 3x3 자기 속도 큐브 스티커 없음, GAN 12 M Pro 3x3(GAN12 MagLev UV 속도 큐브, UV 코팅 광택 및 기본 내부)")</f>
        <v>CuberShop GAN 12 MagLev UV 코팅, GAN 12 M MagLev 2021 플래그십 3x3 자기 속도 큐브 스티커 없음, GAN 12 M Pro 3x3(GAN12 MagLev UV 속도 큐브, UV 코팅 광택 및 기본 내부)</v>
      </c>
      <c r="F835" s="1" t="str">
        <f>IFERROR(__xludf.DUMMYFUNCTION("CONCATENATE(GOOGLETRANSLATE(C835, ""en"", ""ja""))"),"CuberShop GAN 12 MagLev UV コーティング、GAN 12 M MagLev 2021 フラッグシップ 3x3 磁気スピード キューブ ステッカーレス、GAN 12 M Pro 3x3 (GAN12 MagLev UV スピード キューブ、UV コーティング光沢 &amp; プライマリ内部)")</f>
        <v>CuberShop GAN 12 MagLev UV コーティング、GAN 12 M MagLev 2021 フラッグシップ 3x3 磁気スピード キューブ ステッカーレス、GAN 12 M Pro 3x3 (GAN12 MagLev UV スピード キューブ、UV コーティング光沢 &amp; プライマリ内部)</v>
      </c>
    </row>
    <row r="836" ht="15.75" customHeight="1">
      <c r="A836" s="1">
        <v>4732.0</v>
      </c>
      <c r="B836" s="1" t="s">
        <v>6</v>
      </c>
      <c r="C836" s="1" t="s">
        <v>800</v>
      </c>
      <c r="D836" s="1" t="str">
        <f>IFERROR(__xludf.DUMMYFUNCTION("CONCATENATE(GOOGLETRANSLATE(C836, ""en"", ""zh-cn""))
"),"BroMocube 的 GAN 11M Pro 3x3 速度魔方 GAN 11 磁性拼图魔方 Gan11M 魔方（GAN 11 M Pro 磨砂无贴纸（黑色））")</f>
        <v>BroMocube 的 GAN 11M Pro 3x3 速度魔方 GAN 11 磁性拼图魔方 Gan11M 魔方（GAN 11 M Pro 磨砂无贴纸（黑色））</v>
      </c>
      <c r="E836" s="1" t="str">
        <f>IFERROR(__xludf.DUMMYFUNCTION("CONCATENATE(GOOGLETRANSLATE(C836, ""en"", ""ko""))"),"GAN 11M Pro 3x3 스피드 큐브 by BroMocube GAN 11 마그네틱 퍼즐 큐브 Gan11M 매직 큐브 (GAN 11 M Pro Frosted 스티커리스(검은색))")</f>
        <v>GAN 11M Pro 3x3 스피드 큐브 by BroMocube GAN 11 마그네틱 퍼즐 큐브 Gan11M 매직 큐브 (GAN 11 M Pro Frosted 스티커리스(검은색))</v>
      </c>
      <c r="F836" s="1" t="str">
        <f>IFERROR(__xludf.DUMMYFUNCTION("CONCATENATE(GOOGLETRANSLATE(C836, ""en"", ""ja""))"),"GAN 11M Pro 3x3 スピード キューブ by BroMocube GAN 11 磁気パズル キューブ Gan11M マジック キューブ (GAN 11 M Pro つや消しステッカーなし (ブラック))")</f>
        <v>GAN 11M Pro 3x3 スピード キューブ by BroMocube GAN 11 磁気パズル キューブ Gan11M マジック キューブ (GAN 11 M Pro つや消しステッカーなし (ブラック))</v>
      </c>
    </row>
    <row r="837" ht="15.75" customHeight="1">
      <c r="A837" s="1">
        <v>4733.0</v>
      </c>
      <c r="B837" s="1" t="s">
        <v>6</v>
      </c>
      <c r="C837" s="1" t="s">
        <v>453</v>
      </c>
      <c r="D837" s="1" t="str">
        <f>IFERROR(__xludf.DUMMYFUNCTION("CONCATENATE(GOOGLETRANSLATE(C837, ""en"", ""zh-cn""))
"),"GAN 356 i 3 无贴纸速度魔方，3x3 智能魔方 356 i3 甘斯磁力魔方智能跟踪计时运动步骤与 CubeStation 应用程序甘魔方拼图玩具（不含 GAN 机器人）")</f>
        <v>GAN 356 i 3 无贴纸速度魔方，3x3 智能魔方 356 i3 甘斯磁力魔方智能跟踪计时运动步骤与 CubeStation 应用程序甘魔方拼图玩具（不含 GAN 机器人）</v>
      </c>
      <c r="E837" s="1" t="str">
        <f>IFERROR(__xludf.DUMMYFUNCTION("CONCATENATE(GOOGLETRANSLATE(C837, ""en"", ""ko""))"),"GAN 356 i 3 스티커 없는 스피드 큐브, 3x3 스마트 큐브 356 i3 Gans 마그네틱 큐브 CubeStation 앱을 사용한 지능형 추적 타이밍 동작 단계 Gan 큐브 퍼즐 장난감(GAN 로봇은 포함되지 않음)")</f>
        <v>GAN 356 i 3 스티커 없는 스피드 큐브, 3x3 스마트 큐브 356 i3 Gans 마그네틱 큐브 CubeStation 앱을 사용한 지능형 추적 타이밍 동작 단계 Gan 큐브 퍼즐 장난감(GAN 로봇은 포함되지 않음)</v>
      </c>
      <c r="F837" s="1" t="str">
        <f>IFERROR(__xludf.DUMMYFUNCTION("CONCATENATE(GOOGLETRANSLATE(C837, ""en"", ""ja""))"),"GAN 356 i 3 ステッカーレス スピード キューブ、3x3 スマート キューブ 356 i3 Gans 磁気キューブ インテリジェント トラッキング タイミング動作ステップ、CubeStation アプリ付き Gan キューブ パズルおもちゃ (GAN ロボットは含まれません)")</f>
        <v>GAN 356 i 3 ステッカーレス スピード キューブ、3x3 スマート キューブ 356 i3 Gans 磁気キューブ インテリジェント トラッキング タイミング動作ステップ、CubeStation アプリ付き Gan キューブ パズルおもちゃ (GAN ロボットは含まれません)</v>
      </c>
    </row>
    <row r="838" ht="15.75" customHeight="1">
      <c r="A838" s="1">
        <v>4756.0</v>
      </c>
      <c r="B838" s="1" t="s">
        <v>51</v>
      </c>
      <c r="C838" s="1" t="s">
        <v>801</v>
      </c>
      <c r="D838" s="1" t="str">
        <f>IFERROR(__xludf.DUMMYFUNCTION("CONCATENATE(GOOGLETRANSLATE(C838, ""en"", ""zh-cn""))
"),"男式色块拼布翻盖口袋正面纽扣夹克")</f>
        <v>男式色块拼布翻盖口袋正面纽扣夹克</v>
      </c>
      <c r="E838" s="1" t="str">
        <f>IFERROR(__xludf.DUMMYFUNCTION("CONCATENATE(GOOGLETRANSLATE(C838, ""en"", ""ko""))"),"남성용 컬러 블록 패치워크 플랩 포켓 버튼 프론트 재킷")</f>
        <v>남성용 컬러 블록 패치워크 플랩 포켓 버튼 프론트 재킷</v>
      </c>
      <c r="F838" s="1" t="str">
        <f>IFERROR(__xludf.DUMMYFUNCTION("CONCATENATE(GOOGLETRANSLATE(C838, ""en"", ""ja""))"),"メンズ カラーブロック パッチワーク フラップ ポケット ボタン フロント ジャケット")</f>
        <v>メンズ カラーブロック パッチワーク フラップ ポケット ボタン フロント ジャケット</v>
      </c>
    </row>
    <row r="839" ht="15.75" customHeight="1">
      <c r="A839" s="1">
        <v>4761.0</v>
      </c>
      <c r="B839" s="1" t="s">
        <v>51</v>
      </c>
      <c r="C839" s="1" t="s">
        <v>802</v>
      </c>
      <c r="D839" s="1" t="str">
        <f>IFERROR(__xludf.DUMMYFUNCTION("CONCATENATE(GOOGLETRANSLATE(C839, ""en"", ""zh-cn""))
"),"男式民族几何印花拼接纽扣前连帽夹克")</f>
        <v>男式民族几何印花拼接纽扣前连帽夹克</v>
      </c>
      <c r="E839" s="1" t="str">
        <f>IFERROR(__xludf.DUMMYFUNCTION("CONCATENATE(GOOGLETRANSLATE(C839, ""en"", ""ko""))"),"남성용 에스닉 기하학 프린트 패치워크 버튼 프론트 후드 재킷")</f>
        <v>남성용 에스닉 기하학 프린트 패치워크 버튼 프론트 후드 재킷</v>
      </c>
      <c r="F839" s="1" t="str">
        <f>IFERROR(__xludf.DUMMYFUNCTION("CONCATENATE(GOOGLETRANSLATE(C839, ""en"", ""ja""))"),"メンズエスニック幾何学プリントパッチワークボタンフロントフード付きジャケット")</f>
        <v>メンズエスニック幾何学プリントパッチワークボタンフロントフード付きジャケット</v>
      </c>
    </row>
    <row r="840" ht="15.75" customHeight="1">
      <c r="A840" s="1">
        <v>4765.0</v>
      </c>
      <c r="B840" s="1" t="s">
        <v>6</v>
      </c>
      <c r="C840" s="1" t="s">
        <v>803</v>
      </c>
      <c r="D840" s="1" t="str">
        <f>IFERROR(__xludf.DUMMYFUNCTION("CONCATENATE(GOOGLETRANSLATE(C840, ""en"", ""zh-cn""))
"),"Apple iPhone 14 Pro，128GB，深紫色 - 无锁版（续订）")</f>
        <v>Apple iPhone 14 Pro，128GB，深紫色 - 无锁版（续订）</v>
      </c>
      <c r="E840" s="1" t="str">
        <f>IFERROR(__xludf.DUMMYFUNCTION("CONCATENATE(GOOGLETRANSLATE(C840, ""en"", ""ko""))"),"Apple iPhone 14 Pro, 128GB, 딥 퍼플 - 공기계(리뉴얼)")</f>
        <v>Apple iPhone 14 Pro, 128GB, 딥 퍼플 - 공기계(리뉴얼)</v>
      </c>
      <c r="F840" s="1" t="str">
        <f>IFERROR(__xludf.DUMMYFUNCTION("CONCATENATE(GOOGLETRANSLATE(C840, ""en"", ""ja""))"),"Apple iPhone 14 Pro、128GB、ディープパープル - ロック解除済み (更新済み)")</f>
        <v>Apple iPhone 14 Pro、128GB、ディープパープル - ロック解除済み (更新済み)</v>
      </c>
    </row>
    <row r="841" ht="15.75" customHeight="1">
      <c r="A841" s="1">
        <v>4800.0</v>
      </c>
      <c r="B841" s="1" t="s">
        <v>6</v>
      </c>
      <c r="C841" s="1" t="s">
        <v>804</v>
      </c>
      <c r="D841" s="1" t="str">
        <f>IFERROR(__xludf.DUMMYFUNCTION("CONCATENATE(GOOGLETRANSLATE(C841, ""en"", ""zh-cn""))
"),"HP 17 笔记本电脑，17.3 英寸全高清，第 13 代英特尔 10 核 i5-1335U CPU (Beat i7-1270P)，64GB DDR4 RAM，4TB PCIe SSD，英特尔 Iris Xe 显卡，WiFi 6，BT 5.3，背光键盘，Windows 11 Pro，Tichang")</f>
        <v>HP 17 笔记本电脑，17.3 英寸全高清，第 13 代英特尔 10 核 i5-1335U CPU (Beat i7-1270P)，64GB DDR4 RAM，4TB PCIe SSD，英特尔 Iris Xe 显卡，WiFi 6，BT 5.3，背光键盘，Windows 11 Pro，Tichang</v>
      </c>
      <c r="E841" s="1" t="str">
        <f>IFERROR(__xludf.DUMMYFUNCTION("CONCATENATE(GOOGLETRANSLATE(C841, ""en"", ""ko""))"),"HP 17 노트북 컴퓨터, 17.3인치 FHD, 13세대 Intel 10코어 i5-1335U CPU(Beat i7-1270P), 64GB DDR4 RAM, 4TB PCIe SSD, Intel Iris Xe 그래픽, WiFi 6, BT 5.3, 백라이트 키보드, Windows 11 Pro, Tichang")</f>
        <v>HP 17 노트북 컴퓨터, 17.3인치 FHD, 13세대 Intel 10코어 i5-1335U CPU(Beat i7-1270P), 64GB DDR4 RAM, 4TB PCIe SSD, Intel Iris Xe 그래픽, WiFi 6, BT 5.3, 백라이트 키보드, Windows 11 Pro, Tichang</v>
      </c>
      <c r="F841" s="1" t="str">
        <f>IFERROR(__xludf.DUMMYFUNCTION("CONCATENATE(GOOGLETRANSLATE(C841, ""en"", ""ja""))"),"HP 17 ラップトップ コンピューター、17.3 インチ FHD、第 13 世代インテル 10 コア i5-1335U CPU (Beat i7-1270P)、64GB DDR4 RAM、4TB PCIe SSD、インテル Iris Xe グラフィックス、WiFi 6、BT 5.3、バックライト付きキーボード、Windows 11 Pro、Tichang")</f>
        <v>HP 17 ラップトップ コンピューター、17.3 インチ FHD、第 13 世代インテル 10 コア i5-1335U CPU (Beat i7-1270P)、64GB DDR4 RAM、4TB PCIe SSD、インテル Iris Xe グラフィックス、WiFi 6、BT 5.3、バックライト付きキーボード、Windows 11 Pro、Tichang</v>
      </c>
    </row>
    <row r="842" ht="15.75" customHeight="1">
      <c r="A842" s="1">
        <v>4824.0</v>
      </c>
      <c r="B842" s="1" t="s">
        <v>6</v>
      </c>
      <c r="C842" s="1" t="s">
        <v>805</v>
      </c>
      <c r="D842" s="1" t="str">
        <f>IFERROR(__xludf.DUMMYFUNCTION("CONCATENATE(GOOGLETRANSLATE(C842, ""en"", ""zh-cn""))
"),"Apple 2024 MacBook Air 13 英寸笔记本电脑，配备 M3 芯片：13.6 英寸 Liquid Retina 显示屏、16GB 统一内存、512GB SSD 存储、背光键盘、1080p FaceTime 高清摄像头、Touch ID；深空灰色")</f>
        <v>Apple 2024 MacBook Air 13 英寸笔记本电脑，配备 M3 芯片：13.6 英寸 Liquid Retina 显示屏、16GB 统一内存、512GB SSD 存储、背光键盘、1080p FaceTime 高清摄像头、Touch ID；深空灰色</v>
      </c>
      <c r="E842" s="1" t="str">
        <f>IFERROR(__xludf.DUMMYFUNCTION("CONCATENATE(GOOGLETRANSLATE(C842, ""en"", ""ko""))"),"M3 칩을 탑재한 Apple 2024 MacBook Air 13인치 노트북: 13.6인치 Liquid Retina 디스플레이, 16GB 통합 메모리, 512GB SSD 스토리지, 백라이트 키보드, 1080p FaceTime HD 카메라, Touch ID; 스페이스 그레이")</f>
        <v>M3 칩을 탑재한 Apple 2024 MacBook Air 13인치 노트북: 13.6인치 Liquid Retina 디스플레이, 16GB 통합 메모리, 512GB SSD 스토리지, 백라이트 키보드, 1080p FaceTime HD 카메라, Touch ID; 스페이스 그레이</v>
      </c>
      <c r="F842" s="1" t="str">
        <f>IFERROR(__xludf.DUMMYFUNCTION("CONCATENATE(GOOGLETRANSLATE(C842, ""en"", ""ja""))"),"Apple 2024 MacBook Air 13 インチ ラップトップ (M3 チップ搭載): 13.6 インチ Liquid Retina ディスプレイ、16GB ユニファイド メモリ、512GB SSD ストレージ、バックライト付きキーボード、1080p FaceTime HD カメラ、Touch ID。スペースグレイ")</f>
        <v>Apple 2024 MacBook Air 13 インチ ラップトップ (M3 チップ搭載): 13.6 インチ Liquid Retina ディスプレイ、16GB ユニファイド メモリ、512GB SSD ストレージ、バックライト付きキーボード、1080p FaceTime HD カメラ、Touch ID。スペースグレイ</v>
      </c>
    </row>
    <row r="843" ht="15.75" customHeight="1">
      <c r="A843" s="1">
        <v>4838.0</v>
      </c>
      <c r="B843" s="1" t="s">
        <v>6</v>
      </c>
      <c r="C843" s="1" t="s">
        <v>806</v>
      </c>
      <c r="D843" s="1" t="str">
        <f>IFERROR(__xludf.DUMMYFUNCTION("CONCATENATE(GOOGLETRANSLATE(C843, ""en"", ""zh-cn""))
"),"戴尔 XPS 9710 笔记本电脑 (2021) | 17 英寸 FHD+ | 酷睿 i7-4TB SSD + 4TB SSD - 32GB RAM - RTX 3050 | 8 核 @ 4.6 GHz - 第 11 代 CPU Win 10 Home（更新）")</f>
        <v>戴尔 XPS 9710 笔记本电脑 (2021) | 17 英寸 FHD+ | 酷睿 i7-4TB SSD + 4TB SSD - 32GB RAM - RTX 3050 | 8 核 @ 4.6 GHz - 第 11 代 CPU Win 10 Home（更新）</v>
      </c>
      <c r="E843" s="1" t="str">
        <f>IFERROR(__xludf.DUMMYFUNCTION("CONCATENATE(GOOGLETRANSLATE(C843, ""en"", ""ko""))"),"Dell XPS 9710 노트북(2021) | 17인치 FHD+ | 코어 i7-4TB SSD + 4TB SSD - 32GB RAM - RTX 3050 | 8코어 @ 4.6GHz - 11세대 CPU Win 10 홈(리뉴얼)")</f>
        <v>Dell XPS 9710 노트북(2021) | 17인치 FHD+ | 코어 i7-4TB SSD + 4TB SSD - 32GB RAM - RTX 3050 | 8코어 @ 4.6GHz - 11세대 CPU Win 10 홈(리뉴얼)</v>
      </c>
      <c r="F843" s="1" t="str">
        <f>IFERROR(__xludf.DUMMYFUNCTION("CONCATENATE(GOOGLETRANSLATE(C843, ""en"", ""ja""))"),"Dell XPS 9710 ラップトップ (2021) | 17 インチ FHD+ | Core i7-4TB SSD + 4TB SSD - 32GB RAM - RTX 3050 | 8 コア @ 4.6 GHz - 第 11 世代 CPU Win 10 Home (リニューアル)")</f>
        <v>Dell XPS 9710 ラップトップ (2021) | 17 インチ FHD+ | Core i7-4TB SSD + 4TB SSD - 32GB RAM - RTX 3050 | 8 コア @ 4.6 GHz - 第 11 世代 CPU Win 10 Home (リニューアル)</v>
      </c>
    </row>
    <row r="844" ht="15.75" customHeight="1">
      <c r="A844" s="1">
        <v>4839.0</v>
      </c>
      <c r="B844" s="1" t="s">
        <v>6</v>
      </c>
      <c r="C844" s="1" t="s">
        <v>807</v>
      </c>
      <c r="D844" s="1" t="str">
        <f>IFERROR(__xludf.DUMMYFUNCTION("CONCATENATE(GOOGLETRANSLATE(C844, ""en"", ""zh-cn""))
"),"Apple 2023 款 MacBook Pro 笔记本电脑 M3 Max 芯片，配备 14 核 CPU、30 核 GPU：14.2 英寸 Liquid Retina XDR 显示屏、36GB 统一内存、1TB SSD 存储。适用于 iPhone/iPad；银")</f>
        <v>Apple 2023 款 MacBook Pro 笔记本电脑 M3 Max 芯片，配备 14 核 CPU、30 核 GPU：14.2 英寸 Liquid Retina XDR 显示屏、36GB 统一内存、1TB SSD 存储。适用于 iPhone/iPad；银</v>
      </c>
      <c r="E844" s="1" t="str">
        <f>IFERROR(__xludf.DUMMYFUNCTION("CONCATENATE(GOOGLETRANSLATE(C844, ""en"", ""ko""))"),"Apple 2023 MacBook Pro 노트북 M3 Max 칩, 14코어 CPU, 30코어 GPU: 14.2인치 Liquid Retina XDR 디스플레이, 36GB 통합 메모리, 1TB SSD 스토리지. iPhone/iPad에서 작동합니다. 은")</f>
        <v>Apple 2023 MacBook Pro 노트북 M3 Max 칩, 14코어 CPU, 30코어 GPU: 14.2인치 Liquid Retina XDR 디스플레이, 36GB 통합 메모리, 1TB SSD 스토리지. iPhone/iPad에서 작동합니다. 은</v>
      </c>
      <c r="F844" s="1" t="str">
        <f>IFERROR(__xludf.DUMMYFUNCTION("CONCATENATE(GOOGLETRANSLATE(C844, ""en"", ""ja""))"),"14 コア CPU、30 コア GPU を搭載した Apple 2023 MacBook Pro ラップトップ M3 Max チップ: 14.2 インチ Liquid Retina XDR ディスプレイ、36 GB ユニファイド メモリ、1 TB SSD ストレージ。 iPhone/iPad で動作します。銀")</f>
        <v>14 コア CPU、30 コア GPU を搭載した Apple 2023 MacBook Pro ラップトップ M3 Max チップ: 14.2 インチ Liquid Retina XDR ディスプレイ、36 GB ユニファイド メモリ、1 TB SSD ストレージ。 iPhone/iPad で動作します。銀</v>
      </c>
    </row>
    <row r="845" ht="15.75" customHeight="1">
      <c r="A845" s="1">
        <v>4844.0</v>
      </c>
      <c r="B845" s="1" t="s">
        <v>6</v>
      </c>
      <c r="C845" s="1" t="s">
        <v>808</v>
      </c>
      <c r="D845" s="1" t="str">
        <f>IFERROR(__xludf.DUMMYFUNCTION("CONCATENATE(GOOGLETRANSLATE(C845, ""en"", ""zh-cn""))
"),"戴尔 Alienware m18 游戏笔记本电脑 (2023) | 18 英寸 FHD+ | 酷睿 i9-2TB SSD + 2TB SSD - 64GB RAM - RTX 4070 | 24 核 @ 5.4 GHz - 第 13 代 CPU - 8GB GDDR6X Win 11 Pro（更新版）")</f>
        <v>戴尔 Alienware m18 游戏笔记本电脑 (2023) | 18 英寸 FHD+ | 酷睿 i9-2TB SSD + 2TB SSD - 64GB RAM - RTX 4070 | 24 核 @ 5.4 GHz - 第 13 代 CPU - 8GB GDDR6X Win 11 Pro（更新版）</v>
      </c>
      <c r="E845" s="1" t="str">
        <f>IFERROR(__xludf.DUMMYFUNCTION("CONCATENATE(GOOGLETRANSLATE(C845, ""en"", ""ko""))"),"Dell Alienware m18 게임용 노트북(2023) | 18인치 FHD+ | 코어 i9-2TB SSD + 2TB SSD - 64GB RAM - RTX 4070 | 24코어 @ 5.4GHz - 13세대 CPU - 8GB GDDR6X Win 11 Pro(리뉴얼)")</f>
        <v>Dell Alienware m18 게임용 노트북(2023) | 18인치 FHD+ | 코어 i9-2TB SSD + 2TB SSD - 64GB RAM - RTX 4070 | 24코어 @ 5.4GHz - 13세대 CPU - 8GB GDDR6X Win 11 Pro(리뉴얼)</v>
      </c>
      <c r="F845" s="1" t="str">
        <f>IFERROR(__xludf.DUMMYFUNCTION("CONCATENATE(GOOGLETRANSLATE(C845, ""en"", ""ja""))"),"Dell Alienware m18 ゲーミング ラップトップ (2023) | 18 インチ FHD+ | Core i9-2TB SSD + 2TB SSD - 64GB RAM - RTX 4070 | 24 コア @ 5.4 GHz - 第 13 世代 CPU - 8GB GDDR6X Win 11 Pro (リニューアル)")</f>
        <v>Dell Alienware m18 ゲーミング ラップトップ (2023) | 18 インチ FHD+ | Core i9-2TB SSD + 2TB SSD - 64GB RAM - RTX 4070 | 24 コア @ 5.4 GHz - 第 13 世代 CPU - 8GB GDDR6X Win 11 Pro (リニューアル)</v>
      </c>
    </row>
    <row r="846" ht="15.75" customHeight="1">
      <c r="A846" s="1">
        <v>5057.0</v>
      </c>
      <c r="B846" s="1" t="s">
        <v>6</v>
      </c>
      <c r="C846" s="1" t="s">
        <v>454</v>
      </c>
      <c r="D846" s="1" t="str">
        <f>IFERROR(__xludf.DUMMYFUNCTION("CONCATENATE(GOOGLETRANSLATE(C846, ""en"", ""zh-cn""))
"),"GAN 460 M 速度魔方， 4x4 磁性魔方 Gans 460M 拼图玩具（无贴纸）")</f>
        <v>GAN 460 M 速度魔方， 4x4 磁性魔方 Gans 460M 拼图玩具（无贴纸）</v>
      </c>
      <c r="E846" s="1" t="str">
        <f>IFERROR(__xludf.DUMMYFUNCTION("CONCATENATE(GOOGLETRANSLATE(C846, ""en"", ""ko""))"),"GAN 460 M 스피드 큐브, 4x4 마그네틱 마스터 큐브 Gans 460M 퍼즐 장난감(스티커 없음)")</f>
        <v>GAN 460 M 스피드 큐브, 4x4 마그네틱 마스터 큐브 Gans 460M 퍼즐 장난감(스티커 없음)</v>
      </c>
      <c r="F846" s="1" t="str">
        <f>IFERROR(__xludf.DUMMYFUNCTION("CONCATENATE(GOOGLETRANSLATE(C846, ""en"", ""ja""))"),"GAN 460 M スピード キューブ、4x4 磁気マスター キューブ Gans 460M パズルおもちゃ (ステッカーなし)")</f>
        <v>GAN 460 M スピード キューブ、4x4 磁気マスター キューブ Gans 460M パズルおもちゃ (ステッカーなし)</v>
      </c>
    </row>
    <row r="847" ht="15.75" customHeight="1">
      <c r="A847" s="1">
        <v>5059.0</v>
      </c>
      <c r="B847" s="1" t="s">
        <v>51</v>
      </c>
      <c r="C847" s="1" t="s">
        <v>55</v>
      </c>
      <c r="D847" s="1" t="str">
        <f>IFERROR(__xludf.DUMMYFUNCTION("CONCATENATE(GOOGLETRANSLATE(C847, ""en"", ""zh-cn""))
"),"男式拼色刺绣前拉链灯芯绒夹克")</f>
        <v>男式拼色刺绣前拉链灯芯绒夹克</v>
      </c>
      <c r="E847" s="1" t="str">
        <f>IFERROR(__xludf.DUMMYFUNCTION("CONCATENATE(GOOGLETRANSLATE(C847, ""en"", ""ko""))"),"남성용 컬러 블록 패치워크 자수 지퍼 프론트 코듀로이 재킷")</f>
        <v>남성용 컬러 블록 패치워크 자수 지퍼 프론트 코듀로이 재킷</v>
      </c>
      <c r="F847" s="1" t="str">
        <f>IFERROR(__xludf.DUMMYFUNCTION("CONCATENATE(GOOGLETRANSLATE(C847, ""en"", ""ja""))"),"メンズ カラーブロック パッチワーク 刺繍 ジップ フロント コーデュロイ ジャケット")</f>
        <v>メンズ カラーブロック パッチワーク 刺繍 ジップ フロント コーデュロイ ジャケット</v>
      </c>
    </row>
    <row r="848" ht="15.75" customHeight="1">
      <c r="A848" s="1">
        <v>5062.0</v>
      </c>
      <c r="B848" s="1" t="s">
        <v>51</v>
      </c>
      <c r="C848" s="1" t="s">
        <v>809</v>
      </c>
      <c r="D848" s="1" t="str">
        <f>IFERROR(__xludf.DUMMYFUNCTION("CONCATENATE(GOOGLETRANSLATE(C848, ""en"", ""zh-cn""))
"),"男式民族部落图案拼布灯芯绒连帽衬衫夹克")</f>
        <v>男式民族部落图案拼布灯芯绒连帽衬衫夹克</v>
      </c>
      <c r="E848" s="1" t="str">
        <f>IFERROR(__xludf.DUMMYFUNCTION("CONCATENATE(GOOGLETRANSLATE(C848, ""en"", ""ko""))"),"남성용 에스닉 트라이벌 패턴 패치워크 코듀로이 후드 셔츠 재킷")</f>
        <v>남성용 에스닉 트라이벌 패턴 패치워크 코듀로이 후드 셔츠 재킷</v>
      </c>
      <c r="F848" s="1" t="str">
        <f>IFERROR(__xludf.DUMMYFUNCTION("CONCATENATE(GOOGLETRANSLATE(C848, ""en"", ""ja""))"),"メンズエスニックトライバルパターンパッチワークコーデュロイフード付きシャツジャケット")</f>
        <v>メンズエスニックトライバルパターンパッチワークコーデュロイフード付きシャツジャケット</v>
      </c>
    </row>
    <row r="849" ht="15.75" customHeight="1">
      <c r="A849" s="1">
        <v>5067.0</v>
      </c>
      <c r="B849" s="1" t="s">
        <v>51</v>
      </c>
      <c r="C849" s="1" t="s">
        <v>810</v>
      </c>
      <c r="D849" s="1" t="str">
        <f>IFERROR(__xludf.DUMMYFUNCTION("CONCATENATE(GOOGLETRANSLATE(C849, ""en"", ""zh-cn""))
"),"男士不对称部落印花短袖 O 领 T 恤")</f>
        <v>男士不对称部落印花短袖 O 领 T 恤</v>
      </c>
      <c r="E849" s="1" t="str">
        <f>IFERROR(__xludf.DUMMYFUNCTION("CONCATENATE(GOOGLETRANSLATE(C849, ""en"", ""ko""))"),"남성용 비대칭 부족 프린트 반소매 O 넥 티셔츠")</f>
        <v>남성용 비대칭 부족 프린트 반소매 O 넥 티셔츠</v>
      </c>
      <c r="F849" s="1" t="str">
        <f>IFERROR(__xludf.DUMMYFUNCTION("CONCATENATE(GOOGLETRANSLATE(C849, ""en"", ""ja""))"),"メンズ非対称トライバルプリント半袖 O ネック T シャツ")</f>
        <v>メンズ非対称トライバルプリント半袖 O ネック T シャツ</v>
      </c>
    </row>
    <row r="850" ht="15.75" customHeight="1">
      <c r="A850" s="1">
        <v>5081.0</v>
      </c>
      <c r="B850" s="1" t="s">
        <v>6</v>
      </c>
      <c r="C850" s="1" t="s">
        <v>246</v>
      </c>
      <c r="D850" s="1" t="str">
        <f>IFERROR(__xludf.DUMMYFUNCTION("CONCATENATE(GOOGLETRANSLATE(C850, ""en"", ""zh-cn""))
"),"Fitnessandfun 33 英尺巨大户外充气电影屏幕，包括鼓风机 - 无缝正投影和背投影 - 便携式吹爆投影仪屏幕，适用于教堂、盛大派对、后院泳池乐趣（33 英尺）")</f>
        <v>Fitnessandfun 33 英尺巨大户外充气电影屏幕，包括鼓风机 - 无缝正投影和背投影 - 便携式吹爆投影仪屏幕，适用于教堂、盛大派对、后院泳池乐趣（33 英尺）</v>
      </c>
      <c r="E850" s="1" t="str">
        <f>IFERROR(__xludf.DUMMYFUNCTION("CONCATENATE(GOOGLETRANSLATE(C850, ""en"", ""ko""))"),"Fitnessandfun 33' 야외용 대형 풍선 영화 스크린 송풍기 포함 - 원활한 전면 및 후면 프로젝션 - 교회, 대규모 파티, 뒷마당 수영장 놀이용 휴대용 팽창 프로젝터 스크린(33피트)")</f>
        <v>Fitnessandfun 33' 야외용 대형 풍선 영화 스크린 송풍기 포함 - 원활한 전면 및 후면 프로젝션 - 교회, 대규모 파티, 뒷마당 수영장 놀이용 휴대용 팽창 프로젝터 스크린(33피트)</v>
      </c>
      <c r="F850" s="1" t="str">
        <f>IFERROR(__xludf.DUMMYFUNCTION("CONCATENATE(GOOGLETRANSLATE(C850, ""en"", ""ja""))"),"fitnessandfun 33フィートの巨大なインフレータブルムービースクリーン屋外用送風機付き - シームレスなフロントとリアの投影 - 教会、グランドパーティー、裏庭のプールファン用のポータブルブローアッププロジェクタースクリーン(33フィート)")</f>
        <v>fitnessandfun 33フィートの巨大なインフレータブルムービースクリーン屋外用送風機付き - シームレスなフロントとリアの投影 - 教会、グランドパーティー、裏庭のプールファン用のポータブルブローアッププロジェクタースクリーン(33フィート)</v>
      </c>
    </row>
    <row r="851" ht="15.75" customHeight="1">
      <c r="A851" s="1">
        <v>5147.0</v>
      </c>
      <c r="B851" s="1" t="s">
        <v>6</v>
      </c>
      <c r="C851" s="1" t="s">
        <v>610</v>
      </c>
      <c r="D851" s="1" t="str">
        <f>IFERROR(__xludf.DUMMYFUNCTION("CONCATENATE(GOOGLETRANSLATE(C851, ""en"", ""zh-cn""))
"),"BFSB5 链传动室内自行车")</f>
        <v>BFSB5 链传动室内自行车</v>
      </c>
      <c r="E851" s="1" t="str">
        <f>IFERROR(__xludf.DUMMYFUNCTION("CONCATENATE(GOOGLETRANSLATE(C851, ""en"", ""ko""))"),"BFSB5 체인 드라이브 실내 사이클링 자전거")</f>
        <v>BFSB5 체인 드라이브 실내 사이클링 자전거</v>
      </c>
      <c r="F851" s="1" t="str">
        <f>IFERROR(__xludf.DUMMYFUNCTION("CONCATENATE(GOOGLETRANSLATE(C851, ""en"", ""ja""))"),"BFSB5 チェーンドライブインドアサイクリングバイク")</f>
        <v>BFSB5 チェーンドライブインドアサイクリングバイク</v>
      </c>
    </row>
    <row r="852" ht="15.75" customHeight="1">
      <c r="A852" s="1">
        <v>5181.0</v>
      </c>
      <c r="B852" s="1" t="s">
        <v>51</v>
      </c>
      <c r="C852" s="1" t="s">
        <v>811</v>
      </c>
      <c r="D852" s="1" t="str">
        <f>IFERROR(__xludf.DUMMYFUNCTION("CONCATENATE(GOOGLETRANSLATE(C852, ""en"", ""zh-cn""))
"),"男式笑脸刺绣按扣毛绒内衬连帽夹克")</f>
        <v>男式笑脸刺绣按扣毛绒内衬连帽夹克</v>
      </c>
      <c r="E852" s="1" t="str">
        <f>IFERROR(__xludf.DUMMYFUNCTION("CONCATENATE(GOOGLETRANSLATE(C852, ""en"", ""ko""))"),"남성용 스마일 페이스 자수 스냅 버튼 플러시 라이닝 후드 재킷")</f>
        <v>남성용 스마일 페이스 자수 스냅 버튼 플러시 라이닝 후드 재킷</v>
      </c>
      <c r="F852" s="1" t="str">
        <f>IFERROR(__xludf.DUMMYFUNCTION("CONCATENATE(GOOGLETRANSLATE(C852, ""en"", ""ja""))"),"メンズスマイルフェイス刺繍スナップボタンプラッシュ裏地付きフード付きジャケット")</f>
        <v>メンズスマイルフェイス刺繍スナップボタンプラッシュ裏地付きフード付きジャケット</v>
      </c>
    </row>
    <row r="853" ht="15.75" customHeight="1">
      <c r="A853" s="1">
        <v>5202.0</v>
      </c>
      <c r="B853" s="1" t="s">
        <v>51</v>
      </c>
      <c r="C853" s="1" t="s">
        <v>812</v>
      </c>
      <c r="D853" s="1" t="str">
        <f>IFERROR(__xludf.DUMMYFUNCTION("CONCATENATE(GOOGLETRANSLATE(C853, ""en"", ""zh-cn""))
"),"男式复古几何图案拼布小高领短袖 T 恤")</f>
        <v>男式复古几何图案拼布小高领短袖 T 恤</v>
      </c>
      <c r="E853" s="1" t="str">
        <f>IFERROR(__xludf.DUMMYFUNCTION("CONCATENATE(GOOGLETRANSLATE(C853, ""en"", ""ko""))"),"남성 빈티지 기하학적 패턴 패치워크 모크 넥 반팔 티셔츠")</f>
        <v>남성 빈티지 기하학적 패턴 패치워크 모크 넥 반팔 티셔츠</v>
      </c>
      <c r="F853" s="1" t="str">
        <f>IFERROR(__xludf.DUMMYFUNCTION("CONCATENATE(GOOGLETRANSLATE(C853, ""en"", ""ja""))"),"メンズヴィンテージ幾何学模様パッチワークモックネック半袖Tシャツ")</f>
        <v>メンズヴィンテージ幾何学模様パッチワークモックネック半袖Tシャツ</v>
      </c>
    </row>
    <row r="854" ht="15.75" customHeight="1">
      <c r="A854" s="1">
        <v>5228.0</v>
      </c>
      <c r="B854" s="1" t="s">
        <v>6</v>
      </c>
      <c r="C854" s="1" t="s">
        <v>797</v>
      </c>
      <c r="D854" s="1" t="str">
        <f>IFERROR(__xludf.DUMMYFUNCTION("CONCATENATE(GOOGLETRANSLATE(C854, ""en"", ""zh-cn""))
"),"Mediheal 20 组合装面膜 - N.M.F、茶树、W.H.P、胶原蛋白、Vita Lightbeam - 最佳面膜组合超值多款装 - 保湿日常护肤面膜")</f>
        <v>Mediheal 20 组合装面膜 - N.M.F、茶树、W.H.P、胶原蛋白、Vita Lightbeam - 最佳面膜组合超值多款装 - 保湿日常护肤面膜</v>
      </c>
      <c r="E854" s="1" t="str">
        <f>IFERROR(__xludf.DUMMYFUNCTION("CONCATENATE(GOOGLETRANSLATE(C854, ""en"", ""ko""))"),"메디힐 20 콤보 팩 페이셜 시트 마스크 - N.M.F, 티트리, W.H.P, 콜라겐, 비타 라이트빔 - 베스트 마스크 시트 콤보 밸류 버라이어티 팩 - 수분 공급 데일리 스킨케어 시트 페이스 시트 마스크")</f>
        <v>메디힐 20 콤보 팩 페이셜 시트 마스크 - N.M.F, 티트리, W.H.P, 콜라겐, 비타 라이트빔 - 베스트 마스크 시트 콤보 밸류 버라이어티 팩 - 수분 공급 데일리 스킨케어 시트 페이스 시트 마스크</v>
      </c>
      <c r="F854" s="1" t="str">
        <f>IFERROR(__xludf.DUMMYFUNCTION("CONCATENATE(GOOGLETRANSLATE(C854, ""en"", ""ja""))"),"メディヒール 20 コンボパック フェイシャル シート マスク - N.M.F、ティー ツリー、W.H.P、コラーゲン、ビタ ライトビーム - ベスト マスク シート コンボ バリュー バラエティ パック - 保湿デイリー スキンケア シート フェイス シート マスク")</f>
        <v>メディヒール 20 コンボパック フェイシャル シート マスク - N.M.F、ティー ツリー、W.H.P、コラーゲン、ビタ ライトビーム - ベスト マスク シート コンボ バリュー バラエティ パック - 保湿デイリー スキンケア シート フェイス シート マスク</v>
      </c>
    </row>
    <row r="855" ht="15.75" customHeight="1">
      <c r="A855" s="1">
        <v>5277.0</v>
      </c>
      <c r="B855" s="1" t="s">
        <v>51</v>
      </c>
      <c r="C855" s="1" t="s">
        <v>813</v>
      </c>
      <c r="D855" s="1" t="str">
        <f>IFERROR(__xludf.DUMMYFUNCTION("CONCATENATE(GOOGLETRANSLATE(C855, ""en"", ""zh-cn""))
"),"男式卡通宇航员印花圆领短袖 T 恤")</f>
        <v>男式卡通宇航员印花圆领短袖 T 恤</v>
      </c>
      <c r="E855" s="1" t="str">
        <f>IFERROR(__xludf.DUMMYFUNCTION("CONCATENATE(GOOGLETRANSLATE(C855, ""en"", ""ko""))"),"남성용 만화 우주 비행사 프린트 크루넥 반팔 티셔츠")</f>
        <v>남성용 만화 우주 비행사 프린트 크루넥 반팔 티셔츠</v>
      </c>
      <c r="F855" s="1" t="str">
        <f>IFERROR(__xludf.DUMMYFUNCTION("CONCATENATE(GOOGLETRANSLATE(C855, ""en"", ""ja""))"),"メンズ漫画宇宙飛行士プリントクルーネック半袖 T シャツ")</f>
        <v>メンズ漫画宇宙飛行士プリントクルーネック半袖 T シャツ</v>
      </c>
    </row>
    <row r="856" ht="15.75" customHeight="1">
      <c r="A856" s="1">
        <v>5299.0</v>
      </c>
      <c r="B856" s="1" t="s">
        <v>6</v>
      </c>
      <c r="C856" s="1" t="s">
        <v>249</v>
      </c>
      <c r="D856" s="1" t="str">
        <f>IFERROR(__xludf.DUMMYFUNCTION("CONCATENATE(GOOGLETRANSLATE(C856, ""en"", ""zh-cn""))
"),"博克芬诺 GAN12 磁悬浮 UV 速度魔方 3x3 磁性无贴纸 GAN12 M MagLev 紫外线拼图魔术 3x3x3 儿童玩具立方体 UV 涂层光面")</f>
        <v>博克芬诺 GAN12 磁悬浮 UV 速度魔方 3x3 磁性无贴纸 GAN12 M MagLev 紫外线拼图魔术 3x3x3 儿童玩具立方体 UV 涂层光面</v>
      </c>
      <c r="E856" s="1" t="str">
        <f>IFERROR(__xludf.DUMMYFUNCTION("CONCATENATE(GOOGLETRANSLATE(C856, ""en"", ""ko""))"),"Bokefenuo GAN12 자기 부상 UV 스피드 큐브 3x3 자기 스티커가 없는 GAN12 M 자기 부상 UV 퍼즐 매직 3x3x3 장난감 키즈 큐브 UV 코팅 광택")</f>
        <v>Bokefenuo GAN12 자기 부상 UV 스피드 큐브 3x3 자기 스티커가 없는 GAN12 M 자기 부상 UV 퍼즐 매직 3x3x3 장난감 키즈 큐브 UV 코팅 광택</v>
      </c>
      <c r="F856" s="1" t="str">
        <f>IFERROR(__xludf.DUMMYFUNCTION("CONCATENATE(GOOGLETRANSLATE(C856, ""en"", ""ja""))"),"Bokefenuo GAN12 マグレブ UV スピードキューブ 3x3 磁気ステッカーレス GAN12 M MagLev UV パズルマジック 3x3x3 おもちゃ子供キューブ UV コーティングされた光沢のある")</f>
        <v>Bokefenuo GAN12 マグレブ UV スピードキューブ 3x3 磁気ステッカーレス GAN12 M MagLev UV パズルマジック 3x3x3 おもちゃ子供キューブ UV コーティングされた光沢のある</v>
      </c>
    </row>
    <row r="857" ht="15.75" customHeight="1">
      <c r="A857" s="1">
        <v>5305.0</v>
      </c>
      <c r="B857" s="1" t="s">
        <v>6</v>
      </c>
      <c r="C857" s="1" t="s">
        <v>814</v>
      </c>
      <c r="D857" s="1" t="str">
        <f>IFERROR(__xludf.DUMMYFUNCTION("CONCATENATE(GOOGLETRANSLATE(C857, ""en"", ""zh-cn""))
"),"Giro 男士公路自行车鞋， 33 EU")</f>
        <v>Giro 男士公路自行车鞋， 33 EU</v>
      </c>
      <c r="E857" s="1" t="str">
        <f>IFERROR(__xludf.DUMMYFUNCTION("CONCATENATE(GOOGLETRANSLATE(C857, ""en"", ""ko""))"),"Giro 남성용 로드 자전거 신발, 33 EU")</f>
        <v>Giro 남성용 로드 자전거 신발, 33 EU</v>
      </c>
      <c r="F857" s="1" t="str">
        <f>IFERROR(__xludf.DUMMYFUNCTION("CONCATENATE(GOOGLETRANSLATE(C857, ""en"", ""ja""))"),"Giro メンズ ロードバイク シューズ、33 EU")</f>
        <v>Giro メンズ ロードバイク シューズ、33 EU</v>
      </c>
    </row>
    <row r="858" ht="15.75" customHeight="1">
      <c r="A858" s="1">
        <v>5310.0</v>
      </c>
      <c r="B858" s="1" t="s">
        <v>6</v>
      </c>
      <c r="C858" s="1" t="s">
        <v>815</v>
      </c>
      <c r="D858" s="1" t="str">
        <f>IFERROR(__xludf.DUMMYFUNCTION("CONCATENATE(GOOGLETRANSLATE(C858, ""en"", ""zh-cn""))
"),"Alexia D371-E063 冥想座椅（布料，沙色）")</f>
        <v>Alexia D371-E063 冥想座椅（布料，沙色）</v>
      </c>
      <c r="E858" s="1" t="str">
        <f>IFERROR(__xludf.DUMMYFUNCTION("CONCATENATE(GOOGLETRANSLATE(C858, ""en"", ""ko""))"),"알렉시아 D371-E063 명상의자 (천, 모래)")</f>
        <v>알렉시아 D371-E063 명상의자 (천, 모래)</v>
      </c>
      <c r="F858" s="1" t="str">
        <f>IFERROR(__xludf.DUMMYFUNCTION("CONCATENATE(GOOGLETRANSLATE(C858, ""en"", ""ja""))"),"Alexia D371-E063 瞑想シート (ファブリック、サンド)")</f>
        <v>Alexia D371-E063 瞑想シート (ファブリック、サンド)</v>
      </c>
    </row>
    <row r="859" ht="15.75" customHeight="1">
      <c r="A859" s="1">
        <v>5336.0</v>
      </c>
      <c r="B859" s="1" t="s">
        <v>6</v>
      </c>
      <c r="C859" s="1" t="s">
        <v>816</v>
      </c>
      <c r="D859" s="1" t="str">
        <f>IFERROR(__xludf.DUMMYFUNCTION("CONCATENATE(GOOGLETRANSLATE(C859, ""en"", ""zh-cn""))
"),"Apple iPad Pro（128GB，Wi-Fi，深空灰）12.9 英寸平板电脑（续订）")</f>
        <v>Apple iPad Pro（128GB，Wi-Fi，深空灰）12.9 英寸平板电脑（续订）</v>
      </c>
      <c r="E859" s="1" t="str">
        <f>IFERROR(__xludf.DUMMYFUNCTION("CONCATENATE(GOOGLETRANSLATE(C859, ""en"", ""ko""))"),"애플 아이패드 프로(128GB, Wi-Fi, 스페이스 그레이) 12.9인치 태블릿(리뉴얼)")</f>
        <v>애플 아이패드 프로(128GB, Wi-Fi, 스페이스 그레이) 12.9인치 태블릿(리뉴얼)</v>
      </c>
      <c r="F859" s="1" t="str">
        <f>IFERROR(__xludf.DUMMYFUNCTION("CONCATENATE(GOOGLETRANSLATE(C859, ""en"", ""ja""))"),"Apple iPad Pro (128GB、Wi-Fi、スペースグレイ) 12.9インチタブレット (リニューアル版)")</f>
        <v>Apple iPad Pro (128GB、Wi-Fi、スペースグレイ) 12.9インチタブレット (リニューアル版)</v>
      </c>
    </row>
    <row r="860" ht="15.75" customHeight="1">
      <c r="A860" s="1">
        <v>5342.0</v>
      </c>
      <c r="B860" s="1" t="s">
        <v>6</v>
      </c>
      <c r="C860" s="1" t="s">
        <v>62</v>
      </c>
      <c r="D860" s="1" t="str">
        <f>IFERROR(__xludf.DUMMYFUNCTION("CONCATENATE(GOOGLETRANSLATE(C860, ""en"", ""zh-cn""))
"),"ALL4JIG 1500 件便携式带腿拼图桌，可调节拼图板，带 4 个抽屉和盖子，3 倾斜角度成人拼图桌")</f>
        <v>ALL4JIG 1500 件便携式带腿拼图桌，可调节拼图板，带 4 个抽屉和盖子，3 倾斜角度成人拼图桌</v>
      </c>
      <c r="E860" s="1" t="str">
        <f>IFERROR(__xludf.DUMMYFUNCTION("CONCATENATE(GOOGLETRANSLATE(C860, ""en"", ""ko""))"),"ALL4JIG 1500PCS 다리가 있는 휴대용 퍼즐 테이블, 4개의 서랍과 커버가 있는 조정 가능한 직소 퍼즐 보드, 성인을 위한 3-틸팅 각도 직소 퍼즐 테이블")</f>
        <v>ALL4JIG 1500PCS 다리가 있는 휴대용 퍼즐 테이블, 4개의 서랍과 커버가 있는 조정 가능한 직소 퍼즐 보드, 성인을 위한 3-틸팅 각도 직소 퍼즐 테이블</v>
      </c>
      <c r="F860" s="1" t="str">
        <f>IFERROR(__xludf.DUMMYFUNCTION("CONCATENATE(GOOGLETRANSLATE(C860, ""en"", ""ja""))"),"ALL4JIG 1500PCS 脚付きポータブルパズルテーブル、引き出し4つとカバー付き調節可能なジグソーパズルボード、大人用3傾斜角度ジグソーパズルテーブル")</f>
        <v>ALL4JIG 1500PCS 脚付きポータブルパズルテーブル、引き出し4つとカバー付き調節可能なジグソーパズルボード、大人用3傾斜角度ジグソーパズルテーブル</v>
      </c>
    </row>
    <row r="861" ht="15.75" customHeight="1">
      <c r="A861" s="1">
        <v>5351.0</v>
      </c>
      <c r="B861" s="1" t="s">
        <v>6</v>
      </c>
      <c r="C861" s="1" t="s">
        <v>252</v>
      </c>
      <c r="D861" s="1" t="str">
        <f>IFERROR(__xludf.DUMMYFUNCTION("CONCATENATE(GOOGLETRANSLATE(C861, ""en"", ""zh-cn""))
"),"带抽屉和盖垫的拼图板 - 拼图桌，带防滑表面，可容纳 1500 块 35x27 便携式拼图板，适合成人和儿童，用于存放正在进行的拼图")</f>
        <v>带抽屉和盖垫的拼图板 - 拼图桌，带防滑表面，可容纳 1500 块 35x27 便携式拼图板，适合成人和儿童，用于存放正在进行的拼图</v>
      </c>
      <c r="E861" s="1" t="str">
        <f>IFERROR(__xludf.DUMMYFUNCTION("CONCATENATE(GOOGLETRANSLATE(C861, ""en"", ""ko""))"),"서랍과 커버가 있는 퍼즐 보드 미끄럼 방지 표면이 있는 매트 직소 퍼즐 테이블은 1500개 조각을 지탱합니다. 35x27 진행 중인 퍼즐 보관을 위한 성인 및 어린이용 휴대용 퍼즐 보드")</f>
        <v>서랍과 커버가 있는 퍼즐 보드 미끄럼 방지 표면이 있는 매트 직소 퍼즐 테이블은 1500개 조각을 지탱합니다. 35x27 진행 중인 퍼즐 보관을 위한 성인 및 어린이용 휴대용 퍼즐 보드</v>
      </c>
      <c r="F861" s="1" t="str">
        <f>IFERROR(__xludf.DUMMYFUNCTION("CONCATENATE(GOOGLETRANSLATE(C861, ""en"", ""ja""))"),"引き出しとカバー付きパズルボード マットジグソーパズルテーブル 滑り止め表面付き 1500ピースまで保持可能 35x27 ポータブルパズルボード 大人と子供向け 進行中のパズルの保管用")</f>
        <v>引き出しとカバー付きパズルボード マットジグソーパズルテーブル 滑り止め表面付き 1500ピースまで保持可能 35x27 ポータブルパズルボード 大人と子供向け 進行中のパズルの保管用</v>
      </c>
    </row>
    <row r="862" ht="15.75" customHeight="1">
      <c r="A862" s="1">
        <v>5359.0</v>
      </c>
      <c r="B862" s="1" t="s">
        <v>6</v>
      </c>
      <c r="C862" s="1" t="s">
        <v>817</v>
      </c>
      <c r="D862" s="1" t="str">
        <f>IFERROR(__xludf.DUMMYFUNCTION("CONCATENATE(GOOGLETRANSLATE(C862, ""en"", ""zh-cn""))
"),"iPhone 13 Pro，128GB，Sierra Blue - 已解锁（续订高级版）")</f>
        <v>iPhone 13 Pro，128GB，Sierra Blue - 已解锁（续订高级版）</v>
      </c>
      <c r="E862" s="1" t="str">
        <f>IFERROR(__xludf.DUMMYFUNCTION("CONCATENATE(GOOGLETRANSLATE(C862, ""en"", ""ko""))"),"iPhone 13 Pro, 128GB, Sierra Blue - 공기계(리뉴얼 프리미엄)")</f>
        <v>iPhone 13 Pro, 128GB, Sierra Blue - 공기계(리뉴얼 프리미엄)</v>
      </c>
      <c r="F862" s="1" t="str">
        <f>IFERROR(__xludf.DUMMYFUNCTION("CONCATENATE(GOOGLETRANSLATE(C862, ""en"", ""ja""))"),"iPhone 13 Pro、128GB、シエラブルー - ロック解除済み (リニューアルプレミアム)")</f>
        <v>iPhone 13 Pro、128GB、シエラブルー - ロック解除済み (リニューアルプレミアム)</v>
      </c>
    </row>
    <row r="863" ht="15.75" customHeight="1">
      <c r="A863" s="1">
        <v>5369.0</v>
      </c>
      <c r="B863" s="1" t="s">
        <v>6</v>
      </c>
      <c r="C863" s="1" t="s">
        <v>68</v>
      </c>
      <c r="D863" s="1" t="str">
        <f>IFERROR(__xludf.DUMMYFUNCTION("CONCATENATE(GOOGLETRANSLATE(C863, ""en"", ""zh-cn""))
"),"Cuberspeed GAN 13 uv 涂层 MagLev 无贴纸 3x3 速度立方拼图 gan13 maglev uv 涂层旗舰拼图")</f>
        <v>Cuberspeed GAN 13 uv 涂层 MagLev 无贴纸 3x3 速度立方拼图 gan13 maglev uv 涂层旗舰拼图</v>
      </c>
      <c r="E863" s="1" t="str">
        <f>IFERROR(__xludf.DUMMYFUNCTION("CONCATENATE(GOOGLETRANSLATE(C863, ""en"", ""ko""))"),"Cuberspeed GAN 13 uv 코팅 MagLev 스티커가 없는 3x3 스피드 큐브 퍼즐 gan13 maglev uv 코팅 플래그십 퍼즐")</f>
        <v>Cuberspeed GAN 13 uv 코팅 MagLev 스티커가 없는 3x3 스피드 큐브 퍼즐 gan13 maglev uv 코팅 플래그십 퍼즐</v>
      </c>
      <c r="F863" s="1" t="str">
        <f>IFERROR(__xludf.DUMMYFUNCTION("CONCATENATE(GOOGLETRANSLATE(C863, ""en"", ""ja""))"),"Cuberspeed GAN 13 uv コーティングされた MagLev ステッカーレス 3x3 スピード キューブ パズル gan13 maglev uv コーティングされたフラッグシップ パズル")</f>
        <v>Cuberspeed GAN 13 uv コーティングされた MagLev ステッカーレス 3x3 スピード キューブ パズル gan13 maglev uv コーティングされたフラッグシップ パズル</v>
      </c>
    </row>
    <row r="864" ht="15.75" customHeight="1">
      <c r="A864" s="1">
        <v>5398.0</v>
      </c>
      <c r="B864" s="1" t="s">
        <v>51</v>
      </c>
      <c r="C864" s="1" t="s">
        <v>818</v>
      </c>
      <c r="D864" s="1" t="str">
        <f>IFERROR(__xludf.DUMMYFUNCTION("CONCATENATE(GOOGLETRANSLATE(C864, ""en"", ""zh-cn""))
"),"花卉印花口袋半袖荷叶边休闲长连衣裙")</f>
        <v>花卉印花口袋半袖荷叶边休闲长连衣裙</v>
      </c>
      <c r="E864" s="1" t="str">
        <f>IFERROR(__xludf.DUMMYFUNCTION("CONCATENATE(GOOGLETRANSLATE(C864, ""en"", ""ko""))"),"플로럴 프린트 포켓 하프 슬리브 러플 캐주얼 맥시 드레스")</f>
        <v>플로럴 프린트 포켓 하프 슬리브 러플 캐주얼 맥시 드레스</v>
      </c>
      <c r="F864" s="1" t="str">
        <f>IFERROR(__xludf.DUMMYFUNCTION("CONCATENATE(GOOGLETRANSLATE(C864, ""en"", ""ja""))"),"花柄ポケット五分袖フリルカジュアルマキシドレス")</f>
        <v>花柄ポケット五分袖フリルカジュアルマキシドレス</v>
      </c>
    </row>
    <row r="865" ht="15.75" customHeight="1">
      <c r="A865" s="1">
        <v>5404.0</v>
      </c>
      <c r="B865" s="1" t="s">
        <v>51</v>
      </c>
      <c r="C865" s="1" t="s">
        <v>819</v>
      </c>
      <c r="D865" s="1" t="str">
        <f>IFERROR(__xludf.DUMMYFUNCTION("CONCATENATE(GOOGLETRANSLATE(C865, ""en"", ""zh-cn""))
"),"女式纯色荷叶边下摆褶皱泡泡袖超长连衣裙")</f>
        <v>女式纯色荷叶边下摆褶皱泡泡袖超长连衣裙</v>
      </c>
      <c r="E865" s="1" t="str">
        <f>IFERROR(__xludf.DUMMYFUNCTION("CONCATENATE(GOOGLETRANSLATE(C865, ""en"", ""ko""))"),"여성 솔리드 컬러 프릴 밑단 주름 퍼프 슬리브 맥시 드레스")</f>
        <v>여성 솔리드 컬러 프릴 밑단 주름 퍼프 슬리브 맥시 드레스</v>
      </c>
      <c r="F865" s="1" t="str">
        <f>IFERROR(__xludf.DUMMYFUNCTION("CONCATENATE(GOOGLETRANSLATE(C865, ""en"", ""ja""))"),"女性ソリッドカラーフリル裾プリーツパフスリーブマキシドレス")</f>
        <v>女性ソリッドカラーフリル裾プリーツパフスリーブマキシドレス</v>
      </c>
    </row>
    <row r="866" ht="15.75" customHeight="1">
      <c r="A866" s="1">
        <v>5420.0</v>
      </c>
      <c r="B866" s="1" t="s">
        <v>6</v>
      </c>
      <c r="C866" s="1" t="s">
        <v>50</v>
      </c>
      <c r="D866" s="1" t="str">
        <f>IFERROR(__xludf.DUMMYFUNCTION("CONCATENATE(GOOGLETRANSLATE(C866, ""en"", ""zh-cn""))
"),"CuberShop GAN 13 MagLev UV 涂层， GAN 13 M 2022 3x3 磁力速度魔方旗舰无贴纸， GAN 3x3 速度魔方（GAN13 MagLev 速度魔方，UV 涂层光泽表面和主要内部）")</f>
        <v>CuberShop GAN 13 MagLev UV 涂层， GAN 13 M 2022 3x3 磁力速度魔方旗舰无贴纸， GAN 3x3 速度魔方（GAN13 MagLev 速度魔方，UV 涂层光泽表面和主要内部）</v>
      </c>
      <c r="E866" s="1" t="str">
        <f>IFERROR(__xludf.DUMMYFUNCTION("CONCATENATE(GOOGLETRANSLATE(C866, ""en"", ""ko""))"),"CuberShop GAN 13 MagLev UV 코팅, GAN 13 M 2022 3x3 자기 속도 큐브 플래그십 스티커 없음, GAN 3x3 속도 큐브(GAN13 자기 부상 속도 큐브, UV 코팅 광택 표면 및 기본 내부)")</f>
        <v>CuberShop GAN 13 MagLev UV 코팅, GAN 13 M 2022 3x3 자기 속도 큐브 플래그십 스티커 없음, GAN 3x3 속도 큐브(GAN13 자기 부상 속도 큐브, UV 코팅 광택 표면 및 기본 내부)</v>
      </c>
      <c r="F866" s="1" t="str">
        <f>IFERROR(__xludf.DUMMYFUNCTION("CONCATENATE(GOOGLETRANSLATE(C866, ""en"", ""ja""))"),"CuberShop GAN 13 MagLev UV コーティング、GAN 13 M 2022 3x3 磁気スピード キューブ フラッグシップ ステッカーレス、GAN 3x3 スピード キューブ (GAN13 MagLev スピード キューブ、UV コーティングされた光沢のある表面 &amp; プライマリ内部)")</f>
        <v>CuberShop GAN 13 MagLev UV コーティング、GAN 13 M 2022 3x3 磁気スピード キューブ フラッグシップ ステッカーレス、GAN 3x3 スピード キューブ (GAN13 MagLev スピード キューブ、UV コーティングされた光沢のある表面 &amp; プライマリ内部)</v>
      </c>
    </row>
    <row r="867" ht="15.75" customHeight="1">
      <c r="A867" s="1">
        <v>5435.0</v>
      </c>
      <c r="B867" s="1" t="s">
        <v>6</v>
      </c>
      <c r="C867" s="1" t="s">
        <v>42</v>
      </c>
      <c r="D867" s="1" t="str">
        <f>IFERROR(__xludf.DUMMYFUNCTION("CONCATENATE(GOOGLETRANSLATE(C867, ""en"", ""zh-cn""))
"),"Ravensburger Space Odyssey 5000 片成人拼图 - 16720 - 每一块都是独一无二的，Softclick 技术意味着各块完美地组合在一起")</f>
        <v>Ravensburger Space Odyssey 5000 片成人拼图 - 16720 - 每一块都是独一无二的，Softclick 技术意味着各块完美地组合在一起</v>
      </c>
      <c r="E867" s="1" t="str">
        <f>IFERROR(__xludf.DUMMYFUNCTION("CONCATENATE(GOOGLETRANSLATE(C867, ""en"", ""ko""))"),"Ravensburger Space Odyssey 성인용 5000피스 직소 퍼즐 - 16720 - 모든 조각은 독특하며 소프트클릭 기술로 조각이 완벽하게 들어맞습니다.")</f>
        <v>Ravensburger Space Odyssey 성인용 5000피스 직소 퍼즐 - 16720 - 모든 조각은 독특하며 소프트클릭 기술로 조각이 완벽하게 들어맞습니다.</v>
      </c>
      <c r="F867" s="1" t="str">
        <f>IFERROR(__xludf.DUMMYFUNCTION("CONCATENATE(GOOGLETRANSLATE(C867, ""en"", ""ja""))"),"Ravensburger 宇宙の旅 大人用 5000 ピース ジグソーパズル - 16720 - すべてのピースはユニークで、ソフトクリックテクノロジーによりピースが完璧にフィットします。")</f>
        <v>Ravensburger 宇宙の旅 大人用 5000 ピース ジグソーパズル - 16720 - すべてのピースはユニークで、ソフトクリックテクノロジーによりピースが完璧にフィットします。</v>
      </c>
    </row>
    <row r="868" ht="15.75" customHeight="1">
      <c r="A868" s="1">
        <v>5438.0</v>
      </c>
      <c r="B868" s="1" t="s">
        <v>6</v>
      </c>
      <c r="C868" s="1" t="s">
        <v>820</v>
      </c>
      <c r="D868" s="1" t="str">
        <f>IFERROR(__xludf.DUMMYFUNCTION("CONCATENATE(GOOGLETRANSLATE(C868, ""en"", ""zh-cn""))
"),"JOROTO 室内自行车健身车带 35 磅飞轮和 10.2 英寸大型 Ipad 支架（链条驱动）")</f>
        <v>JOROTO 室内自行车健身车带 35 磅飞轮和 10.2 英寸大型 Ipad 支架（链条驱动）</v>
      </c>
      <c r="E868" s="1" t="str">
        <f>IFERROR(__xludf.DUMMYFUNCTION("CONCATENATE(GOOGLETRANSLATE(C868, ""en"", ""ko""))"),"JOROTO 실내 사이클링 자전거 운동용 자전거 35파운드 플라이휠 및 10.2인치 대형 Ipad 홀더(체인 드라이브) 포함")</f>
        <v>JOROTO 실내 사이클링 자전거 운동용 자전거 35파운드 플라이휠 및 10.2인치 대형 Ipad 홀더(체인 드라이브) 포함</v>
      </c>
      <c r="F868" s="1" t="str">
        <f>IFERROR(__xludf.DUMMYFUNCTION("CONCATENATE(GOOGLETRANSLATE(C868, ""en"", ""ja""))"),"JOROTO インドアサイクリングバイクエクササイズバイク、35ポンドのフライホイールと10.2インチの大型iPadホルダー（チェーンドライブ）付き")</f>
        <v>JOROTO インドアサイクリングバイクエクササイズバイク、35ポンドのフライホイールと10.2インチの大型iPadホルダー（チェーンドライブ）付き</v>
      </c>
    </row>
    <row r="869" ht="15.75" customHeight="1">
      <c r="A869" s="1">
        <v>5464.0</v>
      </c>
      <c r="B869" s="1" t="s">
        <v>6</v>
      </c>
      <c r="C869" s="1" t="s">
        <v>454</v>
      </c>
      <c r="D869" s="1" t="str">
        <f>IFERROR(__xludf.DUMMYFUNCTION("CONCATENATE(GOOGLETRANSLATE(C869, ""en"", ""zh-cn""))
"),"GAN 460 M 速度魔方， 4x4 磁性魔方 Gans 460M 拼图玩具（无贴纸）")</f>
        <v>GAN 460 M 速度魔方， 4x4 磁性魔方 Gans 460M 拼图玩具（无贴纸）</v>
      </c>
      <c r="E869" s="1" t="str">
        <f>IFERROR(__xludf.DUMMYFUNCTION("CONCATENATE(GOOGLETRANSLATE(C869, ""en"", ""ko""))"),"GAN 460 M 스피드 큐브, 4x4 마그네틱 마스터 큐브 Gans 460M 퍼즐 장난감(스티커 없음)")</f>
        <v>GAN 460 M 스피드 큐브, 4x4 마그네틱 마스터 큐브 Gans 460M 퍼즐 장난감(스티커 없음)</v>
      </c>
      <c r="F869" s="1" t="str">
        <f>IFERROR(__xludf.DUMMYFUNCTION("CONCATENATE(GOOGLETRANSLATE(C869, ""en"", ""ja""))"),"GAN 460 M スピード キューブ、4x4 磁気マスター キューブ Gans 460M パズルおもちゃ (ステッカーなし)")</f>
        <v>GAN 460 M スピード キューブ、4x4 磁気マスター キューブ Gans 460M パズルおもちゃ (ステッカーなし)</v>
      </c>
    </row>
    <row r="870" ht="15.75" customHeight="1">
      <c r="A870" s="1">
        <v>5468.0</v>
      </c>
      <c r="B870" s="1" t="s">
        <v>6</v>
      </c>
      <c r="C870" s="1" t="s">
        <v>821</v>
      </c>
      <c r="D870" s="1" t="str">
        <f>IFERROR(__xludf.DUMMYFUNCTION("CONCATENATE(GOOGLETRANSLATE(C870, ""en"", ""zh-cn""))
"),"Lenovo ThinkPad P17 Gen 2 工作站笔记本电脑（Intel i9-11950H vPro 8 核、64GB RAM、2x2TB PCIe SSD RAID 0 (4TB)、RTX A2000、17.3"" 60Hz 全高清 (1920x1080)、Win 11 Pro），带 Dockztorm Hub")</f>
        <v>Lenovo ThinkPad P17 Gen 2 工作站笔记本电脑（Intel i9-11950H vPro 8 核、64GB RAM、2x2TB PCIe SSD RAID 0 (4TB)、RTX A2000、17.3" 60Hz 全高清 (1920x1080)、Win 11 Pro），带 Dockztorm Hub</v>
      </c>
      <c r="E870" s="1" t="str">
        <f>IFERROR(__xludf.DUMMYFUNCTION("CONCATENATE(GOOGLETRANSLATE(C870, ""en"", ""ko""))"),"Lenovo ThinkPad P17 Gen 2 워크스테이션 노트북(Intel i9-11950H vPro 8코어, 64GB RAM, 2x2TB PCIe SSD RAID 0(4TB), RTX A2000, 17.3인치 60Hz 풀 HD(1920x1080), Win 11 Pro)(Dockztorm 허브 포함)")</f>
        <v>Lenovo ThinkPad P17 Gen 2 워크스테이션 노트북(Intel i9-11950H vPro 8코어, 64GB RAM, 2x2TB PCIe SSD RAID 0(4TB), RTX A2000, 17.3인치 60Hz 풀 HD(1920x1080), Win 11 Pro)(Dockztorm 허브 포함)</v>
      </c>
      <c r="F870" s="1" t="str">
        <f>IFERROR(__xludf.DUMMYFUNCTION("CONCATENATE(GOOGLETRANSLATE(C870, ""en"", ""ja""))"),"Lenovo ThinkPad P17 Gen 2 ワークステーション ラップトップ (Intel i9-11950H vPro 8 コア、64GB RAM、2x2TB PCIe SSD RAID 0 (4TB)、RTX A2000、17.3 インチ 60Hz フル HD (1920x1080)、Win 11 Pro) Dockztorm Hub 付き")</f>
        <v>Lenovo ThinkPad P17 Gen 2 ワークステーション ラップトップ (Intel i9-11950H vPro 8 コア、64GB RAM、2x2TB PCIe SSD RAID 0 (4TB)、RTX A2000、17.3 インチ 60Hz フル HD (1920x1080)、Win 11 Pro) Dockztorm Hub 付き</v>
      </c>
    </row>
    <row r="871" ht="15.75" customHeight="1">
      <c r="A871" s="1">
        <v>5519.0</v>
      </c>
      <c r="B871" s="1" t="s">
        <v>6</v>
      </c>
      <c r="C871" s="1" t="s">
        <v>822</v>
      </c>
      <c r="D871" s="1" t="str">
        <f>IFERROR(__xludf.DUMMYFUNCTION("CONCATENATE(GOOGLETRANSLATE(C871, ""en"", ""zh-cn""))
"),"Darkflash Micro-ATX 游戏电脑机箱")</f>
        <v>Darkflash Micro-ATX 游戏电脑机箱</v>
      </c>
      <c r="E871" s="1" t="str">
        <f>IFERROR(__xludf.DUMMYFUNCTION("CONCATENATE(GOOGLETRANSLATE(C871, ""en"", ""ko""))"),"Darkflash Micro-ATX 게이밍 PC 케이스")</f>
        <v>Darkflash Micro-ATX 게이밍 PC 케이스</v>
      </c>
      <c r="F871" s="1" t="str">
        <f>IFERROR(__xludf.DUMMYFUNCTION("CONCATENATE(GOOGLETRANSLATE(C871, ""en"", ""ja""))"),"Darkflash Micro-ATX ゲーミング PC ケース")</f>
        <v>Darkflash Micro-ATX ゲーミング PC ケース</v>
      </c>
    </row>
    <row r="872" ht="15.75" customHeight="1">
      <c r="A872" s="1">
        <v>5581.0</v>
      </c>
      <c r="B872" s="1" t="s">
        <v>6</v>
      </c>
      <c r="C872" s="1" t="s">
        <v>823</v>
      </c>
      <c r="D872" s="1" t="str">
        <f>IFERROR(__xludf.DUMMYFUNCTION("CONCATENATE(GOOGLETRANSLATE(C872, ""en"", ""zh-cn""))
"),"WHITE FOX Can'tify It 长袖针织上衣")</f>
        <v>WHITE FOX Can'tify It 长袖针织上衣</v>
      </c>
      <c r="E872" s="1" t="str">
        <f>IFERROR(__xludf.DUMMYFUNCTION("CONCATENATE(GOOGLETRANSLATE(C872, ""en"", ""ko""))"),"WHITE FOX는 정당화할 수 없다 긴팔 니트 탑")</f>
        <v>WHITE FOX는 정당화할 수 없다 긴팔 니트 탑</v>
      </c>
      <c r="F872" s="1" t="str">
        <f>IFERROR(__xludf.DUMMYFUNCTION("CONCATENATE(GOOGLETRANSLATE(C872, ""en"", ""ja""))"),"WHITE FOX Can't Justify It 長袖ニットトップ")</f>
        <v>WHITE FOX Can't Justify It 長袖ニットトップ</v>
      </c>
    </row>
    <row r="873" ht="15.75" customHeight="1">
      <c r="A873" s="1">
        <v>5594.0</v>
      </c>
      <c r="B873" s="1" t="s">
        <v>6</v>
      </c>
      <c r="C873" s="1" t="s">
        <v>824</v>
      </c>
      <c r="D873" s="1" t="str">
        <f>IFERROR(__xludf.DUMMYFUNCTION("CONCATENATE(GOOGLETRANSLATE(C873, ""en"", ""zh-cn""))
"),"Quince 女式 Flowknit 阔腿裤")</f>
        <v>Quince 女式 Flowknit 阔腿裤</v>
      </c>
      <c r="E873" s="1" t="str">
        <f>IFERROR(__xludf.DUMMYFUNCTION("CONCATENATE(GOOGLETRANSLATE(C873, ""en"", ""ko""))"),"퀸스 여성용 플로우니트 와이드 레그 팬츠")</f>
        <v>퀸스 여성용 플로우니트 와이드 레그 팬츠</v>
      </c>
      <c r="F873" s="1" t="str">
        <f>IFERROR(__xludf.DUMMYFUNCTION("CONCATENATE(GOOGLETRANSLATE(C873, ""en"", ""ja""))"),"Quince レディース フローニット ワイドレッグ パンツ")</f>
        <v>Quince レディース フローニット ワイドレッグ パンツ</v>
      </c>
    </row>
    <row r="874" ht="15.75" customHeight="1">
      <c r="A874" s="1">
        <v>5656.0</v>
      </c>
      <c r="B874" s="1" t="s">
        <v>6</v>
      </c>
      <c r="C874" s="1" t="s">
        <v>821</v>
      </c>
      <c r="D874" s="1" t="str">
        <f>IFERROR(__xludf.DUMMYFUNCTION("CONCATENATE(GOOGLETRANSLATE(C874, ""en"", ""zh-cn""))
"),"Lenovo ThinkPad P17 Gen 2 工作站笔记本电脑（Intel i9-11950H vPro 8 核、64GB RAM、2x2TB PCIe SSD RAID 0 (4TB)、RTX A2000、17.3"" 60Hz 全高清 (1920x1080)、Win 11 Pro），带 Dockztorm Hub")</f>
        <v>Lenovo ThinkPad P17 Gen 2 工作站笔记本电脑（Intel i9-11950H vPro 8 核、64GB RAM、2x2TB PCIe SSD RAID 0 (4TB)、RTX A2000、17.3" 60Hz 全高清 (1920x1080)、Win 11 Pro），带 Dockztorm Hub</v>
      </c>
      <c r="E874" s="1" t="str">
        <f>IFERROR(__xludf.DUMMYFUNCTION("CONCATENATE(GOOGLETRANSLATE(C874, ""en"", ""ko""))"),"Lenovo ThinkPad P17 Gen 2 워크스테이션 노트북(Intel i9-11950H vPro 8코어, 64GB RAM, 2x2TB PCIe SSD RAID 0(4TB), RTX A2000, 17.3인치 60Hz 풀 HD(1920x1080), Win 11 Pro)(Dockztorm 허브 포함)")</f>
        <v>Lenovo ThinkPad P17 Gen 2 워크스테이션 노트북(Intel i9-11950H vPro 8코어, 64GB RAM, 2x2TB PCIe SSD RAID 0(4TB), RTX A2000, 17.3인치 60Hz 풀 HD(1920x1080), Win 11 Pro)(Dockztorm 허브 포함)</v>
      </c>
      <c r="F874" s="1" t="str">
        <f>IFERROR(__xludf.DUMMYFUNCTION("CONCATENATE(GOOGLETRANSLATE(C874, ""en"", ""ja""))"),"Lenovo ThinkPad P17 Gen 2 ワークステーション ラップトップ (Intel i9-11950H vPro 8 コア、64GB RAM、2x2TB PCIe SSD RAID 0 (4TB)、RTX A2000、17.3 インチ 60Hz フル HD (1920x1080)、Win 11 Pro) Dockztorm Hub 付き")</f>
        <v>Lenovo ThinkPad P17 Gen 2 ワークステーション ラップトップ (Intel i9-11950H vPro 8 コア、64GB RAM、2x2TB PCIe SSD RAID 0 (4TB)、RTX A2000、17.3 インチ 60Hz フル HD (1920x1080)、Win 11 Pro) Dockztorm Hub 付き</v>
      </c>
    </row>
    <row r="875" ht="15.75" customHeight="1">
      <c r="A875" s="1">
        <v>5706.0</v>
      </c>
      <c r="B875" s="1" t="s">
        <v>6</v>
      </c>
      <c r="C875" s="1" t="s">
        <v>43</v>
      </c>
      <c r="D875" s="1" t="str">
        <f>IFERROR(__xludf.DUMMYFUNCTION("CONCATENATE(GOOGLETRANSLATE(C875, ""en"", ""zh-cn""))
"),"波克芬诺 GAN Megaminx M 3x3 速度魔方 Gan 五角形磁性无贴纸魔法拼图魔方玩具")</f>
        <v>波克芬诺 GAN Megaminx M 3x3 速度魔方 Gan 五角形磁性无贴纸魔法拼图魔方玩具</v>
      </c>
      <c r="E875" s="1" t="str">
        <f>IFERROR(__xludf.DUMMYFUNCTION("CONCATENATE(GOOGLETRANSLATE(C875, ""en"", ""ko""))"),"Bokefenuo GAN Megaminx M 3x3 스피드 큐브 Gan 오각형 자기 스티커가없는 매직 퍼즐 큐브 장난감")</f>
        <v>Bokefenuo GAN Megaminx M 3x3 스피드 큐브 Gan 오각형 자기 스티커가없는 매직 퍼즐 큐브 장난감</v>
      </c>
      <c r="F875" s="1" t="str">
        <f>IFERROR(__xludf.DUMMYFUNCTION("CONCATENATE(GOOGLETRANSLATE(C875, ""en"", ""ja""))"),"Bokefenuo GAN Megaminx M 3x3 スピード キューブ Gan 五角形磁気ステッカーレス マジック パズル キューブ おもちゃ")</f>
        <v>Bokefenuo GAN Megaminx M 3x3 スピード キューブ Gan 五角形磁気ステッカーレス マジック パズル キューブ おもちゃ</v>
      </c>
    </row>
    <row r="876" ht="15.75" customHeight="1">
      <c r="A876" s="1">
        <v>5720.0</v>
      </c>
      <c r="B876" s="1" t="s">
        <v>6</v>
      </c>
      <c r="C876" s="1" t="s">
        <v>825</v>
      </c>
      <c r="D876" s="1" t="str">
        <f>IFERROR(__xludf.DUMMYFUNCTION("CONCATENATE(GOOGLETRANSLATE(C876, ""en"", ""zh-cn""))
"),"女式优雅 A 字形口袋短袖连衣裙")</f>
        <v>女式优雅 A 字形口袋短袖连衣裙</v>
      </c>
      <c r="E876" s="1" t="str">
        <f>IFERROR(__xludf.DUMMYFUNCTION("CONCATENATE(GOOGLETRANSLATE(C876, ""en"", ""ko""))"),"주머니가 있는 여성의 우아한 A-라인 짧은 소매 드레스")</f>
        <v>주머니가 있는 여성의 우아한 A-라인 짧은 소매 드레스</v>
      </c>
      <c r="F876" s="1" t="str">
        <f>IFERROR(__xludf.DUMMYFUNCTION("CONCATENATE(GOOGLETRANSLATE(C876, ""en"", ""ja""))"),"レディース エレガント A ライン 半袖 ドレス ポケット付き")</f>
        <v>レディース エレガント A ライン 半袖 ドレス ポケット付き</v>
      </c>
    </row>
    <row r="877" ht="15.75" customHeight="1">
      <c r="A877" s="1">
        <v>5727.0</v>
      </c>
      <c r="B877" s="1" t="s">
        <v>6</v>
      </c>
      <c r="C877" s="1" t="s">
        <v>826</v>
      </c>
      <c r="D877" s="1" t="str">
        <f>IFERROR(__xludf.DUMMYFUNCTION("CONCATENATE(GOOGLETRANSLATE(C877, ""en"", ""zh-cn""))
"),"EVALESS 女式性感拼布蕾丝圆领短袖 T 恤")</f>
        <v>EVALESS 女式性感拼布蕾丝圆领短袖 T 恤</v>
      </c>
      <c r="E877" s="1" t="str">
        <f>IFERROR(__xludf.DUMMYFUNCTION("CONCATENATE(GOOGLETRANSLATE(C877, ""en"", ""ko""))"),"EVALESS 여성용 섹시한 패치워크 레이스 크루넥 반소매 티셔츠")</f>
        <v>EVALESS 여성용 섹시한 패치워크 레이스 크루넥 반소매 티셔츠</v>
      </c>
      <c r="F877" s="1" t="str">
        <f>IFERROR(__xludf.DUMMYFUNCTION("CONCATENATE(GOOGLETRANSLATE(C877, ""en"", ""ja""))"),"EVALESS レディース セクシー パッチワーク レース クルーネック 半袖 Tシャツ")</f>
        <v>EVALESS レディース セクシー パッチワーク レース クルーネック 半袖 Tシャツ</v>
      </c>
    </row>
    <row r="878" ht="15.75" customHeight="1">
      <c r="A878" s="1">
        <v>5730.0</v>
      </c>
      <c r="B878" s="1" t="s">
        <v>6</v>
      </c>
      <c r="C878" s="1" t="s">
        <v>827</v>
      </c>
      <c r="D878" s="1" t="str">
        <f>IFERROR(__xludf.DUMMYFUNCTION("CONCATENATE(GOOGLETRANSLATE(C878, ""en"", ""zh-cn""))
"),"BLENCOT 女式休闲荷叶边盖袖 V 领飘逸中长连衣裙（带口袋）")</f>
        <v>BLENCOT 女式休闲荷叶边盖袖 V 领飘逸中长连衣裙（带口袋）</v>
      </c>
      <c r="E878" s="1" t="str">
        <f>IFERROR(__xludf.DUMMYFUNCTION("CONCATENATE(GOOGLETRANSLATE(C878, ""en"", ""ko""))"),"BLENCOT 여성 캐주얼 러플 캡 슬리브 V 넥 포켓이 있는 플로위 미디 드레스")</f>
        <v>BLENCOT 여성 캐주얼 러플 캡 슬리브 V 넥 포켓이 있는 플로위 미디 드레스</v>
      </c>
      <c r="F878" s="1" t="str">
        <f>IFERROR(__xludf.DUMMYFUNCTION("CONCATENATE(GOOGLETRANSLATE(C878, ""en"", ""ja""))"),"BLENCOT レディース カジュアル フリル キャップ スリーブ V ネック 流れるような ミディドレス ポケット付き")</f>
        <v>BLENCOT レディース カジュアル フリル キャップ スリーブ V ネック 流れるような ミディドレス ポケット付き</v>
      </c>
    </row>
    <row r="879" ht="15.75" customHeight="1">
      <c r="A879" s="1">
        <v>5751.0</v>
      </c>
      <c r="B879" s="1" t="s">
        <v>6</v>
      </c>
      <c r="C879" s="1" t="s">
        <v>828</v>
      </c>
      <c r="D879" s="1" t="str">
        <f>IFERROR(__xludf.DUMMYFUNCTION("CONCATENATE(GOOGLETRANSLATE(C879, ""en"", ""zh-cn""))
"),"时尚 Nova Wilma 无袖双肩一字肩迷你连衣裙")</f>
        <v>时尚 Nova Wilma 无袖双肩一字肩迷你连衣裙</v>
      </c>
      <c r="E879" s="1" t="str">
        <f>IFERROR(__xludf.DUMMYFUNCTION("CONCATENATE(GOOGLETRANSLATE(C879, ""en"", ""ko""))"),"패션 노바 윌마 민소매 폰테 원 숄더 미니 드레스")</f>
        <v>패션 노바 윌마 민소매 폰테 원 숄더 미니 드레스</v>
      </c>
      <c r="F879" s="1" t="str">
        <f>IFERROR(__xludf.DUMMYFUNCTION("CONCATENATE(GOOGLETRANSLATE(C879, ""en"", ""ja""))"),"ファッションノヴァウィルマノースリーブポンテワンショルダーミニドレス")</f>
        <v>ファッションノヴァウィルマノースリーブポンテワンショルダーミニドレス</v>
      </c>
    </row>
    <row r="880" ht="15.75" customHeight="1">
      <c r="A880" s="1">
        <v>5784.0</v>
      </c>
      <c r="B880" s="1" t="s">
        <v>6</v>
      </c>
      <c r="C880" s="1" t="s">
        <v>829</v>
      </c>
      <c r="D880" s="1" t="str">
        <f>IFERROR(__xludf.DUMMYFUNCTION("CONCATENATE(GOOGLETRANSLATE(C880, ""en"", ""zh-cn""))
"),"男士巴洛克运动服套装带渔夫帽")</f>
        <v>男士巴洛克运动服套装带渔夫帽</v>
      </c>
      <c r="E880" s="1" t="str">
        <f>IFERROR(__xludf.DUMMYFUNCTION("CONCATENATE(GOOGLETRANSLATE(C880, ""en"", ""ko""))"),"버킷 모자가 포함된 남성용 바로크 운동복 세트")</f>
        <v>버킷 모자가 포함된 남성용 바로크 운동복 세트</v>
      </c>
      <c r="F880" s="1" t="str">
        <f>IFERROR(__xludf.DUMMYFUNCTION("CONCATENATE(GOOGLETRANSLATE(C880, ""en"", ""ja""))"),"メンズ バロック トラックスーツ セット バケット ハット付き")</f>
        <v>メンズ バロック トラックスーツ セット バケット ハット付き</v>
      </c>
    </row>
    <row r="881" ht="15.75" customHeight="1">
      <c r="A881" s="1">
        <v>5808.0</v>
      </c>
      <c r="B881" s="1" t="s">
        <v>6</v>
      </c>
      <c r="C881" s="1" t="s">
        <v>830</v>
      </c>
      <c r="D881" s="1" t="str">
        <f>IFERROR(__xludf.DUMMYFUNCTION("CONCATENATE(GOOGLETRANSLATE(C881, ""en"", ""zh-cn""))
"),"罗技 M325S 无线鼠标")</f>
        <v>罗技 M325S 无线鼠标</v>
      </c>
      <c r="E881" s="1" t="str">
        <f>IFERROR(__xludf.DUMMYFUNCTION("CONCATENATE(GOOGLETRANSLATE(C881, ""en"", ""ko""))"),"로지텍 M325S 무선 마우스")</f>
        <v>로지텍 M325S 무선 마우스</v>
      </c>
      <c r="F881" s="1" t="str">
        <f>IFERROR(__xludf.DUMMYFUNCTION("CONCATENATE(GOOGLETRANSLATE(C881, ""en"", ""ja""))"),"ロジクール M325S ワイヤレス マウス")</f>
        <v>ロジクール M325S ワイヤレス マウス</v>
      </c>
    </row>
    <row r="882" ht="15.75" customHeight="1">
      <c r="A882" s="1">
        <v>5868.0</v>
      </c>
      <c r="B882" s="1" t="s">
        <v>6</v>
      </c>
      <c r="C882" s="1" t="s">
        <v>831</v>
      </c>
      <c r="D882" s="1" t="str">
        <f>IFERROR(__xludf.DUMMYFUNCTION("CONCATENATE(GOOGLETRANSLATE(C882, ""en"", ""zh-cn""))
"),"Frcolor 键盘鼠标电脑组合")</f>
        <v>Frcolor 键盘鼠标电脑组合</v>
      </c>
      <c r="E882" s="1" t="str">
        <f>IFERROR(__xludf.DUMMYFUNCTION("CONCATENATE(GOOGLETRANSLATE(C882, ""en"", ""ko""))"),"Frcolor 키보드 마우스 컴퓨터 콤보")</f>
        <v>Frcolor 키보드 마우스 컴퓨터 콤보</v>
      </c>
      <c r="F882" s="1" t="str">
        <f>IFERROR(__xludf.DUMMYFUNCTION("CONCATENATE(GOOGLETRANSLATE(C882, ""en"", ""ja""))"),"Frcolor キーボード マウス コンピューター コンボ")</f>
        <v>Frcolor キーボード マウス コンピューター コンボ</v>
      </c>
    </row>
    <row r="883" ht="15.75" customHeight="1">
      <c r="A883" s="1">
        <v>5875.0</v>
      </c>
      <c r="B883" s="1" t="s">
        <v>6</v>
      </c>
      <c r="C883" s="1" t="s">
        <v>832</v>
      </c>
      <c r="D883" s="1" t="str">
        <f>IFERROR(__xludf.DUMMYFUNCTION("CONCATENATE(GOOGLETRANSLATE(C883, ""en"", ""zh-cn""))
"),"Hot Wheels 轨道建造者豪华特技盒")</f>
        <v>Hot Wheels 轨道建造者豪华特技盒</v>
      </c>
      <c r="E883" s="1" t="str">
        <f>IFERROR(__xludf.DUMMYFUNCTION("CONCATENATE(GOOGLETRANSLATE(C883, ""en"", ""ko""))"),"Hot Wheels 트랙 빌더 디럭스 스턴트 박스")</f>
        <v>Hot Wheels 트랙 빌더 디럭스 스턴트 박스</v>
      </c>
      <c r="F883" s="1" t="str">
        <f>IFERROR(__xludf.DUMMYFUNCTION("CONCATENATE(GOOGLETRANSLATE(C883, ""en"", ""ja""))"),"ホットウィール トラック ビルダー デラックス スタント ボックス")</f>
        <v>ホットウィール トラック ビルダー デラックス スタント ボックス</v>
      </c>
    </row>
    <row r="884" ht="15.75" customHeight="1">
      <c r="A884" s="1">
        <v>5876.0</v>
      </c>
      <c r="B884" s="1" t="s">
        <v>6</v>
      </c>
      <c r="C884" s="1" t="s">
        <v>833</v>
      </c>
      <c r="D884" s="1" t="str">
        <f>IFERROR(__xludf.DUMMYFUNCTION("CONCATENATE(GOOGLETRANSLATE(C884, ""en"", ""zh-cn""))
"),"KOKODI 儿童智能手机玩具生日礼物独角兽幼儿玩手机")</f>
        <v>KOKODI 儿童智能手机玩具生日礼物独角兽幼儿玩手机</v>
      </c>
      <c r="E884" s="1" t="str">
        <f>IFERROR(__xludf.DUMMYFUNCTION("CONCATENATE(GOOGLETRANSLATE(C884, ""en"", ""ko""))"),"KOKODI 어린이 스마트 폰 장난감 생일 선물 유니콘 유아 놀이 전화")</f>
        <v>KOKODI 어린이 스마트 폰 장난감 생일 선물 유니콘 유아 놀이 전화</v>
      </c>
      <c r="F884" s="1" t="str">
        <f>IFERROR(__xludf.DUMMYFUNCTION("CONCATENATE(GOOGLETRANSLATE(C884, ""en"", ""ja""))"),"KOKODI キッズスマートフォンおもちゃ 誕生日プレゼント ユニコーン 幼児プレイフォン")</f>
        <v>KOKODI キッズスマートフォンおもちゃ 誕生日プレゼント ユニコーン 幼児プレイフォン</v>
      </c>
    </row>
    <row r="885" ht="15.75" customHeight="1">
      <c r="A885" s="1">
        <v>5877.0</v>
      </c>
      <c r="B885" s="1" t="s">
        <v>6</v>
      </c>
      <c r="C885" s="1" t="s">
        <v>834</v>
      </c>
      <c r="D885" s="1" t="str">
        <f>IFERROR(__xludf.DUMMYFUNCTION("CONCATENATE(GOOGLETRANSLATE(C885, ""en"", ""zh-cn""))
"),"小泰克舒适轿跑车")</f>
        <v>小泰克舒适轿跑车</v>
      </c>
      <c r="E885" s="1" t="str">
        <f>IFERROR(__xludf.DUMMYFUNCTION("CONCATENATE(GOOGLETRANSLATE(C885, ""en"", ""ko""))"),"리틀 타익스 코지 쿠페")</f>
        <v>리틀 타익스 코지 쿠페</v>
      </c>
      <c r="F885" s="1" t="str">
        <f>IFERROR(__xludf.DUMMYFUNCTION("CONCATENATE(GOOGLETRANSLATE(C885, ""en"", ""ja""))"),"リトルタイクス コージー クーペ")</f>
        <v>リトルタイクス コージー クーペ</v>
      </c>
    </row>
    <row r="886" ht="15.75" customHeight="1">
      <c r="A886" s="1">
        <v>5879.0</v>
      </c>
      <c r="B886" s="1" t="s">
        <v>6</v>
      </c>
      <c r="C886" s="1" t="s">
        <v>835</v>
      </c>
      <c r="D886" s="1" t="str">
        <f>IFERROR(__xludf.DUMMYFUNCTION("CONCATENATE(GOOGLETRANSLATE(C886, ""en"", ""zh-cn""))
"),"Toy Choi 真正实用的二合一儿童吸尘器 - 适合幼儿的玩具吸尘器，带声音效果，假装玩耍儿童吸尘器，家用")</f>
        <v>Toy Choi 真正实用的二合一儿童吸尘器 - 适合幼儿的玩具吸尘器，带声音效果，假装玩耍儿童吸尘器，家用</v>
      </c>
      <c r="E886" s="1" t="str">
        <f>IFERROR(__xludf.DUMMYFUNCTION("CONCATENATE(GOOGLETRANSLATE(C886, ""en"", ""ko""))"),"실제로 작동하는 Toy Choi의 2-in-1 어린이 진공청소기 - 음향 효과가 있는 유아용 장난감 진공청소기, 역할극 어린이 진공청소기, 가정용")</f>
        <v>실제로 작동하는 Toy Choi의 2-in-1 어린이 진공청소기 - 음향 효과가 있는 유아용 장난감 진공청소기, 역할극 어린이 진공청소기, 가정용</v>
      </c>
      <c r="F886" s="1" t="str">
        <f>IFERROR(__xludf.DUMMYFUNCTION("CONCATENATE(GOOGLETRANSLATE(C886, ""en"", ""ja""))"),"Toy Choi の本当に使える 2-in-1 子供用掃除機 - 効果音付き幼児用おもちゃ掃除機、ごっこ遊び子供用掃除機、家庭用")</f>
        <v>Toy Choi の本当に使える 2-in-1 子供用掃除機 - 効果音付き幼児用おもちゃ掃除機、ごっこ遊び子供用掃除機、家庭用</v>
      </c>
    </row>
    <row r="887" ht="15.75" customHeight="1">
      <c r="A887" s="1">
        <v>5926.0</v>
      </c>
      <c r="B887" s="1" t="s">
        <v>6</v>
      </c>
      <c r="C887" s="1" t="s">
        <v>836</v>
      </c>
      <c r="D887" s="1" t="str">
        <f>IFERROR(__xludf.DUMMYFUNCTION("CONCATENATE(GOOGLETRANSLATE(C887, ""en"", ""zh-cn""))
"),"Park &amp; Sun 锦标赛 4000 人排球套装")</f>
        <v>Park &amp; Sun 锦标赛 4000 人排球套装</v>
      </c>
      <c r="E887" s="1" t="str">
        <f>IFERROR(__xludf.DUMMYFUNCTION("CONCATENATE(GOOGLETRANSLATE(C887, ""en"", ""ko""))"),"Park &amp; ​​Sun 토너먼트 4000 배구 세트")</f>
        <v>Park &amp; ​​Sun 토너먼트 4000 배구 세트</v>
      </c>
      <c r="F887" s="1" t="str">
        <f>IFERROR(__xludf.DUMMYFUNCTION("CONCATENATE(GOOGLETRANSLATE(C887, ""en"", ""ja""))"),"パーク&amp;サントーナメント4000バレーボールセット")</f>
        <v>パーク&amp;サントーナメント4000バレーボールセット</v>
      </c>
    </row>
    <row r="888" ht="15.75" customHeight="1">
      <c r="A888" s="1">
        <v>5940.0</v>
      </c>
      <c r="B888" s="1" t="s">
        <v>6</v>
      </c>
      <c r="C888" s="1" t="s">
        <v>837</v>
      </c>
      <c r="D888" s="1" t="str">
        <f>IFERROR(__xludf.DUMMYFUNCTION("CONCATENATE(GOOGLETRANSLATE(C888, ""en"", ""zh-cn""))
"),"MADOG 运动器材充气船")</f>
        <v>MADOG 运动器材充气船</v>
      </c>
      <c r="E888" s="1" t="str">
        <f>IFERROR(__xludf.DUMMYFUNCTION("CONCATENATE(GOOGLETRANSLATE(C888, ""en"", ""ko""))"),"MADOG 스포츠 장비 풍선 보트")</f>
        <v>MADOG 스포츠 장비 풍선 보트</v>
      </c>
      <c r="F888" s="1" t="str">
        <f>IFERROR(__xludf.DUMMYFUNCTION("CONCATENATE(GOOGLETRANSLATE(C888, ""en"", ""ja""))"),"MADOG スポーツ用品インフレータブル ボート")</f>
        <v>MADOG スポーツ用品インフレータブル ボート</v>
      </c>
    </row>
    <row r="889" ht="15.75" customHeight="1">
      <c r="A889" s="1">
        <v>5987.0</v>
      </c>
      <c r="B889" s="1" t="s">
        <v>6</v>
      </c>
      <c r="C889" s="1" t="s">
        <v>838</v>
      </c>
      <c r="D889" s="1" t="str">
        <f>IFERROR(__xludf.DUMMYFUNCTION("CONCATENATE(GOOGLETRANSLATE(C889, ""en"", ""zh-cn""))
"),"Fanmis 男女通用水晶钻石莱茵石不锈钢石英模拟手表")</f>
        <v>Fanmis 男女通用水晶钻石莱茵石不锈钢石英模拟手表</v>
      </c>
      <c r="E889" s="1" t="str">
        <f>IFERROR(__xludf.DUMMYFUNCTION("CONCATENATE(GOOGLETRANSLATE(C889, ""en"", ""ko""))"),"Fanmis 남여 공용 크리스탈 다이아몬드 라인스톤 스테인레스 스틸 쿼츠 아날로그 시계")</f>
        <v>Fanmis 남여 공용 크리스탈 다이아몬드 라인스톤 스테인레스 스틸 쿼츠 아날로그 시계</v>
      </c>
      <c r="F889" s="1" t="str">
        <f>IFERROR(__xludf.DUMMYFUNCTION("CONCATENATE(GOOGLETRANSLATE(C889, ""en"", ""ja""))"),"Fanmis ユニセックス クリスタル ダイヤモンド ラインストーン ステンレススチール クォーツ アナログ時計")</f>
        <v>Fanmis ユニセックス クリスタル ダイヤモンド ラインストーン ステンレススチール クォーツ アナログ時計</v>
      </c>
    </row>
    <row r="890" ht="15.75" customHeight="1">
      <c r="A890" s="1">
        <v>6006.0</v>
      </c>
      <c r="B890" s="1" t="s">
        <v>6</v>
      </c>
      <c r="C890" s="1" t="s">
        <v>839</v>
      </c>
      <c r="D890" s="1" t="str">
        <f>IFERROR(__xludf.DUMMYFUNCTION("CONCATENATE(GOOGLETRANSLATE(C890, ""en"", ""zh-cn""))
"),"Scooch Wingback 弹出式手机手柄、支架和车载支架，适用于智能手机，与任何 Sma 兼容")</f>
        <v>Scooch Wingback 弹出式手机手柄、支架和车载支架，适用于智能手机，与任何 Sma 兼容</v>
      </c>
      <c r="E890" s="1" t="str">
        <f>IFERROR(__xludf.DUMMYFUNCTION("CONCATENATE(GOOGLETRANSLATE(C890, ""en"", ""ko""))"),"모든 Sma와 호환되는 스마트폰용 Scooch Wingback 팝업 휴대폰 그립, 스탠드 및 차량용 마운트")</f>
        <v>모든 Sma와 호환되는 스마트폰용 Scooch Wingback 팝업 휴대폰 그립, 스탠드 및 차량용 마운트</v>
      </c>
      <c r="F890" s="1" t="str">
        <f>IFERROR(__xludf.DUMMYFUNCTION("CONCATENATE(GOOGLETRANSLATE(C890, ""en"", ""ja""))"),"Scooch Wingback ポップアップ電話グリップ、スタンド、スマートフォン用カーマウントはあらゆるスマートフォンに対応")</f>
        <v>Scooch Wingback ポップアップ電話グリップ、スタンド、スマートフォン用カーマウントはあらゆるスマートフォンに対応</v>
      </c>
    </row>
    <row r="891" ht="15.75" customHeight="1">
      <c r="A891" s="1">
        <v>6009.0</v>
      </c>
      <c r="B891" s="1" t="s">
        <v>6</v>
      </c>
      <c r="C891" s="1" t="s">
        <v>840</v>
      </c>
      <c r="D891" s="1" t="str">
        <f>IFERROR(__xludf.DUMMYFUNCTION("CONCATENATE(GOOGLETRANSLATE(C891, ""en"", ""zh-cn""))
"),"Sucky 双面吸盘手机 Octo Cup Buddy 安装 - 防滑支架、免提手机配件，适用于 iPhone 和 Android - 粘性握把")</f>
        <v>Sucky 双面吸盘手机 Octo Cup Buddy 安装 - 防滑支架、免提手机配件，适用于 iPhone 和 Android - 粘性握把</v>
      </c>
      <c r="E891" s="1" t="str">
        <f>IFERROR(__xludf.DUMMYFUNCTION("CONCATENATE(GOOGLETRANSLATE(C891, ""en"", ""ko""))"),"Sucky 양면 흡입 전화기 Octo Cup 버디 마운트 - 미끄럼 방지 홀더, iPhone 및 Android용 핸즈프리 전화기 액세서리 - 끈적끈적한 그립")</f>
        <v>Sucky 양면 흡입 전화기 Octo Cup 버디 마운트 - 미끄럼 방지 홀더, iPhone 및 Android용 핸즈프리 전화기 액세서리 - 끈적끈적한 그립</v>
      </c>
      <c r="F891" s="1" t="str">
        <f>IFERROR(__xludf.DUMMYFUNCTION("CONCATENATE(GOOGLETRANSLATE(C891, ""en"", ""ja""))"),"Sucky 両面吸盤電話 Octo Cup Buddy マウント - 滑り止めホルダー、iPhone および Android 用ハンズフリー電話アクセサリー - 粘着グリップ")</f>
        <v>Sucky 両面吸盤電話 Octo Cup Buddy マウント - 滑り止めホルダー、iPhone および Android 用ハンズフリー電話アクセサリー - 粘着グリップ</v>
      </c>
    </row>
    <row r="892" ht="15.75" customHeight="1">
      <c r="A892" s="1">
        <v>6013.0</v>
      </c>
      <c r="B892" s="1" t="s">
        <v>6</v>
      </c>
      <c r="C892" s="1" t="s">
        <v>841</v>
      </c>
      <c r="D892" s="1" t="str">
        <f>IFERROR(__xludf.DUMMYFUNCTION("CONCATENATE(GOOGLETRANSLATE(C892, ""en"", ""zh-cn""))
"),"PopSockets 植物手机握把")</f>
        <v>PopSockets 植物手机握把</v>
      </c>
      <c r="E892" s="1" t="str">
        <f>IFERROR(__xludf.DUMMYFUNCTION("CONCATENATE(GOOGLETRANSLATE(C892, ""en"", ""ko""))"),"PopSockets 식물 기반 휴대폰 그립")</f>
        <v>PopSockets 식물 기반 휴대폰 그립</v>
      </c>
      <c r="F892" s="1" t="str">
        <f>IFERROR(__xludf.DUMMYFUNCTION("CONCATENATE(GOOGLETRANSLATE(C892, ""en"", ""ja""))"),"PopSockets 植物由来の電話グリップ")</f>
        <v>PopSockets 植物由来の電話グリップ</v>
      </c>
    </row>
    <row r="893" ht="15.75" customHeight="1">
      <c r="A893" s="1">
        <v>6044.0</v>
      </c>
      <c r="B893" s="1" t="s">
        <v>6</v>
      </c>
      <c r="C893" s="1" t="s">
        <v>842</v>
      </c>
      <c r="D893" s="1" t="str">
        <f>IFERROR(__xludf.DUMMYFUNCTION("CONCATENATE(GOOGLETRANSLATE(C893, ""en"", ""zh-cn""))
"),"BLACK+DECKER 蜂巢系列电热水壶")</f>
        <v>BLACK+DECKER 蜂巢系列电热水壶</v>
      </c>
      <c r="E893" s="1" t="str">
        <f>IFERROR(__xludf.DUMMYFUNCTION("CONCATENATE(GOOGLETRANSLATE(C893, ""en"", ""ko""))"),"BLACK+DECKER 허니콤 컬렉션 전기주전자")</f>
        <v>BLACK+DECKER 허니콤 컬렉션 전기주전자</v>
      </c>
      <c r="F893" s="1" t="str">
        <f>IFERROR(__xludf.DUMMYFUNCTION("CONCATENATE(GOOGLETRANSLATE(C893, ""en"", ""ja""))"),"BLACK+DECKER ハニカムコレクション 電気ケトル")</f>
        <v>BLACK+DECKER ハニカムコレクション 電気ケトル</v>
      </c>
    </row>
    <row r="894" ht="15.75" customHeight="1">
      <c r="A894" s="1">
        <v>6051.0</v>
      </c>
      <c r="B894" s="1" t="s">
        <v>6</v>
      </c>
      <c r="C894" s="1" t="s">
        <v>843</v>
      </c>
      <c r="D894" s="1" t="str">
        <f>IFERROR(__xludf.DUMMYFUNCTION("CONCATENATE(GOOGLETRANSLATE(C894, ""en"", ""zh-cn""))
"),"冰箱 1.8 铜。 ft. 超范围微波炉")</f>
        <v>冰箱 1.8 铜。 ft. 超范围微波炉</v>
      </c>
      <c r="E894" s="1" t="str">
        <f>IFERROR(__xludf.DUMMYFUNCTION("CONCATENATE(GOOGLETRANSLATE(C894, ""en"", ""ko""))"),"냉장고 1.8 Cu. ft. 범위 초과 전자레인지")</f>
        <v>냉장고 1.8 Cu. ft. 범위 초과 전자레인지</v>
      </c>
      <c r="F894" s="1" t="str">
        <f>IFERROR(__xludf.DUMMYFUNCTION("CONCATENATE(GOOGLETRANSLATE(C894, ""en"", ""ja""))"),"フリジデア 1.8Cu。フィート範囲外の電子レンジ")</f>
        <v>フリジデア 1.8Cu。フィート範囲外の電子レンジ</v>
      </c>
    </row>
    <row r="895" ht="15.75" customHeight="1">
      <c r="A895" s="1">
        <v>6058.0</v>
      </c>
      <c r="B895" s="1" t="s">
        <v>6</v>
      </c>
      <c r="C895" s="1" t="s">
        <v>844</v>
      </c>
      <c r="D895" s="1" t="str">
        <f>IFERROR(__xludf.DUMMYFUNCTION("CONCATENATE(GOOGLETRANSLATE(C895, ""en"", ""zh-cn""))
"),"Frigidaire Gallery 24 内置洗碗机")</f>
        <v>Frigidaire Gallery 24 内置洗碗机</v>
      </c>
      <c r="E895" s="1" t="str">
        <f>IFERROR(__xludf.DUMMYFUNCTION("CONCATENATE(GOOGLETRANSLATE(C895, ""en"", ""ko""))"),"Frigidaire Gallery 24 빌트인 식기세척기")</f>
        <v>Frigidaire Gallery 24 빌트인 식기세척기</v>
      </c>
      <c r="F895" s="1" t="str">
        <f>IFERROR(__xludf.DUMMYFUNCTION("CONCATENATE(GOOGLETRANSLATE(C895, ""en"", ""ja""))"),"フリジデア ギャラリー 24 ビルトイン食器洗い機")</f>
        <v>フリジデア ギャラリー 24 ビルトイン食器洗い機</v>
      </c>
    </row>
    <row r="896" ht="15.75" customHeight="1">
      <c r="A896" s="1">
        <v>6060.0</v>
      </c>
      <c r="B896" s="1" t="s">
        <v>6</v>
      </c>
      <c r="C896" s="1" t="s">
        <v>845</v>
      </c>
      <c r="D896" s="1" t="str">
        <f>IFERROR(__xludf.DUMMYFUNCTION("CONCATENATE(GOOGLETRANSLATE(C896, ""en"", ""zh-cn""))
"),"Haden Heritage 2 片烤面包机")</f>
        <v>Haden Heritage 2 片烤面包机</v>
      </c>
      <c r="E896" s="1" t="str">
        <f>IFERROR(__xludf.DUMMYFUNCTION("CONCATENATE(GOOGLETRANSLATE(C896, ""en"", ""ko""))"),"Haden Heritage 2슬라이스 토스터")</f>
        <v>Haden Heritage 2슬라이스 토스터</v>
      </c>
      <c r="F896" s="1" t="str">
        <f>IFERROR(__xludf.DUMMYFUNCTION("CONCATENATE(GOOGLETRANSLATE(C896, ""en"", ""ja""))"),"Haden Heritage 2スライス トースター")</f>
        <v>Haden Heritage 2スライス トースター</v>
      </c>
    </row>
    <row r="897" ht="15.75" customHeight="1">
      <c r="A897" s="1">
        <v>6074.0</v>
      </c>
      <c r="B897" s="1" t="s">
        <v>6</v>
      </c>
      <c r="C897" s="1" t="s">
        <v>846</v>
      </c>
      <c r="D897" s="1" t="str">
        <f>IFERROR(__xludf.DUMMYFUNCTION("CONCATENATE(GOOGLETRANSLATE(C897, ""en"", ""zh-cn""))
"),"Nourish Beaute 优质生发洗发水和护发素")</f>
        <v>Nourish Beaute 优质生发洗发水和护发素</v>
      </c>
      <c r="E897" s="1" t="str">
        <f>IFERROR(__xludf.DUMMYFUNCTION("CONCATENATE(GOOGLETRANSLATE(C897, ""en"", ""ko""))"),"너리쉬 보떼 프리미엄 모발 성장 샴푸 및 컨디셔너")</f>
        <v>너리쉬 보떼 프리미엄 모발 성장 샴푸 및 컨디셔너</v>
      </c>
      <c r="F897" s="1" t="str">
        <f>IFERROR(__xludf.DUMMYFUNCTION("CONCATENATE(GOOGLETRANSLATE(C897, ""en"", ""ja""))"),"ナリッシュボーテ プレミアム育毛シャンプー＆コンディショナー")</f>
        <v>ナリッシュボーテ プレミアム育毛シャンプー＆コンディショナー</v>
      </c>
    </row>
    <row r="898" ht="15.75" customHeight="1">
      <c r="A898" s="1">
        <v>6094.0</v>
      </c>
      <c r="B898" s="1" t="s">
        <v>6</v>
      </c>
      <c r="C898" s="1" t="s">
        <v>847</v>
      </c>
      <c r="D898" s="1" t="str">
        <f>IFERROR(__xludf.DUMMYFUNCTION("CONCATENATE(GOOGLETRANSLATE(C898, ""en"", ""zh-cn""))
"),"玫瑰果护发素")</f>
        <v>玫瑰果护发素</v>
      </c>
      <c r="E898" s="1" t="str">
        <f>IFERROR(__xludf.DUMMYFUNCTION("CONCATENATE(GOOGLETRANSLATE(C898, ""en"", ""ko""))"),"로즈힙 컨디셔너")</f>
        <v>로즈힙 컨디셔너</v>
      </c>
      <c r="F898" s="1" t="str">
        <f>IFERROR(__xludf.DUMMYFUNCTION("CONCATENATE(GOOGLETRANSLATE(C898, ""en"", ""ja""))"),"ローズヒップコンディショナー")</f>
        <v>ローズヒップコンディショナー</v>
      </c>
    </row>
    <row r="899" ht="15.75" customHeight="1">
      <c r="A899" s="1">
        <v>6109.0</v>
      </c>
      <c r="B899" s="1" t="s">
        <v>6</v>
      </c>
      <c r="C899" s="1" t="s">
        <v>848</v>
      </c>
      <c r="D899" s="1" t="str">
        <f>IFERROR(__xludf.DUMMYFUNCTION("CONCATENATE(GOOGLETRANSLATE(C899, ""en"", ""zh-cn""))
"),"YOGI'S GIFT 庆祝健康草本护发组合套装（500 克/17.65 盎司） |含有阿育吠陀粉末的发膜：Amla、Reetha、Shikakai、Brahmi、")</f>
        <v>YOGI'S GIFT 庆祝健康草本护发组合套装（500 克/17.65 盎司） |含有阿育吠陀粉末的发膜：Amla、Reetha、Shikakai、Brahmi、</v>
      </c>
      <c r="E899" s="1" t="str">
        <f>IFERROR(__xludf.DUMMYFUNCTION("CONCATENATE(GOOGLETRANSLATE(C899, ""en"", ""ko""))"),"YOGI'S GIFT 건강 축하 허브 헤어 케어 콤보 팩 (500g/17.65oz) | 아유르베다 파우더가 함유된 헤어 마스크: Amla, Reetha, Shikakai, Brahmi,")</f>
        <v>YOGI'S GIFT 건강 축하 허브 헤어 케어 콤보 팩 (500g/17.65oz) | 아유르베다 파우더가 함유된 헤어 마스크: Amla, Reetha, Shikakai, Brahmi,</v>
      </c>
      <c r="F899" s="1" t="str">
        <f>IFERROR(__xludf.DUMMYFUNCTION("CONCATENATE(GOOGLETRANSLATE(C899, ""en"", ""ja""))"),"YOGI'S GIFT セレブレーティング ヘルス ハーバル ヘアケア コンボ パック (500g/17.65oz) |アーユルヴェーダパウダー入りヘアマスク：アムラ、リータ、シカカイ、ブラーミ、")</f>
        <v>YOGI'S GIFT セレブレーティング ヘルス ハーバル ヘアケア コンボ パック (500g/17.65oz) |アーユルヴェーダパウダー入りヘアマスク：アムラ、リータ、シカカイ、ブラーミ、</v>
      </c>
    </row>
    <row r="900" ht="15.75" customHeight="1">
      <c r="A900" s="1">
        <v>6122.0</v>
      </c>
      <c r="B900" s="1" t="s">
        <v>6</v>
      </c>
      <c r="C900" s="1" t="s">
        <v>849</v>
      </c>
      <c r="D900" s="1" t="str">
        <f>IFERROR(__xludf.DUMMYFUNCTION("CONCATENATE(GOOGLETRANSLATE(C900, ""en"", ""zh-cn""))
"),"The Beauty Co to The Roots 生发油")</f>
        <v>The Beauty Co to The Roots 生发油</v>
      </c>
      <c r="E900" s="1" t="str">
        <f>IFERROR(__xludf.DUMMYFUNCTION("CONCATENATE(GOOGLETRANSLATE(C900, ""en"", ""ko""))"),"더뷰티코투더루츠 모발성장 오일")</f>
        <v>더뷰티코투더루츠 모발성장 오일</v>
      </c>
      <c r="F900" s="1" t="str">
        <f>IFERROR(__xludf.DUMMYFUNCTION("CONCATENATE(GOOGLETRANSLATE(C900, ""en"", ""ja""))"),"ザ・ビューティー・カンパニー トゥ・ザ・ルーツ 育毛オイル")</f>
        <v>ザ・ビューティー・カンパニー トゥ・ザ・ルーツ 育毛オイル</v>
      </c>
    </row>
    <row r="901" ht="15.75" customHeight="1">
      <c r="A901" s="1">
        <v>6126.0</v>
      </c>
      <c r="B901" s="1" t="s">
        <v>6</v>
      </c>
      <c r="C901" s="1" t="s">
        <v>850</v>
      </c>
      <c r="D901" s="1" t="str">
        <f>IFERROR(__xludf.DUMMYFUNCTION("CONCATENATE(GOOGLETRANSLATE(C901, ""en"", ""zh-cn""))
"),"生发面膜")</f>
        <v>生发面膜</v>
      </c>
      <c r="E901" s="1" t="str">
        <f>IFERROR(__xludf.DUMMYFUNCTION("CONCATENATE(GOOGLETRANSLATE(C901, ""en"", ""ko""))"),"모발 성장 마스크")</f>
        <v>모발 성장 마스크</v>
      </c>
      <c r="F901" s="1" t="str">
        <f>IFERROR(__xludf.DUMMYFUNCTION("CONCATENATE(GOOGLETRANSLATE(C901, ""en"", ""ja""))"),"育毛マスク")</f>
        <v>育毛マスク</v>
      </c>
    </row>
    <row r="902" ht="15.75" customHeight="1">
      <c r="A902" s="1">
        <v>6127.0</v>
      </c>
      <c r="B902" s="1" t="s">
        <v>6</v>
      </c>
      <c r="C902" s="1" t="s">
        <v>851</v>
      </c>
      <c r="D902" s="1" t="str">
        <f>IFERROR(__xludf.DUMMYFUNCTION("CONCATENATE(GOOGLETRANSLATE(C902, ""en"", ""zh-cn""))
"),"角蛋白洗发水护发素")</f>
        <v>角蛋白洗发水护发素</v>
      </c>
      <c r="E902" s="1" t="str">
        <f>IFERROR(__xludf.DUMMYFUNCTION("CONCATENATE(GOOGLETRANSLATE(C902, ""en"", ""ko""))"),"케라틴 샴푸 헤어 트리트먼트")</f>
        <v>케라틴 샴푸 헤어 트리트먼트</v>
      </c>
      <c r="F902" s="1" t="str">
        <f>IFERROR(__xludf.DUMMYFUNCTION("CONCATENATE(GOOGLETRANSLATE(C902, ""en"", ""ja""))"),"ケラチンシャンプー ヘアトリートメント")</f>
        <v>ケラチンシャンプー ヘアトリートメント</v>
      </c>
    </row>
    <row r="903" ht="15.75" customHeight="1">
      <c r="A903" s="1">
        <v>6134.0</v>
      </c>
      <c r="B903" s="1" t="s">
        <v>6</v>
      </c>
      <c r="C903" s="1" t="s">
        <v>852</v>
      </c>
      <c r="D903" s="1" t="str">
        <f>IFERROR(__xludf.DUMMYFUNCTION("CONCATENATE(GOOGLETRANSLATE(C903, ""en"", ""zh-cn""))
"),"OGX 浓密饱满 + 生物素和胶原蛋白超强丰盈洗发水 + 护发素，含维生素 B7 和水解小麦蛋白，适合细发")</f>
        <v>OGX 浓密饱满 + 生物素和胶原蛋白超强丰盈洗发水 + 护发素，含维生素 B7 和水解小麦蛋白，适合细发</v>
      </c>
      <c r="E903" s="1" t="str">
        <f>IFERROR(__xludf.DUMMYFUNCTION("CONCATENATE(GOOGLETRANSLATE(C903, ""en"", ""ko""))"),"OGX Thick &amp; Full + 비오틴 &amp; 콜라겐 엑스트라 스트렝스 볼류마이징 샴푸 + 가는 모발을 위한 비타민 B7 및 가수분해 밀 단백질 함유 컨디셔너")</f>
        <v>OGX Thick &amp; Full + 비오틴 &amp; 콜라겐 엑스트라 스트렝스 볼류마이징 샴푸 + 가는 모발을 위한 비타민 B7 및 가수분해 밀 단백질 함유 컨디셔너</v>
      </c>
      <c r="F903" s="1" t="str">
        <f>IFERROR(__xludf.DUMMYFUNCTION("CONCATENATE(GOOGLETRANSLATE(C903, ""en"", ""ja""))"),"OGX シック &amp; フル + ビオチン &amp; コラーゲン エクストラストレングス ボリュームアップ シャンプー + ビタミン B7 と加水分解小麦タンパク質を配合した細い髪用コンディショナー")</f>
        <v>OGX シック &amp; フル + ビオチン &amp; コラーゲン エクストラストレングス ボリュームアップ シャンプー + ビタミン B7 と加水分解小麦タンパク質を配合した細い髪用コンディショナー</v>
      </c>
    </row>
    <row r="904" ht="15.75" customHeight="1">
      <c r="A904" s="1">
        <v>6157.0</v>
      </c>
      <c r="B904" s="1" t="s">
        <v>6</v>
      </c>
      <c r="C904" s="1" t="s">
        <v>853</v>
      </c>
      <c r="D904" s="1" t="str">
        <f>IFERROR(__xludf.DUMMYFUNCTION("CONCATENATE(GOOGLETRANSLATE(C904, ""en"", ""zh-cn""))
"),"所有罗德都在这里：一部小说")</f>
        <v>所有罗德都在这里：一部小说</v>
      </c>
      <c r="E904" s="1" t="str">
        <f>IFERROR(__xludf.DUMMYFUNCTION("CONCATENATE(GOOGLETRANSLATE(C904, ""en"", ""ko""))"),"모든 로즈가 여기에 이끈다: 소설")</f>
        <v>모든 로즈가 여기에 이끈다: 소설</v>
      </c>
      <c r="F904" s="1" t="str">
        <f>IFERROR(__xludf.DUMMYFUNCTION("CONCATENATE(GOOGLETRANSLATE(C904, ""en"", ""ja""))"),"すべてのロードスはここに通じています: 小説")</f>
        <v>すべてのロードスはここに通じています: 小説</v>
      </c>
    </row>
    <row r="905" ht="15.75" customHeight="1">
      <c r="A905" s="1">
        <v>6180.0</v>
      </c>
      <c r="B905" s="1" t="s">
        <v>6</v>
      </c>
      <c r="C905" s="1" t="s">
        <v>854</v>
      </c>
      <c r="D905" s="1" t="str">
        <f>IFERROR(__xludf.DUMMYFUNCTION("CONCATENATE(GOOGLETRANSLATE(C905, ""en"", ""zh-cn""))
"),"鼹鼠小姐")</f>
        <v>鼹鼠小姐</v>
      </c>
      <c r="E905" s="1" t="str">
        <f>IFERROR(__xludf.DUMMYFUNCTION("CONCATENATE(GOOGLETRANSLATE(C905, ""en"", ""ko""))"),"미스 몰")</f>
        <v>미스 몰</v>
      </c>
      <c r="F905" s="1" t="str">
        <f>IFERROR(__xludf.DUMMYFUNCTION("CONCATENATE(GOOGLETRANSLATE(C905, ""en"", ""ja""))"),"ミス・モール")</f>
        <v>ミス・モール</v>
      </c>
    </row>
    <row r="906" ht="15.75" customHeight="1">
      <c r="A906" s="1">
        <v>6181.0</v>
      </c>
      <c r="B906" s="1" t="s">
        <v>6</v>
      </c>
      <c r="C906" s="1" t="s">
        <v>855</v>
      </c>
      <c r="D906" s="1" t="str">
        <f>IFERROR(__xludf.DUMMYFUNCTION("CONCATENATE(GOOGLETRANSLATE(C906, ""en"", ""zh-cn""))
"),"我们留下了什么：一本小说[电子书]")</f>
        <v>我们留下了什么：一本小说[电子书]</v>
      </c>
      <c r="E906" s="1" t="str">
        <f>IFERROR(__xludf.DUMMYFUNCTION("CONCATENATE(GOOGLETRANSLATE(C906, ""en"", ""ko""))"),"우리가 남긴 것: 소설 [eBook]")</f>
        <v>우리가 남긴 것: 소설 [eBook]</v>
      </c>
      <c r="F906" s="1" t="str">
        <f>IFERROR(__xludf.DUMMYFUNCTION("CONCATENATE(GOOGLETRANSLATE(C906, ""en"", ""ja""))"),"私たちが残したもの: 小説 [電子書籍]")</f>
        <v>私たちが残したもの: 小説 [電子書籍]</v>
      </c>
    </row>
    <row r="907" ht="15.75" customHeight="1">
      <c r="A907" s="1">
        <v>6201.0</v>
      </c>
      <c r="B907" s="1" t="s">
        <v>6</v>
      </c>
      <c r="C907" s="1" t="s">
        <v>856</v>
      </c>
      <c r="D907" s="1" t="str">
        <f>IFERROR(__xludf.DUMMYFUNCTION("CONCATENATE(GOOGLETRANSLATE(C907, ""en"", ""zh-cn""))
"),"开放：在电子书中以广阔的思维生活")</f>
        <v>开放：在电子书中以广阔的思维生活</v>
      </c>
      <c r="E907" s="1" t="str">
        <f>IFERROR(__xludf.DUMMYFUNCTION("CONCATENATE(GOOGLETRANSLATE(C907, ""en"", ""ko""))"),"개방형: eBook에서 폭넓은 마음으로 생활하기")</f>
        <v>개방형: eBook에서 폭넓은 마음으로 생활하기</v>
      </c>
      <c r="F907" s="1" t="str">
        <f>IFERROR(__xludf.DUMMYFUNCTION("CONCATENATE(GOOGLETRANSLATE(C907, ""en"", ""ja""))"),"開く: 電子書籍で広い心を持って生きる")</f>
        <v>開く: 電子書籍で広い心を持って生きる</v>
      </c>
    </row>
    <row r="908" ht="15.75" customHeight="1">
      <c r="A908" s="1">
        <v>6233.0</v>
      </c>
      <c r="B908" s="1" t="s">
        <v>6</v>
      </c>
      <c r="C908" s="1" t="s">
        <v>857</v>
      </c>
      <c r="D908" s="1" t="str">
        <f>IFERROR(__xludf.DUMMYFUNCTION("CONCATENATE(GOOGLETRANSLATE(C908, ""en"", ""zh-cn""))
"),"炼金术士（电子书）")</f>
        <v>炼金术士（电子书）</v>
      </c>
      <c r="E908" s="1" t="str">
        <f>IFERROR(__xludf.DUMMYFUNCTION("CONCATENATE(GOOGLETRANSLATE(C908, ""en"", ""ko""))"),"연금술사(eBook)")</f>
        <v>연금술사(eBook)</v>
      </c>
      <c r="F908" s="1" t="str">
        <f>IFERROR(__xludf.DUMMYFUNCTION("CONCATENATE(GOOGLETRANSLATE(C908, ""en"", ""ja""))"),"アルケミスト (電子書籍)")</f>
        <v>アルケミスト (電子書籍)</v>
      </c>
    </row>
    <row r="909" ht="15.75" customHeight="1">
      <c r="A909" s="1">
        <v>6244.0</v>
      </c>
      <c r="B909" s="1" t="s">
        <v>6</v>
      </c>
      <c r="C909" s="1" t="s">
        <v>858</v>
      </c>
      <c r="D909" s="1" t="str">
        <f>IFERROR(__xludf.DUMMYFUNCTION("CONCATENATE(GOOGLETRANSLATE(C909, ""en"", ""zh-cn""))
"),"Apple 礼品卡 3 美元 - Apple Key - 美国")</f>
        <v>Apple 礼品卡 3 美元 - Apple Key - 美国</v>
      </c>
      <c r="E909" s="1" t="str">
        <f>IFERROR(__xludf.DUMMYFUNCTION("CONCATENATE(GOOGLETRANSLATE(C909, ""en"", ""ko""))"),"Apple 기프트 카드 3 USD - Apple 키 - 미국")</f>
        <v>Apple 기프트 카드 3 USD - Apple 키 - 미국</v>
      </c>
      <c r="F909" s="1" t="str">
        <f>IFERROR(__xludf.DUMMYFUNCTION("CONCATENATE(GOOGLETRANSLATE(C909, ""en"", ""ja""))"),"Apple ギフトカード 3 USD - Apple Key - 米国")</f>
        <v>Apple ギフトカード 3 USD - Apple Key - 米国</v>
      </c>
    </row>
    <row r="910" ht="15.75" customHeight="1">
      <c r="A910" s="1">
        <v>6279.0</v>
      </c>
      <c r="B910" s="1" t="s">
        <v>6</v>
      </c>
      <c r="C910" s="1" t="s">
        <v>859</v>
      </c>
      <c r="D910" s="1" t="str">
        <f>IFERROR(__xludf.DUMMYFUNCTION("CONCATENATE(GOOGLETRANSLATE(C910, ""en"", ""zh-cn""))
"),"PlayStation 商店数字礼品卡")</f>
        <v>PlayStation 商店数字礼品卡</v>
      </c>
      <c r="E910" s="1" t="str">
        <f>IFERROR(__xludf.DUMMYFUNCTION("CONCATENATE(GOOGLETRANSLATE(C910, ""en"", ""ko""))"),"PlayStation Store 디지털 기프트 카드")</f>
        <v>PlayStation Store 디지털 기프트 카드</v>
      </c>
      <c r="F910" s="1" t="str">
        <f>IFERROR(__xludf.DUMMYFUNCTION("CONCATENATE(GOOGLETRANSLATE(C910, ""en"", ""ja""))"),"PlayStation Store デジタルギフトカード")</f>
        <v>PlayStation Store デジタルギフトカード</v>
      </c>
    </row>
    <row r="911" ht="15.75" customHeight="1">
      <c r="A911" s="1">
        <v>6286.0</v>
      </c>
      <c r="B911" s="1" t="s">
        <v>6</v>
      </c>
      <c r="C911" s="1" t="s">
        <v>860</v>
      </c>
      <c r="D911" s="1" t="str">
        <f>IFERROR(__xludf.DUMMYFUNCTION("CONCATENATE(GOOGLETRANSLATE(C911, ""en"", ""zh-cn""))
"),"索尼 PlayStation 商店 - 10.0")</f>
        <v>索尼 PlayStation 商店 - 10.0</v>
      </c>
      <c r="E911" s="1" t="str">
        <f>IFERROR(__xludf.DUMMYFUNCTION("CONCATENATE(GOOGLETRANSLATE(C911, ""en"", ""ko""))"),"소니 플레이스테이션 스토어 - 10.0")</f>
        <v>소니 플레이스테이션 스토어 - 10.0</v>
      </c>
      <c r="F911" s="1" t="str">
        <f>IFERROR(__xludf.DUMMYFUNCTION("CONCATENATE(GOOGLETRANSLATE(C911, ""en"", ""ja""))"),"ソニー プレイステーション ストア - 10.0")</f>
        <v>ソニー プレイステーション ストア - 10.0</v>
      </c>
    </row>
    <row r="912" ht="15.75" customHeight="1">
      <c r="A912" s="1">
        <v>6303.0</v>
      </c>
      <c r="B912" s="1" t="s">
        <v>6</v>
      </c>
      <c r="C912" s="1" t="s">
        <v>861</v>
      </c>
      <c r="D912" s="1" t="str">
        <f>IFERROR(__xludf.DUMMYFUNCTION("CONCATENATE(GOOGLETRANSLATE(C912, ""en"", ""zh-cn""))
"),"Deceive Inc. - 特别版内容 - Sony PlayStation 5 [数字下载]")</f>
        <v>Deceive Inc. - 特别版内容 - Sony PlayStation 5 [数字下载]</v>
      </c>
      <c r="E912" s="1" t="str">
        <f>IFERROR(__xludf.DUMMYFUNCTION("CONCATENATE(GOOGLETRANSLATE(C912, ""en"", ""ko""))"),"Deceive Inc. - 스페셜 에디션 콘텐츠 - Sony PlayStation 5 [디지털 다운로드]")</f>
        <v>Deceive Inc. - 스페셜 에디션 콘텐츠 - Sony PlayStation 5 [디지털 다운로드]</v>
      </c>
      <c r="F912" s="1" t="str">
        <f>IFERROR(__xludf.DUMMYFUNCTION("CONCATENATE(GOOGLETRANSLATE(C912, ""en"", ""ja""))"),"Deceive Inc. - スペシャル エディション コンテンツ - Sony PlayStation 5 [デジタル ダウンロード]")</f>
        <v>Deceive Inc. - スペシャル エディション コンテンツ - Sony PlayStation 5 [デジタル ダウンロード]</v>
      </c>
    </row>
    <row r="913" ht="15.75" customHeight="1">
      <c r="A913" s="1">
        <v>6310.0</v>
      </c>
      <c r="B913" s="1" t="s">
        <v>6</v>
      </c>
      <c r="C913" s="1" t="s">
        <v>862</v>
      </c>
      <c r="D913" s="1" t="str">
        <f>IFERROR(__xludf.DUMMYFUNCTION("CONCATENATE(GOOGLETRANSLATE(C913, ""en"", ""zh-cn""))
"),"芬科融合")</f>
        <v>芬科融合</v>
      </c>
      <c r="E913" s="1" t="str">
        <f>IFERROR(__xludf.DUMMYFUNCTION("CONCATENATE(GOOGLETRANSLATE(C913, ""en"", ""ko""))"),"펀코퓨전")</f>
        <v>펀코퓨전</v>
      </c>
      <c r="F913" s="1" t="str">
        <f>IFERROR(__xludf.DUMMYFUNCTION("CONCATENATE(GOOGLETRANSLATE(C913, ""en"", ""ja""))"),"ファンコ フュージョン")</f>
        <v>ファンコ フュージョン</v>
      </c>
    </row>
    <row r="914" ht="15.75" customHeight="1">
      <c r="A914" s="1">
        <v>6342.0</v>
      </c>
      <c r="B914" s="1" t="s">
        <v>6</v>
      </c>
      <c r="C914" s="1" t="s">
        <v>863</v>
      </c>
      <c r="D914" s="1" t="str">
        <f>IFERROR(__xludf.DUMMYFUNCTION("CONCATENATE(GOOGLETRANSLATE(C914, ""en"", ""zh-cn""))
"),"超级马里奥 3D 全明星 (Nintendo Switch) - Nintendo eShop 帐户 - 全球")</f>
        <v>超级马里奥 3D 全明星 (Nintendo Switch) - Nintendo eShop 帐户 - 全球</v>
      </c>
      <c r="E914" s="1" t="str">
        <f>IFERROR(__xludf.DUMMYFUNCTION("CONCATENATE(GOOGLETRANSLATE(C914, ""en"", ""ko""))"),"슈퍼 마리오 3D 올스타(Nintendo Switch) - Nintendo eShop 계정 - GLOBAL")</f>
        <v>슈퍼 마리오 3D 올스타(Nintendo Switch) - Nintendo eShop 계정 - GLOBAL</v>
      </c>
      <c r="F914" s="1" t="str">
        <f>IFERROR(__xludf.DUMMYFUNCTION("CONCATENATE(GOOGLETRANSLATE(C914, ""en"", ""ja""))"),"スーパーマリオ 3D オールスターズ (Nintendo Switch) - ニンテンドー eショップ アカウント - GLOBAL")</f>
        <v>スーパーマリオ 3D オールスターズ (Nintendo Switch) - ニンテンドー eショップ アカウント - GLOBAL</v>
      </c>
    </row>
    <row r="915" ht="15.75" customHeight="1">
      <c r="A915" s="1">
        <v>6346.0</v>
      </c>
      <c r="B915" s="1" t="s">
        <v>6</v>
      </c>
      <c r="C915" s="1" t="s">
        <v>864</v>
      </c>
      <c r="D915" s="1" t="str">
        <f>IFERROR(__xludf.DUMMYFUNCTION("CONCATENATE(GOOGLETRANSLATE(C915, ""en"", ""zh-cn""))
"),"Nintendo Switch Online 个人扩展会员礼品卡")</f>
        <v>Nintendo Switch Online 个人扩展会员礼品卡</v>
      </c>
      <c r="E915" s="1" t="str">
        <f>IFERROR(__xludf.DUMMYFUNCTION("CONCATENATE(GOOGLETRANSLATE(C915, ""en"", ""ko""))"),"Nintendo Switch 온라인 개별 확장 멤버십 기프트 카드")</f>
        <v>Nintendo Switch 온라인 개별 확장 멤버십 기프트 카드</v>
      </c>
      <c r="F915" s="1" t="str">
        <f>IFERROR(__xludf.DUMMYFUNCTION("CONCATENATE(GOOGLETRANSLATE(C915, ""en"", ""ja""))"),"Nintendo Switch Online 個人拡張メンバーシップギフトカード")</f>
        <v>Nintendo Switch Online 個人拡張メンバーシップギフトカード</v>
      </c>
    </row>
    <row r="916" ht="15.75" customHeight="1">
      <c r="A916" s="1">
        <v>6365.0</v>
      </c>
      <c r="B916" s="1" t="s">
        <v>6</v>
      </c>
      <c r="C916" s="1" t="s">
        <v>865</v>
      </c>
      <c r="D916" s="1" t="str">
        <f>IFERROR(__xludf.DUMMYFUNCTION("CONCATENATE(GOOGLETRANSLATE(C916, ""en"", ""zh-cn""))
"),"adidas Originals 男士 Adicolor 经典贝肯鲍尔运动裤")</f>
        <v>adidas Originals 男士 Adicolor 经典贝肯鲍尔运动裤</v>
      </c>
      <c r="E916" s="1" t="str">
        <f>IFERROR(__xludf.DUMMYFUNCTION("CONCATENATE(GOOGLETRANSLATE(C916, ""en"", ""ko""))"),"아디다스 오리지널스 남성 아디컬러 클래식 베켄바우어 트랙 팬츠")</f>
        <v>아디다스 오리지널스 남성 아디컬러 클래식 베켄바우어 트랙 팬츠</v>
      </c>
      <c r="F916" s="1" t="str">
        <f>IFERROR(__xludf.DUMMYFUNCTION("CONCATENATE(GOOGLETRANSLATE(C916, ""en"", ""ja""))"),"アディダス オリジナルス メンズ アディカラー クラシック ベッケンバウアー トラック パンツ")</f>
        <v>アディダス オリジナルス メンズ アディカラー クラシック ベッケンバウアー トラック パンツ</v>
      </c>
    </row>
    <row r="917" ht="15.75" customHeight="1">
      <c r="A917" s="1">
        <v>6386.0</v>
      </c>
      <c r="B917" s="1" t="s">
        <v>6</v>
      </c>
      <c r="C917" s="1" t="s">
        <v>866</v>
      </c>
      <c r="D917" s="1" t="str">
        <f>IFERROR(__xludf.DUMMYFUNCTION("CONCATENATE(GOOGLETRANSLATE(C917, ""en"", ""zh-cn""))
"),"阿迪达斯 (adidas) 男式 Adicolor Classics Firebird 运动裤")</f>
        <v>阿迪达斯 (adidas) 男式 Adicolor Classics Firebird 运动裤</v>
      </c>
      <c r="E917" s="1" t="str">
        <f>IFERROR(__xludf.DUMMYFUNCTION("CONCATENATE(GOOGLETRANSLATE(C917, ""en"", ""ko""))"),"아디다스 남성 Adicolor 클래식 파이어버드 트랙 ​​팬츠")</f>
        <v>아디다스 남성 Adicolor 클래식 파이어버드 트랙 ​​팬츠</v>
      </c>
      <c r="F917" s="1" t="str">
        <f>IFERROR(__xludf.DUMMYFUNCTION("CONCATENATE(GOOGLETRANSLATE(C917, ""en"", ""ja""))"),"アディダス メンズ アディカラー クラシック ファイアバード トラック パンツ")</f>
        <v>アディダス メンズ アディカラー クラシック ファイアバード トラック パンツ</v>
      </c>
    </row>
    <row r="918" ht="15.75" customHeight="1">
      <c r="A918" s="1">
        <v>6395.0</v>
      </c>
      <c r="B918" s="1" t="s">
        <v>6</v>
      </c>
      <c r="C918" s="1" t="s">
        <v>867</v>
      </c>
      <c r="D918" s="1" t="str">
        <f>IFERROR(__xludf.DUMMYFUNCTION("CONCATENATE(GOOGLETRANSLATE(C918, ""en"", ""zh-cn""))
"),"ASICS 男士螺旋刺绣梭织长裤")</f>
        <v>ASICS 男士螺旋刺绣梭织长裤</v>
      </c>
      <c r="E918" s="1" t="str">
        <f>IFERROR(__xludf.DUMMYFUNCTION("CONCATENATE(GOOGLETRANSLATE(C918, ""en"", ""ko""))"),"아식스 남성용 나선형 자수 우븐 팬츠")</f>
        <v>아식스 남성용 나선형 자수 우븐 팬츠</v>
      </c>
      <c r="F918" s="1" t="str">
        <f>IFERROR(__xludf.DUMMYFUNCTION("CONCATENATE(GOOGLETRANSLATE(C918, ""en"", ""ja""))"),"[アシックス] スパイラル刺繍ウーブンパンツ メンズ")</f>
        <v>[アシックス] スパイラル刺繍ウーブンパンツ メンズ</v>
      </c>
    </row>
    <row r="919" ht="15.75" customHeight="1">
      <c r="A919" s="1">
        <v>6401.0</v>
      </c>
      <c r="B919" s="1" t="s">
        <v>6</v>
      </c>
      <c r="C919" s="1" t="s">
        <v>868</v>
      </c>
      <c r="D919" s="1" t="str">
        <f>IFERROR(__xludf.DUMMYFUNCTION("CONCATENATE(GOOGLETRANSLATE(C919, ""en"", ""zh-cn""))
"),"ASICS 男士 ACTIBREEZE 3D 凉鞋")</f>
        <v>ASICS 男士 ACTIBREEZE 3D 凉鞋</v>
      </c>
      <c r="E919" s="1" t="str">
        <f>IFERROR(__xludf.DUMMYFUNCTION("CONCATENATE(GOOGLETRANSLATE(C919, ""en"", ""ko""))"),"아식스 남성 ACTIBREEZE 3D 샌들")</f>
        <v>아식스 남성 ACTIBREEZE 3D 샌들</v>
      </c>
      <c r="F919" s="1" t="str">
        <f>IFERROR(__xludf.DUMMYFUNCTION("CONCATENATE(GOOGLETRANSLATE(C919, ""en"", ""ja""))"),"アシックス ACTIBREEZE 3D サンダル メンズ")</f>
        <v>アシックス ACTIBREEZE 3D サンダル メンズ</v>
      </c>
    </row>
    <row r="920" ht="15.75" customHeight="1">
      <c r="A920" s="1">
        <v>6422.0</v>
      </c>
      <c r="B920" s="1" t="s">
        <v>6</v>
      </c>
      <c r="C920" s="1" t="s">
        <v>869</v>
      </c>
      <c r="D920" s="1" t="str">
        <f>IFERROR(__xludf.DUMMYFUNCTION("CONCATENATE(GOOGLETRANSLATE(C920, ""en"", ""zh-cn""))
"),"ASICS 女式 7/8 性能紧身裤")</f>
        <v>ASICS 女式 7/8 性能紧身裤</v>
      </c>
      <c r="E920" s="1" t="str">
        <f>IFERROR(__xludf.DUMMYFUNCTION("CONCATENATE(GOOGLETRANSLATE(C920, ""en"", ""ko""))"),"아식스 여성용 7/8 퍼포먼스 타이트")</f>
        <v>아식스 여성용 7/8 퍼포먼스 타이트</v>
      </c>
      <c r="F920" s="1" t="str">
        <f>IFERROR(__xludf.DUMMYFUNCTION("CONCATENATE(GOOGLETRANSLATE(C920, ""en"", ""ja""))"),"アシックス ウィメンズ 7/8 パフォーマンス タイト")</f>
        <v>アシックス ウィメンズ 7/8 パフォーマンス タイト</v>
      </c>
    </row>
    <row r="921" ht="15.75" customHeight="1">
      <c r="A921" s="1">
        <v>6438.0</v>
      </c>
      <c r="B921" s="1" t="s">
        <v>6</v>
      </c>
      <c r="C921" s="1" t="s">
        <v>870</v>
      </c>
      <c r="D921" s="1" t="str">
        <f>IFERROR(__xludf.DUMMYFUNCTION("CONCATENATE(GOOGLETRANSLATE(C921, ""en"", ""zh-cn""))
"),"Gymshark Everyday 无缝长袖短款上衣")</f>
        <v>Gymshark Everyday 无缝长袖短款上衣</v>
      </c>
      <c r="E921" s="1" t="str">
        <f>IFERROR(__xludf.DUMMYFUNCTION("CONCATENATE(GOOGLETRANSLATE(C921, ""en"", ""ko""))"),"Gymshark Everyday 심리스 긴팔 크롭 탑")</f>
        <v>Gymshark Everyday 심리스 긴팔 크롭 탑</v>
      </c>
      <c r="F921" s="1" t="str">
        <f>IFERROR(__xludf.DUMMYFUNCTION("CONCATENATE(GOOGLETRANSLATE(C921, ""en"", ""ja""))"),"Gymshark エブリデイ シームレス ロング スリーブ クロップ トップ")</f>
        <v>Gymshark エブリデイ シームレス ロング スリーブ クロップ トップ</v>
      </c>
    </row>
    <row r="922" ht="15.75" customHeight="1">
      <c r="A922" s="1">
        <v>6471.0</v>
      </c>
      <c r="B922" s="1" t="s">
        <v>6</v>
      </c>
      <c r="C922" s="1" t="s">
        <v>871</v>
      </c>
      <c r="D922" s="1" t="str">
        <f>IFERROR(__xludf.DUMMYFUNCTION("CONCATENATE(GOOGLETRANSLATE(C922, ""en"", ""zh-cn""))
"),"Gymshark Legacy 常规护腿")</f>
        <v>Gymshark Legacy 常规护腿</v>
      </c>
      <c r="E922" s="1" t="str">
        <f>IFERROR(__xludf.DUMMYFUNCTION("CONCATENATE(GOOGLETRANSLATE(C922, ""en"", ""ko""))"),"Gymshark 레거시 레귤러 레깅스")</f>
        <v>Gymshark 레거시 레귤러 레깅스</v>
      </c>
      <c r="F922" s="1" t="str">
        <f>IFERROR(__xludf.DUMMYFUNCTION("CONCATENATE(GOOGLETRANSLATE(C922, ""en"", ""ja""))"),"ジムシャーク レガシー レギュラー レギンス")</f>
        <v>ジムシャーク レガシー レギュラー レギンス</v>
      </c>
    </row>
    <row r="923" ht="15.75" customHeight="1">
      <c r="A923" s="1">
        <v>6491.0</v>
      </c>
      <c r="B923" s="1" t="s">
        <v>6</v>
      </c>
      <c r="C923" s="1" t="s">
        <v>872</v>
      </c>
      <c r="D923" s="1" t="str">
        <f>IFERROR(__xludf.DUMMYFUNCTION("CONCATENATE(GOOGLETRANSLATE(C923, ""en"", ""zh-cn""))
"),"lululemon 女式 Groove 超高腰喇叭裤 Nulu")</f>
        <v>lululemon 女式 Groove 超高腰喇叭裤 Nulu</v>
      </c>
      <c r="E923" s="1" t="str">
        <f>IFERROR(__xludf.DUMMYFUNCTION("CONCATENATE(GOOGLETRANSLATE(C923, ""en"", ""ko""))"),"lululemon 여성용 그루브 슈퍼 하이라이즈 플레어 팬츠 눌루")</f>
        <v>lululemon 여성용 그루브 슈퍼 하이라이즈 플레어 팬츠 눌루</v>
      </c>
      <c r="F923" s="1" t="str">
        <f>IFERROR(__xludf.DUMMYFUNCTION("CONCATENATE(GOOGLETRANSLATE(C923, ""en"", ""ja""))"),"[ルルレモン] グルーヴスーパーハイライズフレアパンツ Nulu レディース")</f>
        <v>[ルルレモン] グルーヴスーパーハイライズフレアパンツ Nulu レディース</v>
      </c>
    </row>
    <row r="924" ht="15.75" customHeight="1">
      <c r="A924" s="1">
        <v>6493.0</v>
      </c>
      <c r="B924" s="1" t="s">
        <v>6</v>
      </c>
      <c r="C924" s="1" t="s">
        <v>873</v>
      </c>
      <c r="D924" s="1" t="str">
        <f>IFERROR(__xludf.DUMMYFUNCTION("CONCATENATE(GOOGLETRANSLATE(C924, ""en"", ""zh-cn""))
"),"Lululemon 女式 Rulu 缩褶腰长袖跑步上衣")</f>
        <v>Lululemon 女式 Rulu 缩褶腰长袖跑步上衣</v>
      </c>
      <c r="E924" s="1" t="str">
        <f>IFERROR(__xludf.DUMMYFUNCTION("CONCATENATE(GOOGLETRANSLATE(C924, ""en"", ""ko""))"),"Lululemon 여성용 Rulu 개더 웨이스트 긴팔 러닝 탑")</f>
        <v>Lululemon 여성용 Rulu 개더 웨이스트 긴팔 러닝 탑</v>
      </c>
      <c r="F924" s="1" t="str">
        <f>IFERROR(__xludf.DUMMYFUNCTION("CONCATENATE(GOOGLETRANSLATE(C924, ""en"", ""ja""))"),"[ルルレモン] Rulu ギャザーウエスト長袖ランニングトップ レディース")</f>
        <v>[ルルレモン] Rulu ギャザーウエスト長袖ランニングトップ レディース</v>
      </c>
    </row>
    <row r="925" ht="15.75" customHeight="1">
      <c r="A925" s="1">
        <v>6499.0</v>
      </c>
      <c r="B925" s="1" t="s">
        <v>6</v>
      </c>
      <c r="C925" s="1" t="s">
        <v>874</v>
      </c>
      <c r="D925" s="1" t="str">
        <f>IFERROR(__xludf.DUMMYFUNCTION("CONCATENATE(GOOGLETRANSLATE(C925, ""en"", ""zh-cn""))
"),"Lululemon 女式华夫格针织中腰慢跑裤")</f>
        <v>Lululemon 女式华夫格针织中腰慢跑裤</v>
      </c>
      <c r="E925" s="1" t="str">
        <f>IFERROR(__xludf.DUMMYFUNCTION("CONCATENATE(GOOGLETRANSLATE(C925, ""en"", ""ko""))"),"Lululemon 여성용 와플 니트 미드라이즈 조깅 팬츠")</f>
        <v>Lululemon 여성용 와플 니트 미드라이즈 조깅 팬츠</v>
      </c>
      <c r="F925" s="1" t="str">
        <f>IFERROR(__xludf.DUMMYFUNCTION("CONCATENATE(GOOGLETRANSLATE(C925, ""en"", ""ja""))"),"ルルレモン レディース ワッフルニット ミッドライズ ジョガー")</f>
        <v>ルルレモン レディース ワッフルニット ミッドライズ ジョガー</v>
      </c>
    </row>
    <row r="926" ht="15.75" customHeight="1">
      <c r="A926" s="1">
        <v>6514.0</v>
      </c>
      <c r="B926" s="1" t="s">
        <v>6</v>
      </c>
      <c r="C926" s="1" t="s">
        <v>875</v>
      </c>
      <c r="D926" s="1" t="str">
        <f>IFERROR(__xludf.DUMMYFUNCTION("CONCATENATE(GOOGLETRANSLATE(C926, ""en"", ""zh-cn""))
"),"耐克女式运动服 Phoenix 毛绒高腰阔腿舒适抓绒裤")</f>
        <v>耐克女式运动服 Phoenix 毛绒高腰阔腿舒适抓绒裤</v>
      </c>
      <c r="E926" s="1" t="str">
        <f>IFERROR(__xludf.DUMMYFUNCTION("CONCATENATE(GOOGLETRANSLATE(C926, ""en"", ""ko""))"),"나이키 여성 스포츠웨어 피닉스 플러시 하이웨이스트 와이드 레그 아늑한 플리스 팬츠")</f>
        <v>나이키 여성 스포츠웨어 피닉스 플러시 하이웨이스트 와이드 레그 아늑한 플리스 팬츠</v>
      </c>
      <c r="F926" s="1" t="str">
        <f>IFERROR(__xludf.DUMMYFUNCTION("CONCATENATE(GOOGLETRANSLATE(C926, ""en"", ""ja""))"),"ナイキ レディース スポーツウェア フェニックス プラッシュ ハイウエスト ワイドレッグ コージー フリース パンツ")</f>
        <v>ナイキ レディース スポーツウェア フェニックス プラッシュ ハイウエスト ワイドレッグ コージー フリース パンツ</v>
      </c>
    </row>
    <row r="927" ht="15.75" customHeight="1">
      <c r="A927" s="1">
        <v>6559.0</v>
      </c>
      <c r="B927" s="1" t="s">
        <v>6</v>
      </c>
      <c r="C927" s="1" t="s">
        <v>876</v>
      </c>
      <c r="D927" s="1" t="str">
        <f>IFERROR(__xludf.DUMMYFUNCTION("CONCATENATE(GOOGLETRANSLATE(C927, ""en"", ""zh-cn""))
"),"PUMA 女式 Softride Harli 一脚蹬跑鞋")</f>
        <v>PUMA 女式 Softride Harli 一脚蹬跑鞋</v>
      </c>
      <c r="E927" s="1" t="str">
        <f>IFERROR(__xludf.DUMMYFUNCTION("CONCATENATE(GOOGLETRANSLATE(C927, ""en"", ""ko""))"),"PUMA 여성용 소프트라이드 할리 슬립온 운동화")</f>
        <v>PUMA 여성용 소프트라이드 할리 슬립온 운동화</v>
      </c>
      <c r="F927" s="1" t="str">
        <f>IFERROR(__xludf.DUMMYFUNCTION("CONCATENATE(GOOGLETRANSLATE(C927, ""en"", ""ja""))"),"プーマ レディース Softride Harli スリッポン ランニング シューズ")</f>
        <v>プーマ レディース Softride Harli スリッポン ランニング シューズ</v>
      </c>
    </row>
    <row r="928" ht="15.75" customHeight="1">
      <c r="A928" s="1">
        <v>6570.0</v>
      </c>
      <c r="B928" s="1" t="s">
        <v>6</v>
      </c>
      <c r="C928" s="1" t="s">
        <v>877</v>
      </c>
      <c r="D928" s="1" t="str">
        <f>IFERROR(__xludf.DUMMYFUNCTION("CONCATENATE(GOOGLETRANSLATE(C928, ""en"", ""zh-cn""))
"),"PUMA 男士 Essential 平纹针织运动裤")</f>
        <v>PUMA 男士 Essential 平纹针织运动裤</v>
      </c>
      <c r="E928" s="1" t="str">
        <f>IFERROR(__xludf.DUMMYFUNCTION("CONCATENATE(GOOGLETRANSLATE(C928, ""en"", ""ko""))"),"PUMA 남성용 에센셜 저지 스웨트팬츠")</f>
        <v>PUMA 남성용 에센셜 저지 스웨트팬츠</v>
      </c>
      <c r="F928" s="1" t="str">
        <f>IFERROR(__xludf.DUMMYFUNCTION("CONCATENATE(GOOGLETRANSLATE(C928, ""en"", ""ja""))"),"PUMA メンズ エッセンシャル ジャージ スウェットパンツ")</f>
        <v>PUMA メンズ エッセンシャル ジャージ スウェットパンツ</v>
      </c>
    </row>
    <row r="929" ht="15.75" customHeight="1">
      <c r="A929" s="1">
        <v>6574.0</v>
      </c>
      <c r="B929" s="1" t="s">
        <v>6</v>
      </c>
      <c r="C929" s="1" t="s">
        <v>878</v>
      </c>
      <c r="D929" s="1" t="str">
        <f>IFERROR(__xludf.DUMMYFUNCTION("CONCATENATE(GOOGLETRANSLATE(C929, ""en"", ""zh-cn""))
"),"PUMA 男士 Cloudspun 慢跑裤")</f>
        <v>PUMA 男士 Cloudspun 慢跑裤</v>
      </c>
      <c r="E929" s="1" t="str">
        <f>IFERROR(__xludf.DUMMYFUNCTION("CONCATENATE(GOOGLETRANSLATE(C929, ""en"", ""ko""))"),"PUMA 남성용 클라우드스펀 조거팬츠")</f>
        <v>PUMA 남성용 클라우드스펀 조거팬츠</v>
      </c>
      <c r="F929" s="1" t="str">
        <f>IFERROR(__xludf.DUMMYFUNCTION("CONCATENATE(GOOGLETRANSLATE(C929, ""en"", ""ja""))"),"プーマ メンズ クラウドスパン ジョガー")</f>
        <v>プーマ メンズ クラウドスパン ジョガー</v>
      </c>
    </row>
    <row r="930" ht="15.75" customHeight="1">
      <c r="A930" s="1">
        <v>6580.0</v>
      </c>
      <c r="B930" s="1" t="s">
        <v>6</v>
      </c>
      <c r="C930" s="1" t="s">
        <v>879</v>
      </c>
      <c r="D930" s="1" t="str">
        <f>IFERROR(__xludf.DUMMYFUNCTION("CONCATENATE(GOOGLETRANSLATE(C930, ""en"", ""zh-cn""))
"),"男士 Puma Ess+ 刺绣徽标")</f>
        <v>男士 Puma Ess+ 刺绣徽标</v>
      </c>
      <c r="E930" s="1" t="str">
        <f>IFERROR(__xludf.DUMMYFUNCTION("CONCATENATE(GOOGLETRANSLATE(C930, ""en"", ""ko""))"),"남성용 푸마 Ess+ 자수 로고")</f>
        <v>남성용 푸마 Ess+ 자수 로고</v>
      </c>
      <c r="F930" s="1" t="str">
        <f>IFERROR(__xludf.DUMMYFUNCTION("CONCATENATE(GOOGLETRANSLATE(C930, ""en"", ""ja""))"),"メンズ プーマ Ess+ 刺繍ロゴ")</f>
        <v>メンズ プーマ Ess+ 刺繍ロゴ</v>
      </c>
    </row>
    <row r="931" ht="15.75" customHeight="1">
      <c r="A931" s="1">
        <v>6583.0</v>
      </c>
      <c r="B931" s="1" t="s">
        <v>6</v>
      </c>
      <c r="C931" s="1" t="s">
        <v>880</v>
      </c>
      <c r="D931" s="1" t="str">
        <f>IFERROR(__xludf.DUMMYFUNCTION("CONCATENATE(GOOGLETRANSLATE(C931, ""en"", ""zh-cn""))
"),"PUMA 男士滚边经编慢跑裤")</f>
        <v>PUMA 男士滚边经编慢跑裤</v>
      </c>
      <c r="E931" s="1" t="str">
        <f>IFERROR(__xludf.DUMMYFUNCTION("CONCATENATE(GOOGLETRANSLATE(C931, ""en"", ""ko""))"),"PUMA 남성용 파이프 트리코 조깅팬츠")</f>
        <v>PUMA 남성용 파이프 트리코 조깅팬츠</v>
      </c>
      <c r="F931" s="1" t="str">
        <f>IFERROR(__xludf.DUMMYFUNCTION("CONCATENATE(GOOGLETRANSLATE(C931, ""en"", ""ja""))"),"PUMA メンズ パイプトリコット ジョガー")</f>
        <v>PUMA メンズ パイプトリコット ジョガー</v>
      </c>
    </row>
    <row r="932" ht="15.75" customHeight="1">
      <c r="A932" s="1">
        <v>6597.0</v>
      </c>
      <c r="B932" s="1" t="s">
        <v>6</v>
      </c>
      <c r="C932" s="1" t="s">
        <v>881</v>
      </c>
      <c r="D932" s="1" t="str">
        <f>IFERROR(__xludf.DUMMYFUNCTION("CONCATENATE(GOOGLETRANSLATE(C932, ""en"", ""zh-cn""))
"),"Reebok 女式 Lux 高腰打底裤")</f>
        <v>Reebok 女式 Lux 高腰打底裤</v>
      </c>
      <c r="E932" s="1" t="str">
        <f>IFERROR(__xludf.DUMMYFUNCTION("CONCATENATE(GOOGLETRANSLATE(C932, ""en"", ""ko""))"),"Reebok 여성용 Lux 하이라이즈 레깅스")</f>
        <v>Reebok 여성용 Lux 하이라이즈 레깅스</v>
      </c>
      <c r="F932" s="1" t="str">
        <f>IFERROR(__xludf.DUMMYFUNCTION("CONCATENATE(GOOGLETRANSLATE(C932, ""en"", ""ja""))"),"リーボック レディース ラックス ハイライズ レギンス")</f>
        <v>リーボック レディース ラックス ハイライズ レギンス</v>
      </c>
    </row>
    <row r="933" ht="15.75" customHeight="1">
      <c r="A933" s="1">
        <v>6615.0</v>
      </c>
      <c r="B933" s="1" t="s">
        <v>6</v>
      </c>
      <c r="C933" s="1" t="s">
        <v>882</v>
      </c>
      <c r="D933" s="1" t="str">
        <f>IFERROR(__xludf.DUMMYFUNCTION("CONCATENATE(GOOGLETRANSLATE(C933, ""en"", ""zh-cn""))
"),"Reebok 女士经典衣橱必需品抓绒裤")</f>
        <v>Reebok 女士经典衣橱必需品抓绒裤</v>
      </c>
      <c r="E933" s="1" t="str">
        <f>IFERROR(__xludf.DUMMYFUNCTION("CONCATENATE(GOOGLETRANSLATE(C933, ""en"", ""ko""))"),"Reebok 여성용 클래식 옷장 에센셜 플리스 팬츠")</f>
        <v>Reebok 여성용 클래식 옷장 에센셜 플리스 팬츠</v>
      </c>
      <c r="F933" s="1" t="str">
        <f>IFERROR(__xludf.DUMMYFUNCTION("CONCATENATE(GOOGLETRANSLATE(C933, ""en"", ""ja""))"),"リーボック レディース クラシック ワードローブ エッセンシャル フリース パンツ")</f>
        <v>リーボック レディース クラシック ワードローブ エッセンシャル フリース パンツ</v>
      </c>
    </row>
    <row r="934" ht="15.75" customHeight="1">
      <c r="A934" s="1">
        <v>6622.0</v>
      </c>
      <c r="B934" s="1" t="s">
        <v>6</v>
      </c>
      <c r="C934" s="1" t="s">
        <v>883</v>
      </c>
      <c r="D934" s="1" t="str">
        <f>IFERROR(__xludf.DUMMYFUNCTION("CONCATENATE(GOOGLETRANSLATE(C934, ""en"", ""zh-cn""))
"),"Reebok 女式 Identity 小号徽标抓绒全拉链连帽衫")</f>
        <v>Reebok 女式 Identity 小号徽标抓绒全拉链连帽衫</v>
      </c>
      <c r="E934" s="1" t="str">
        <f>IFERROR(__xludf.DUMMYFUNCTION("CONCATENATE(GOOGLETRANSLATE(C934, ""en"", ""ko""))"),"Reebok 여성용 아이덴티티 스몰 로고 플리스 풀집 후디")</f>
        <v>Reebok 여성용 아이덴티티 스몰 로고 플리스 풀집 후디</v>
      </c>
      <c r="F934" s="1" t="str">
        <f>IFERROR(__xludf.DUMMYFUNCTION("CONCATENATE(GOOGLETRANSLATE(C934, ""en"", ""ja""))"),"リーボック レディース アイデンティティ スモール ロゴ フリース フルジップ パーカー")</f>
        <v>リーボック レディース アイデンティティ スモール ロゴ フリース フルジップ パーカー</v>
      </c>
    </row>
    <row r="935" ht="15.75" customHeight="1">
      <c r="A935" s="1">
        <v>6628.0</v>
      </c>
      <c r="B935" s="1" t="s">
        <v>6</v>
      </c>
      <c r="C935" s="1" t="s">
        <v>884</v>
      </c>
      <c r="D935" s="1" t="str">
        <f>IFERROR(__xludf.DUMMYFUNCTION("CONCATENATE(GOOGLETRANSLATE(C935, ""en"", ""zh-cn""))
"),"Reebok 女式宽幅工装裤")</f>
        <v>Reebok 女式宽幅工装裤</v>
      </c>
      <c r="E935" s="1" t="str">
        <f>IFERROR(__xludf.DUMMYFUNCTION("CONCATENATE(GOOGLETRANSLATE(C935, ""en"", ""ko""))"),"Reebok 여성용 와이드 카고 팬츠")</f>
        <v>Reebok 여성용 와이드 카고 팬츠</v>
      </c>
      <c r="F935" s="1" t="str">
        <f>IFERROR(__xludf.DUMMYFUNCTION("CONCATENATE(GOOGLETRANSLATE(C935, ""en"", ""ja""))"),"リーボック レディース ワイド カーゴ パンツ")</f>
        <v>リーボック レディース ワイド カーゴ パンツ</v>
      </c>
    </row>
    <row r="936" ht="15.75" customHeight="1">
      <c r="A936" s="1">
        <v>6632.0</v>
      </c>
      <c r="B936" s="1" t="s">
        <v>6</v>
      </c>
      <c r="C936" s="1" t="s">
        <v>885</v>
      </c>
      <c r="D936" s="1" t="str">
        <f>IFERROR(__xludf.DUMMYFUNCTION("CONCATENATE(GOOGLETRANSLATE(C936, ""en"", ""zh-cn""))
"),"Reebok 男士训练科技 T 恤")</f>
        <v>Reebok 男士训练科技 T 恤</v>
      </c>
      <c r="E936" s="1" t="str">
        <f>IFERROR(__xludf.DUMMYFUNCTION("CONCATENATE(GOOGLETRANSLATE(C936, ""en"", ""ko""))"),"Reebok 남성 트레이닝 테크 티셔츠")</f>
        <v>Reebok 남성 트레이닝 테크 티셔츠</v>
      </c>
      <c r="F936" s="1" t="str">
        <f>IFERROR(__xludf.DUMMYFUNCTION("CONCATENATE(GOOGLETRANSLATE(C936, ""en"", ""ja""))"),"Reebok メンズ トレーニング テック T シャツ")</f>
        <v>Reebok メンズ トレーニング テック T シャツ</v>
      </c>
    </row>
    <row r="937" ht="15.75" customHeight="1">
      <c r="A937" s="1">
        <v>6658.0</v>
      </c>
      <c r="B937" s="1" t="s">
        <v>6</v>
      </c>
      <c r="C937" s="1" t="s">
        <v>886</v>
      </c>
      <c r="D937" s="1" t="str">
        <f>IFERROR(__xludf.DUMMYFUNCTION("CONCATENATE(GOOGLETRANSLATE(C937, ""en"", ""zh-cn""))
"),"OVE Decors Gabi 48 英寸单水槽浴室梳妆台")</f>
        <v>OVE Decors Gabi 48 英寸单水槽浴室梳妆台</v>
      </c>
      <c r="E937" s="1" t="str">
        <f>IFERROR(__xludf.DUMMYFUNCTION("CONCATENATE(GOOGLETRANSLATE(C937, ""en"", ""ko""))"),"OVE Decors Gabi 48인치 싱글 세면대 욕실 세면대")</f>
        <v>OVE Decors Gabi 48인치 싱글 세면대 욕실 세면대</v>
      </c>
      <c r="F937" s="1" t="str">
        <f>IFERROR(__xludf.DUMMYFUNCTION("CONCATENATE(GOOGLETRANSLATE(C937, ""en"", ""ja""))"),"OVE Decors Gabi 48 インチ シングルシンク 洗面化粧台")</f>
        <v>OVE Decors Gabi 48 インチ シングルシンク 洗面化粧台</v>
      </c>
    </row>
    <row r="938" ht="15.75" customHeight="1">
      <c r="A938" s="1">
        <v>6665.0</v>
      </c>
      <c r="B938" s="1" t="s">
        <v>6</v>
      </c>
      <c r="C938" s="1" t="s">
        <v>887</v>
      </c>
      <c r="D938" s="1" t="str">
        <f>IFERROR(__xludf.DUMMYFUNCTION("CONCATENATE(GOOGLETRANSLATE(C938, ""en"", ""zh-cn""))
"),"Fresca Oxford 60 英寸传统浴室柜")</f>
        <v>Fresca Oxford 60 英寸传统浴室柜</v>
      </c>
      <c r="E938" s="1" t="str">
        <f>IFERROR(__xludf.DUMMYFUNCTION("CONCATENATE(GOOGLETRANSLATE(C938, ""en"", ""ko""))"),"Fresca Oxford 60"" 전통 욕실 캐비닛")</f>
        <v>Fresca Oxford 60" 전통 욕실 캐비닛</v>
      </c>
      <c r="F938" s="1" t="str">
        <f>IFERROR(__xludf.DUMMYFUNCTION("CONCATENATE(GOOGLETRANSLATE(C938, ""en"", ""ja""))"),"Fresca オックスフォード 60 インチ トラディショナル バスルーム キャビネット")</f>
        <v>Fresca オックスフォード 60 インチ トラディショナル バスルーム キャビネット</v>
      </c>
    </row>
    <row r="939" ht="15.75" customHeight="1">
      <c r="A939" s="1">
        <v>6672.0</v>
      </c>
      <c r="B939" s="1" t="s">
        <v>6</v>
      </c>
      <c r="C939" s="1" t="s">
        <v>888</v>
      </c>
      <c r="D939" s="1" t="str">
        <f>IFERROR(__xludf.DUMMYFUNCTION("CONCATENATE(GOOGLETRANSLATE(C939, ""en"", ""zh-cn""))
"),"浴室地柜")</f>
        <v>浴室地柜</v>
      </c>
      <c r="E939" s="1" t="str">
        <f>IFERROR(__xludf.DUMMYFUNCTION("CONCATENATE(GOOGLETRANSLATE(C939, ""en"", ""ko""))"),"욕실 바닥 캐비닛")</f>
        <v>욕실 바닥 캐비닛</v>
      </c>
      <c r="F939" s="1" t="str">
        <f>IFERROR(__xludf.DUMMYFUNCTION("CONCATENATE(GOOGLETRANSLATE(C939, ""en"", ""ja""))"),"バスルームフロアキャビネット")</f>
        <v>バスルームフロアキャビネット</v>
      </c>
    </row>
    <row r="940" ht="15.75" customHeight="1">
      <c r="A940" s="1">
        <v>6677.0</v>
      </c>
      <c r="B940" s="1" t="s">
        <v>6</v>
      </c>
      <c r="C940" s="1" t="s">
        <v>889</v>
      </c>
      <c r="D940" s="1" t="str">
        <f>IFERROR(__xludf.DUMMYFUNCTION("CONCATENATE(GOOGLETRANSLATE(C940, ""en"", ""zh-cn""))
"),"Ktaxon浴室药柜")</f>
        <v>Ktaxon浴室药柜</v>
      </c>
      <c r="E940" s="1" t="str">
        <f>IFERROR(__xludf.DUMMYFUNCTION("CONCATENATE(GOOGLETRANSLATE(C940, ""en"", ""ko""))"),"Ktaxon 욕실 약장")</f>
        <v>Ktaxon 욕실 약장</v>
      </c>
      <c r="F940" s="1" t="str">
        <f>IFERROR(__xludf.DUMMYFUNCTION("CONCATENATE(GOOGLETRANSLATE(C940, ""en"", ""ja""))"),"Ktaxon バスルーム薬品キャビネット")</f>
        <v>Ktaxon バスルーム薬品キャビネット</v>
      </c>
    </row>
    <row r="941" ht="15.75" customHeight="1">
      <c r="A941" s="1">
        <v>6683.0</v>
      </c>
      <c r="B941" s="1" t="s">
        <v>6</v>
      </c>
      <c r="C941" s="1" t="s">
        <v>890</v>
      </c>
      <c r="D941" s="1" t="str">
        <f>IFERROR(__xludf.DUMMYFUNCTION("CONCATENATE(GOOGLETRANSLATE(C941, ""en"", ""zh-cn""))
"),"Ktaxon 木质浴室壁挂药柜")</f>
        <v>Ktaxon 木质浴室壁挂药柜</v>
      </c>
      <c r="E941" s="1" t="str">
        <f>IFERROR(__xludf.DUMMYFUNCTION("CONCATENATE(GOOGLETRANSLATE(C941, ""en"", ""ko""))"),"Ktaxon 나무 욕실 벽 약장")</f>
        <v>Ktaxon 나무 욕실 벽 약장</v>
      </c>
      <c r="F941" s="1" t="str">
        <f>IFERROR(__xludf.DUMMYFUNCTION("CONCATENATE(GOOGLETRANSLATE(C941, ""en"", ""ja""))"),"Ktaxon 木製バスルーム壁薬キャビネット")</f>
        <v>Ktaxon 木製バスルーム壁薬キャビネット</v>
      </c>
    </row>
    <row r="942" ht="15.75" customHeight="1">
      <c r="A942" s="1">
        <v>6697.0</v>
      </c>
      <c r="B942" s="1" t="s">
        <v>6</v>
      </c>
      <c r="C942" s="1" t="s">
        <v>891</v>
      </c>
      <c r="D942" s="1" t="str">
        <f>IFERROR(__xludf.DUMMYFUNCTION("CONCATENATE(GOOGLETRANSLATE(C942, ""en"", ""zh-cn""))
"),"Ktaxon 工业壁挂式浴室储物柜医药柜整理器节省空间")</f>
        <v>Ktaxon 工业壁挂式浴室储物柜医药柜整理器节省空间</v>
      </c>
      <c r="E942" s="1" t="str">
        <f>IFERROR(__xludf.DUMMYFUNCTION("CONCATENATE(GOOGLETRANSLATE(C942, ""en"", ""ko""))"),"Ktaxon 산업 잘 고정된 목욕탕 저장 내각 약장 조직자 저장 공간")</f>
        <v>Ktaxon 산업 잘 고정된 목욕탕 저장 내각 약장 조직자 저장 공간</v>
      </c>
      <c r="F942" s="1" t="str">
        <f>IFERROR(__xludf.DUMMYFUNCTION("CONCATENATE(GOOGLETRANSLATE(C942, ""en"", ""ja""))"),"Ktaxon 工業用壁掛けバスルーム収納キャビネット薬キャビネットオーガナイザースペースを節約")</f>
        <v>Ktaxon 工業用壁掛けバスルーム収納キャビネット薬キャビネットオーガナイザースペースを節約</v>
      </c>
    </row>
    <row r="943" ht="15.75" customHeight="1">
      <c r="A943" s="1">
        <v>6708.0</v>
      </c>
      <c r="B943" s="1" t="s">
        <v>6</v>
      </c>
      <c r="C943" s="1" t="s">
        <v>892</v>
      </c>
      <c r="D943" s="1" t="str">
        <f>IFERROR(__xludf.DUMMYFUNCTION("CONCATENATE(GOOGLETRANSLATE(C943, ""en"", ""zh-cn""))
"),"Ktaxon 20 英寸x28 英寸，LED 浴室药柜带镜面照明，壁挂式储物柜带可调光，记忆功能，插座和 USB，")</f>
        <v>Ktaxon 20 英寸x28 英寸，LED 浴室药柜带镜面照明，壁挂式储物柜带可调光，记忆功能，插座和 USB，</v>
      </c>
      <c r="E943" s="1" t="str">
        <f>IFERROR(__xludf.DUMMYFUNCTION("CONCATENATE(GOOGLETRANSLATE(C943, ""en"", ""ko""))"),"Ktaxon 20인치x28인치, LED 욕실 약장, 거울 조명, 벽걸이형 보관 캐비닛(조광 가능, 메모리 기능, 콘센트 및 USB 포함),")</f>
        <v>Ktaxon 20인치x28인치, LED 욕실 약장, 거울 조명, 벽걸이형 보관 캐비닛(조광 가능, 메모리 기능, 콘센트 및 USB 포함),</v>
      </c>
      <c r="F943" s="1" t="str">
        <f>IFERROR(__xludf.DUMMYFUNCTION("CONCATENATE(GOOGLETRANSLATE(C943, ""en"", ""ja""))"),"Ktaxon 20 インチ x 28 インチ、ミラー照明付き LED バスルーム薬キャビネット、調光可能、メモリ機能、コンセントおよび USB 付き壁掛け収納キャビネット、")</f>
        <v>Ktaxon 20 インチ x 28 インチ、ミラー照明付き LED バスルーム薬キャビネット、調光可能、メモリ機能、コンセントおよび USB 付き壁掛け収納キャビネット、</v>
      </c>
    </row>
    <row r="944" ht="15.75" customHeight="1">
      <c r="A944" s="1">
        <v>6722.0</v>
      </c>
      <c r="B944" s="1" t="s">
        <v>6</v>
      </c>
      <c r="C944" s="1" t="s">
        <v>893</v>
      </c>
      <c r="D944" s="1" t="str">
        <f>IFERROR(__xludf.DUMMYFUNCTION("CONCATENATE(GOOGLETRANSLATE(C944, ""en"", ""zh-cn""))
"),"适用于 400A 的 Fluidmaster 385 替换阀盖")</f>
        <v>适用于 400A 的 Fluidmaster 385 替换阀盖</v>
      </c>
      <c r="E944" s="1" t="str">
        <f>IFERROR(__xludf.DUMMYFUNCTION("CONCATENATE(GOOGLETRANSLATE(C944, ""en"", ""ko""))"),"Fluidmaster 385 400A용 교체 밸브 캡")</f>
        <v>Fluidmaster 385 400A용 교체 밸브 캡</v>
      </c>
      <c r="F944" s="1" t="str">
        <f>IFERROR(__xludf.DUMMYFUNCTION("CONCATENATE(GOOGLETRANSLATE(C944, ""en"", ""ja""))"),"Fluidmaster 385 400A 用交換用バルブ キャップ")</f>
        <v>Fluidmaster 385 400A 用交換用バルブ キャップ</v>
      </c>
    </row>
    <row r="945" ht="15.75" customHeight="1">
      <c r="A945" s="1">
        <v>6767.0</v>
      </c>
      <c r="B945" s="1" t="s">
        <v>6</v>
      </c>
      <c r="C945" s="1" t="s">
        <v>894</v>
      </c>
      <c r="D945" s="1" t="str">
        <f>IFERROR(__xludf.DUMMYFUNCTION("CONCATENATE(GOOGLETRANSLATE(C945, ""en"", ""zh-cn""))
"),"Brita 替换水过滤器")</f>
        <v>Brita 替换水过滤器</v>
      </c>
      <c r="E945" s="1" t="str">
        <f>IFERROR(__xludf.DUMMYFUNCTION("CONCATENATE(GOOGLETRANSLATE(C945, ""en"", ""ko""))"),"브리타 교체용 정수 필터")</f>
        <v>브리타 교체용 정수 필터</v>
      </c>
      <c r="F945" s="1" t="str">
        <f>IFERROR(__xludf.DUMMYFUNCTION("CONCATENATE(GOOGLETRANSLATE(C945, ""en"", ""ja""))"),"Brita 交換用浄水フィルター")</f>
        <v>Brita 交換用浄水フィルター</v>
      </c>
    </row>
    <row r="946" ht="15.75" customHeight="1">
      <c r="A946" s="1">
        <v>6785.0</v>
      </c>
      <c r="B946" s="1" t="s">
        <v>6</v>
      </c>
      <c r="C946" s="1" t="s">
        <v>895</v>
      </c>
      <c r="D946" s="1" t="str">
        <f>IFERROR(__xludf.DUMMYFUNCTION("CONCATENATE(GOOGLETRANSLATE(C946, ""en"", ""zh-cn""))
"),"Brita Total 360 水过滤系统 BRDPFS")</f>
        <v>Brita Total 360 水过滤系统 BRDPFS</v>
      </c>
      <c r="E946" s="1" t="str">
        <f>IFERROR(__xludf.DUMMYFUNCTION("CONCATENATE(GOOGLETRANSLATE(C946, ""en"", ""ko""))"),"브리타 토탈 360 정수 시스템 BRDPFS")</f>
        <v>브리타 토탈 360 정수 시스템 BRDPFS</v>
      </c>
      <c r="F946" s="1" t="str">
        <f>IFERROR(__xludf.DUMMYFUNCTION("CONCATENATE(GOOGLETRANSLATE(C946, ""en"", ""ja""))"),"Brita Total 360 水ろ過システム BRDPFS")</f>
        <v>Brita Total 360 水ろ過システム BRDPFS</v>
      </c>
    </row>
    <row r="947" ht="15.75" customHeight="1">
      <c r="A947" s="1">
        <v>6812.0</v>
      </c>
      <c r="B947" s="1" t="s">
        <v>6</v>
      </c>
      <c r="C947" s="1" t="s">
        <v>896</v>
      </c>
      <c r="D947" s="1" t="str">
        <f>IFERROR(__xludf.DUMMYFUNCTION("CONCATENATE(GOOGLETRANSLATE(C947, ""en"", ""zh-cn""))
"),"PUR Plus 30 杯分配器过滤系统")</f>
        <v>PUR Plus 30 杯分配器过滤系统</v>
      </c>
      <c r="E947" s="1" t="str">
        <f>IFERROR(__xludf.DUMMYFUNCTION("CONCATENATE(GOOGLETRANSLATE(C947, ""en"", ""ko""))"),"PUR Plus 30컵 디스펜서 여과 시스템")</f>
        <v>PUR Plus 30컵 디스펜서 여과 시스템</v>
      </c>
      <c r="F947" s="1" t="str">
        <f>IFERROR(__xludf.DUMMYFUNCTION("CONCATENATE(GOOGLETRANSLATE(C947, ""en"", ""ja""))"),"PUR Plus 30 カップ ディスペンサー濾過システム")</f>
        <v>PUR Plus 30 カップ ディスペンサー濾過システム</v>
      </c>
    </row>
    <row r="948" ht="15.75" customHeight="1">
      <c r="A948" s="1">
        <v>6863.0</v>
      </c>
      <c r="B948" s="1" t="s">
        <v>6</v>
      </c>
      <c r="C948" s="1" t="s">
        <v>897</v>
      </c>
      <c r="D948" s="1" t="str">
        <f>IFERROR(__xludf.DUMMYFUNCTION("CONCATENATE(GOOGLETRANSLATE(C948, ""en"", ""zh-cn""))
"),"2 件 Equate 女性头发再生护理泡沫，两个月用量")</f>
        <v>2 件 Equate 女性头发再生护理泡沫，两个月用量</v>
      </c>
      <c r="E948" s="1" t="str">
        <f>IFERROR(__xludf.DUMMYFUNCTION("CONCATENATE(GOOGLETRANSLATE(C948, ""en"", ""ko""))"),"2 X Equate 여성 모발 재성장 트리트먼트, 폼 2개월분")</f>
        <v>2 X Equate 여성 모발 재성장 트리트먼트, 폼 2개월분</v>
      </c>
      <c r="F948" s="1" t="str">
        <f>IFERROR(__xludf.DUMMYFUNCTION("CONCATENATE(GOOGLETRANSLATE(C948, ""en"", ""ja""))"),"2 X Equate 女性発毛トリートメント、フォーム 2 か月分")</f>
        <v>2 X Equate 女性発毛トリートメント、フォーム 2 か月分</v>
      </c>
    </row>
    <row r="949" ht="15.75" customHeight="1">
      <c r="A949" s="1">
        <v>6868.0</v>
      </c>
      <c r="B949" s="1" t="s">
        <v>6</v>
      </c>
      <c r="C949" s="1" t="s">
        <v>898</v>
      </c>
      <c r="D949" s="1" t="str">
        <f>IFERROR(__xludf.DUMMYFUNCTION("CONCATENATE(GOOGLETRANSLATE(C949, ""en"", ""zh-cn""))
"),"同等最大强度胶囊可缓解严重鼻窦和充血，")</f>
        <v>同等最大强度胶囊可缓解严重鼻窦和充血，</v>
      </c>
      <c r="E949" s="1" t="str">
        <f>IFERROR(__xludf.DUMMYFUNCTION("CONCATENATE(GOOGLETRANSLATE(C949, ""en"", ""ko""))"),"심한 부비동염 및 혼잡 완화를 위해 최대 강도의 캐플릿을 동일시하십시오.")</f>
        <v>심한 부비동염 및 혼잡 완화를 위해 최대 강도의 캐플릿을 동일시하십시오.</v>
      </c>
      <c r="F949" s="1" t="str">
        <f>IFERROR(__xludf.DUMMYFUNCTION("CONCATENATE(GOOGLETRANSLATE(C949, ""en"", ""ja""))"),"重度の副鼻腔炎およびうっ血の緩和に最大強度のカプレットを同等とみなします。")</f>
        <v>重度の副鼻腔炎およびうっ血の緩和に最大強度のカプレットを同等とみなします。</v>
      </c>
    </row>
    <row r="950" ht="15.75" customHeight="1">
      <c r="A950" s="1">
        <v>6894.0</v>
      </c>
      <c r="B950" s="1" t="s">
        <v>6</v>
      </c>
      <c r="C950" s="1" t="s">
        <v>899</v>
      </c>
      <c r="D950" s="1" t="str">
        <f>IFERROR(__xludf.DUMMYFUNCTION("CONCATENATE(GOOGLETRANSLATE(C950, ""en"", ""zh-cn""))
"),"Hi-Pro-Pac Pks 茶树和薄荷 1.75 盎司（12 件）")</f>
        <v>Hi-Pro-Pac Pks 茶树和薄荷 1.75 盎司（12 件）</v>
      </c>
      <c r="E950" s="1" t="str">
        <f>IFERROR(__xludf.DUMMYFUNCTION("CONCATENATE(GOOGLETRANSLATE(C950, ""en"", ""ko""))"),"Hi-Pro-Pac Pks 티트리 &amp; 민트 1.75온스(12개)")</f>
        <v>Hi-Pro-Pac Pks 티트리 &amp; 민트 1.75온스(12개)</v>
      </c>
      <c r="F950" s="1" t="str">
        <f>IFERROR(__xludf.DUMMYFUNCTION("CONCATENATE(GOOGLETRANSLATE(C950, ""en"", ""ja""))"),"Hi-Pro-Pac Pks ティーツリー &amp; ミント 1.75 オンス (12 個)")</f>
        <v>Hi-Pro-Pac Pks ティーツリー &amp; ミント 1.75 オンス (12 個)</v>
      </c>
    </row>
    <row r="951" ht="15.75" customHeight="1">
      <c r="A951" s="1">
        <v>6899.0</v>
      </c>
      <c r="B951" s="1" t="s">
        <v>6</v>
      </c>
      <c r="C951" s="1" t="s">
        <v>162</v>
      </c>
      <c r="D951" s="1" t="str">
        <f>IFERROR(__xludf.DUMMYFUNCTION("CONCATENATE(GOOGLETRANSLATE(C951, ""en"", ""zh-cn""))
"),"Hi-Pro-Pac 摩洛哥坚果油深层修复面膜")</f>
        <v>Hi-Pro-Pac 摩洛哥坚果油深层修复面膜</v>
      </c>
      <c r="E951" s="1" t="str">
        <f>IFERROR(__xludf.DUMMYFUNCTION("CONCATENATE(GOOGLETRANSLATE(C951, ""en"", ""ko""))"),"하이프로팩 ​​모로칸 아르간 오일 딥 리페어 마스크")</f>
        <v>하이프로팩 ​​모로칸 아르간 오일 딥 리페어 마스크</v>
      </c>
      <c r="F951" s="1" t="str">
        <f>IFERROR(__xludf.DUMMYFUNCTION("CONCATENATE(GOOGLETRANSLATE(C951, ""en"", ""ja""))"),"ハイプロパック モロッカン アルガン オイル ディープ リペア マスク")</f>
        <v>ハイプロパック モロッカン アルガン オイル ディープ リペア マスク</v>
      </c>
    </row>
    <row r="952" ht="15.75" customHeight="1">
      <c r="A952" s="1">
        <v>6935.0</v>
      </c>
      <c r="B952" s="1" t="s">
        <v>6</v>
      </c>
      <c r="C952" s="1" t="s">
        <v>900</v>
      </c>
      <c r="D952" s="1" t="str">
        <f>IFERROR(__xludf.DUMMYFUNCTION("CONCATENATE(GOOGLETRANSLATE(C952, ""en"", ""zh-cn""))
"),"露得清 Bright Boost 亮肤精华液")</f>
        <v>露得清 Bright Boost 亮肤精华液</v>
      </c>
      <c r="E952" s="1" t="str">
        <f>IFERROR(__xludf.DUMMYFUNCTION("CONCATENATE(GOOGLETRANSLATE(C952, ""en"", ""ko""))"),"뉴트로지나 브라이트 부스트 일루미네이팅 세럼")</f>
        <v>뉴트로지나 브라이트 부스트 일루미네이팅 세럼</v>
      </c>
      <c r="F952" s="1" t="str">
        <f>IFERROR(__xludf.DUMMYFUNCTION("CONCATENATE(GOOGLETRANSLATE(C952, ""en"", ""ja""))"),"ニュートロジーナ ブライト ブースト イルミネイティング セラム")</f>
        <v>ニュートロジーナ ブライト ブースト イルミネイティング セラム</v>
      </c>
    </row>
    <row r="953" ht="15.75" customHeight="1">
      <c r="A953" s="1">
        <v>6942.0</v>
      </c>
      <c r="B953" s="1" t="s">
        <v>6</v>
      </c>
      <c r="C953" s="1" t="s">
        <v>901</v>
      </c>
      <c r="D953" s="1" t="str">
        <f>IFERROR(__xludf.DUMMYFUNCTION("CONCATENATE(GOOGLETRANSLATE(C953, ""en"", ""zh-cn""))
"),"Neutrogena 舒适润唇膏深层保湿 300ml")</f>
        <v>Neutrogena 舒适润唇膏深层保湿 300ml</v>
      </c>
      <c r="E953" s="1" t="str">
        <f>IFERROR(__xludf.DUMMYFUNCTION("CONCATENATE(GOOGLETRANSLATE(C953, ""en"", ""ko""))"),"뉴트로지나 컴포트 밤 딥 하이드레이션 300ml")</f>
        <v>뉴트로지나 컴포트 밤 딥 하이드레이션 300ml</v>
      </c>
      <c r="F953" s="1" t="str">
        <f>IFERROR(__xludf.DUMMYFUNCTION("CONCATENATE(GOOGLETRANSLATE(C953, ""en"", ""ja""))"),"ニュートロジーナ コンフォート バーム ディープ ハイドレーション 300ml")</f>
        <v>ニュートロジーナ コンフォート バーム ディープ ハイドレーション 300ml</v>
      </c>
    </row>
    <row r="954" ht="15.75" customHeight="1">
      <c r="A954" s="1">
        <v>6949.0</v>
      </c>
      <c r="B954" s="1" t="s">
        <v>6</v>
      </c>
      <c r="C954" s="1" t="s">
        <v>902</v>
      </c>
      <c r="D954" s="1" t="str">
        <f>IFERROR(__xludf.DUMMYFUNCTION("CONCATENATE(GOOGLETRANSLATE(C954, ""en"", ""zh-cn""))
"),"露得清三重修护保湿霜 SPF 25")</f>
        <v>露得清三重修护保湿霜 SPF 25</v>
      </c>
      <c r="E954" s="1" t="str">
        <f>IFERROR(__xludf.DUMMYFUNCTION("CONCATENATE(GOOGLETRANSLATE(C954, ""en"", ""ko""))"),"뉴트로지나 트리플 에이지 리페어 모이스처라이저 SPF 25")</f>
        <v>뉴트로지나 트리플 에이지 리페어 모이스처라이저 SPF 25</v>
      </c>
      <c r="F954" s="1" t="str">
        <f>IFERROR(__xludf.DUMMYFUNCTION("CONCATENATE(GOOGLETRANSLATE(C954, ""en"", ""ja""))"),"ニュートロジーナ トリプル エイジ リペア モイスチャライザー SPF 25")</f>
        <v>ニュートロジーナ トリプル エイジ リペア モイスチャライザー SPF 25</v>
      </c>
    </row>
    <row r="955" ht="15.75" customHeight="1">
      <c r="A955" s="1">
        <v>3994.0</v>
      </c>
      <c r="B955" s="1" t="s">
        <v>6</v>
      </c>
      <c r="C955" s="1" t="s">
        <v>903</v>
      </c>
      <c r="D955" s="1" t="str">
        <f>IFERROR(__xludf.DUMMYFUNCTION("CONCATENATE(GOOGLETRANSLATE(C955, ""en"", ""zh-cn""))
"),"Hamilton 男士 H77706553 模拟显示瑞士自动棕色手表")</f>
        <v>Hamilton 男士 H77706553 模拟显示瑞士自动棕色手表</v>
      </c>
      <c r="E955" s="1" t="str">
        <f>IFERROR(__xludf.DUMMYFUNCTION("CONCATENATE(GOOGLETRANSLATE(C955, ""en"", ""ko""))"),"해밀턴 남성용 H77706553 아날로그 디스플레이 스위스 오토매틱 브라운 시계")</f>
        <v>해밀턴 남성용 H77706553 아날로그 디스플레이 스위스 오토매틱 브라운 시계</v>
      </c>
      <c r="F955" s="1" t="str">
        <f>IFERROR(__xludf.DUMMYFUNCTION("CONCATENATE(GOOGLETRANSLATE(C955, ""en"", ""ja""))"),"ハミルトン メンズ H77706553 アナログ表示 スイス製自動巻き ブラウン ウォッチ")</f>
        <v>ハミルトン メンズ H77706553 アナログ表示 スイス製自動巻き ブラウン ウォッチ</v>
      </c>
    </row>
    <row r="956" ht="15.75" customHeight="1">
      <c r="A956" s="1">
        <v>4001.0</v>
      </c>
      <c r="B956" s="1" t="s">
        <v>6</v>
      </c>
      <c r="C956" s="1" t="s">
        <v>904</v>
      </c>
      <c r="D956" s="1" t="str">
        <f>IFERROR(__xludf.DUMMYFUNCTION("CONCATENATE(GOOGLETRANSLATE(C956, ""en"", ""zh-cn""))
"),"汉密尔顿男士 H32616553 Jazzmaster 银色表盘手表，棕色表带")</f>
        <v>汉密尔顿男士 H32616553 Jazzmaster 银色表盘手表，棕色表带</v>
      </c>
      <c r="E956" s="1" t="str">
        <f>IFERROR(__xludf.DUMMYFUNCTION("CONCATENATE(GOOGLETRANSLATE(C956, ""en"", ""ko""))"),"해밀턴 남성용 H32616553 재즈마스터 실버 다이얼 시계(브라운 밴드 포함)")</f>
        <v>해밀턴 남성용 H32616553 재즈마스터 실버 다이얼 시계(브라운 밴드 포함)</v>
      </c>
      <c r="F956" s="1" t="str">
        <f>IFERROR(__xludf.DUMMYFUNCTION("CONCATENATE(GOOGLETRANSLATE(C956, ""en"", ""ja""))"),"ハミルトン メンズ H32616553 ジャズマスター シルバーダイヤル ウォッチ ブラウンバンド")</f>
        <v>ハミルトン メンズ H32616553 ジャズマスター シルバーダイヤル ウォッチ ブラウンバンド</v>
      </c>
    </row>
    <row r="957" ht="15.75" customHeight="1">
      <c r="A957" s="1">
        <v>4011.0</v>
      </c>
      <c r="B957" s="1" t="s">
        <v>6</v>
      </c>
      <c r="C957" s="1" t="s">
        <v>905</v>
      </c>
      <c r="D957" s="1" t="str">
        <f>IFERROR(__xludf.DUMMYFUNCTION("CONCATENATE(GOOGLETRANSLATE(C957, ""en"", ""zh-cn""))
"),"Luminox Master Carbon Seal 自动 XS.3875 男士手表 45 毫米 - 军用潜水手表，红色/黑色 日期和星期功能 200 米防水蓝宝石玻璃")</f>
        <v>Luminox Master Carbon Seal 自动 XS.3875 男士手表 45 毫米 - 军用潜水手表，红色/黑色 日期和星期功能 200 米防水蓝宝石玻璃</v>
      </c>
      <c r="E957" s="1" t="str">
        <f>IFERROR(__xludf.DUMMYFUNCTION("CONCATENATE(GOOGLETRANSLATE(C957, ""en"", ""ko""))"),"Luminox Master Carbon Seal 오토매틱 XS.3875 남성용 시계 45mm - 레드/블랙 날짜 및 요일 기능 200m 방수 사파이어 글래스 군용 다이브 시계")</f>
        <v>Luminox Master Carbon Seal 오토매틱 XS.3875 남성용 시계 45mm - 레드/블랙 날짜 및 요일 기능 200m 방수 사파이어 글래스 군용 다이브 시계</v>
      </c>
      <c r="F957" s="1" t="str">
        <f>IFERROR(__xludf.DUMMYFUNCTION("CONCATENATE(GOOGLETRANSLATE(C957, ""en"", ""ja""))"),"ルミノックス マスター カーボン シール オートマチック XS.3875 メンズ ウォッチ 45mm - ミリタリー ダイブウォッチ レッド/ブラック 日付と曜日機能 200m 防水 サファイアガラス")</f>
        <v>ルミノックス マスター カーボン シール オートマチック XS.3875 メンズ ウォッチ 45mm - ミリタリー ダイブウォッチ レッド/ブラック 日付と曜日機能 200m 防水 サファイアガラス</v>
      </c>
    </row>
    <row r="958" ht="15.75" customHeight="1">
      <c r="A958" s="1">
        <v>4019.0</v>
      </c>
      <c r="B958" s="1" t="s">
        <v>6</v>
      </c>
      <c r="C958" s="1" t="s">
        <v>906</v>
      </c>
      <c r="D958" s="1" t="str">
        <f>IFERROR(__xludf.DUMMYFUNCTION("CONCATENATE(GOOGLETRANSLATE(C958, ""en"", ""zh-cn""))
"),"Hamilton 美国经典 Intra-Matic 瑞士自动腕表 40 毫米表壳，米色表盘，银色不锈钢表链（型号：H38425120）")</f>
        <v>Hamilton 美国经典 Intra-Matic 瑞士自动腕表 40 毫米表壳，米色表盘，银色不锈钢表链（型号：H38425120）</v>
      </c>
      <c r="E958" s="1" t="str">
        <f>IFERROR(__xludf.DUMMYFUNCTION("CONCATENATE(GOOGLETRANSLATE(C958, ""en"", ""ko""))"),"해밀턴 아메리칸 클래식 인트라매틱 스위스 오토매틱 시계 40mm 케이스, 베이지 다이얼, 실버 스테인레스 스틸 브레이슬릿 (모델: H38425120)")</f>
        <v>해밀턴 아메리칸 클래식 인트라매틱 스위스 오토매틱 시계 40mm 케이스, 베이지 다이얼, 실버 스테인레스 스틸 브레이슬릿 (모델: H38425120)</v>
      </c>
      <c r="F958" s="1" t="str">
        <f>IFERROR(__xludf.DUMMYFUNCTION("CONCATENATE(GOOGLETRANSLATE(C958, ""en"", ""ja""))"),"ハミルトン アメリカン クラシック イントラマティック スイス自動巻き時計 40mm ケース、ベージュ文字盤、シルバー ステンレススチール ブレスレット (モデル: H38425120)")</f>
        <v>ハミルトン アメリカン クラシック イントラマティック スイス自動巻き時計 40mm ケース、ベージュ文字盤、シルバー ステンレススチール ブレスレット (モデル: H38425120)</v>
      </c>
    </row>
    <row r="959" ht="15.75" customHeight="1">
      <c r="A959" s="1">
        <v>4025.0</v>
      </c>
      <c r="B959" s="1" t="s">
        <v>6</v>
      </c>
      <c r="C959" s="1" t="s">
        <v>907</v>
      </c>
      <c r="D959" s="1" t="str">
        <f>IFERROR(__xludf.DUMMYFUNCTION("CONCATENATE(GOOGLETRANSLATE(C959, ""en"", ""zh-cn""))
"),"SEIKO SPB210 Prospex 男士手表棕色 39.5 毫米不锈钢")</f>
        <v>SEIKO SPB210 Prospex 男士手表棕色 39.5 毫米不锈钢</v>
      </c>
      <c r="E959" s="1" t="str">
        <f>IFERROR(__xludf.DUMMYFUNCTION("CONCATENATE(GOOGLETRANSLATE(C959, ""en"", ""ko""))"),"SEIKO SPB210 Prospex 남성용 시계 브라운 39.5mm 스테인리스 스틸")</f>
        <v>SEIKO SPB210 Prospex 남성용 시계 브라운 39.5mm 스테인리스 스틸</v>
      </c>
      <c r="F959" s="1" t="str">
        <f>IFERROR(__xludf.DUMMYFUNCTION("CONCATENATE(GOOGLETRANSLATE(C959, ""en"", ""ja""))"),"セイコー SEIKO プロスペックス 腕時計 SPB210 メンズ ブラウン 39.5mm ステンレススチール")</f>
        <v>セイコー SEIKO プロスペックス 腕時計 SPB210 メンズ ブラウン 39.5mm ステンレススチール</v>
      </c>
    </row>
    <row r="960" ht="15.75" customHeight="1">
      <c r="A960" s="1">
        <v>4029.0</v>
      </c>
      <c r="B960" s="1" t="s">
        <v>6</v>
      </c>
      <c r="C960" s="1" t="s">
        <v>908</v>
      </c>
      <c r="D960" s="1" t="str">
        <f>IFERROR(__xludf.DUMMYFUNCTION("CONCATENATE(GOOGLETRANSLATE(C960, ""en"", ""zh-cn""))
"),"Luminox Bear Grylls Survival XB.3741 男士手表 45 毫米 - 黑色军用手表 日期功能 计时指南针 300m 防水蓝宝石玻璃")</f>
        <v>Luminox Bear Grylls Survival XB.3741 男士手表 45 毫米 - 黑色军用手表 日期功能 计时指南针 300m 防水蓝宝石玻璃</v>
      </c>
      <c r="E960" s="1" t="str">
        <f>IFERROR(__xludf.DUMMYFUNCTION("CONCATENATE(GOOGLETRANSLATE(C960, ""en"", ""ko""))"),"Luminox Bear Grylls Survival XB.3741 남성용 시계 45mm - 블랙 날짜 기능 밀리터리 시계 크로노그래프 나침반 300m 방수 사파이어 글래스")</f>
        <v>Luminox Bear Grylls Survival XB.3741 남성용 시계 45mm - 블랙 날짜 기능 밀리터리 시계 크로노그래프 나침반 300m 방수 사파이어 글래스</v>
      </c>
      <c r="F960" s="1" t="str">
        <f>IFERROR(__xludf.DUMMYFUNCTION("CONCATENATE(GOOGLETRANSLATE(C960, ""en"", ""ja""))"),"ルミノックス ベア グリルズ サバイバル XB.3741 メンズ ウォッチ 45mm - ミリタリーウォッチ ブラック 日付機能 クロノグラフ コンパス 300m 防水 サファイアガラス")</f>
        <v>ルミノックス ベア グリルズ サバイバル XB.3741 メンズ ウォッチ 45mm - ミリタリーウォッチ ブラック 日付機能 クロノグラフ コンパス 300m 防水 サファイアガラス</v>
      </c>
    </row>
    <row r="961" ht="15.75" customHeight="1">
      <c r="A961" s="1">
        <v>4031.0</v>
      </c>
      <c r="B961" s="1" t="s">
        <v>6</v>
      </c>
      <c r="C961" s="1" t="s">
        <v>909</v>
      </c>
      <c r="D961" s="1" t="str">
        <f>IFERROR(__xludf.DUMMYFUNCTION("CONCATENATE(GOOGLETRANSLATE(C961, ""en"", ""zh-cn""))
"),"卡西欧 GMW-B5000EH-1JR [G-Shock 40 周年限量版 G-Shock x ERIC Haze 合作型号] 手表 日本发货 2022 年 10 月 型号")</f>
        <v>卡西欧 GMW-B5000EH-1JR [G-Shock 40 周年限量版 G-Shock x ERIC Haze 合作型号] 手表 日本发货 2022 年 10 月 型号</v>
      </c>
      <c r="E961" s="1" t="str">
        <f>IFERROR(__xludf.DUMMYFUNCTION("CONCATENATE(GOOGLETRANSLATE(C961, ""en"", ""ko""))"),"카시오 GMW-B5000EH-1JR [G-Shock 40th Anniversary Limited Edition G-Shock x ERIC Haze Collaboration Model] 시계 일본에서 배송됨 2022년 10월 모델")</f>
        <v>카시오 GMW-B5000EH-1JR [G-Shock 40th Anniversary Limited Edition G-Shock x ERIC Haze Collaboration Model] 시계 일본에서 배송됨 2022년 10월 모델</v>
      </c>
      <c r="F961" s="1" t="str">
        <f>IFERROR(__xludf.DUMMYFUNCTION("CONCATENATE(GOOGLETRANSLATE(C961, ""en"", ""ja""))"),"カシオ GMW-B5000EH-1JR [G-Shock 40周年記念限定モデル G-Shock x ERIC Haze コラボレーションモデル] 腕時計 日本国内発送 2022年10月モデル")</f>
        <v>カシオ GMW-B5000EH-1JR [G-Shock 40周年記念限定モデル G-Shock x ERIC Haze コラボレーションモデル] 腕時計 日本国内発送 2022年10月モデル</v>
      </c>
    </row>
    <row r="962" ht="15.75" customHeight="1">
      <c r="A962" s="1">
        <v>4032.0</v>
      </c>
      <c r="B962" s="1" t="s">
        <v>6</v>
      </c>
      <c r="C962" s="1" t="s">
        <v>910</v>
      </c>
      <c r="D962" s="1" t="str">
        <f>IFERROR(__xludf.DUMMYFUNCTION("CONCATENATE(GOOGLETRANSLATE(C962, ""en"", ""zh-cn""))
"),"Luminox ICE-SAR Arctic XL.1201 男士手表 46 毫米 - 军用手表银色/黑色日期功能 200m 防水蓝宝石玻璃")</f>
        <v>Luminox ICE-SAR Arctic XL.1201 男士手表 46 毫米 - 军用手表银色/黑色日期功能 200m 防水蓝宝石玻璃</v>
      </c>
      <c r="E962" s="1" t="str">
        <f>IFERROR(__xludf.DUMMYFUNCTION("CONCATENATE(GOOGLETRANSLATE(C962, ""en"", ""ko""))"),"Luminox ICE-SAR Arctic XL.1201 남성용 시계 46mm - 실버/블랙 날짜 기능 200m 방수 사파이어 글라스 군용 시계")</f>
        <v>Luminox ICE-SAR Arctic XL.1201 남성용 시계 46mm - 실버/블랙 날짜 기능 200m 방수 사파이어 글라스 군용 시계</v>
      </c>
      <c r="F962" s="1" t="str">
        <f>IFERROR(__xludf.DUMMYFUNCTION("CONCATENATE(GOOGLETRANSLATE(C962, ""en"", ""ja""))"),"ルミノックス ICE-SAR アークティック XL.1201 メンズ ウォッチ 46mm - ミリタリーウォッチ シルバー/ブラック 日付機能 200m 防水 サファイアガラス")</f>
        <v>ルミノックス ICE-SAR アークティック XL.1201 メンズ ウォッチ 46mm - ミリタリーウォッチ シルバー/ブラック 日付機能 200m 防水 サファイアガラス</v>
      </c>
    </row>
    <row r="963" ht="15.75" customHeight="1">
      <c r="A963" s="1">
        <v>4062.0</v>
      </c>
      <c r="B963" s="1" t="s">
        <v>6</v>
      </c>
      <c r="C963" s="1" t="s">
        <v>911</v>
      </c>
      <c r="D963" s="1" t="str">
        <f>IFERROR(__xludf.DUMMYFUNCTION("CONCATENATE(GOOGLETRANSLATE(C963, ""en"", ""zh-cn""))
"),"SEIKO SRPD27 Prospex 男士手表黑色 42.4 毫米不锈钢")</f>
        <v>SEIKO SRPD27 Prospex 男士手表黑色 42.4 毫米不锈钢</v>
      </c>
      <c r="E963" s="1" t="str">
        <f>IFERROR(__xludf.DUMMYFUNCTION("CONCATENATE(GOOGLETRANSLATE(C963, ""en"", ""ko""))"),"SEIKO SRPD27 Prospex 남성용 시계 블랙 42.4mm 스테인레스 스틸")</f>
        <v>SEIKO SRPD27 Prospex 남성용 시계 블랙 42.4mm 스테인레스 스틸</v>
      </c>
      <c r="F963" s="1" t="str">
        <f>IFERROR(__xludf.DUMMYFUNCTION("CONCATENATE(GOOGLETRANSLATE(C963, ""en"", ""ja""))"),"セイコー SRPD27 プロスペックス メンズ 腕時計 ブラック 42.4mm ステンレススチール")</f>
        <v>セイコー SRPD27 プロスペックス メンズ 腕時計 ブラック 42.4mm ステンレススチール</v>
      </c>
    </row>
    <row r="964" ht="15.75" customHeight="1">
      <c r="A964" s="1">
        <v>4080.0</v>
      </c>
      <c r="B964" s="1" t="s">
        <v>6</v>
      </c>
      <c r="C964" s="1" t="s">
        <v>912</v>
      </c>
      <c r="D964" s="1" t="str">
        <f>IFERROR(__xludf.DUMMYFUNCTION("CONCATENATE(GOOGLETRANSLATE(C964, ""en"", ""zh-cn""))
"),"精工男士日本机械自动手表")</f>
        <v>精工男士日本机械自动手表</v>
      </c>
      <c r="E964" s="1" t="str">
        <f>IFERROR(__xludf.DUMMYFUNCTION("CONCATENATE(GOOGLETRANSLATE(C964, ""en"", ""ko""))"),"세이코 남성용 일본 기계식 오토매틱 시계")</f>
        <v>세이코 남성용 일본 기계식 오토매틱 시계</v>
      </c>
      <c r="F964" s="1" t="str">
        <f>IFERROR(__xludf.DUMMYFUNCTION("CONCATENATE(GOOGLETRANSLATE(C964, ""en"", ""ja""))"),"セイコーメンズ日本製機械式自動巻き時計")</f>
        <v>セイコーメンズ日本製機械式自動巻き時計</v>
      </c>
    </row>
    <row r="965" ht="15.75" customHeight="1">
      <c r="A965" s="1">
        <v>4083.0</v>
      </c>
      <c r="B965" s="1" t="s">
        <v>6</v>
      </c>
      <c r="C965" s="1" t="s">
        <v>913</v>
      </c>
      <c r="D965" s="1" t="str">
        <f>IFERROR(__xludf.DUMMYFUNCTION("CONCATENATE(GOOGLETRANSLATE(C965, ""en"", ""zh-cn""))
"),"Luminox X Volition Navy Seal 计时码表 XS.3581.BO.VOL 男士手表 45 毫米 - 军用潜水手表黑色/灰色迷彩日期功能 200m 防水蓝宝石玻璃")</f>
        <v>Luminox X Volition Navy Seal 计时码表 XS.3581.BO.VOL 男士手表 45 毫米 - 军用潜水手表黑色/灰色迷彩日期功能 200m 防水蓝宝石玻璃</v>
      </c>
      <c r="E965" s="1" t="str">
        <f>IFERROR(__xludf.DUMMYFUNCTION("CONCATENATE(GOOGLETRANSLATE(C965, ""en"", ""ko""))"),"Luminox X Volition Navy Seal 크로노그래프 XS.3581.BO.VOL 남성용 시계 45mm - 블랙/그레이 카모 날짜 기능 200m 방수 사파이어 글래스 군용 다이브 시계")</f>
        <v>Luminox X Volition Navy Seal 크로노그래프 XS.3581.BO.VOL 남성용 시계 45mm - 블랙/그레이 카모 날짜 기능 200m 방수 사파이어 글래스 군용 다이브 시계</v>
      </c>
      <c r="F965" s="1" t="str">
        <f>IFERROR(__xludf.DUMMYFUNCTION("CONCATENATE(GOOGLETRANSLATE(C965, ""en"", ""ja""))"),"ルミノックス X ボリション ネイビー シール クロノグラフ XS.3581.BO.VOL メンズ ウォッチ 45mm - ミリタリー ダイブウォッチ ブラック/グレー カモフラージュ 日付機能 200m 防水 サファイアガラス")</f>
        <v>ルミノックス X ボリション ネイビー シール クロノグラフ XS.3581.BO.VOL メンズ ウォッチ 45mm - ミリタリー ダイブウォッチ ブラック/グレー カモフラージュ 日付機能 200m 防水 サファイアガラス</v>
      </c>
    </row>
    <row r="966" ht="15.75" customHeight="1">
      <c r="A966" s="1">
        <v>4102.0</v>
      </c>
      <c r="B966" s="1" t="s">
        <v>6</v>
      </c>
      <c r="C966" s="1" t="s">
        <v>914</v>
      </c>
      <c r="D966" s="1" t="str">
        <f>IFERROR(__xludf.DUMMYFUNCTION("CONCATENATE(GOOGLETRANSLATE(C966, ""en"", ""zh-cn""))
"),"Kendra Scott 14k 金白色钻石心形吊坠项链，高级女士珠宝")</f>
        <v>Kendra Scott 14k 金白色钻石心形吊坠项链，高级女士珠宝</v>
      </c>
      <c r="E966" s="1" t="str">
        <f>IFERROR(__xludf.DUMMYFUNCTION("CONCATENATE(GOOGLETRANSLATE(C966, ""en"", ""ko""))"),"Kendra Scott 14k 골드 화이트 다이아몬드 하트 펜던트 목걸이, 여성용 고급 주얼리")</f>
        <v>Kendra Scott 14k 골드 화이트 다이아몬드 하트 펜던트 목걸이, 여성용 고급 주얼리</v>
      </c>
      <c r="F966" s="1" t="str">
        <f>IFERROR(__xludf.DUMMYFUNCTION("CONCATENATE(GOOGLETRANSLATE(C966, ""en"", ""ja""))"),"Kendra Scott ホワイト ダイヤモンド ハート ペンダント ネックレス 14K ゴールド、女性用ファインジュエリー")</f>
        <v>Kendra Scott ホワイト ダイヤモンド ハート ペンダント ネックレス 14K ゴールド、女性用ファインジュエリー</v>
      </c>
    </row>
    <row r="967" ht="15.75" customHeight="1">
      <c r="A967" s="1">
        <v>4109.0</v>
      </c>
      <c r="B967" s="1" t="s">
        <v>6</v>
      </c>
      <c r="C967" s="1" t="s">
        <v>915</v>
      </c>
      <c r="D967" s="1" t="str">
        <f>IFERROR(__xludf.DUMMYFUNCTION("CONCATENATE(GOOGLETRANSLATE(C967, ""en"", ""zh-cn""))
"),"SEIKO SNE586 Prospex 男士手表黑色 38.5 毫米不锈钢")</f>
        <v>SEIKO SNE586 Prospex 男士手表黑色 38.5 毫米不锈钢</v>
      </c>
      <c r="E967" s="1" t="str">
        <f>IFERROR(__xludf.DUMMYFUNCTION("CONCATENATE(GOOGLETRANSLATE(C967, ""en"", ""ko""))"),"SEIKO SNE586 Prospex 남성용 시계 블랙 38.5mm 스테인리스 스틸")</f>
        <v>SEIKO SNE586 Prospex 남성용 시계 블랙 38.5mm 스테인리스 스틸</v>
      </c>
      <c r="F967" s="1" t="str">
        <f>IFERROR(__xludf.DUMMYFUNCTION("CONCATENATE(GOOGLETRANSLATE(C967, ""en"", ""ja""))"),"セイコー SNE586 プロスペックス メンズ 腕時計 ブラック 38.5mm ステンレススチール")</f>
        <v>セイコー SNE586 プロスペックス メンズ 腕時計 ブラック 38.5mm ステンレススチール</v>
      </c>
    </row>
    <row r="968" ht="15.75" customHeight="1">
      <c r="A968" s="1">
        <v>4111.0</v>
      </c>
      <c r="B968" s="1" t="s">
        <v>6</v>
      </c>
      <c r="C968" s="1" t="s">
        <v>916</v>
      </c>
      <c r="D968" s="1" t="str">
        <f>IFERROR(__xludf.DUMMYFUNCTION("CONCATENATE(GOOGLETRANSLATE(C968, ""en"", ""zh-cn""))
"),"OLEVS 男士手表自动棕色皮革蓝面机械男士手表镂空日历时尚自动上链腕表陀飞轮男士防水手表蓝宝石水晶钻石夜光")</f>
        <v>OLEVS 男士手表自动棕色皮革蓝面机械男士手表镂空日历时尚自动上链腕表陀飞轮男士防水手表蓝宝石水晶钻石夜光</v>
      </c>
      <c r="E968" s="1" t="str">
        <f>IFERROR(__xludf.DUMMYFUNCTION("CONCATENATE(GOOGLETRANSLATE(C968, ""en"", ""ko""))"),"남성용 OLEVS 시계 자동 브라운 가죽 블루 페이스 기계식 남성 시계 해골 달력 패션 자동 와인딩 손목 시계 뚜르 비옹 남자 방수 시계 사파이어 크리스탈 다이아몬드 빛나는")</f>
        <v>남성용 OLEVS 시계 자동 브라운 가죽 블루 페이스 기계식 남성 시계 해골 달력 패션 자동 와인딩 손목 시계 뚜르 비옹 남자 방수 시계 사파이어 크리스탈 다이아몬드 빛나는</v>
      </c>
      <c r="F968" s="1" t="str">
        <f>IFERROR(__xludf.DUMMYFUNCTION("CONCATENATE(GOOGLETRANSLATE(C968, ""en"", ""ja""))"),"OLEVS 腕時計 メンズ 自動巻き ブラウンレザー ブルーフェイス 機械式メンズウォッチ スケルトン カレンダー ファッション 自動巻き腕時計 トゥールビヨン マン 防水時計 サファイアクリスタル ダイヤモンド 発光")</f>
        <v>OLEVS 腕時計 メンズ 自動巻き ブラウンレザー ブルーフェイス 機械式メンズウォッチ スケルトン カレンダー ファッション 自動巻き腕時計 トゥールビヨン マン 防水時計 サファイアクリスタル ダイヤモンド 発光</v>
      </c>
    </row>
    <row r="969" ht="15.75" customHeight="1">
      <c r="A969" s="1">
        <v>4115.0</v>
      </c>
      <c r="B969" s="1" t="s">
        <v>6</v>
      </c>
      <c r="C969" s="1" t="s">
        <v>917</v>
      </c>
      <c r="D969" s="1" t="str">
        <f>IFERROR(__xludf.DUMMYFUNCTION("CONCATENATE(GOOGLETRANSLATE(C969, ""en"", ""zh-cn""))
"),"Luminox 海军海豹计时码表 3581")</f>
        <v>Luminox 海军海豹计时码表 3581</v>
      </c>
      <c r="E969" s="1" t="str">
        <f>IFERROR(__xludf.DUMMYFUNCTION("CONCATENATE(GOOGLETRANSLATE(C969, ""en"", ""ko""))"),"루미녹스 Navy Seal 크로노그래프 3581")</f>
        <v>루미녹스 Navy Seal 크로노그래프 3581</v>
      </c>
      <c r="F969" s="1" t="str">
        <f>IFERROR(__xludf.DUMMYFUNCTION("CONCATENATE(GOOGLETRANSLATE(C969, ""en"", ""ja""))"),"ルミノックス ネイビー シール クロノグラフ 3581")</f>
        <v>ルミノックス ネイビー シール クロノグラフ 3581</v>
      </c>
    </row>
    <row r="970" ht="15.75" customHeight="1">
      <c r="A970" s="1">
        <v>4148.0</v>
      </c>
      <c r="B970" s="1" t="s">
        <v>6</v>
      </c>
      <c r="C970" s="1" t="s">
        <v>918</v>
      </c>
      <c r="D970" s="1" t="str">
        <f>IFERROR(__xludf.DUMMYFUNCTION("CONCATENATE(GOOGLETRANSLATE(C970, ""en"", ""zh-cn""))
"),"Luminox Navy Seal XS.3503.ND.L 男士手表 45 毫米 - 军用潜水手表蓝色/绿色日期功能 200m 防水")</f>
        <v>Luminox Navy Seal XS.3503.ND.L 男士手表 45 毫米 - 军用潜水手表蓝色/绿色日期功能 200m 防水</v>
      </c>
      <c r="E970" s="1" t="str">
        <f>IFERROR(__xludf.DUMMYFUNCTION("CONCATENATE(GOOGLETRANSLATE(C970, ""en"", ""ko""))"),"Luminox Navy Seal XS.3503.ND.L 남성용 시계 45mm - 블루/그린 날짜 기능 200m 방수 군용 다이브 시계")</f>
        <v>Luminox Navy Seal XS.3503.ND.L 남성용 시계 45mm - 블루/그린 날짜 기능 200m 방수 군용 다이브 시계</v>
      </c>
      <c r="F970" s="1" t="str">
        <f>IFERROR(__xludf.DUMMYFUNCTION("CONCATENATE(GOOGLETRANSLATE(C970, ""en"", ""ja""))"),"ルミノックス ネイビー シール XS.3503.ND.L メンズ ウォッチ 45mm - ミリタリー ダイブウォッチ ブルー/グリーン 日付機能 200m 防水")</f>
        <v>ルミノックス ネイビー シール XS.3503.ND.L メンズ ウォッチ 45mm - ミリタリー ダイブウォッチ ブルー/グリーン 日付機能 200m 防水</v>
      </c>
    </row>
    <row r="971" ht="15.75" customHeight="1">
      <c r="A971" s="1">
        <v>4155.0</v>
      </c>
      <c r="B971" s="1" t="s">
        <v>6</v>
      </c>
      <c r="C971" s="1" t="s">
        <v>919</v>
      </c>
      <c r="D971" s="1" t="str">
        <f>IFERROR(__xludf.DUMMYFUNCTION("CONCATENATE(GOOGLETRANSLATE(C971, ""en"", ""zh-cn""))
"),"SWAROVSKI Dextera 项链，密镶，个性，混合链节，白色，镀铑")</f>
        <v>SWAROVSKI Dextera 项链，密镶，个性，混合链节，白色，镀铑</v>
      </c>
      <c r="E971" s="1" t="str">
        <f>IFERROR(__xludf.DUMMYFUNCTION("CONCATENATE(GOOGLETRANSLATE(C971, ""en"", ""ko""))"),"SWAROVSKI Dextera 목걸이， 파베， 스테이트먼트， 믹스 링크， 화이트， 로듐 도금")</f>
        <v>SWAROVSKI Dextera 목걸이， 파베， 스테이트먼트， 믹스 링크， 화이트， 로듐 도금</v>
      </c>
      <c r="F971" s="1" t="str">
        <f>IFERROR(__xludf.DUMMYFUNCTION("CONCATENATE(GOOGLETRANSLATE(C971, ""en"", ""ja""))"),"スワロフスキー デクステラ ネックレス、パヴェ、ステートメント、ミックスリンク、ホワイト、ロジウムメッキ")</f>
        <v>スワロフスキー デクステラ ネックレス、パヴェ、ステートメント、ミックスリンク、ホワイト、ロジウムメッキ</v>
      </c>
    </row>
    <row r="972" ht="15.75" customHeight="1">
      <c r="A972" s="1">
        <v>4184.0</v>
      </c>
      <c r="B972" s="1" t="s">
        <v>6</v>
      </c>
      <c r="C972" s="1" t="s">
        <v>920</v>
      </c>
      <c r="D972" s="1" t="str">
        <f>IFERROR(__xludf.DUMMYFUNCTION("CONCATENATE(GOOGLETRANSLATE(C972, ""en"", ""zh-cn""))
"),"帕加尼设计男士手表自动 GMT 手表日本 NH34 机芯蓝宝石玻璃不锈钢 40 毫米超级夜光防水腕表")</f>
        <v>帕加尼设计男士手表自动 GMT 手表日本 NH34 机芯蓝宝石玻璃不锈钢 40 毫米超级夜光防水腕表</v>
      </c>
      <c r="E972" s="1" t="str">
        <f>IFERROR(__xludf.DUMMYFUNCTION("CONCATENATE(GOOGLETRANSLATE(C972, ""en"", ""ko""))"),"남성용 파가니 디자인 시계 자동 GMT 시계 일본 NH34 무브먼트 사파이어 스테인레스 스틸 40MM 슈퍼 발광 방수 손목 시계")</f>
        <v>남성용 파가니 디자인 시계 자동 GMT 시계 일본 NH34 무브먼트 사파이어 스테인레스 스틸 40MM 슈퍼 발광 방수 손목 시계</v>
      </c>
      <c r="F972" s="1" t="str">
        <f>IFERROR(__xludf.DUMMYFUNCTION("CONCATENATE(GOOGLETRANSLATE(C972, ""en"", ""ja""))"),"パガーニ デザイン腕時計メンズ自動 GMT 腕時計日本 NH34 ムーブメントサファイアガラスステンレス鋼 40 ミリメートル超発光防水腕時計")</f>
        <v>パガーニ デザイン腕時計メンズ自動 GMT 腕時計日本 NH34 ムーブメントサファイアガラスステンレス鋼 40 ミリメートル超発光防水腕時計</v>
      </c>
    </row>
    <row r="973" ht="15.75" customHeight="1">
      <c r="A973" s="1">
        <v>4242.0</v>
      </c>
      <c r="B973" s="1" t="s">
        <v>6</v>
      </c>
      <c r="C973" s="1" t="s">
        <v>921</v>
      </c>
      <c r="D973" s="1" t="str">
        <f>IFERROR(__xludf.DUMMYFUNCTION("CONCATENATE(GOOGLETRANSLATE(C973, ""en"", ""zh-cn""))
"),"Garmin 010-02173-11 Venu，带明亮触摸屏显示屏的 GPS 智能手表，具有音乐、身体能量监测、动画锻炼、脉搏血氧传感器等功能，黑色")</f>
        <v>Garmin 010-02173-11 Venu，带明亮触摸屏显示屏的 GPS 智能手表，具有音乐、身体能量监测、动画锻炼、脉搏血氧传感器等功能，黑色</v>
      </c>
      <c r="E973" s="1" t="str">
        <f>IFERROR(__xludf.DUMMYFUNCTION("CONCATENATE(GOOGLETRANSLATE(C973, ""en"", ""ko""))"),"Garmin 010-02173-11 Venu, 밝은 터치스크린 디스플레이를 갖춘 GPS 스마트워치, 음악, 신체 에너지 모니터링, 애니메이션 운동, 맥박 산소 센서 등 기능 제공, 검정색")</f>
        <v>Garmin 010-02173-11 Venu, 밝은 터치스크린 디스플레이를 갖춘 GPS 스마트워치, 음악, 신체 에너지 모니터링, 애니메이션 운동, 맥박 산소 센서 등 기능 제공, 검정색</v>
      </c>
      <c r="F973" s="1" t="str">
        <f>IFERROR(__xludf.DUMMYFUNCTION("CONCATENATE(GOOGLETRANSLATE(C973, ""en"", ""ja""))"),"Garmin 010-02173-11 Venu、明るいタッチスクリーンディスプレイを備えた GPS スマートウォッチ、音楽、身体エネルギーモニタリング、アニメーションワークアウト、脈拍酸素センサーなどの機能、ブラック")</f>
        <v>Garmin 010-02173-11 Venu、明るいタッチスクリーンディスプレイを備えた GPS スマートウォッチ、音楽、身体エネルギーモニタリング、アニメーションワークアウト、脈拍酸素センサーなどの機能、ブラック</v>
      </c>
    </row>
    <row r="974" ht="15.75" customHeight="1">
      <c r="A974" s="1">
        <v>4248.0</v>
      </c>
      <c r="B974" s="1" t="s">
        <v>6</v>
      </c>
      <c r="C974" s="1" t="s">
        <v>922</v>
      </c>
      <c r="D974" s="1" t="str">
        <f>IFERROR(__xludf.DUMMYFUNCTION("CONCATENATE(GOOGLETRANSLATE(C974, ""en"", ""zh-cn""))
"),"施华洛世奇水晶星球大战伊沃克小门")</f>
        <v>施华洛世奇水晶星球大战伊沃克小门</v>
      </c>
      <c r="E974" s="1" t="str">
        <f>IFERROR(__xludf.DUMMYFUNCTION("CONCATENATE(GOOGLETRANSLATE(C974, ""en"", ""ko""))"),"SWAROVSKI 크리스탈 스타워즈 Ewok Wicket")</f>
        <v>SWAROVSKI 크리스탈 스타워즈 Ewok Wicket</v>
      </c>
      <c r="F974" s="1" t="str">
        <f>IFERROR(__xludf.DUMMYFUNCTION("CONCATENATE(GOOGLETRANSLATE(C974, ""en"", ""ja""))"),"スワロフスキー クリスタル スター・ウォーズ イウォーク ウィケット")</f>
        <v>スワロフスキー クリスタル スター・ウォーズ イウォーク ウィケット</v>
      </c>
    </row>
    <row r="975" ht="15.75" customHeight="1">
      <c r="A975" s="1">
        <v>4262.0</v>
      </c>
      <c r="B975" s="1" t="s">
        <v>6</v>
      </c>
      <c r="C975" s="1" t="s">
        <v>923</v>
      </c>
      <c r="D975" s="1" t="str">
        <f>IFERROR(__xludf.DUMMYFUNCTION("CONCATENATE(GOOGLETRANSLATE(C975, ""en"", ""zh-cn""))
"),"卡西欧]手表 G-Shock Radio 太阳能城市迷彩系列 GAW-100CT-1AJF 男士黑色")</f>
        <v>卡西欧]手表 G-Shock Radio 太阳能城市迷彩系列 GAW-100CT-1AJF 男士黑色</v>
      </c>
      <c r="E975" s="1" t="str">
        <f>IFERROR(__xludf.DUMMYFUNCTION("CONCATENATE(GOOGLETRANSLATE(C975, ""en"", ""ko""))"),"카시오] 시계 G-Shock Radio Solar City Camouflage Series GAW-100CT-1AJF 남성용 블랙")</f>
        <v>카시오] 시계 G-Shock Radio Solar City Camouflage Series GAW-100CT-1AJF 남성용 블랙</v>
      </c>
      <c r="F975" s="1" t="str">
        <f>IFERROR(__xludf.DUMMYFUNCTION("CONCATENATE(GOOGLETRANSLATE(C975, ""en"", ""ja""))"),"[カシオ] 時計 Gショック 電波ソーラー シティカモフラージュシリーズ GAW-100CT-1AJF メンズ ブラック")</f>
        <v>[カシオ] 時計 Gショック 電波ソーラー シティカモフラージュシリーズ GAW-100CT-1AJF メンズ ブラック</v>
      </c>
    </row>
    <row r="976" ht="15.75" customHeight="1">
      <c r="A976" s="1">
        <v>4337.0</v>
      </c>
      <c r="B976" s="1" t="s">
        <v>6</v>
      </c>
      <c r="C976" s="1" t="s">
        <v>924</v>
      </c>
      <c r="D976" s="1" t="str">
        <f>IFERROR(__xludf.DUMMYFUNCTION("CONCATENATE(GOOGLETRANSLATE(C976, ""en"", ""zh-cn""))
"),"Luminox 男士 0215.SL Sentry 0200 黑色表盘带红色标记手表")</f>
        <v>Luminox 男士 0215.SL Sentry 0200 黑色表盘带红色标记手表</v>
      </c>
      <c r="E976" s="1" t="str">
        <f>IFERROR(__xludf.DUMMYFUNCTION("CONCATENATE(GOOGLETRANSLATE(C976, ""en"", ""ko""))"),"루미녹스 남성용 0215.SL Sentry 0200 블랙 다이얼 레드 마킹 시계")</f>
        <v>루미녹스 남성용 0215.SL Sentry 0200 블랙 다이얼 레드 마킹 시계</v>
      </c>
      <c r="F976" s="1" t="str">
        <f>IFERROR(__xludf.DUMMYFUNCTION("CONCATENATE(GOOGLETRANSLATE(C976, ""en"", ""ja""))"),"ルミノックス メンズ 0215.SL セントリー 0200 ブラック ダイヤル レッド マーキング ウォッチ")</f>
        <v>ルミノックス メンズ 0215.SL セントリー 0200 ブラック ダイヤル レッド マーキング ウォッチ</v>
      </c>
    </row>
    <row r="977" ht="15.75" customHeight="1">
      <c r="A977" s="1">
        <v>4339.0</v>
      </c>
      <c r="B977" s="1" t="s">
        <v>6</v>
      </c>
      <c r="C977" s="1" t="s">
        <v>925</v>
      </c>
      <c r="D977" s="1" t="str">
        <f>IFERROR(__xludf.DUMMYFUNCTION("CONCATENATE(GOOGLETRANSLATE(C977, ""en"", ""zh-cn""))
"),"施华洛世奇 Lifelong 蝴蝶结无环耳环 白色 均码")</f>
        <v>施华洛世奇 Lifelong 蝴蝶结无环耳环 白色 均码</v>
      </c>
      <c r="E977" s="1" t="str">
        <f>IFERROR(__xludf.DUMMYFUNCTION("CONCATENATE(GOOGLETRANSLATE(C977, ""en"", ""ko""))"),"스와로브스키 라이프롱 보우 이어링 화이트 프리사이즈")</f>
        <v>스와로브스키 라이프롱 보우 이어링 화이트 프리사이즈</v>
      </c>
      <c r="F977" s="1" t="str">
        <f>IFERROR(__xludf.DUMMYFUNCTION("CONCATENATE(GOOGLETRANSLATE(C977, ""en"", ""ja""))"),"スワロフスキー ライフロング ボウ ピアス ホワイト フリーサイズ")</f>
        <v>スワロフスキー ライフロング ボウ ピアス ホワイト フリーサイズ</v>
      </c>
    </row>
    <row r="978" ht="15.75" customHeight="1">
      <c r="A978" s="1">
        <v>4352.0</v>
      </c>
      <c r="B978" s="1" t="s">
        <v>6</v>
      </c>
      <c r="C978" s="1" t="s">
        <v>926</v>
      </c>
      <c r="D978" s="1" t="str">
        <f>IFERROR(__xludf.DUMMYFUNCTION("CONCATENATE(GOOGLETRANSLATE(C978, ""en"", ""zh-cn""))
"),"施华洛世奇水晶镀铑环形耳环")</f>
        <v>施华洛世奇水晶镀铑环形耳环</v>
      </c>
      <c r="E978" s="1" t="str">
        <f>IFERROR(__xludf.DUMMYFUNCTION("CONCATENATE(GOOGLETRANSLATE(C978, ""en"", ""ko""))"),"스와로브스키 크리스탈 스톤 로듐 도금 후프 이어링")</f>
        <v>스와로브스키 크리스탈 스톤 로듐 도금 후프 이어링</v>
      </c>
      <c r="F978" s="1" t="str">
        <f>IFERROR(__xludf.DUMMYFUNCTION("CONCATENATE(GOOGLETRANSLATE(C978, ""en"", ""ja""))"),"スワロフスキー クリスタル ストーン ロジウムメッキ フープ イヤリング")</f>
        <v>スワロフスキー クリスタル ストーン ロジウムメッキ フープ イヤリング</v>
      </c>
    </row>
    <row r="979" ht="15.75" customHeight="1">
      <c r="A979" s="1">
        <v>4385.0</v>
      </c>
      <c r="B979" s="1" t="s">
        <v>6</v>
      </c>
      <c r="C979" s="1" t="s">
        <v>927</v>
      </c>
      <c r="D979" s="1" t="str">
        <f>IFERROR(__xludf.DUMMYFUNCTION("CONCATENATE(GOOGLETRANSLATE(C979, ""en"", ""zh-cn""))
"),"YESHOMY 铆钉中世纪软垫现代沙发无需组装双人沙发，配有坚固的木脚，77 W，深灰色，无阴影天鹅绒")</f>
        <v>YESHOMY 铆钉中世纪软垫现代沙发无需组装双人沙发，配有坚固的木脚，77 W，深灰色，无阴影天鹅绒</v>
      </c>
      <c r="E979" s="1" t="str">
        <f>IFERROR(__xludf.DUMMYFUNCTION("CONCATENATE(GOOGLETRANSLATE(C979, ""en"", ""ko""))"),"YESHOMY 리벳 덮개를 씌운 현대식 소파 소파 조립이 필요하지 않습니다. 튼튼한 나무 발이 있는 이인용 의자, 77W, 음영 처리된 벨벳이 없는 짙은 회색")</f>
        <v>YESHOMY 리벳 덮개를 씌운 현대식 소파 소파 조립이 필요하지 않습니다. 튼튼한 나무 발이 있는 이인용 의자, 77W, 음영 처리된 벨벳이 없는 짙은 회색</v>
      </c>
      <c r="F979" s="1" t="str">
        <f>IFERROR(__xludf.DUMMYFUNCTION("CONCATENATE(GOOGLETRANSLATE(C979, ""en"", ""ja""))"),"YESHOMY リベットミッドセンチュリー布張りモダンソファカウチ組立不要二人掛け丈夫な木製脚付き、77 W、ダークグレー、シェードベルベットなし")</f>
        <v>YESHOMY リベットミッドセンチュリー布張りモダンソファカウチ組立不要二人掛け丈夫な木製脚付き、77 W、ダークグレー、シェードベルベットなし</v>
      </c>
    </row>
    <row r="980" ht="15.75" customHeight="1">
      <c r="A980" s="1">
        <v>4457.0</v>
      </c>
      <c r="B980" s="1" t="s">
        <v>6</v>
      </c>
      <c r="C980" s="1" t="s">
        <v>928</v>
      </c>
      <c r="D980" s="1" t="str">
        <f>IFERROR(__xludf.DUMMYFUNCTION("CONCATENATE(GOOGLETRANSLATE(C980, ""en"", ""zh-cn""))
"),"Chanel Sublimage Le Teint 底妆，加玻璃罐和刷子 30 毫升")</f>
        <v>Chanel Sublimage Le Teint 底妆，加玻璃罐和刷子 30 毫升</v>
      </c>
      <c r="E980" s="1" t="str">
        <f>IFERROR(__xludf.DUMMYFUNCTION("CONCATENATE(GOOGLETRANSLATE(C980, ""en"", ""ko""))"),"샤넬 수블리마지 르 떼 배경 메이크업, 플러스 유리병 및 브러쉬 30ml")</f>
        <v>샤넬 수블리마지 르 떼 배경 메이크업, 플러스 유리병 및 브러쉬 30ml</v>
      </c>
      <c r="F980" s="1" t="str">
        <f>IFERROR(__xludf.DUMMYFUNCTION("CONCATENATE(GOOGLETRANSLATE(C980, ""en"", ""ja""))"),"シャネル サブリマージュ ル タン バックグラウンド メイクアップ、プラス ガラス ジャーとブラシ 30 ml")</f>
        <v>シャネル サブリマージュ ル タン バックグラウンド メイクアップ、プラス ガラス ジャーとブラシ 30 ml</v>
      </c>
    </row>
    <row r="981" ht="15.75" customHeight="1">
      <c r="A981" s="1">
        <v>4481.0</v>
      </c>
      <c r="B981" s="1" t="s">
        <v>6</v>
      </c>
      <c r="C981" s="1" t="s">
        <v>929</v>
      </c>
      <c r="D981" s="1" t="str">
        <f>IFERROR(__xludf.DUMMYFUNCTION("CONCATENATE(GOOGLETRANSLATE(C981, ""en"", ""zh-cn""))
"),"SISLEY 希思黎 眼部轮廓面膜 30ml/1oz (10093)")</f>
        <v>SISLEY 希思黎 眼部轮廓面膜 30ml/1oz (10093)</v>
      </c>
      <c r="E981" s="1" t="str">
        <f>IFERROR(__xludf.DUMMYFUNCTION("CONCATENATE(GOOGLETRANSLATE(C981, ""en"", ""ko""))"),"시슬리 아이 컨투어 마스크 30ml/1oz (10093)")</f>
        <v>시슬리 아이 컨투어 마스크 30ml/1oz (10093)</v>
      </c>
      <c r="F981" s="1" t="str">
        <f>IFERROR(__xludf.DUMMYFUNCTION("CONCATENATE(GOOGLETRANSLATE(C981, ""en"", ""ja""))"),"シスレー アイ コンター マスク 30ml/1oz (10093)")</f>
        <v>シスレー アイ コンター マスク 30ml/1oz (10093)</v>
      </c>
    </row>
    <row r="982" ht="15.75" customHeight="1">
      <c r="A982" s="1">
        <v>4490.0</v>
      </c>
      <c r="B982" s="1" t="s">
        <v>6</v>
      </c>
      <c r="C982" s="1" t="s">
        <v>930</v>
      </c>
      <c r="D982" s="1" t="str">
        <f>IFERROR(__xludf.DUMMYFUNCTION("CONCATENATE(GOOGLETRANSLATE(C982, ""en"", ""zh-cn""))
"),"UGWUIA Led 面膜光疗 7 色 Led 光疗面膜蓝光红光治疗面部痤疮护肤面膜")</f>
        <v>UGWUIA Led 面膜光疗 7 色 Led 光疗面膜蓝光红光治疗面部痤疮护肤面膜</v>
      </c>
      <c r="E982" s="1" t="str">
        <f>IFERROR(__xludf.DUMMYFUNCTION("CONCATENATE(GOOGLETRANSLATE(C982, ""en"", ""ko""))"),"UGWIA Led 페이스 마스크 라이트 테라피 7 색 Led 라이트 테라피 페이셜 마스크 얼굴 여드름 감소 스킨 케어 마스크를위한 블루 레드 라이트 테라피")</f>
        <v>UGWIA Led 페이스 마스크 라이트 테라피 7 색 Led 라이트 테라피 페이셜 마스크 얼굴 여드름 감소 스킨 케어 마스크를위한 블루 레드 라이트 테라피</v>
      </c>
      <c r="F982" s="1" t="str">
        <f>IFERROR(__xludf.DUMMYFUNCTION("CONCATENATE(GOOGLETRANSLATE(C982, ""en"", ""ja""))"),"UGWUIA LED フェイスマスク ライトセラピー 7 色 LED ライトセラピー フェイシャルマスク 青 赤 ライトセラピー 顔用 ニキビ軽減 スキンケアマスク")</f>
        <v>UGWUIA LED フェイスマスク ライトセラピー 7 色 LED ライトセラピー フェイシャルマスク 青 赤 ライトセラピー 顔用 ニキビ軽減 スキンケアマスク</v>
      </c>
    </row>
    <row r="983" ht="15.75" customHeight="1">
      <c r="A983" s="1">
        <v>4509.0</v>
      </c>
      <c r="B983" s="1" t="s">
        <v>6</v>
      </c>
      <c r="C983" s="1" t="s">
        <v>931</v>
      </c>
      <c r="D983" s="1" t="str">
        <f>IFERROR(__xludf.DUMMYFUNCTION("CONCATENATE(GOOGLETRANSLATE(C983, ""en"", ""zh-cn""))
"),"sisley paris Phyto Hydra Teint 美容有色保湿霜 SPF 15-03 女士彩妆 1.3 盎司 No.2 中号")</f>
        <v>sisley paris Phyto Hydra Teint 美容有色保湿霜 SPF 15-03 女士彩妆 1.3 盎司 No.2 中号</v>
      </c>
      <c r="E983" s="1" t="str">
        <f>IFERROR(__xludf.DUMMYFUNCTION("CONCATENATE(GOOGLETRANSLATE(C983, ""en"", ""ko""))"),"시슬리 파리 피토 하이드라 떼인트 뷰티파잉 틴티드 모이스처라이저 SPF 15-03 여성 메이크업 1.3온스 No.2 미디엄")</f>
        <v>시슬리 파리 피토 하이드라 떼인트 뷰티파잉 틴티드 모이스처라이저 SPF 15-03 여성 메이크업 1.3온스 No.2 미디엄</v>
      </c>
      <c r="F983" s="1" t="str">
        <f>IFERROR(__xludf.DUMMYFUNCTION("CONCATENATE(GOOGLETRANSLATE(C983, ""en"", ""ja""))"),"シスレー パリ フィト ハイドラ テイント ビューティファイング ティンテッド モイスチャライザー SPF 15-03 女性用メイクアップ 1.3 オンス No.2 ミディアム")</f>
        <v>シスレー パリ フィト ハイドラ テイント ビューティファイング ティンテッド モイスチャライザー SPF 15-03 女性用メイクアップ 1.3 オンス No.2 ミディアム</v>
      </c>
    </row>
    <row r="984" ht="15.75" customHeight="1">
      <c r="A984" s="1">
        <v>4539.0</v>
      </c>
      <c r="B984" s="1" t="s">
        <v>6</v>
      </c>
      <c r="C984" s="1" t="s">
        <v>932</v>
      </c>
      <c r="D984" s="1" t="str">
        <f>IFERROR(__xludf.DUMMYFUNCTION("CONCATENATE(GOOGLETRANSLATE(C984, ""en"", ""zh-cn""))
"),"Dermalogica 皮脂清除面膜（2.5 液量盎司） - 含有水杨酸的抗衰老粘土面膜 - 吸收多余油脂，舒缓和细化肌肤纹理")</f>
        <v>Dermalogica 皮脂清除面膜（2.5 液量盎司） - 含有水杨酸的抗衰老粘土面膜 - 吸收多余油脂，舒缓和细化肌肤纹理</v>
      </c>
      <c r="E984" s="1" t="str">
        <f>IFERROR(__xludf.DUMMYFUNCTION("CONCATENATE(GOOGLETRANSLATE(C984, ""en"", ""ko""))"),"Dermalogica 피지 클리어링 마스크(2.5 Fl Oz) - 살리실산이 함유된 안티 에이징 클레이 페이스 마스크 - 과도한 오일을 흡수하여 피부 결을 진정시키고 개선합니다")</f>
        <v>Dermalogica 피지 클리어링 마스크(2.5 Fl Oz) - 살리실산이 함유된 안티 에이징 클레이 페이스 마스크 - 과도한 오일을 흡수하여 피부 결을 진정시키고 개선합니다</v>
      </c>
      <c r="F984" s="1" t="str">
        <f>IFERROR(__xludf.DUMMYFUNCTION("CONCATENATE(GOOGLETRANSLATE(C984, ""en"", ""ja""))"),"Dermalogica シーバム クリアリング マスク (2.5 液量オンス) - サリチル酸配合のアンチエイジング クレイ フェイス マスク - 余分な油分を吸収し、肌の質感を落ち着かせて整えます")</f>
        <v>Dermalogica シーバム クリアリング マスク (2.5 液量オンス) - サリチル酸配合のアンチエイジング クレイ フェイス マスク - 余分な油分を吸収し、肌の質感を落ち着かせて整えます</v>
      </c>
    </row>
    <row r="985" ht="15.75" customHeight="1">
      <c r="A985" s="1">
        <v>4540.0</v>
      </c>
      <c r="B985" s="1" t="s">
        <v>6</v>
      </c>
      <c r="C985" s="1" t="s">
        <v>933</v>
      </c>
      <c r="D985" s="1" t="str">
        <f>IFERROR(__xludf.DUMMYFUNCTION("CONCATENATE(GOOGLETRANSLATE(C985, ""en"", ""zh-cn""))
"),"Sisley 3 柔和米色")</f>
        <v>Sisley 3 柔和米色</v>
      </c>
      <c r="E985" s="1" t="str">
        <f>IFERROR(__xludf.DUMMYFUNCTION("CONCATENATE(GOOGLETRANSLATE(C985, ""en"", ""ko""))"),"시슬리 3 소프트 베이지")</f>
        <v>시슬리 3 소프트 베이지</v>
      </c>
      <c r="F985" s="1" t="str">
        <f>IFERROR(__xludf.DUMMYFUNCTION("CONCATENATE(GOOGLETRANSLATE(C985, ""en"", ""ja""))"),"シスレー 3 ソフトベージュ")</f>
        <v>シスレー 3 ソフトベージュ</v>
      </c>
    </row>
    <row r="986" ht="15.75" customHeight="1">
      <c r="A986" s="1">
        <v>4561.0</v>
      </c>
      <c r="B986" s="1" t="s">
        <v>6</v>
      </c>
      <c r="C986" s="1" t="s">
        <v>934</v>
      </c>
      <c r="D986" s="1" t="str">
        <f>IFERROR(__xludf.DUMMYFUNCTION("CONCATENATE(GOOGLETRANSLATE(C986, ""en"", ""zh-cn""))
"),"Sand &amp; Sky 澳大利亚粉红粘土毛孔细致面膜，针对黑头、毛孔粗大和色素沉着")</f>
        <v>Sand &amp; Sky 澳大利亚粉红粘土毛孔细致面膜，针对黑头、毛孔粗大和色素沉着</v>
      </c>
      <c r="E986" s="1" t="str">
        <f>IFERROR(__xludf.DUMMYFUNCTION("CONCATENATE(GOOGLETRANSLATE(C986, ""en"", ""ko""))"),"블랙헤드, 모공 확대 및 색소침착을 위한 샌드 앤 스카이 오스트레일리안 핑크 클레이 포어파이닝 마스크")</f>
        <v>블랙헤드, 모공 확대 및 색소침착을 위한 샌드 앤 스카이 오스트레일리안 핑크 클레이 포어파이닝 마스크</v>
      </c>
      <c r="F986" s="1" t="str">
        <f>IFERROR(__xludf.DUMMYFUNCTION("CONCATENATE(GOOGLETRANSLATE(C986, ""en"", ""ja""))"),"Sand &amp; Sky オーストラリアン ピンク クレイ ポアファイニング マスク 黒ずみ、毛穴の拡大、色素沈着用")</f>
        <v>Sand &amp; Sky オーストラリアン ピンク クレイ ポアファイニング マスク 黒ずみ、毛穴の拡大、色素沈着用</v>
      </c>
    </row>
    <row r="987" ht="15.75" customHeight="1">
      <c r="A987" s="1">
        <v>4644.0</v>
      </c>
      <c r="B987" s="1" t="s">
        <v>6</v>
      </c>
      <c r="C987" s="1" t="s">
        <v>935</v>
      </c>
      <c r="D987" s="1" t="str">
        <f>IFERROR(__xludf.DUMMYFUNCTION("CONCATENATE(GOOGLETRANSLATE(C987, ""en"", ""zh-cn""))
"),"Fitterfirst Pro Fitter 3D 交叉训练器和速降滑雪训练器")</f>
        <v>Fitterfirst Pro Fitter 3D 交叉训练器和速降滑雪训练器</v>
      </c>
      <c r="E987" s="1" t="str">
        <f>IFERROR(__xludf.DUMMYFUNCTION("CONCATENATE(GOOGLETRANSLATE(C987, ""en"", ""ko""))"),"Fitterfirst Pro Fitter 3D 크로스 트레이너 및 다운힐 스키 트레이너")</f>
        <v>Fitterfirst Pro Fitter 3D 크로스 트레이너 및 다운힐 스키 트레이너</v>
      </c>
      <c r="F987" s="1" t="str">
        <f>IFERROR(__xludf.DUMMYFUNCTION("CONCATENATE(GOOGLETRANSLATE(C987, ""en"", ""ja""))"),"Fitterfirst Pro Fitter 3D クロス トレーナーとダウンヒル スキー トレーナー")</f>
        <v>Fitterfirst Pro Fitter 3D クロス トレーナーとダウンヒル スキー トレーナー</v>
      </c>
    </row>
    <row r="988" ht="15.75" customHeight="1">
      <c r="A988" s="1">
        <v>4648.0</v>
      </c>
      <c r="B988" s="1" t="s">
        <v>6</v>
      </c>
      <c r="C988" s="1" t="s">
        <v>255</v>
      </c>
      <c r="D988" s="1" t="str">
        <f>IFERROR(__xludf.DUMMYFUNCTION("CONCATENATE(GOOGLETRANSLATE(C988, ""en"", ""zh-cn""))
"),"Drako 2 SRS 山地自行车鞋")</f>
        <v>Drako 2 SRS 山地自行车鞋</v>
      </c>
      <c r="E988" s="1" t="str">
        <f>IFERROR(__xludf.DUMMYFUNCTION("CONCATENATE(GOOGLETRANSLATE(C988, ""en"", ""ko""))"),"Drako 2 SRS 산악 자전거 신발")</f>
        <v>Drako 2 SRS 산악 자전거 신발</v>
      </c>
      <c r="F988" s="1" t="str">
        <f>IFERROR(__xludf.DUMMYFUNCTION("CONCATENATE(GOOGLETRANSLATE(C988, ""en"", ""ja""))"),"Drako 2 SRS マウンテン バイク シューズ")</f>
        <v>Drako 2 SRS マウンテン バイク シューズ</v>
      </c>
    </row>
    <row r="989" ht="15.75" customHeight="1">
      <c r="A989" s="1">
        <v>4670.0</v>
      </c>
      <c r="B989" s="1" t="s">
        <v>6</v>
      </c>
      <c r="C989" s="1" t="s">
        <v>936</v>
      </c>
      <c r="D989" s="1" t="str">
        <f>IFERROR(__xludf.DUMMYFUNCTION("CONCATENATE(GOOGLETRANSLATE(C989, ""en"", ""zh-cn""))
"),"Tilt Industries - 自行车平衡训练器|自行车修理架/平衡训练器组合")</f>
        <v>Tilt Industries - 自行车平衡训练器|自行车修理架/平衡训练器组合</v>
      </c>
      <c r="E989" s="1" t="str">
        <f>IFERROR(__xludf.DUMMYFUNCTION("CONCATENATE(GOOGLETRANSLATE(C989, ""en"", ""ko""))"),"Tilt Industries - 자전거 밸런스 트레이너 | 자전거 수리 스탠드/밸런스 트레이너 콤보")</f>
        <v>Tilt Industries - 자전거 밸런스 트레이너 | 자전거 수리 스탠드/밸런스 트레이너 콤보</v>
      </c>
      <c r="F989" s="1" t="str">
        <f>IFERROR(__xludf.DUMMYFUNCTION("CONCATENATE(GOOGLETRANSLATE(C989, ""en"", ""ja""))"),"Tilt Industries - バイクバランストレーナー |自転車修理スタンド/バランストレーナーコンボ")</f>
        <v>Tilt Industries - バイクバランストレーナー |自転車修理スタンド/バランストレーナーコンボ</v>
      </c>
    </row>
    <row r="990" ht="15.75" customHeight="1">
      <c r="A990" s="1">
        <v>4692.0</v>
      </c>
      <c r="B990" s="1" t="s">
        <v>6</v>
      </c>
      <c r="C990" s="1" t="s">
        <v>937</v>
      </c>
      <c r="D990" s="1" t="str">
        <f>IFERROR(__xludf.DUMMYFUNCTION("CONCATENATE(GOOGLETRANSLATE(C990, ""en"", ""zh-cn""))
"),"Sidi Dominator 10 山地鞋")</f>
        <v>Sidi Dominator 10 山地鞋</v>
      </c>
      <c r="E990" s="1" t="str">
        <f>IFERROR(__xludf.DUMMYFUNCTION("CONCATENATE(GOOGLETRANSLATE(C990, ""en"", ""ko""))"),"시디 도미네이터 10 MTB 신발")</f>
        <v>시디 도미네이터 10 MTB 신발</v>
      </c>
      <c r="F990" s="1" t="str">
        <f>IFERROR(__xludf.DUMMYFUNCTION("CONCATENATE(GOOGLETRANSLATE(C990, ""en"", ""ja""))"),"シディ ドミネーター 10 MTB シューズ")</f>
        <v>シディ ドミネーター 10 MTB シューズ</v>
      </c>
    </row>
    <row r="991" ht="15.75" customHeight="1">
      <c r="A991" s="1">
        <v>4695.0</v>
      </c>
      <c r="B991" s="1" t="s">
        <v>6</v>
      </c>
      <c r="C991" s="1" t="s">
        <v>69</v>
      </c>
      <c r="D991" s="1" t="str">
        <f>IFERROR(__xludf.DUMMYFUNCTION("CONCATENATE(GOOGLETRANSLATE(C991, ""en"", ""zh-cn""))
"),"Troy Lee 设计 A3 MIPS 头盔")</f>
        <v>Troy Lee 设计 A3 MIPS 头盔</v>
      </c>
      <c r="E991" s="1" t="str">
        <f>IFERROR(__xludf.DUMMYFUNCTION("CONCATENATE(GOOGLETRANSLATE(C991, ""en"", ""ko""))"),"Troy Lee, A3 MIPS 헬멧 디자인")</f>
        <v>Troy Lee, A3 MIPS 헬멧 디자인</v>
      </c>
      <c r="F991" s="1" t="str">
        <f>IFERROR(__xludf.DUMMYFUNCTION("CONCATENATE(GOOGLETRANSLATE(C991, ""en"", ""ja""))"),"Troy Lee デザイン A3 MIPS ヘルメット")</f>
        <v>Troy Lee デザイン A3 MIPS ヘルメット</v>
      </c>
    </row>
    <row r="992" ht="15.75" customHeight="1">
      <c r="A992" s="1">
        <v>4714.0</v>
      </c>
      <c r="B992" s="1" t="s">
        <v>6</v>
      </c>
      <c r="C992" s="1" t="s">
        <v>50</v>
      </c>
      <c r="D992" s="1" t="str">
        <f>IFERROR(__xludf.DUMMYFUNCTION("CONCATENATE(GOOGLETRANSLATE(C992, ""en"", ""zh-cn""))
"),"CuberShop GAN 13 MagLev UV 涂层， GAN 13 M 2022 3x3 磁力速度魔方旗舰无贴纸， GAN 3x3 速度魔方（GAN13 MagLev 速度魔方，UV 涂层光泽表面和主要内部）")</f>
        <v>CuberShop GAN 13 MagLev UV 涂层， GAN 13 M 2022 3x3 磁力速度魔方旗舰无贴纸， GAN 3x3 速度魔方（GAN13 MagLev 速度魔方，UV 涂层光泽表面和主要内部）</v>
      </c>
      <c r="E992" s="1" t="str">
        <f>IFERROR(__xludf.DUMMYFUNCTION("CONCATENATE(GOOGLETRANSLATE(C992, ""en"", ""ko""))"),"CuberShop GAN 13 MagLev UV 코팅, GAN 13 M 2022 3x3 자기 속도 큐브 플래그십 스티커 없음, GAN 3x3 속도 큐브(GAN13 자기 부상 속도 큐브, UV 코팅 광택 표면 및 기본 내부)")</f>
        <v>CuberShop GAN 13 MagLev UV 코팅, GAN 13 M 2022 3x3 자기 속도 큐브 플래그십 스티커 없음, GAN 3x3 속도 큐브(GAN13 자기 부상 속도 큐브, UV 코팅 광택 표면 및 기본 내부)</v>
      </c>
      <c r="F992" s="1" t="str">
        <f>IFERROR(__xludf.DUMMYFUNCTION("CONCATENATE(GOOGLETRANSLATE(C992, ""en"", ""ja""))"),"CuberShop GAN 13 MagLev UV コーティング、GAN 13 M 2022 3x3 磁気スピード キューブ フラッグシップ ステッカーレス、GAN 3x3 スピード キューブ (GAN13 MagLev スピード キューブ、UV コーティングされた光沢のある表面 &amp; プライマリ内部)")</f>
        <v>CuberShop GAN 13 MagLev UV コーティング、GAN 13 M 2022 3x3 磁気スピード キューブ フラッグシップ ステッカーレス、GAN 3x3 スピード キューブ (GAN13 MagLev スピード キューブ、UV コーティングされた光沢のある表面 &amp; プライマリ内部)</v>
      </c>
    </row>
    <row r="993" ht="15.75" customHeight="1">
      <c r="A993" s="1">
        <v>4730.0</v>
      </c>
      <c r="B993" s="1" t="s">
        <v>6</v>
      </c>
      <c r="C993" s="1" t="s">
        <v>252</v>
      </c>
      <c r="D993" s="1" t="str">
        <f>IFERROR(__xludf.DUMMYFUNCTION("CONCATENATE(GOOGLETRANSLATE(C993, ""en"", ""zh-cn""))
"),"带抽屉和盖垫的拼图板 - 拼图桌，带防滑表面，可容纳 1500 块 35x27 便携式拼图板，适合成人和儿童，用于存放正在进行的拼图")</f>
        <v>带抽屉和盖垫的拼图板 - 拼图桌，带防滑表面，可容纳 1500 块 35x27 便携式拼图板，适合成人和儿童，用于存放正在进行的拼图</v>
      </c>
      <c r="E993" s="1" t="str">
        <f>IFERROR(__xludf.DUMMYFUNCTION("CONCATENATE(GOOGLETRANSLATE(C993, ""en"", ""ko""))"),"서랍과 커버가 있는 퍼즐 보드 미끄럼 방지 표면이 있는 매트 직소 퍼즐 테이블은 1500개 조각을 지탱합니다. 35x27 진행 중인 퍼즐 보관을 위한 성인 및 어린이용 휴대용 퍼즐 보드")</f>
        <v>서랍과 커버가 있는 퍼즐 보드 미끄럼 방지 표면이 있는 매트 직소 퍼즐 테이블은 1500개 조각을 지탱합니다. 35x27 진행 중인 퍼즐 보관을 위한 성인 및 어린이용 휴대용 퍼즐 보드</v>
      </c>
      <c r="F993" s="1" t="str">
        <f>IFERROR(__xludf.DUMMYFUNCTION("CONCATENATE(GOOGLETRANSLATE(C993, ""en"", ""ja""))"),"引き出しとカバー付きパズルボード マットジグソーパズルテーブル 滑り止め表面付き 1500ピースまで保持可能 35x27 ポータブルパズルボード 大人と子供向け 進行中のパズルの保管用")</f>
        <v>引き出しとカバー付きパズルボード マットジグソーパズルテーブル 滑り止め表面付き 1500ピースまで保持可能 35x27 ポータブルパズルボード 大人と子供向け 進行中のパズルの保管用</v>
      </c>
    </row>
    <row r="994" ht="15.75" customHeight="1">
      <c r="A994" s="1">
        <v>4747.0</v>
      </c>
      <c r="B994" s="1" t="s">
        <v>51</v>
      </c>
      <c r="C994" s="1" t="s">
        <v>938</v>
      </c>
      <c r="D994" s="1" t="str">
        <f>IFERROR(__xludf.DUMMYFUNCTION("CONCATENATE(GOOGLETRANSLATE(C994, ""en"", ""zh-cn""))
"),"男士笑脸刺绣灯芯绒抽绳连帽衬衫夹克")</f>
        <v>男士笑脸刺绣灯芯绒抽绳连帽衬衫夹克</v>
      </c>
      <c r="E994" s="1" t="str">
        <f>IFERROR(__xludf.DUMMYFUNCTION("CONCATENATE(GOOGLETRANSLATE(C994, ""en"", ""ko""))"),"남성용 스마일 페이스 자수 코듀로이 드로스트링 후드 셔츠 재킷")</f>
        <v>남성용 스마일 페이스 자수 코듀로이 드로스트링 후드 셔츠 재킷</v>
      </c>
      <c r="F994" s="1" t="str">
        <f>IFERROR(__xludf.DUMMYFUNCTION("CONCATENATE(GOOGLETRANSLATE(C994, ""en"", ""ja""))"),"メンズスマイルフェイス刺繍コーデュロイ巾着フード付きシャツジャケット")</f>
        <v>メンズスマイルフェイス刺繍コーデュロイ巾着フード付きシャツジャケット</v>
      </c>
    </row>
    <row r="995" ht="15.75" customHeight="1">
      <c r="A995" s="1">
        <v>4810.0</v>
      </c>
      <c r="B995" s="1" t="s">
        <v>6</v>
      </c>
      <c r="C995" s="1" t="s">
        <v>939</v>
      </c>
      <c r="D995" s="1" t="str">
        <f>IFERROR(__xludf.DUMMYFUNCTION("CONCATENATE(GOOGLETRANSLATE(C995, ""en"", ""zh-cn""))
"),"Apple 2024 MacBook Air 15 英寸笔记本电脑，配备 M3 芯片：15.3 英寸 Liquid Retina 显示屏、8GB 统一内存、256GB SSD 存储、背光键盘、1080p FaceTime 高清摄像头、Touch ID；午夜")</f>
        <v>Apple 2024 MacBook Air 15 英寸笔记本电脑，配备 M3 芯片：15.3 英寸 Liquid Retina 显示屏、8GB 统一内存、256GB SSD 存储、背光键盘、1080p FaceTime 高清摄像头、Touch ID；午夜</v>
      </c>
      <c r="E995" s="1" t="str">
        <f>IFERROR(__xludf.DUMMYFUNCTION("CONCATENATE(GOOGLETRANSLATE(C995, ""en"", ""ko""))"),"M3 칩이 탑재된 Apple 2024 MacBook Air 15인치 노트북: 15.3인치 Liquid Retina 디스플레이, 8GB 통합 메모리, 256GB SSD 스토리지, 백라이트 키보드, 1080p FaceTime HD 카메라, Touch ID; 자정")</f>
        <v>M3 칩이 탑재된 Apple 2024 MacBook Air 15인치 노트북: 15.3인치 Liquid Retina 디스플레이, 8GB 통합 메모리, 256GB SSD 스토리지, 백라이트 키보드, 1080p FaceTime HD 카메라, Touch ID; 자정</v>
      </c>
      <c r="F995" s="1" t="str">
        <f>IFERROR(__xludf.DUMMYFUNCTION("CONCATENATE(GOOGLETRANSLATE(C995, ""en"", ""ja""))"),"Apple 2024 MacBook Air 15 インチ ラップトップ (M3 チップ搭載): 15.3 インチ Liquid Retina ディスプレイ、8GB ユニファイド メモリ、256GB SSD ストレージ、バックライト付きキーボード、1080p FaceTime HD カメラ、Touch ID。夜中")</f>
        <v>Apple 2024 MacBook Air 15 インチ ラップトップ (M3 チップ搭載): 15.3 インチ Liquid Retina ディスプレイ、8GB ユニファイド メモリ、256GB SSD ストレージ、バックライト付きキーボード、1080p FaceTime HD カメラ、Touch ID。夜中</v>
      </c>
    </row>
    <row r="996" ht="15.75" customHeight="1">
      <c r="A996" s="1">
        <v>4822.0</v>
      </c>
      <c r="B996" s="1" t="s">
        <v>6</v>
      </c>
      <c r="C996" s="1" t="s">
        <v>940</v>
      </c>
      <c r="D996" s="1" t="str">
        <f>IFERROR(__xludf.DUMMYFUNCTION("CONCATENATE(GOOGLETRANSLATE(C996, ""en"", ""zh-cn""))
"),"Apple 2024 MacBook Air 15 英寸笔记本电脑，配备 M3 芯片：15.3 英寸 Liquid Retina 显示屏、8GB 统一内存、512GB SSD 存储、背光键盘、1080p FaceTime 高清摄像头、Touch ID；银")</f>
        <v>Apple 2024 MacBook Air 15 英寸笔记本电脑，配备 M3 芯片：15.3 英寸 Liquid Retina 显示屏、8GB 统一内存、512GB SSD 存储、背光键盘、1080p FaceTime 高清摄像头、Touch ID；银</v>
      </c>
      <c r="E996" s="1" t="str">
        <f>IFERROR(__xludf.DUMMYFUNCTION("CONCATENATE(GOOGLETRANSLATE(C996, ""en"", ""ko""))"),"M3 칩이 탑재된 Apple 2024 MacBook Air 15인치 노트북: 15.3인치 Liquid Retina 디스플레이, 8GB 통합 메모리, 512GB SSD 스토리지, 백라이트 키보드, 1080p FaceTime HD 카메라, Touch ID; 은")</f>
        <v>M3 칩이 탑재된 Apple 2024 MacBook Air 15인치 노트북: 15.3인치 Liquid Retina 디스플레이, 8GB 통합 메모리, 512GB SSD 스토리지, 백라이트 키보드, 1080p FaceTime HD 카메라, Touch ID; 은</v>
      </c>
      <c r="F996" s="1" t="str">
        <f>IFERROR(__xludf.DUMMYFUNCTION("CONCATENATE(GOOGLETRANSLATE(C996, ""en"", ""ja""))"),"Apple 2024 MacBook Air 15 インチ ラップトップ (M3 チップ搭載): 15.3 インチ Liquid Retina ディスプレイ、8GB ユニファイド メモリ、512GB SSD ストレージ、バックライト付きキーボード、1080p FaceTime HD カメラ、Touch ID。銀")</f>
        <v>Apple 2024 MacBook Air 15 インチ ラップトップ (M3 チップ搭載): 15.3 インチ Liquid Retina ディスプレイ、8GB ユニファイド メモリ、512GB SSD ストレージ、バックライト付きキーボード、1080p FaceTime HD カメラ、Touch ID。銀</v>
      </c>
    </row>
    <row r="997" ht="15.75" customHeight="1">
      <c r="A997" s="1">
        <v>4828.0</v>
      </c>
      <c r="B997" s="1" t="s">
        <v>6</v>
      </c>
      <c r="C997" s="1" t="s">
        <v>941</v>
      </c>
      <c r="D997" s="1" t="str">
        <f>IFERROR(__xludf.DUMMYFUNCTION("CONCATENATE(GOOGLETRANSLATE(C997, ""en"", ""zh-cn""))
"),"Apple 2024 MacBook Air 15 英寸笔记本电脑，配备 M3 芯片：15.3 英寸 Liquid Retina 显示屏、16GB 统一内存、512GB SSD 存储、背光键盘、1080p FaceTime 高清摄像头、Touch ID；银")</f>
        <v>Apple 2024 MacBook Air 15 英寸笔记本电脑，配备 M3 芯片：15.3 英寸 Liquid Retina 显示屏、16GB 统一内存、512GB SSD 存储、背光键盘、1080p FaceTime 高清摄像头、Touch ID；银</v>
      </c>
      <c r="E997" s="1" t="str">
        <f>IFERROR(__xludf.DUMMYFUNCTION("CONCATENATE(GOOGLETRANSLATE(C997, ""en"", ""ko""))"),"M3 칩을 탑재한 Apple 2024 MacBook Air 15인치 노트북: 15.3인치 Liquid Retina 디스플레이, 16GB 통합 메모리, 512GB SSD 스토리지, 백라이트 키보드, 1080p FaceTime HD 카메라, Touch ID; 은")</f>
        <v>M3 칩을 탑재한 Apple 2024 MacBook Air 15인치 노트북: 15.3인치 Liquid Retina 디스플레이, 16GB 통합 메모리, 512GB SSD 스토리지, 백라이트 키보드, 1080p FaceTime HD 카메라, Touch ID; 은</v>
      </c>
      <c r="F997" s="1" t="str">
        <f>IFERROR(__xludf.DUMMYFUNCTION("CONCATENATE(GOOGLETRANSLATE(C997, ""en"", ""ja""))"),"Apple 2024 MacBook Air 15 インチ ラップトップ (M3 チップ搭載): 15.3 インチ Liquid Retina ディスプレイ、16GB ユニファイド メモリ、512GB SSD ストレージ、バックライト付きキーボード、1080p FaceTime HD カメラ、Touch ID。銀")</f>
        <v>Apple 2024 MacBook Air 15 インチ ラップトップ (M3 チップ搭載): 15.3 インチ Liquid Retina ディスプレイ、16GB ユニファイド メモリ、512GB SSD ストレージ、バックライト付きキーボード、1080p FaceTime HD カメラ、Touch ID。銀</v>
      </c>
    </row>
    <row r="998" ht="15.75" customHeight="1">
      <c r="A998" s="1">
        <v>4849.0</v>
      </c>
      <c r="B998" s="1" t="s">
        <v>6</v>
      </c>
      <c r="C998" s="1" t="s">
        <v>821</v>
      </c>
      <c r="D998" s="1" t="str">
        <f>IFERROR(__xludf.DUMMYFUNCTION("CONCATENATE(GOOGLETRANSLATE(C998, ""en"", ""zh-cn""))
"),"Lenovo ThinkPad P17 Gen 2 工作站笔记本电脑（Intel i9-11950H vPro 8 核、64GB RAM、2x2TB PCIe SSD RAID 0 (4TB)、RTX A2000、17.3"" 60Hz 全高清 (1920x1080)、Win 11 Pro），带 Dockztorm Hub")</f>
        <v>Lenovo ThinkPad P17 Gen 2 工作站笔记本电脑（Intel i9-11950H vPro 8 核、64GB RAM、2x2TB PCIe SSD RAID 0 (4TB)、RTX A2000、17.3" 60Hz 全高清 (1920x1080)、Win 11 Pro），带 Dockztorm Hub</v>
      </c>
      <c r="E998" s="1" t="str">
        <f>IFERROR(__xludf.DUMMYFUNCTION("CONCATENATE(GOOGLETRANSLATE(C998, ""en"", ""ko""))"),"Lenovo ThinkPad P17 Gen 2 워크스테이션 노트북(Intel i9-11950H vPro 8코어, 64GB RAM, 2x2TB PCIe SSD RAID 0(4TB), RTX A2000, 17.3인치 60Hz 풀 HD(1920x1080), Win 11 Pro)(Dockztorm 허브 포함)")</f>
        <v>Lenovo ThinkPad P17 Gen 2 워크스테이션 노트북(Intel i9-11950H vPro 8코어, 64GB RAM, 2x2TB PCIe SSD RAID 0(4TB), RTX A2000, 17.3인치 60Hz 풀 HD(1920x1080), Win 11 Pro)(Dockztorm 허브 포함)</v>
      </c>
      <c r="F998" s="1" t="str">
        <f>IFERROR(__xludf.DUMMYFUNCTION("CONCATENATE(GOOGLETRANSLATE(C998, ""en"", ""ja""))"),"Lenovo ThinkPad P17 Gen 2 ワークステーション ラップトップ (Intel i9-11950H vPro 8 コア、64GB RAM、2x2TB PCIe SSD RAID 0 (4TB)、RTX A2000、17.3 インチ 60Hz フル HD (1920x1080)、Win 11 Pro) Dockztorm Hub 付き")</f>
        <v>Lenovo ThinkPad P17 Gen 2 ワークステーション ラップトップ (Intel i9-11950H vPro 8 コア、64GB RAM、2x2TB PCIe SSD RAID 0 (4TB)、RTX A2000、17.3 インチ 60Hz フル HD (1920x1080)、Win 11 Pro) Dockztorm Hub 付き</v>
      </c>
    </row>
    <row r="999" ht="15.75" customHeight="1">
      <c r="A999" s="1">
        <v>5046.0</v>
      </c>
      <c r="B999" s="1" t="s">
        <v>6</v>
      </c>
      <c r="C999" s="1" t="s">
        <v>416</v>
      </c>
      <c r="D999" s="1" t="str">
        <f>IFERROR(__xludf.DUMMYFUNCTION("CONCATENATE(GOOGLETRANSLATE(C999, ""en"", ""zh-cn""))
"),"Smith &amp; Wesson 男士手表，战术坚固军用手表，瑞士氚，20ATM 黑色表盘，不锈钢底盖，潜水表，金属和橡胶表带，42 毫米，父亲节礼物（蓝色）")</f>
        <v>Smith &amp; Wesson 男士手表，战术坚固军用手表，瑞士氚，20ATM 黑色表盘，不锈钢底盖，潜水表，金属和橡胶表带，42 毫米，父亲节礼物（蓝色）</v>
      </c>
      <c r="E999" s="1" t="str">
        <f>IFERROR(__xludf.DUMMYFUNCTION("CONCATENATE(GOOGLETRANSLATE(C999, ""en"", ""ko""))"),"Smith &amp; Wesson 남성용 시계, 전술 터프 밀리터리 시계, 스위스 삼중수소, 20ATM 블랙 다이얼, 스테인리스 스틸 케이스백, 다이버 시계, 금속 및 고무 스트랩, 42mm, 아버지의 날 선물(블루)")</f>
        <v>Smith &amp; Wesson 남성용 시계, 전술 터프 밀리터리 시계, 스위스 삼중수소, 20ATM 블랙 다이얼, 스테인리스 스틸 케이스백, 다이버 시계, 금속 및 고무 스트랩, 42mm, 아버지의 날 선물(블루)</v>
      </c>
      <c r="F999" s="1" t="str">
        <f>IFERROR(__xludf.DUMMYFUNCTION("CONCATENATE(GOOGLETRANSLATE(C999, ""en"", ""ja""))"),"Smith &amp; Wesson メンズウォッチ、タクティカルタフミリタリーウォッチ、スイストリチウム、20ATM ブラックダイヤル、ステンレススチールケースバック、ダイバーウォッチ、メタルとラバーストラップ、42mm、父の日ギフト (ブルー)")</f>
        <v>Smith &amp; Wesson メンズウォッチ、タクティカルタフミリタリーウォッチ、スイストリチウム、20ATM ブラックダイヤル、ステンレススチールケースバック、ダイバーウォッチ、メタルとラバーストラップ、42mm、父の日ギフト (ブルー)</v>
      </c>
    </row>
    <row r="1000" ht="15.75" customHeight="1">
      <c r="A1000" s="1">
        <v>5079.0</v>
      </c>
      <c r="B1000" s="1" t="s">
        <v>6</v>
      </c>
      <c r="C1000" s="1" t="s">
        <v>942</v>
      </c>
      <c r="D1000" s="1" t="str">
        <f>IFERROR(__xludf.DUMMYFUNCTION("CONCATENATE(GOOGLETRANSLATE(C1000, ""en"", ""zh-cn""))
"),"Apple 2022 款 11 英寸 iPad Pro（Wi-Fi，128GB）- 深空灰色（第 4 代）")</f>
        <v>Apple 2022 款 11 英寸 iPad Pro（Wi-Fi，128GB）- 深空灰色（第 4 代）</v>
      </c>
      <c r="E1000" s="1" t="str">
        <f>IFERROR(__xludf.DUMMYFUNCTION("CONCATENATE(GOOGLETRANSLATE(C1000, ""en"", ""ko""))"),"Apple 2022 11인치 iPad Pro(Wi-Fi, 128GB) - 스페이스 그레이(4세대)")</f>
        <v>Apple 2022 11인치 iPad Pro(Wi-Fi, 128GB) - 스페이스 그레이(4세대)</v>
      </c>
      <c r="F1000" s="1" t="str">
        <f>IFERROR(__xludf.DUMMYFUNCTION("CONCATENATE(GOOGLETRANSLATE(C1000, ""en"", ""ja""))"),"Apple 2022 11 インチ iPad Pro (Wi-Fi、128GB) - スペース グレイ (第 4 世代)")</f>
        <v>Apple 2022 11 インチ iPad Pro (Wi-Fi、128GB) - スペース グレイ (第 4 世代)</v>
      </c>
    </row>
    <row r="1001" ht="15.75" customHeight="1">
      <c r="A1001" s="1">
        <v>5082.0</v>
      </c>
      <c r="B1001" s="1" t="s">
        <v>6</v>
      </c>
      <c r="C1001" s="1" t="s">
        <v>943</v>
      </c>
      <c r="D1001" s="1" t="str">
        <f>IFERROR(__xludf.DUMMYFUNCTION("CONCATENATE(GOOGLETRANSLATE(C1001, ""en"", ""zh-cn""))
"),"Apple iPad Pro 2018（11 英寸，Wi-Fi + 蜂窝网络，1TB）- 深空灰色 -（续订）")</f>
        <v>Apple iPad Pro 2018（11 英寸，Wi-Fi + 蜂窝网络，1TB）- 深空灰色 -（续订）</v>
      </c>
      <c r="E1001" s="1" t="str">
        <f>IFERROR(__xludf.DUMMYFUNCTION("CONCATENATE(GOOGLETRANSLATE(C1001, ""en"", ""ko""))"),"Apple iPad Pro 2018 (11인치, Wi-Fi + Cellular, 1TB) - 스페이스 그레이 - (리뉴얼)")</f>
        <v>Apple iPad Pro 2018 (11인치, Wi-Fi + Cellular, 1TB) - 스페이스 그레이 - (리뉴얼)</v>
      </c>
      <c r="F1001" s="1" t="str">
        <f>IFERROR(__xludf.DUMMYFUNCTION("CONCATENATE(GOOGLETRANSLATE(C1001, ""en"", ""ja""))"),"Apple iPad Pro 2018 (11インチ、Wi-Fi + Cellular、1TB) - スペースグレイ - (リニューアル)")</f>
        <v>Apple iPad Pro 2018 (11インチ、Wi-Fi + Cellular、1TB) - スペースグレイ - (リニューアル)</v>
      </c>
    </row>
    <row r="1002" ht="15.75" customHeight="1">
      <c r="A1002" s="1">
        <v>5159.0</v>
      </c>
      <c r="B1002" s="1" t="s">
        <v>6</v>
      </c>
      <c r="C1002" s="1" t="s">
        <v>229</v>
      </c>
      <c r="D1002" s="1" t="str">
        <f>IFERROR(__xludf.DUMMYFUNCTION("CONCATENATE(GOOGLETRANSLATE(C1002, ""en"", ""zh-cn""))
"),"3G Cardio Elite UB 立式健身车 - 商业级 - 占地面积紧凑 - 超舒适座椅 - 抗磁 - 350 磅用户容量")</f>
        <v>3G Cardio Elite UB 立式健身车 - 商业级 - 占地面积紧凑 - 超舒适座椅 - 抗磁 - 350 磅用户容量</v>
      </c>
      <c r="E1002" s="1" t="str">
        <f>IFERROR(__xludf.DUMMYFUNCTION("CONCATENATE(GOOGLETRANSLATE(C1002, ""en"", ""ko""))"),"3G Cardio Elite UB 직립 자전거 - 상업용 등급 - 컴팩트한 설치 공간 - 매우 편안한 시트 - 자기 저항 - 350 LB 사용자 용량")</f>
        <v>3G Cardio Elite UB 직립 자전거 - 상업용 등급 - 컴팩트한 설치 공간 - 매우 편안한 시트 - 자기 저항 - 350 LB 사용자 용량</v>
      </c>
      <c r="F1002" s="1" t="str">
        <f>IFERROR(__xludf.DUMMYFUNCTION("CONCATENATE(GOOGLETRANSLATE(C1002, ""en"", ""ja""))"),"3G カーディオ エリート UB アップライト バイク - 商用グレード - コンパクトな設置面積 - 超快適なシート - 磁気抵抗 - 350 ポンドのユーザー容量")</f>
        <v>3G カーディオ エリート UB アップライト バイク - 商用グレード - コンパクトな設置面積 - 超快適なシート - 磁気抵抗 - 350 ポンドのユーザー容量</v>
      </c>
    </row>
    <row r="1003" ht="15.75" customHeight="1">
      <c r="A1003" s="1">
        <v>5316.0</v>
      </c>
      <c r="B1003" s="1" t="s">
        <v>6</v>
      </c>
      <c r="C1003" s="1" t="s">
        <v>253</v>
      </c>
      <c r="D1003" s="1" t="str">
        <f>IFERROR(__xludf.DUMMYFUNCTION("CONCATENATE(GOOGLETRANSLATE(C1003, ""en"", ""zh-cn""))
"),"GAN 13 磁悬浮 UV 涂层，磁性速度魔方 3x3 无贴纸 56 毫米磁铁魔方拼图玩具，GAN 2022 旗舰")</f>
        <v>GAN 13 磁悬浮 UV 涂层，磁性速度魔方 3x3 无贴纸 56 毫米磁铁魔方拼图玩具，GAN 2022 旗舰</v>
      </c>
      <c r="E1003" s="1" t="str">
        <f>IFERROR(__xludf.DUMMYFUNCTION("CONCATENATE(GOOGLETRANSLATE(C1003, ""en"", ""ko""))"),"GAN 13 자기 부상 UV 코팅, 자기 속도 큐브 3x3 스티커 없는 56mm 자석 매직 큐브 퍼즐 장난감, GAN 2022 플래그십")</f>
        <v>GAN 13 자기 부상 UV 코팅, 자기 속도 큐브 3x3 스티커 없는 56mm 자석 매직 큐브 퍼즐 장난감, GAN 2022 플래그십</v>
      </c>
      <c r="F1003" s="1" t="str">
        <f>IFERROR(__xludf.DUMMYFUNCTION("CONCATENATE(GOOGLETRANSLATE(C1003, ""en"", ""ja""))"),"GAN 13 リニアモーターカー UV コーティング、磁気スピード キューブ 3x3 ステッカーレス 56mm マグネット マジック キューブ パズル おもちゃ、GAN 2022 フラッグシップ")</f>
        <v>GAN 13 リニアモーターカー UV コーティング、磁気スピード キューブ 3x3 ステッカーレス 56mm マグネット マジック キューブ パズル おもちゃ、GAN 2022 フラッグシップ</v>
      </c>
    </row>
    <row r="1004" ht="15.75" customHeight="1">
      <c r="A1004" s="1">
        <v>5340.0</v>
      </c>
      <c r="B1004" s="1" t="s">
        <v>6</v>
      </c>
      <c r="C1004" s="1" t="s">
        <v>63</v>
      </c>
      <c r="D1004" s="1" t="str">
        <f>IFERROR(__xludf.DUMMYFUNCTION("CONCATENATE(GOOGLETRANSLATE(C1004, ""en"", ""zh-cn""))
"),"带盖拼图板，大型倾斜 1500 块拼图桌，ENGRTALENT 35 英寸 x 26 英寸带抽屉便携式拼图桌，带彩色拼图分类托盘、指南、毛毡板和手柄。")</f>
        <v>带盖拼图板，大型倾斜 1500 块拼图桌，ENGRTALENT 35 英寸 x 26 英寸带抽屉便携式拼图桌，带彩色拼图分类托盘、指南、毛毡板和手柄。</v>
      </c>
      <c r="E1004" s="1" t="str">
        <f>IFERROR(__xludf.DUMMYFUNCTION("CONCATENATE(GOOGLETRANSLATE(C1004, ""en"", ""ko""))"),"덮개가 있는 퍼즐 보드, 대형 기울어진 1500피스 직소 퍼즐 테이블, 다채로운 퍼즐 정렬 트레이가 있는 서랍이 있는 ENGRTALENT 35""x 26"" 휴대용 퍼즐 테이블, 지침, 펠트 보드 및 손잡이.")</f>
        <v>덮개가 있는 퍼즐 보드, 대형 기울어진 1500피스 직소 퍼즐 테이블, 다채로운 퍼즐 정렬 트레이가 있는 서랍이 있는 ENGRTALENT 35"x 26" 휴대용 퍼즐 테이블, 지침, 펠트 보드 및 손잡이.</v>
      </c>
      <c r="F1004" s="1" t="str">
        <f>IFERROR(__xludf.DUMMYFUNCTION("CONCATENATE(GOOGLETRANSLATE(C1004, ""en"", ""ja""))"),"カバー付きパズルボード、大型傾斜1500ピースジグソーパズルテーブル、ENGRTALENT 35インチ x 26インチの引き出し付きポータブルパズルテーブル、カラフルなパズル並べ替えトレイ、ガイドライン、フェルトボード、ハンドル付き。")</f>
        <v>カバー付きパズルボード、大型傾斜1500ピースジグソーパズルテーブル、ENGRTALENT 35インチ x 26インチの引き出し付きポータブルパズルテーブル、カラフルなパズル並べ替えトレイ、ガイドライン、フェルトボード、ハンドル付き。</v>
      </c>
    </row>
    <row r="1005" ht="15.75" customHeight="1">
      <c r="A1005" s="1">
        <v>5352.0</v>
      </c>
      <c r="B1005" s="1" t="s">
        <v>6</v>
      </c>
      <c r="C1005" s="1" t="s">
        <v>83</v>
      </c>
      <c r="D1005" s="1" t="str">
        <f>IFERROR(__xludf.DUMMYFUNCTION("CONCATENATE(GOOGLETRANSLATE(C1005, ""en"", ""zh-cn""))
"),"GAN Megaminx M，五角磁力测速魔方，无贴纸")</f>
        <v>GAN Megaminx M，五角磁力测速魔方，无贴纸</v>
      </c>
      <c r="E1005" s="1" t="str">
        <f>IFERROR(__xludf.DUMMYFUNCTION("CONCATENATE(GOOGLETRANSLATE(C1005, ""en"", ""ko""))"),"GAN Megaminx M, 오각형 자기 속도 큐브, 스티커 없음")</f>
        <v>GAN Megaminx M, 오각형 자기 속도 큐브, 스티커 없음</v>
      </c>
      <c r="F1005" s="1" t="str">
        <f>IFERROR(__xludf.DUMMYFUNCTION("CONCATENATE(GOOGLETRANSLATE(C1005, ""en"", ""ja""))"),"GAN メガミンクス M、五角形磁気スピードキューブ、ステッカーレス")</f>
        <v>GAN メガミンクス M、五角形磁気スピードキューブ、ステッカーレス</v>
      </c>
    </row>
    <row r="1006" ht="15.75" customHeight="1">
      <c r="A1006" s="1">
        <v>5364.0</v>
      </c>
      <c r="B1006" s="1" t="s">
        <v>6</v>
      </c>
      <c r="C1006" s="1" t="s">
        <v>944</v>
      </c>
      <c r="D1006" s="1" t="str">
        <f>IFERROR(__xludf.DUMMYFUNCTION("CONCATENATE(GOOGLETRANSLATE(C1006, ""en"", ""zh-cn""))
"),"REDMAGIC 8 Pro 智能手机 5G，120Hz 游戏手机，6.8 全面屏，屏下摄像头，6000mAh Android 手机，Snapdragon 8 Gen 2，12+256GB，65W 充电器，双卡，美国解锁手机黑色")</f>
        <v>REDMAGIC 8 Pro 智能手机 5G，120Hz 游戏手机，6.8 全面屏，屏下摄像头，6000mAh Android 手机，Snapdragon 8 Gen 2，12+256GB，65W 充电器，双卡，美国解锁手机黑色</v>
      </c>
      <c r="E1006" s="1" t="str">
        <f>IFERROR(__xludf.DUMMYFUNCTION("CONCATENATE(GOOGLETRANSLATE(C1006, ""en"", ""ko""))"),"REDMAGIC 8 Pro 스마트폰 5G, 120Hz 게이밍 폰, 6.8 전체 화면, 언더 디스플레이 카메라, 6000mAh 안드로이드 폰, Snapdragon 8 Gen 2, 12+256GB, 65W 충전기, 듀얼 심, 미국 공기계 휴대폰 블랙")</f>
        <v>REDMAGIC 8 Pro 스마트폰 5G, 120Hz 게이밍 폰, 6.8 전체 화면, 언더 디스플레이 카메라, 6000mAh 안드로이드 폰, Snapdragon 8 Gen 2, 12+256GB, 65W 충전기, 듀얼 심, 미국 공기계 휴대폰 블랙</v>
      </c>
      <c r="F1006" s="1" t="str">
        <f>IFERROR(__xludf.DUMMYFUNCTION("CONCATENATE(GOOGLETRANSLATE(C1006, ""en"", ""ja""))"),"REDMAGIC 8 Pro スマートフォン 5G、120Hz ゲーム電話、6.8 フルスクリーン、ディスプレイカメラ下、6000mAh Android 携帯電話、Snapdragon 8 Gen 2、12+256GB、65W 充電器、デュアル Sim、米国ロック解除済み携帯電話 ブラック")</f>
        <v>REDMAGIC 8 Pro スマートフォン 5G、120Hz ゲーム電話、6.8 フルスクリーン、ディスプレイカメラ下、6000mAh Android 携帯電話、Snapdragon 8 Gen 2、12+256GB、65W 充電器、デュアル Sim、米国ロック解除済み携帯電話 ブラック</v>
      </c>
    </row>
    <row r="1007" ht="15.75" customHeight="1">
      <c r="A1007" s="1">
        <v>5378.0</v>
      </c>
      <c r="B1007" s="1" t="s">
        <v>51</v>
      </c>
      <c r="C1007" s="1" t="s">
        <v>945</v>
      </c>
      <c r="D1007" s="1" t="str">
        <f>IFERROR(__xludf.DUMMYFUNCTION("CONCATENATE(GOOGLETRANSLATE(C1007, ""en"", ""zh-cn""))
"),"男式拼色拼布翻盖灯芯绒衬衫夹克")</f>
        <v>男式拼色拼布翻盖灯芯绒衬衫夹克</v>
      </c>
      <c r="E1007" s="1" t="str">
        <f>IFERROR(__xludf.DUMMYFUNCTION("CONCATENATE(GOOGLETRANSLATE(C1007, ""en"", ""ko""))"),"남성용 컬러 블록 패치워크 플랩 포켓 코듀로이 셔츠 재킷")</f>
        <v>남성용 컬러 블록 패치워크 플랩 포켓 코듀로이 셔츠 재킷</v>
      </c>
      <c r="F1007" s="1" t="str">
        <f>IFERROR(__xludf.DUMMYFUNCTION("CONCATENATE(GOOGLETRANSLATE(C1007, ""en"", ""ja""))"),"メンズ カラーブロック パッチワーク フラップ ポケット コーデュロイ シャツ ジャケット")</f>
        <v>メンズ カラーブロック パッチワーク フラップ ポケット コーデュロイ シャツ ジャケット</v>
      </c>
    </row>
    <row r="1008" ht="15.75" customHeight="1">
      <c r="A1008" s="1">
        <v>5384.0</v>
      </c>
      <c r="B1008" s="1" t="s">
        <v>6</v>
      </c>
      <c r="C1008" s="1" t="s">
        <v>800</v>
      </c>
      <c r="D1008" s="1" t="str">
        <f>IFERROR(__xludf.DUMMYFUNCTION("CONCATENATE(GOOGLETRANSLATE(C1008, ""en"", ""zh-cn""))
"),"BroMocube 的 GAN 11M Pro 3x3 速度魔方 GAN 11 磁性拼图魔方 Gan11M 魔方（GAN 11 M Pro 磨砂无贴纸（黑色））")</f>
        <v>BroMocube 的 GAN 11M Pro 3x3 速度魔方 GAN 11 磁性拼图魔方 Gan11M 魔方（GAN 11 M Pro 磨砂无贴纸（黑色））</v>
      </c>
      <c r="E1008" s="1" t="str">
        <f>IFERROR(__xludf.DUMMYFUNCTION("CONCATENATE(GOOGLETRANSLATE(C1008, ""en"", ""ko""))"),"GAN 11M Pro 3x3 스피드 큐브 by BroMocube GAN 11 마그네틱 퍼즐 큐브 Gan11M 매직 큐브 (GAN 11 M Pro Frosted 스티커리스(검은색))")</f>
        <v>GAN 11M Pro 3x3 스피드 큐브 by BroMocube GAN 11 마그네틱 퍼즐 큐브 Gan11M 매직 큐브 (GAN 11 M Pro Frosted 스티커리스(검은색))</v>
      </c>
      <c r="F1008" s="1" t="str">
        <f>IFERROR(__xludf.DUMMYFUNCTION("CONCATENATE(GOOGLETRANSLATE(C1008, ""en"", ""ja""))"),"GAN 11M Pro 3x3 スピード キューブ by BroMocube GAN 11 磁気パズル キューブ Gan11M マジック キューブ (GAN 11 M Pro つや消しステッカーなし (ブラック))")</f>
        <v>GAN 11M Pro 3x3 スピード キューブ by BroMocube GAN 11 磁気パズル キューブ Gan11M マジック キューブ (GAN 11 M Pro つや消しステッカーなし (ブラック))</v>
      </c>
    </row>
    <row r="1009" ht="15.75" customHeight="1">
      <c r="A1009" s="1">
        <v>5385.0</v>
      </c>
      <c r="B1009" s="1" t="s">
        <v>6</v>
      </c>
      <c r="C1009" s="1" t="s">
        <v>61</v>
      </c>
      <c r="D1009" s="1" t="str">
        <f>IFERROR(__xludf.DUMMYFUNCTION("CONCATENATE(GOOGLETRANSLATE(C1009, ""en"", ""zh-cn""))
"),"GAN 机器人，魔方解谜机自动解谜器和解谜器，兼容 GAN 356i2 i3 iplay iCarry Speed Cubes（不含魔方）和最新版本 APP")</f>
        <v>GAN 机器人，魔方解谜机自动解谜器和解谜器，兼容 GAN 356i2 i3 iplay iCarry Speed Cubes（不含魔方）和最新版本 APP</v>
      </c>
      <c r="E1009" s="1" t="str">
        <f>IFERROR(__xludf.DUMMYFUNCTION("CONCATENATE(GOOGLETRANSLATE(C1009, ""en"", ""ko""))"),"GAN 로봇, 큐브 ​​해결 기계 자동 퍼즐 스크램블러 및 솔버, GAN 356i2 i3 iplay iCarry 스피드 큐브(큐브는 포함되지 않음) 및 최신 버전 앱과 호환 가능")</f>
        <v>GAN 로봇, 큐브 ​​해결 기계 자동 퍼즐 스크램블러 및 솔버, GAN 356i2 i3 iplay iCarry 스피드 큐브(큐브는 포함되지 않음) 및 최신 버전 앱과 호환 가능</v>
      </c>
      <c r="F1009" s="1" t="str">
        <f>IFERROR(__xludf.DUMMYFUNCTION("CONCATENATE(GOOGLETRANSLATE(C1009, ""en"", ""ja""))"),"GAN ロボット、キューブ解決マシン自動パズル スクランブラー &amp; ソルバー、GAN 356i2 i3 iplay iCarry Speed Cubes と互換性あり (キューブは含まれません) &amp; 最新バージョンのアプリ付き")</f>
        <v>GAN ロボット、キューブ解決マシン自動パズル スクランブラー &amp; ソルバー、GAN 356i2 i3 iplay iCarry Speed Cubes と互換性あり (キューブは含まれません) &amp; 最新バージョンのアプリ付き</v>
      </c>
    </row>
    <row r="1010" ht="15.75" customHeight="1">
      <c r="A1010" s="1">
        <v>5386.0</v>
      </c>
      <c r="B1010" s="1" t="s">
        <v>6</v>
      </c>
      <c r="C1010" s="1" t="s">
        <v>436</v>
      </c>
      <c r="D1010" s="1" t="str">
        <f>IFERROR(__xludf.DUMMYFUNCTION("CONCATENATE(GOOGLETRANSLATE(C1010, ""en"", ""zh-cn""))
"),"SHARGEEK 的 SHARGE USB C 充电器，带数字雨功率显示的复古 67 GaN 充电器，67W 可折叠快速壁式充电器，适用于 iPhone 14/Pro/Pro Max/13、iPad、MacBook、Galaxy、Google Pixel 礼品创意")</f>
        <v>SHARGEEK 的 SHARGE USB C 充电器，带数字雨功率显示的复古 67 GaN 充电器，67W 可折叠快速壁式充电器，适用于 iPhone 14/Pro/Pro Max/13、iPad、MacBook、Galaxy、Google Pixel 礼品创意</v>
      </c>
      <c r="E1010" s="1" t="str">
        <f>IFERROR(__xludf.DUMMYFUNCTION("CONCATENATE(GOOGLETRANSLATE(C1010, ""en"", ""ko""))"),"SHARGEEK의 SHARGE USB C 충전기, 디지털 레인 파워 디스플레이를 갖춘 레트로 67 GaN 충전기, iPhone 14/Pro/Pro Max/13, iPad, MacBook, Galaxy, Google Pixel 선물용 아이디어를 위한 67W 접이식 고속 벽 충전기")</f>
        <v>SHARGEEK의 SHARGE USB C 충전기, 디지털 레인 파워 디스플레이를 갖춘 레트로 67 GaN 충전기, iPhone 14/Pro/Pro Max/13, iPad, MacBook, Galaxy, Google Pixel 선물용 아이디어를 위한 67W 접이식 고속 벽 충전기</v>
      </c>
      <c r="F1010" s="1" t="str">
        <f>IFERROR(__xludf.DUMMYFUNCTION("CONCATENATE(GOOGLETRANSLATE(C1010, ""en"", ""ja""))"),"SHARGEEK の SHARGE USB C 充電器、デジタルレインパワーディスプレイ付きレトロ 67 GaN 充電器、iPhone 14/Pro/Pro Max/13、iPad、MacBook、Galaxy、Google Pixel ギフトアイデア用の 67W 折りたたみ式高速壁充電器")</f>
        <v>SHARGEEK の SHARGE USB C 充電器、デジタルレインパワーディスプレイ付きレトロ 67 GaN 充電器、iPhone 14/Pro/Pro Max/13、iPad、MacBook、Galaxy、Google Pixel ギフトアイデア用の 67W 折りたたみ式高速壁充電器</v>
      </c>
    </row>
    <row r="1011" ht="15.75" customHeight="1">
      <c r="A1011" s="1">
        <v>5399.0</v>
      </c>
      <c r="B1011" s="1" t="s">
        <v>51</v>
      </c>
      <c r="C1011" s="1" t="s">
        <v>946</v>
      </c>
      <c r="D1011" s="1" t="str">
        <f>IFERROR(__xludf.DUMMYFUNCTION("CONCATENATE(GOOGLETRANSLATE(C1011, ""en"", ""zh-cn""))
"),"女式波点印花圆领短袖超长连衣裙")</f>
        <v>女式波点印花圆领短袖超长连衣裙</v>
      </c>
      <c r="E1011" s="1" t="str">
        <f>IFERROR(__xludf.DUMMYFUNCTION("CONCATENATE(GOOGLETRANSLATE(C1011, ""en"", ""ko""))"),"여성 폴카 도트 프린트 O 넥 반팔 맥시 드레스")</f>
        <v>여성 폴카 도트 프린트 O 넥 반팔 맥시 드레스</v>
      </c>
      <c r="F1011" s="1" t="str">
        <f>IFERROR(__xludf.DUMMYFUNCTION("CONCATENATE(GOOGLETRANSLATE(C1011, ""en"", ""ja""))"),"女性ポルカドットプリントOネック半袖マキシドレス")</f>
        <v>女性ポルカドットプリントOネック半袖マキシドレス</v>
      </c>
    </row>
    <row r="1012" ht="15.75" customHeight="1">
      <c r="A1012" s="1">
        <v>5410.0</v>
      </c>
      <c r="B1012" s="1" t="s">
        <v>6</v>
      </c>
      <c r="C1012" s="1" t="s">
        <v>62</v>
      </c>
      <c r="D1012" s="1" t="str">
        <f>IFERROR(__xludf.DUMMYFUNCTION("CONCATENATE(GOOGLETRANSLATE(C1012, ""en"", ""zh-cn""))
"),"ALL4JIG 1500 件便携式带腿拼图桌，可调节拼图板，带 4 个抽屉和盖子，3 倾斜角度成人拼图桌")</f>
        <v>ALL4JIG 1500 件便携式带腿拼图桌，可调节拼图板，带 4 个抽屉和盖子，3 倾斜角度成人拼图桌</v>
      </c>
      <c r="E1012" s="1" t="str">
        <f>IFERROR(__xludf.DUMMYFUNCTION("CONCATENATE(GOOGLETRANSLATE(C1012, ""en"", ""ko""))"),"ALL4JIG 1500PCS 다리가 있는 휴대용 퍼즐 테이블, 4개의 서랍과 커버가 있는 조정 가능한 직소 퍼즐 보드, 성인을 위한 3-틸팅 각도 직소 퍼즐 테이블")</f>
        <v>ALL4JIG 1500PCS 다리가 있는 휴대용 퍼즐 테이블, 4개의 서랍과 커버가 있는 조정 가능한 직소 퍼즐 보드, 성인을 위한 3-틸팅 각도 직소 퍼즐 테이블</v>
      </c>
      <c r="F1012" s="1" t="str">
        <f>IFERROR(__xludf.DUMMYFUNCTION("CONCATENATE(GOOGLETRANSLATE(C1012, ""en"", ""ja""))"),"ALL4JIG 1500PCS 脚付きポータブルパズルテーブル、引き出し4つとカバー付き調節可能なジグソーパズルボード、大人用3傾斜角度ジグソーパズルテーブル")</f>
        <v>ALL4JIG 1500PCS 脚付きポータブルパズルテーブル、引き出し4つとカバー付き調節可能なジグソーパズルボード、大人用3傾斜角度ジグソーパズルテーブル</v>
      </c>
    </row>
    <row r="1013" ht="15.75" customHeight="1">
      <c r="A1013" s="1">
        <v>5446.0</v>
      </c>
      <c r="B1013" s="1" t="s">
        <v>6</v>
      </c>
      <c r="C1013" s="1" t="s">
        <v>36</v>
      </c>
      <c r="D1013" s="1" t="str">
        <f>IFERROR(__xludf.DUMMYFUNCTION("CONCATENATE(GOOGLETRANSLATE(C1013, ""en"", ""zh-cn""))
"),"DIME Beauty 紧致紧致精华液，1 片")</f>
        <v>DIME Beauty 紧致紧致精华液，1 片</v>
      </c>
      <c r="E1013" s="1" t="str">
        <f>IFERROR(__xludf.DUMMYFUNCTION("CONCATENATE(GOOGLETRANSLATE(C1013, ""en"", ""ko""))"),"피부 탄력 및 퍼밍을 위한 DIME 뷰티 슈퍼 펌 세럼, 1개")</f>
        <v>피부 탄력 및 퍼밍을 위한 DIME 뷰티 슈퍼 펌 세럼, 1개</v>
      </c>
      <c r="F1013" s="1" t="str">
        <f>IFERROR(__xludf.DUMMYFUNCTION("CONCATENATE(GOOGLETRANSLATE(C1013, ""en"", ""ja""))"),"DIME Beauty スーパーファームセラム 肌の引き締め・引き締め 1本")</f>
        <v>DIME Beauty スーパーファームセラム 肌の引き締め・引き締め 1本</v>
      </c>
    </row>
    <row r="1014" ht="15.75" customHeight="1">
      <c r="A1014" s="1">
        <v>5497.0</v>
      </c>
      <c r="B1014" s="1" t="s">
        <v>6</v>
      </c>
      <c r="C1014" s="1" t="s">
        <v>947</v>
      </c>
      <c r="D1014" s="1" t="str">
        <f>IFERROR(__xludf.DUMMYFUNCTION("CONCATENATE(GOOGLETRANSLATE(C1014, ""en"", ""zh-cn""))
"),"MD Sports 4 件乒乓球桌")</f>
        <v>MD Sports 4 件乒乓球桌</v>
      </c>
      <c r="E1014" s="1" t="str">
        <f>IFERROR(__xludf.DUMMYFUNCTION("CONCATENATE(GOOGLETRANSLATE(C1014, ""en"", ""ko""))"),"MD 스포츠 4피스 탁구대")</f>
        <v>MD 스포츠 4피스 탁구대</v>
      </c>
      <c r="F1014" s="1" t="str">
        <f>IFERROR(__xludf.DUMMYFUNCTION("CONCATENATE(GOOGLETRANSLATE(C1014, ""en"", ""ja""))"),"MD スポーツ 4 ピース卓球台")</f>
        <v>MD スポーツ 4 ピース卓球台</v>
      </c>
    </row>
    <row r="1015" ht="15.75" customHeight="1">
      <c r="A1015" s="1">
        <v>5515.0</v>
      </c>
      <c r="B1015" s="1" t="s">
        <v>6</v>
      </c>
      <c r="C1015" s="1" t="s">
        <v>948</v>
      </c>
      <c r="D1015" s="1" t="str">
        <f>IFERROR(__xludf.DUMMYFUNCTION("CONCATENATE(GOOGLETRANSLATE(C1015, ""en"", ""zh-cn""))
"),"多功能运动组合网套装")</f>
        <v>多功能运动组合网套装</v>
      </c>
      <c r="E1015" s="1" t="str">
        <f>IFERROR(__xludf.DUMMYFUNCTION("CONCATENATE(GOOGLETRANSLATE(C1015, ""en"", ""ko""))"),"멀티스포츠 콤보 네트 세트")</f>
        <v>멀티스포츠 콤보 네트 세트</v>
      </c>
      <c r="F1015" s="1" t="str">
        <f>IFERROR(__xludf.DUMMYFUNCTION("CONCATENATE(GOOGLETRANSLATE(C1015, ""en"", ""ja""))"),"マルチスポーツコンボネットセット")</f>
        <v>マルチスポーツコンボネットセット</v>
      </c>
    </row>
    <row r="1016" ht="15.75" customHeight="1">
      <c r="A1016" s="1">
        <v>5517.0</v>
      </c>
      <c r="B1016" s="1" t="s">
        <v>6</v>
      </c>
      <c r="C1016" s="1" t="s">
        <v>949</v>
      </c>
      <c r="D1016" s="1" t="str">
        <f>IFERROR(__xludf.DUMMYFUNCTION("CONCATENATE(GOOGLETRANSLATE(C1016, ""en"", ""zh-cn""))
"),"Spikeball 周末套装")</f>
        <v>Spikeball 周末套装</v>
      </c>
      <c r="E1016" s="1" t="str">
        <f>IFERROR(__xludf.DUMMYFUNCTION("CONCATENATE(GOOGLETRANSLATE(C1016, ""en"", ""ko""))"),"스파이크볼 위켄더 세트")</f>
        <v>스파이크볼 위켄더 세트</v>
      </c>
      <c r="F1016" s="1" t="str">
        <f>IFERROR(__xludf.DUMMYFUNCTION("CONCATENATE(GOOGLETRANSLATE(C1016, ""en"", ""ja""))"),"スパイクボール ウィークエンダー セット")</f>
        <v>スパイクボール ウィークエンダー セット</v>
      </c>
    </row>
    <row r="1017" ht="15.75" customHeight="1">
      <c r="A1017" s="1">
        <v>5571.0</v>
      </c>
      <c r="B1017" s="1" t="s">
        <v>6</v>
      </c>
      <c r="C1017" s="1" t="s">
        <v>950</v>
      </c>
      <c r="D1017" s="1" t="str">
        <f>IFERROR(__xludf.DUMMYFUNCTION("CONCATENATE(GOOGLETRANSLATE(C1017, ""en"", ""zh-cn""))
"),"PACT 女式有机合身喇叭中长连衣裙")</f>
        <v>PACT 女式有机合身喇叭中长连衣裙</v>
      </c>
      <c r="E1017" s="1" t="str">
        <f>IFERROR(__xludf.DUMMYFUNCTION("CONCATENATE(GOOGLETRANSLATE(C1017, ""en"", ""ko""))"),"PACT 여성 오가닉 핏 &amp; 플레어 미디 드레스")</f>
        <v>PACT 여성 오가닉 핏 &amp; 플레어 미디 드레스</v>
      </c>
      <c r="F1017" s="1" t="str">
        <f>IFERROR(__xludf.DUMMYFUNCTION("CONCATENATE(GOOGLETRANSLATE(C1017, ""en"", ""ja""))"),"PACT レディース オーガニック フィット＆フレア ミディドレス")</f>
        <v>PACT レディース オーガニック フィット＆フレア ミディドレス</v>
      </c>
    </row>
    <row r="1018" ht="15.75" customHeight="1">
      <c r="A1018" s="1">
        <v>5577.0</v>
      </c>
      <c r="B1018" s="1" t="s">
        <v>6</v>
      </c>
      <c r="C1018" s="1" t="s">
        <v>951</v>
      </c>
      <c r="D1018" s="1" t="str">
        <f>IFERROR(__xludf.DUMMYFUNCTION("CONCATENATE(GOOGLETRANSLATE(C1018, ""en"", ""zh-cn""))
"),"H&amp;M 女士宽松上衣")</f>
        <v>H&amp;M 女士宽松上衣</v>
      </c>
      <c r="E1018" s="1" t="str">
        <f>IFERROR(__xludf.DUMMYFUNCTION("CONCATENATE(GOOGLETRANSLATE(C1018, ""en"", ""ko""))"),"H&amp;M 여성용 루즈핏 샤켓")</f>
        <v>H&amp;M 여성용 루즈핏 샤켓</v>
      </c>
      <c r="F1018" s="1" t="str">
        <f>IFERROR(__xludf.DUMMYFUNCTION("CONCATENATE(GOOGLETRANSLATE(C1018, ""en"", ""ja""))"),"H&amp;M レディース ルーズフィット シャケット")</f>
        <v>H&amp;M レディース ルーズフィット シャケット</v>
      </c>
    </row>
    <row r="1019" ht="15.75" customHeight="1">
      <c r="A1019" s="1">
        <v>5608.0</v>
      </c>
      <c r="B1019" s="1" t="s">
        <v>6</v>
      </c>
      <c r="C1019" s="1" t="s">
        <v>952</v>
      </c>
      <c r="D1019" s="1" t="str">
        <f>IFERROR(__xludf.DUMMYFUNCTION("CONCATENATE(GOOGLETRANSLATE(C1019, ""en"", ""zh-cn""))
"),"女士 施华洛世奇 腕表 八角形切割手链")</f>
        <v>女士 施华洛世奇 腕表 八角形切割手链</v>
      </c>
      <c r="E1019" s="1" t="str">
        <f>IFERROR(__xludf.DUMMYFUNCTION("CONCATENATE(GOOGLETRANSLATE(C1019, ""en"", ""ko""))"),"여성 스와로브스키 시계 옥타곤 컷 브레이슬릿")</f>
        <v>여성 스와로브스키 시계 옥타곤 컷 브레이슬릿</v>
      </c>
      <c r="F1019" s="1" t="str">
        <f>IFERROR(__xludf.DUMMYFUNCTION("CONCATENATE(GOOGLETRANSLATE(C1019, ""en"", ""ja""))"),"女性スワロフスキー ウォッチ オクタゴン カット ブレスレット")</f>
        <v>女性スワロフスキー ウォッチ オクタゴン カット ブレスレット</v>
      </c>
    </row>
    <row r="1020" ht="15.75" customHeight="1">
      <c r="A1020" s="1">
        <v>5627.0</v>
      </c>
      <c r="B1020" s="1" t="s">
        <v>6</v>
      </c>
      <c r="C1020" s="1" t="s">
        <v>953</v>
      </c>
      <c r="D1020" s="1" t="str">
        <f>IFERROR(__xludf.DUMMYFUNCTION("CONCATENATE(GOOGLETRANSLATE(C1020, ""en"", ""zh-cn""))
"),"Tory Burch 女士 Miller 手镯手表套装")</f>
        <v>Tory Burch 女士 Miller 手镯手表套装</v>
      </c>
      <c r="E1020" s="1" t="str">
        <f>IFERROR(__xludf.DUMMYFUNCTION("CONCATENATE(GOOGLETRANSLATE(C1020, ""en"", ""ko""))"),"토리버치 여성용 밀러 뱅글 팔찌 시계 세트")</f>
        <v>토리버치 여성용 밀러 뱅글 팔찌 시계 세트</v>
      </c>
      <c r="F1020" s="1" t="str">
        <f>IFERROR(__xludf.DUMMYFUNCTION("CONCATENATE(GOOGLETRANSLATE(C1020, ""en"", ""ja""))"),"Tory Burch レディース ミラー バングル ブレスレット ウォッチ セット")</f>
        <v>Tory Burch レディース ミラー バングル ブレスレット ウォッチ セット</v>
      </c>
    </row>
    <row r="1021" ht="15.75" customHeight="1">
      <c r="A1021" s="1">
        <v>5669.0</v>
      </c>
      <c r="B1021" s="1" t="s">
        <v>6</v>
      </c>
      <c r="C1021" s="1" t="s">
        <v>615</v>
      </c>
      <c r="D1021" s="1" t="str">
        <f>IFERROR(__xludf.DUMMYFUNCTION("CONCATENATE(GOOGLETRANSLATE(C1021, ""en"", ""zh-cn""))
"),"Bukefuno GAN 12 Maglev 3x3 磁性魔方 GAN12Maglev Speed GAN 12Maglev 拼图魔方 GAN12 Maglev 3x3 魔方（磨砂表面无贴纸）")</f>
        <v>Bukefuno GAN 12 Maglev 3x3 磁性魔方 GAN12Maglev Speed GAN 12Maglev 拼图魔方 GAN12 Maglev 3x3 魔方（磨砂表面无贴纸）</v>
      </c>
      <c r="E1021" s="1" t="str">
        <f>IFERROR(__xludf.DUMMYFUNCTION("CONCATENATE(GOOGLETRANSLATE(C1021, ""en"", ""ko""))"),"Bukefuno GAN 12 자기 부상 3x3 자기 매직 큐브 GAN12Maglev 속도 GAN 12 자기 부상 퍼즐 매직 큐브 GAN12 자기 부상 3x3 큐브(반투명 표면 스티커 없음)")</f>
        <v>Bukefuno GAN 12 자기 부상 3x3 자기 매직 큐브 GAN12Maglev 속도 GAN 12 자기 부상 퍼즐 매직 큐브 GAN12 자기 부상 3x3 큐브(반투명 표면 스티커 없음)</v>
      </c>
      <c r="F1021" s="1" t="str">
        <f>IFERROR(__xludf.DUMMYFUNCTION("CONCATENATE(GOOGLETRANSLATE(C1021, ""en"", ""ja""))"),"Bukefuno GAN 12 Maglev 3x3 Magnetic Magic Cube GAN12Maglev Speed GAN 12Maglev Puzzle Magic Cubes GAN12 Maglev 3x3 Cube (つや消し表面ステッカーなし)")</f>
        <v>Bukefuno GAN 12 Maglev 3x3 Magnetic Magic Cube GAN12Maglev Speed GAN 12Maglev Puzzle Magic Cubes GAN12 Maglev 3x3 Cube (つや消し表面ステッカーなし)</v>
      </c>
    </row>
    <row r="1022" ht="15.75" customHeight="1">
      <c r="A1022" s="1">
        <v>5691.0</v>
      </c>
      <c r="B1022" s="1" t="s">
        <v>6</v>
      </c>
      <c r="C1022" s="1" t="s">
        <v>250</v>
      </c>
      <c r="D1022" s="1" t="str">
        <f>IFERROR(__xludf.DUMMYFUNCTION("CONCATENATE(GOOGLETRANSLATE(C1022, ""en"", ""zh-cn""))
"),"GAN 460 M， Gan 4x4 磁性速度魔方， gan 460 m 4 x 4 儿童和成人无贴纸拼图玩具")</f>
        <v>GAN 460 M， Gan 4x4 磁性速度魔方， gan 460 m 4 x 4 儿童和成人无贴纸拼图玩具</v>
      </c>
      <c r="E1022" s="1" t="str">
        <f>IFERROR(__xludf.DUMMYFUNCTION("CONCATENATE(GOOGLETRANSLATE(C1022, ""en"", ""ko""))"),"GAN 460 M, Gan 4x4 자기 속도 큐브, gan 460 m 4 by 4 어린이와 성인을 위한 스티커 없는 퍼즐 장난감")</f>
        <v>GAN 460 M, Gan 4x4 자기 속도 큐브, gan 460 m 4 by 4 어린이와 성인을 위한 스티커 없는 퍼즐 장난감</v>
      </c>
      <c r="F1022" s="1" t="str">
        <f>IFERROR(__xludf.DUMMYFUNCTION("CONCATENATE(GOOGLETRANSLATE(C1022, ""en"", ""ja""))"),"GAN 460 M、Gan 4x4 磁気スピードキューブ、GAN 460 m 4 by 4 ステッカーレスパズルおもちゃ子供と大人向け")</f>
        <v>GAN 460 M、Gan 4x4 磁気スピードキューブ、GAN 460 m 4 by 4 ステッカーレスパズルおもちゃ子供と大人向け</v>
      </c>
    </row>
    <row r="1023" ht="15.75" customHeight="1">
      <c r="A1023" s="1">
        <v>5702.0</v>
      </c>
      <c r="B1023" s="1" t="s">
        <v>6</v>
      </c>
      <c r="C1023" s="1" t="s">
        <v>615</v>
      </c>
      <c r="D1023" s="1" t="str">
        <f>IFERROR(__xludf.DUMMYFUNCTION("CONCATENATE(GOOGLETRANSLATE(C1023, ""en"", ""zh-cn""))
"),"Bukefuno GAN 12 Maglev 3x3 磁性魔方 GAN12Maglev Speed GAN 12Maglev 拼图魔方 GAN12 Maglev 3x3 魔方（磨砂表面无贴纸）")</f>
        <v>Bukefuno GAN 12 Maglev 3x3 磁性魔方 GAN12Maglev Speed GAN 12Maglev 拼图魔方 GAN12 Maglev 3x3 魔方（磨砂表面无贴纸）</v>
      </c>
      <c r="E1023" s="1" t="str">
        <f>IFERROR(__xludf.DUMMYFUNCTION("CONCATENATE(GOOGLETRANSLATE(C1023, ""en"", ""ko""))"),"Bukefuno GAN 12 자기 부상 3x3 자기 매직 큐브 GAN12Maglev 속도 GAN 12 자기 부상 퍼즐 매직 큐브 GAN12 자기 부상 3x3 큐브(반투명 표면 스티커 없음)")</f>
        <v>Bukefuno GAN 12 자기 부상 3x3 자기 매직 큐브 GAN12Maglev 속도 GAN 12 자기 부상 퍼즐 매직 큐브 GAN12 자기 부상 3x3 큐브(반투명 표면 스티커 없음)</v>
      </c>
      <c r="F1023" s="1" t="str">
        <f>IFERROR(__xludf.DUMMYFUNCTION("CONCATENATE(GOOGLETRANSLATE(C1023, ""en"", ""ja""))"),"Bukefuno GAN 12 Maglev 3x3 Magnetic Magic Cube GAN12Maglev Speed GAN 12Maglev Puzzle Magic Cubes GAN12 Maglev 3x3 Cube (つや消し表面ステッカーなし)")</f>
        <v>Bukefuno GAN 12 Maglev 3x3 Magnetic Magic Cube GAN12Maglev Speed GAN 12Maglev Puzzle Magic Cubes GAN12 Maglev 3x3 Cube (つや消し表面ステッカーなし)</v>
      </c>
    </row>
    <row r="1024" ht="15.75" customHeight="1">
      <c r="A1024" s="1">
        <v>5756.0</v>
      </c>
      <c r="B1024" s="1" t="s">
        <v>6</v>
      </c>
      <c r="C1024" s="1" t="s">
        <v>954</v>
      </c>
      <c r="D1024" s="1" t="str">
        <f>IFERROR(__xludf.DUMMYFUNCTION("CONCATENATE(GOOGLETRANSLATE(C1024, ""en"", ""zh-cn""))
"),"Jos. A. Bank 男式高大旅行者性能定制合身长袖衬衫")</f>
        <v>Jos. A. Bank 男式高大旅行者性能定制合身长袖衬衫</v>
      </c>
      <c r="E1024" s="1" t="str">
        <f>IFERROR(__xludf.DUMMYFUNCTION("CONCATENATE(GOOGLETRANSLATE(C1024, ""en"", ""ko""))"),"Jos. A. Bank 남성용 Big &amp; Tall 여행자 퍼포먼스 테일러드핏 긴소매 셔츠")</f>
        <v>Jos. A. Bank 남성용 Big &amp; Tall 여행자 퍼포먼스 테일러드핏 긴소매 셔츠</v>
      </c>
      <c r="F1024" s="1" t="str">
        <f>IFERROR(__xludf.DUMMYFUNCTION("CONCATENATE(GOOGLETRANSLATE(C1024, ""en"", ""ja""))"),"Jos. A. Bank メンズ ビッグ &amp; トール トラベラー パフォーマンス テーラード フィット 長袖シャツ")</f>
        <v>Jos. A. Bank メンズ ビッグ &amp; トール トラベラー パフォーマンス テーラード フィット 長袖シャツ</v>
      </c>
    </row>
    <row r="1025" ht="15.75" customHeight="1">
      <c r="A1025" s="1">
        <v>5762.0</v>
      </c>
      <c r="B1025" s="1" t="s">
        <v>6</v>
      </c>
      <c r="C1025" s="1" t="s">
        <v>955</v>
      </c>
      <c r="D1025" s="1" t="str">
        <f>IFERROR(__xludf.DUMMYFUNCTION("CONCATENATE(GOOGLETRANSLATE(C1025, ""en"", ""zh-cn""))
"),"ATG Wrangler 男士合成实用长裤")</f>
        <v>ATG Wrangler 男士合成实用长裤</v>
      </c>
      <c r="E1025" s="1" t="str">
        <f>IFERROR(__xludf.DUMMYFUNCTION("CONCATENATE(GOOGLETRANSLATE(C1025, ""en"", ""ko""))"),"ATG 랭글러 남성용 합성 유틸리티 팬츠")</f>
        <v>ATG 랭글러 남성용 합성 유틸리티 팬츠</v>
      </c>
      <c r="F1025" s="1" t="str">
        <f>IFERROR(__xludf.DUMMYFUNCTION("CONCATENATE(GOOGLETRANSLATE(C1025, ""en"", ""ja""))"),"ATG ラングラー メンズ 合成ユーティリティ パンツ")</f>
        <v>ATG ラングラー メンズ 合成ユーティリティ パンツ</v>
      </c>
    </row>
    <row r="1026" ht="15.75" customHeight="1">
      <c r="A1026" s="1">
        <v>5774.0</v>
      </c>
      <c r="B1026" s="1" t="s">
        <v>6</v>
      </c>
      <c r="C1026" s="1" t="s">
        <v>956</v>
      </c>
      <c r="D1026" s="1" t="str">
        <f>IFERROR(__xludf.DUMMYFUNCTION("CONCATENATE(GOOGLETRANSLATE(C1026, ""en"", ""zh-cn""))
"),"Tommy Hilfiger 男士绗缝羽绒夹克")</f>
        <v>Tommy Hilfiger 男士绗缝羽绒夹克</v>
      </c>
      <c r="E1026" s="1" t="str">
        <f>IFERROR(__xludf.DUMMYFUNCTION("CONCATENATE(GOOGLETRANSLATE(C1026, ""en"", ""ko""))"),"Tommy Hilfiger 남성 퀼팅 퍼퍼 재킷")</f>
        <v>Tommy Hilfiger 남성 퀼팅 퍼퍼 재킷</v>
      </c>
      <c r="F1026" s="1" t="str">
        <f>IFERROR(__xludf.DUMMYFUNCTION("CONCATENATE(GOOGLETRANSLATE(C1026, ""en"", ""ja""))"),"トミー ヒルフィガー メンズ キルティング パファー ジャケット")</f>
        <v>トミー ヒルフィガー メンズ キルティング パファー ジャケット</v>
      </c>
    </row>
    <row r="1027" ht="15.75" customHeight="1">
      <c r="A1027" s="1">
        <v>5780.0</v>
      </c>
      <c r="B1027" s="1" t="s">
        <v>6</v>
      </c>
      <c r="C1027" s="1" t="s">
        <v>957</v>
      </c>
      <c r="D1027" s="1" t="str">
        <f>IFERROR(__xludf.DUMMYFUNCTION("CONCATENATE(GOOGLETRANSLATE(C1027, ""en"", ""zh-cn""))
"),"Banana Republic 男士奢华圆领上衣")</f>
        <v>Banana Republic 男士奢华圆领上衣</v>
      </c>
      <c r="E1027" s="1" t="str">
        <f>IFERROR(__xludf.DUMMYFUNCTION("CONCATENATE(GOOGLETRANSLATE(C1027, ""en"", ""ko""))"),"바나나 리퍼블릭 남성 럭셔리-터치 크루")</f>
        <v>바나나 리퍼블릭 남성 럭셔리-터치 크루</v>
      </c>
      <c r="F1027" s="1" t="str">
        <f>IFERROR(__xludf.DUMMYFUNCTION("CONCATENATE(GOOGLETRANSLATE(C1027, ""en"", ""ja""))"),"Banana Republic メンズ ラグジュアリー タッチ クルー")</f>
        <v>Banana Republic メンズ ラグジュアリー タッチ クルー</v>
      </c>
    </row>
    <row r="1028" ht="15.75" customHeight="1">
      <c r="A1028" s="1">
        <v>5781.0</v>
      </c>
      <c r="B1028" s="1" t="s">
        <v>6</v>
      </c>
      <c r="C1028" s="1" t="s">
        <v>958</v>
      </c>
      <c r="D1028" s="1" t="str">
        <f>IFERROR(__xludf.DUMMYFUNCTION("CONCATENATE(GOOGLETRANSLATE(C1028, ""en"", ""zh-cn""))
"),"Azaro Uomo 男式修身几何纽扣衬衫")</f>
        <v>Azaro Uomo 男式修身几何纽扣衬衫</v>
      </c>
      <c r="E1028" s="1" t="str">
        <f>IFERROR(__xludf.DUMMYFUNCTION("CONCATENATE(GOOGLETRANSLATE(C1028, ""en"", ""ko""))"),"Azaro Uomo 남성 슬림핏 기하학 버튼 다운 셔츠")</f>
        <v>Azaro Uomo 남성 슬림핏 기하학 버튼 다운 셔츠</v>
      </c>
      <c r="F1028" s="1" t="str">
        <f>IFERROR(__xludf.DUMMYFUNCTION("CONCATENATE(GOOGLETRANSLATE(C1028, ""en"", ""ja""))"),"Azaro Uomo メンズ スリムフィット ジオメトリック ボタンダウン シャツ")</f>
        <v>Azaro Uomo メンズ スリムフィット ジオメトリック ボタンダウン シャツ</v>
      </c>
    </row>
    <row r="1029" ht="15.75" customHeight="1">
      <c r="A1029" s="1">
        <v>5791.0</v>
      </c>
      <c r="B1029" s="1" t="s">
        <v>6</v>
      </c>
      <c r="C1029" s="1" t="s">
        <v>959</v>
      </c>
      <c r="D1029" s="1" t="str">
        <f>IFERROR(__xludf.DUMMYFUNCTION("CONCATENATE(GOOGLETRANSLATE(C1029, ""en"", ""zh-cn""))
"),"Polo Ralph Lauren 男士奢华平纹针织四分之一拉链套头衫")</f>
        <v>Polo Ralph Lauren 男士奢华平纹针织四分之一拉链套头衫</v>
      </c>
      <c r="E1029" s="1" t="str">
        <f>IFERROR(__xludf.DUMMYFUNCTION("CONCATENATE(GOOGLETRANSLATE(C1029, ""en"", ""ko""))"),"폴로 랄프 로렌 남성 럭셔리 저지 쿼터 지퍼 풀오버")</f>
        <v>폴로 랄프 로렌 남성 럭셔리 저지 쿼터 지퍼 풀오버</v>
      </c>
      <c r="F1029" s="1" t="str">
        <f>IFERROR(__xludf.DUMMYFUNCTION("CONCATENATE(GOOGLETRANSLATE(C1029, ""en"", ""ja""))"),"ポロ ラルフローレン メンズ ラグジュアリー ジャージ クォータージップ プルオーバー")</f>
        <v>ポロ ラルフローレン メンズ ラグジュアリー ジャージ クォータージップ プルオーバー</v>
      </c>
    </row>
    <row r="1030" ht="15.75" customHeight="1">
      <c r="A1030" s="1">
        <v>5803.0</v>
      </c>
      <c r="B1030" s="1" t="s">
        <v>6</v>
      </c>
      <c r="C1030" s="1" t="s">
        <v>960</v>
      </c>
      <c r="D1030" s="1" t="str">
        <f>IFERROR(__xludf.DUMMYFUNCTION("CONCATENATE(GOOGLETRANSLATE(C1030, ""en"", ""zh-cn""))
"),"HYTE Y60 ATX 中塔机箱")</f>
        <v>HYTE Y60 ATX 中塔机箱</v>
      </c>
      <c r="E1030" s="1" t="str">
        <f>IFERROR(__xludf.DUMMYFUNCTION("CONCATENATE(GOOGLETRANSLATE(C1030, ""en"", ""ko""))"),"HYTE Y60 ATX 미드타워 케이스")</f>
        <v>HYTE Y60 ATX 미드타워 케이스</v>
      </c>
      <c r="F1030" s="1" t="str">
        <f>IFERROR(__xludf.DUMMYFUNCTION("CONCATENATE(GOOGLETRANSLATE(C1030, ""en"", ""ja""))"),"HYTE Y60 ATX ミッドタワーケース")</f>
        <v>HYTE Y60 ATX ミッドタワーケース</v>
      </c>
    </row>
    <row r="1031" ht="15.75" customHeight="1">
      <c r="A1031" s="1">
        <v>5807.0</v>
      </c>
      <c r="B1031" s="1" t="s">
        <v>6</v>
      </c>
      <c r="C1031" s="1" t="s">
        <v>961</v>
      </c>
      <c r="D1031" s="1" t="str">
        <f>IFERROR(__xludf.DUMMYFUNCTION("CONCATENATE(GOOGLETRANSLATE(C1031, ""en"", ""zh-cn""))
"),"Corsair 2500D Airflow 中塔式双室 PC 机箱")</f>
        <v>Corsair 2500D Airflow 中塔式双室 PC 机箱</v>
      </c>
      <c r="E1031" s="1" t="str">
        <f>IFERROR(__xludf.DUMMYFUNCTION("CONCATENATE(GOOGLETRANSLATE(C1031, ""en"", ""ko""))"),"Corsair 2500D Airflow 미드 타워 듀얼 챔버 PC 케이스")</f>
        <v>Corsair 2500D Airflow 미드 타워 듀얼 챔버 PC 케이스</v>
      </c>
      <c r="F1031" s="1" t="str">
        <f>IFERROR(__xludf.DUMMYFUNCTION("CONCATENATE(GOOGLETRANSLATE(C1031, ""en"", ""ja""))"),"Corsair 2500D エアフロー ミッドタワー デュアル チャンバー PC ケース")</f>
        <v>Corsair 2500D エアフロー ミッドタワー デュアル チャンバー PC ケース</v>
      </c>
    </row>
    <row r="1032" ht="15.75" customHeight="1">
      <c r="A1032" s="1">
        <v>5825.0</v>
      </c>
      <c r="B1032" s="1" t="s">
        <v>6</v>
      </c>
      <c r="C1032" s="1" t="s">
        <v>962</v>
      </c>
      <c r="D1032" s="1" t="str">
        <f>IFERROR(__xludf.DUMMYFUNCTION("CONCATENATE(GOOGLETRANSLATE(C1032, ""en"", ""zh-cn""))
"),"Fractal Design HDD 驱动器托盘套件 FD-A-TRAY-001")</f>
        <v>Fractal Design HDD 驱动器托盘套件 FD-A-TRAY-001</v>
      </c>
      <c r="E1032" s="1" t="str">
        <f>IFERROR(__xludf.DUMMYFUNCTION("CONCATENATE(GOOGLETRANSLATE(C1032, ""en"", ""ko""))"),"프랙탈 디자인 HDD 드라이브 트레이 키트 FD-A-TRAY-001")</f>
        <v>프랙탈 디자인 HDD 드라이브 트레이 키트 FD-A-TRAY-001</v>
      </c>
      <c r="F1032" s="1" t="str">
        <f>IFERROR(__xludf.DUMMYFUNCTION("CONCATENATE(GOOGLETRANSLATE(C1032, ""en"", ""ja""))"),"Fractal Design HDD ドライブ トレイ キット FD-A-TRAY-001")</f>
        <v>Fractal Design HDD ドライブ トレイ キット FD-A-TRAY-001</v>
      </c>
    </row>
    <row r="1033" ht="15.75" customHeight="1">
      <c r="A1033" s="1">
        <v>5880.0</v>
      </c>
      <c r="B1033" s="1" t="s">
        <v>6</v>
      </c>
      <c r="C1033" s="1" t="s">
        <v>963</v>
      </c>
      <c r="D1033" s="1" t="str">
        <f>IFERROR(__xludf.DUMMYFUNCTION("CONCATENATE(GOOGLETRANSLATE(C1033, ""en"", ""zh-cn""))
"),"学习之旅 跟我学 彩色趣味鱼缸")</f>
        <v>学习之旅 跟我学 彩色趣味鱼缸</v>
      </c>
      <c r="E1033" s="1" t="str">
        <f>IFERROR(__xludf.DUMMYFUNCTION("CONCATENATE(GOOGLETRANSLATE(C1033, ""en"", ""ko""))"),"배움의 여정 나와 함께 배워보세요 컬러풀한 재미있는 어항")</f>
        <v>배움의 여정 나와 함께 배워보세요 컬러풀한 재미있는 어항</v>
      </c>
      <c r="F1033" s="1" t="str">
        <f>IFERROR(__xludf.DUMMYFUNCTION("CONCATENATE(GOOGLETRANSLATE(C1033, ""en"", ""ja""))"),"学習の旅 一緒に学びましょう Color Fun Fish Bowl")</f>
        <v>学習の旅 一緒に学びましょう Color Fun Fish Bowl</v>
      </c>
    </row>
    <row r="1034" ht="15.75" customHeight="1">
      <c r="A1034" s="1">
        <v>5901.0</v>
      </c>
      <c r="B1034" s="1" t="s">
        <v>6</v>
      </c>
      <c r="C1034" s="1" t="s">
        <v>964</v>
      </c>
      <c r="D1034" s="1" t="str">
        <f>IFERROR(__xludf.DUMMYFUNCTION("CONCATENATE(GOOGLETRANSLATE(C1034, ""en"", ""zh-cn""))
"),"华克建筑玩具 109 件茎玩具")</f>
        <v>华克建筑玩具 109 件茎玩具</v>
      </c>
      <c r="E1034" s="1" t="str">
        <f>IFERROR(__xludf.DUMMYFUNCTION("CONCATENATE(GOOGLETRANSLATE(C1034, ""en"", ""ko""))"),"Huaker 빌딩 장난감 109 조각 줄기 장난감")</f>
        <v>Huaker 빌딩 장난감 109 조각 줄기 장난감</v>
      </c>
      <c r="F1034" s="1" t="str">
        <f>IFERROR(__xludf.DUMMYFUNCTION("CONCATENATE(GOOGLETRANSLATE(C1034, ""en"", ""ja""))"),"Huaker 組み立ておもちゃ 109 ピース ステムおもちゃ")</f>
        <v>Huaker 組み立ておもちゃ 109 ピース ステムおもちゃ</v>
      </c>
    </row>
    <row r="1035" ht="15.75" customHeight="1">
      <c r="A1035" s="1">
        <v>5905.0</v>
      </c>
      <c r="B1035" s="1" t="s">
        <v>6</v>
      </c>
      <c r="C1035" s="1" t="s">
        <v>965</v>
      </c>
      <c r="D1035" s="1" t="str">
        <f>IFERROR(__xludf.DUMMYFUNCTION("CONCATENATE(GOOGLETRANSLATE(C1035, ""en"", ""zh-cn""))
"),"伟易达魔星学习桌")</f>
        <v>伟易达魔星学习桌</v>
      </c>
      <c r="E1035" s="1" t="str">
        <f>IFERROR(__xludf.DUMMYFUNCTION("CONCATENATE(GOOGLETRANSLATE(C1035, ""en"", ""ko""))"),"VTech 매직 스타 학습 테이블")</f>
        <v>VTech 매직 스타 학습 테이블</v>
      </c>
      <c r="F1035" s="1" t="str">
        <f>IFERROR(__xludf.DUMMYFUNCTION("CONCATENATE(GOOGLETRANSLATE(C1035, ""en"", ""ja""))"),"VTech マジックスター学習テーブル")</f>
        <v>VTech マジックスター学習テーブル</v>
      </c>
    </row>
    <row r="1036" ht="15.75" customHeight="1">
      <c r="A1036" s="1">
        <v>5913.0</v>
      </c>
      <c r="B1036" s="1" t="s">
        <v>6</v>
      </c>
      <c r="C1036" s="1" t="s">
        <v>966</v>
      </c>
      <c r="D1036" s="1" t="str">
        <f>IFERROR(__xludf.DUMMYFUNCTION("CONCATENATE(GOOGLETRANSLATE(C1036, ""en"", ""zh-cn""))
"),"Franklin Sports 正品钢制足球门柱")</f>
        <v>Franklin Sports 正品钢制足球门柱</v>
      </c>
      <c r="E1036" s="1" t="str">
        <f>IFERROR(__xludf.DUMMYFUNCTION("CONCATENATE(GOOGLETRANSLATE(C1036, ""en"", ""ko""))"),"프랭클린 스포츠 정통 강철 축구 골대")</f>
        <v>프랭클린 스포츠 정통 강철 축구 골대</v>
      </c>
      <c r="F1036" s="1" t="str">
        <f>IFERROR(__xludf.DUMMYFUNCTION("CONCATENATE(GOOGLETRANSLATE(C1036, ""en"", ""ja""))"),"フランクリン スポーツ オーセンティック スチール フットボール ゴール ポスト")</f>
        <v>フランクリン スポーツ オーセンティック スチール フットボール ゴール ポスト</v>
      </c>
    </row>
    <row r="1037" ht="15.75" customHeight="1">
      <c r="A1037" s="1">
        <v>5918.0</v>
      </c>
      <c r="B1037" s="1" t="s">
        <v>6</v>
      </c>
      <c r="C1037" s="1" t="s">
        <v>967</v>
      </c>
      <c r="D1037" s="1" t="str">
        <f>IFERROR(__xludf.DUMMYFUNCTION("CONCATENATE(GOOGLETRANSLATE(C1037, ""en"", ""zh-cn""))
"),"户外运动帐篷")</f>
        <v>户外运动帐篷</v>
      </c>
      <c r="E1037" s="1" t="str">
        <f>IFERROR(__xludf.DUMMYFUNCTION("CONCATENATE(GOOGLETRANSLATE(C1037, ""en"", ""ko""))"),"야외 스포츠 텐트")</f>
        <v>야외 스포츠 텐트</v>
      </c>
      <c r="F1037" s="1" t="str">
        <f>IFERROR(__xludf.DUMMYFUNCTION("CONCATENATE(GOOGLETRANSLATE(C1037, ""en"", ""ja""))"),"アウトドアスポーツテント")</f>
        <v>アウトドアスポーツテント</v>
      </c>
    </row>
    <row r="1038" ht="15.75" customHeight="1">
      <c r="A1038" s="1">
        <v>5935.0</v>
      </c>
      <c r="B1038" s="1" t="s">
        <v>6</v>
      </c>
      <c r="C1038" s="1" t="s">
        <v>968</v>
      </c>
      <c r="D1038" s="1" t="str">
        <f>IFERROR(__xludf.DUMMYFUNCTION("CONCATENATE(GOOGLETRANSLATE(C1038, ""en"", ""zh-cn""))
"),"富兰克林体育 X-40 户外匹克球")</f>
        <v>富兰克林体育 X-40 户外匹克球</v>
      </c>
      <c r="E1038" s="1" t="str">
        <f>IFERROR(__xludf.DUMMYFUNCTION("CONCATENATE(GOOGLETRANSLATE(C1038, ""en"", ""ko""))"),"프랭클린 스포츠 X-40 야외 피클볼")</f>
        <v>프랭클린 스포츠 X-40 야외 피클볼</v>
      </c>
      <c r="F1038" s="1" t="str">
        <f>IFERROR(__xludf.DUMMYFUNCTION("CONCATENATE(GOOGLETRANSLATE(C1038, ""en"", ""ja""))"),"フランクリン スポーツ X-40 アウトドア ピックルボール")</f>
        <v>フランクリン スポーツ X-40 アウトドア ピックルボール</v>
      </c>
    </row>
    <row r="1039" ht="15.75" customHeight="1">
      <c r="A1039" s="1">
        <v>5937.0</v>
      </c>
      <c r="B1039" s="1" t="s">
        <v>6</v>
      </c>
      <c r="C1039" s="1" t="s">
        <v>969</v>
      </c>
      <c r="D1039" s="1" t="str">
        <f>IFERROR(__xludf.DUMMYFUNCTION("CONCATENATE(GOOGLETRANSLATE(C1039, ""en"", ""zh-cn""))
"),"URCUZER 运动帐篷")</f>
        <v>URCUZER 运动帐篷</v>
      </c>
      <c r="E1039" s="1" t="str">
        <f>IFERROR(__xludf.DUMMYFUNCTION("CONCATENATE(GOOGLETRANSLATE(C1039, ""en"", ""ko""))"),"URCUZER 스포츠 텐트")</f>
        <v>URCUZER 스포츠 텐트</v>
      </c>
      <c r="F1039" s="1" t="str">
        <f>IFERROR(__xludf.DUMMYFUNCTION("CONCATENATE(GOOGLETRANSLATE(C1039, ""en"", ""ja""))"),"URCUZER スポーツテント")</f>
        <v>URCUZER スポーツテント</v>
      </c>
    </row>
    <row r="1040" ht="15.75" customHeight="1">
      <c r="A1040" s="1">
        <v>5949.0</v>
      </c>
      <c r="B1040" s="1" t="s">
        <v>6</v>
      </c>
      <c r="C1040" s="1" t="s">
        <v>970</v>
      </c>
      <c r="D1040" s="1" t="str">
        <f>IFERROR(__xludf.DUMMYFUNCTION("CONCATENATE(GOOGLETRANSLATE(C1040, ""en"", ""zh-cn""))
"),"Easton Speed 美国青少年棒球棒")</f>
        <v>Easton Speed 美国青少年棒球棒</v>
      </c>
      <c r="E1040" s="1" t="str">
        <f>IFERROR(__xludf.DUMMYFUNCTION("CONCATENATE(GOOGLETRANSLATE(C1040, ""en"", ""ko""))"),"이스턴 스피드 USA 청소년 야구 배트")</f>
        <v>이스턴 스피드 USA 청소년 야구 배트</v>
      </c>
      <c r="F1040" s="1" t="str">
        <f>IFERROR(__xludf.DUMMYFUNCTION("CONCATENATE(GOOGLETRANSLATE(C1040, ""en"", ""ja""))"),"Easton Speed USA 少年野球バット")</f>
        <v>Easton Speed USA 少年野球バット</v>
      </c>
    </row>
    <row r="1041" ht="15.75" customHeight="1">
      <c r="A1041" s="1">
        <v>5953.0</v>
      </c>
      <c r="B1041" s="1" t="s">
        <v>6</v>
      </c>
      <c r="C1041" s="1" t="s">
        <v>971</v>
      </c>
      <c r="D1041" s="1" t="str">
        <f>IFERROR(__xludf.DUMMYFUNCTION("CONCATENATE(GOOGLETRANSLATE(C1041, ""en"", ""zh-cn""))
"),"Hey Harper 女士 DNA 防水珍珠手表")</f>
        <v>Hey Harper 女士 DNA 防水珍珠手表</v>
      </c>
      <c r="E1041" s="1" t="str">
        <f>IFERROR(__xludf.DUMMYFUNCTION("CONCATENATE(GOOGLETRANSLATE(C1041, ""en"", ""ko""))"),"Hey Harper 여성용 DNA 방수 진주 시계")</f>
        <v>Hey Harper 여성용 DNA 방수 진주 시계</v>
      </c>
      <c r="F1041" s="1" t="str">
        <f>IFERROR(__xludf.DUMMYFUNCTION("CONCATENATE(GOOGLETRANSLATE(C1041, ""en"", ""ja""))"),"Hey Harper レディース DNA 防水パール ウォッチ")</f>
        <v>Hey Harper レディース DNA 防水パール ウォッチ</v>
      </c>
    </row>
    <row r="1042" ht="15.75" customHeight="1">
      <c r="A1042" s="1">
        <v>5964.0</v>
      </c>
      <c r="B1042" s="1" t="s">
        <v>6</v>
      </c>
      <c r="C1042" s="1" t="s">
        <v>972</v>
      </c>
      <c r="D1042" s="1" t="str">
        <f>IFERROR(__xludf.DUMMYFUNCTION("CONCATENATE(GOOGLETRANSLATE(C1042, ""en"", ""zh-cn""))
"),"Fossil 女士戒指手表")</f>
        <v>Fossil 女士戒指手表</v>
      </c>
      <c r="E1042" s="1" t="str">
        <f>IFERROR(__xludf.DUMMYFUNCTION("CONCATENATE(GOOGLETRANSLATE(C1042, ""en"", ""ko""))"),"화석 여성용 반지 시계")</f>
        <v>화석 여성용 반지 시계</v>
      </c>
      <c r="F1042" s="1" t="str">
        <f>IFERROR(__xludf.DUMMYFUNCTION("CONCATENATE(GOOGLETRANSLATE(C1042, ""en"", ""ja""))"),"Fossil レディース リングウォッチ")</f>
        <v>Fossil レディース リングウォッチ</v>
      </c>
    </row>
    <row r="1043" ht="15.75" customHeight="1">
      <c r="A1043" s="1">
        <v>6000.0</v>
      </c>
      <c r="B1043" s="1" t="s">
        <v>6</v>
      </c>
      <c r="C1043" s="1" t="s">
        <v>973</v>
      </c>
      <c r="D1043" s="1" t="str">
        <f>IFERROR(__xludf.DUMMYFUNCTION("CONCATENATE(GOOGLETRANSLATE(C1043, ""en"", ""zh-cn""))
"),"Borivilla 手机带斜挎通用手机挂绳可调节肩带兼容大多数智能手机 Aztech")</f>
        <v>Borivilla 手机带斜挎通用手机挂绳可调节肩带兼容大多数智能手机 Aztech</v>
      </c>
      <c r="E1043" s="1" t="str">
        <f>IFERROR(__xludf.DUMMYFUNCTION("CONCATENATE(GOOGLETRANSLATE(C1043, ""en"", ""ko""))"),"Borivilla 휴대폰 스트랩 크로스바디 범용 전화 끈 대부분의 스마트폰과 호환되는 조절 가능한 스트랩 Aztech")</f>
        <v>Borivilla 휴대폰 스트랩 크로스바디 범용 전화 끈 대부분의 스마트폰과 호환되는 조절 가능한 스트랩 Aztech</v>
      </c>
      <c r="F1043" s="1" t="str">
        <f>IFERROR(__xludf.DUMMYFUNCTION("CONCATENATE(GOOGLETRANSLATE(C1043, ""en"", ""ja""))"),"Borivilla 携帯電話ストラップ クロスボディ ユニバーサル電話ストラップ 調節可能なストラップ ほとんどのスマートフォンに対応 Aztech")</f>
        <v>Borivilla 携帯電話ストラップ クロスボディ ユニバーサル電話ストラップ 調節可能なストラップ ほとんどのスマートフォンに対応 Aztech</v>
      </c>
    </row>
    <row r="1044" ht="15.75" customHeight="1">
      <c r="A1044" s="1">
        <v>6001.0</v>
      </c>
      <c r="B1044" s="1" t="s">
        <v>6</v>
      </c>
      <c r="C1044" s="1" t="s">
        <v>974</v>
      </c>
      <c r="D1044" s="1" t="str">
        <f>IFERROR(__xludf.DUMMYFUNCTION("CONCATENATE(GOOGLETRANSLATE(C1044, ""en"", ""zh-cn""))
"),"Hiearcool 防水手机袋")</f>
        <v>Hiearcool 防水手机袋</v>
      </c>
      <c r="E1044" s="1" t="str">
        <f>IFERROR(__xludf.DUMMYFUNCTION("CONCATENATE(GOOGLETRANSLATE(C1044, ""en"", ""ko""))"),"Hiearcool 방수 휴대폰 파우치")</f>
        <v>Hiearcool 방수 휴대폰 파우치</v>
      </c>
      <c r="F1044" s="1" t="str">
        <f>IFERROR(__xludf.DUMMYFUNCTION("CONCATENATE(GOOGLETRANSLATE(C1044, ""en"", ""ja""))"),"Hiearcool 防水電話ポーチ")</f>
        <v>Hiearcool 防水電話ポーチ</v>
      </c>
    </row>
    <row r="1045" ht="15.75" customHeight="1">
      <c r="A1045" s="1">
        <v>6037.0</v>
      </c>
      <c r="B1045" s="1" t="s">
        <v>6</v>
      </c>
      <c r="C1045" s="1" t="s">
        <v>975</v>
      </c>
      <c r="D1045" s="1" t="str">
        <f>IFERROR(__xludf.DUMMYFUNCTION("CONCATENATE(GOOGLETRANSLATE(C1045, ""en"", ""zh-cn""))
"),"冰箱 3.2 铜。英尺。带内置侧开瓶器的复古紧凑型冰箱")</f>
        <v>冰箱 3.2 铜。英尺。带内置侧开瓶器的复古紧凑型冰箱</v>
      </c>
      <c r="E1045" s="1" t="str">
        <f>IFERROR(__xludf.DUMMYFUNCTION("CONCATENATE(GOOGLETRANSLATE(C1045, ""en"", ""ko""))"),"냉장고 3.2 Cu. 포트. 측면 병따개 내장형 레트로 컴팩트 냉장고")</f>
        <v>냉장고 3.2 Cu. 포트. 측면 병따개 내장형 레트로 컴팩트 냉장고</v>
      </c>
      <c r="F1045" s="1" t="str">
        <f>IFERROR(__xludf.DUMMYFUNCTION("CONCATENATE(GOOGLETRANSLATE(C1045, ""en"", ""ja""))"),"フリジデア 3.2Cu。フォートサイド栓抜き内蔵レトロコンパクト冷蔵庫")</f>
        <v>フリジデア 3.2Cu。フォートサイド栓抜き内蔵レトロコンパクト冷蔵庫</v>
      </c>
    </row>
    <row r="1046" ht="15.75" customHeight="1">
      <c r="A1046" s="1">
        <v>6052.0</v>
      </c>
      <c r="B1046" s="1" t="s">
        <v>6</v>
      </c>
      <c r="C1046" s="1" t="s">
        <v>976</v>
      </c>
      <c r="D1046" s="1" t="str">
        <f>IFERROR(__xludf.DUMMYFUNCTION("CONCATENATE(GOOGLETRANSLATE(C1046, ""en"", ""zh-cn""))
"),"GE 前置式洗衣机 GFW550SSNWW")</f>
        <v>GE 前置式洗衣机 GFW550SSNWW</v>
      </c>
      <c r="E1046" s="1" t="str">
        <f>IFERROR(__xludf.DUMMYFUNCTION("CONCATENATE(GOOGLETRANSLATE(C1046, ""en"", ""ko""))"),"GE 전면 투입 세탁기 GFW550SSNWW")</f>
        <v>GE 전면 투입 세탁기 GFW550SSNWW</v>
      </c>
      <c r="F1046" s="1" t="str">
        <f>IFERROR(__xludf.DUMMYFUNCTION("CONCATENATE(GOOGLETRANSLATE(C1046, ""en"", ""ja""))"),"GE フロントロードワッシャー GFW550SSNWW")</f>
        <v>GE フロントロードワッシャー GFW550SSNWW</v>
      </c>
    </row>
    <row r="1047" ht="15.75" customHeight="1">
      <c r="A1047" s="1">
        <v>6076.0</v>
      </c>
      <c r="B1047" s="1" t="s">
        <v>6</v>
      </c>
      <c r="C1047" s="1" t="s">
        <v>977</v>
      </c>
      <c r="D1047" s="1" t="str">
        <f>IFERROR(__xludf.DUMMYFUNCTION("CONCATENATE(GOOGLETRANSLATE(C1047, ""en"", ""zh-cn""))
"),"香草杏仁洗发水")</f>
        <v>香草杏仁洗发水</v>
      </c>
      <c r="E1047" s="1" t="str">
        <f>IFERROR(__xludf.DUMMYFUNCTION("CONCATENATE(GOOGLETRANSLATE(C1047, ""en"", ""ko""))"),"바닐라 &amp; 아몬드 샴푸")</f>
        <v>바닐라 &amp; 아몬드 샴푸</v>
      </c>
      <c r="F1047" s="1" t="str">
        <f>IFERROR(__xludf.DUMMYFUNCTION("CONCATENATE(GOOGLETRANSLATE(C1047, ""en"", ""ja""))"),"バニラ＆アーモンド シャンプー")</f>
        <v>バニラ＆アーモンド シャンプー</v>
      </c>
    </row>
    <row r="1048" ht="15.75" customHeight="1">
      <c r="A1048" s="1">
        <v>6105.0</v>
      </c>
      <c r="B1048" s="1" t="s">
        <v>6</v>
      </c>
      <c r="C1048" s="1" t="s">
        <v>978</v>
      </c>
      <c r="D1048" s="1" t="str">
        <f>IFERROR(__xludf.DUMMYFUNCTION("CONCATENATE(GOOGLETRANSLATE(C1048, ""en"", ""zh-cn""))
"),"Daily Perfection 胶原蛋白洗发水和护发素套装，含生物素和角蛋白，无盐、无硫酸盐、不含对羟基苯甲酸酯配方，可滋养并补充额外成分")</f>
        <v>Daily Perfection 胶原蛋白洗发水和护发素套装，含生物素和角蛋白，无盐、无硫酸盐、不含对羟基苯甲酸酯配方，可滋养并补充额外成分</v>
      </c>
      <c r="E1048" s="1" t="str">
        <f>IFERROR(__xludf.DUMMYFUNCTION("CONCATENATE(GOOGLETRANSLATE(C1048, ""en"", ""ko""))"),"데일리 퍼펙션 콜라겐 샴푸 및 컨디셔너 세트, 비오틴과 케라틴, 무염, 무황산염, 무파라벤 포뮬러로 영양을 공급하고 추가 기능 제공")</f>
        <v>데일리 퍼펙션 콜라겐 샴푸 및 컨디셔너 세트, 비오틴과 케라틴, 무염, 무황산염, 무파라벤 포뮬러로 영양을 공급하고 추가 기능 제공</v>
      </c>
      <c r="F1048" s="1" t="str">
        <f>IFERROR(__xludf.DUMMYFUNCTION("CONCATENATE(GOOGLETRANSLATE(C1048, ""en"", ""ja""))"),"Daily Perfection コラーゲン シャンプーとコンディショナー セット、ビオチンとケラチン、塩分不使用、硫酸塩不使用、パラベン不使用のフォーミュラで栄養を補給し、追加します。")</f>
        <v>Daily Perfection コラーゲン シャンプーとコンディショナー セット、ビオチンとケラチン、塩分不使用、硫酸塩不使用、パラベン不使用のフォーミュラで栄養を補給し、追加します。</v>
      </c>
    </row>
    <row r="1049" ht="15.75" customHeight="1">
      <c r="A1049" s="1">
        <v>6135.0</v>
      </c>
      <c r="B1049" s="1" t="s">
        <v>6</v>
      </c>
      <c r="C1049" s="1" t="s">
        <v>979</v>
      </c>
      <c r="D1049" s="1" t="str">
        <f>IFERROR(__xludf.DUMMYFUNCTION("CONCATENATE(GOOGLETRANSLATE(C1049, ""en"", ""zh-cn""))
"),"Luseta 生物素和胶原蛋白护发素")</f>
        <v>Luseta 生物素和胶原蛋白护发素</v>
      </c>
      <c r="E1049" s="1" t="str">
        <f>IFERROR(__xludf.DUMMYFUNCTION("CONCATENATE(GOOGLETRANSLATE(C1049, ""en"", ""ko""))"),"루세타 비오틴 &amp; 콜라겐 컨디셔너")</f>
        <v>루세타 비오틴 &amp; 콜라겐 컨디셔너</v>
      </c>
      <c r="F1049" s="1" t="str">
        <f>IFERROR(__xludf.DUMMYFUNCTION("CONCATENATE(GOOGLETRANSLATE(C1049, ""en"", ""ja""))"),"ルセタ ビオチン &amp; コラーゲン コンディショナー")</f>
        <v>ルセタ ビオチン &amp; コラーゲン コンディショナー</v>
      </c>
    </row>
    <row r="1050" ht="15.75" customHeight="1">
      <c r="A1050" s="1">
        <v>6160.0</v>
      </c>
      <c r="B1050" s="1" t="s">
        <v>6</v>
      </c>
      <c r="C1050" s="1" t="s">
        <v>980</v>
      </c>
      <c r="D1050" s="1" t="str">
        <f>IFERROR(__xludf.DUMMYFUNCTION("CONCATENATE(GOOGLETRANSLATE(C1050, ""en"", ""zh-cn""))
"),"电子电路革命：畅游在线电子世界；电子书；作者 - SREEKUMAR V T")</f>
        <v>电子电路革命：畅游在线电子世界；电子书；作者 - SREEKUMAR V T</v>
      </c>
      <c r="E1050" s="1" t="str">
        <f>IFERROR(__xludf.DUMMYFUNCTION("CONCATENATE(GOOGLETRANSLATE(C1050, ""en"", ""ko""))"),"전자회로 혁명: 온라인 전자제품의 세계 탐색; 전자책; 저자 - SREEKUMAR VT")</f>
        <v>전자회로 혁명: 온라인 전자제품의 세계 탐색; 전자책; 저자 - SREEKUMAR VT</v>
      </c>
      <c r="F1050" s="1" t="str">
        <f>IFERROR(__xludf.DUMMYFUNCTION("CONCATENATE(GOOGLETRANSLATE(C1050, ""en"", ""ja""))"),"E-Circuit Revolution: オンラインエレクトロニクスの世界をナビゲートする;電子書籍;著者 - SREEKUMAR V T")</f>
        <v>E-Circuit Revolution: オンラインエレクトロニクスの世界をナビゲートする;電子書籍;著者 - SREEKUMAR V T</v>
      </c>
    </row>
    <row r="1051" ht="15.75" customHeight="1">
      <c r="A1051" s="1">
        <v>6167.0</v>
      </c>
      <c r="B1051" s="1" t="s">
        <v>6</v>
      </c>
      <c r="C1051" s="1" t="s">
        <v>981</v>
      </c>
      <c r="D1051" s="1" t="str">
        <f>IFERROR(__xludf.DUMMYFUNCTION("CONCATENATE(GOOGLETRANSLATE(C1051, ""en"", ""zh-cn""))
"),"吃富人：经济学论文[电子书]")</f>
        <v>吃富人：经济学论文[电子书]</v>
      </c>
      <c r="E1051" s="1" t="str">
        <f>IFERROR(__xludf.DUMMYFUNCTION("CONCATENATE(GOOGLETRANSLATE(C1051, ""en"", ""ko""))"),"부자를 먹어라: 경제학에 관한 논문 [eBook]")</f>
        <v>부자를 먹어라: 경제학에 관한 논문 [eBook]</v>
      </c>
      <c r="F1051" s="1" t="str">
        <f>IFERROR(__xludf.DUMMYFUNCTION("CONCATENATE(GOOGLETRANSLATE(C1051, ""en"", ""ja""))"),"金持ちを食べる: 経済学に関する論文 [電子書籍]")</f>
        <v>金持ちを食べる: 経済学に関する論文 [電子書籍]</v>
      </c>
    </row>
    <row r="1052" ht="15.75" customHeight="1">
      <c r="A1052" s="1">
        <v>6175.0</v>
      </c>
      <c r="B1052" s="1" t="s">
        <v>6</v>
      </c>
      <c r="C1052" s="1" t="s">
        <v>982</v>
      </c>
      <c r="D1052" s="1" t="str">
        <f>IFERROR(__xludf.DUMMYFUNCTION("CONCATENATE(GOOGLETRANSLATE(C1052, ""en"", ""zh-cn""))
"),"书店灰姑娘电子书")</f>
        <v>书店灰姑娘电子书</v>
      </c>
      <c r="E1052" s="1" t="str">
        <f>IFERROR(__xludf.DUMMYFUNCTION("CONCATENATE(GOOGLETRANSLATE(C1052, ""en"", ""ko""))"),"서점 신데렐라 전자책")</f>
        <v>서점 신데렐라 전자책</v>
      </c>
      <c r="F1052" s="1" t="str">
        <f>IFERROR(__xludf.DUMMYFUNCTION("CONCATENATE(GOOGLETRANSLATE(C1052, ""en"", ""ja""))"),"ブックショップシンデレラ電子書籍")</f>
        <v>ブックショップシンデレラ電子書籍</v>
      </c>
    </row>
    <row r="1053" ht="15.75" customHeight="1">
      <c r="A1053" s="1">
        <v>6194.0</v>
      </c>
      <c r="B1053" s="1" t="s">
        <v>6</v>
      </c>
      <c r="C1053" s="1" t="s">
        <v>983</v>
      </c>
      <c r="D1053" s="1" t="str">
        <f>IFERROR(__xludf.DUMMYFUNCTION("CONCATENATE(GOOGLETRANSLATE(C1053, ""en"", ""zh-cn""))
"),"让他们理论：数百万人无法停止谈论的改变生活的工具")</f>
        <v>让他们理论：数百万人无法停止谈论的改变生活的工具</v>
      </c>
      <c r="E1053" s="1" t="str">
        <f>IFERROR(__xludf.DUMMYFUNCTION("CONCATENATE(GOOGLETRANSLATE(C1053, ""en"", ""ko""))"),"Let Them 이론: 수백만 명의 사람들이 끊임없이 이야기하는 인생을 바꾸는 도구")</f>
        <v>Let Them 이론: 수백만 명의 사람들이 끊임없이 이야기하는 인생을 바꾸는 도구</v>
      </c>
      <c r="F1053" s="1" t="str">
        <f>IFERROR(__xludf.DUMMYFUNCTION("CONCATENATE(GOOGLETRANSLATE(C1053, ""en"", ""ja""))"),"レットゼム理論: 何百万人もの人々が話題にせずにはいられない人生を変えるツール")</f>
        <v>レットゼム理論: 何百万人もの人々が話題にせずにはいられない人生を変えるツール</v>
      </c>
    </row>
    <row r="1054" ht="15.75" customHeight="1">
      <c r="A1054" s="1">
        <v>6199.0</v>
      </c>
      <c r="B1054" s="1" t="s">
        <v>6</v>
      </c>
      <c r="C1054" s="1" t="s">
        <v>984</v>
      </c>
      <c r="D1054" s="1" t="str">
        <f>IFERROR(__xludf.DUMMYFUNCTION("CONCATENATE(GOOGLETRANSLATE(C1054, ""en"", ""zh-cn""))
"),"48条权力法则")</f>
        <v>48条权力法则</v>
      </c>
      <c r="E1054" s="1" t="str">
        <f>IFERROR(__xludf.DUMMYFUNCTION("CONCATENATE(GOOGLETRANSLATE(C1054, ""en"", ""ko""))"),"권력의 48가지 법칙")</f>
        <v>권력의 48가지 법칙</v>
      </c>
      <c r="F1054" s="1" t="str">
        <f>IFERROR(__xludf.DUMMYFUNCTION("CONCATENATE(GOOGLETRANSLATE(C1054, ""en"", ""ja""))"),"力に関する 48 の法則")</f>
        <v>力に関する 48 の法則</v>
      </c>
    </row>
    <row r="1055" ht="15.75" customHeight="1">
      <c r="A1055" s="1">
        <v>6202.0</v>
      </c>
      <c r="B1055" s="1" t="s">
        <v>6</v>
      </c>
      <c r="C1055" s="1" t="s">
        <v>985</v>
      </c>
      <c r="D1055" s="1" t="str">
        <f>IFERROR(__xludf.DUMMYFUNCTION("CONCATENATE(GOOGLETRANSLATE(C1055, ""en"", ""zh-cn""))
"),"电子书和平装书出版基础知识：行动指南")</f>
        <v>电子书和平装书出版基础知识：行动指南</v>
      </c>
      <c r="E1055" s="1" t="str">
        <f>IFERROR(__xludf.DUMMYFUNCTION("CONCATENATE(GOOGLETRANSLATE(C1055, ""en"", ""ko""))"),"전자책 및 페이퍼백 도서 출판의 기본: 실행 가이드")</f>
        <v>전자책 및 페이퍼백 도서 출판의 기본: 실행 가이드</v>
      </c>
      <c r="F1055" s="1" t="str">
        <f>IFERROR(__xludf.DUMMYFUNCTION("CONCATENATE(GOOGLETRANSLATE(C1055, ""en"", ""ja""))"),"電子書籍およびペーパーバック書籍出版の基礎: 行動ガイド")</f>
        <v>電子書籍およびペーパーバック書籍出版の基礎: 行動ガイド</v>
      </c>
    </row>
    <row r="1056" ht="15.75" customHeight="1">
      <c r="A1056" s="1">
        <v>6216.0</v>
      </c>
      <c r="B1056" s="1" t="s">
        <v>6</v>
      </c>
      <c r="C1056" s="1" t="s">
        <v>986</v>
      </c>
      <c r="D1056" s="1" t="str">
        <f>IFERROR(__xludf.DUMMYFUNCTION("CONCATENATE(GOOGLETRANSLATE(C1056, ""en"", ""zh-cn""))
"),"汤姆·莱克：一本小说")</f>
        <v>汤姆·莱克：一本小说</v>
      </c>
      <c r="E1056" s="1" t="str">
        <f>IFERROR(__xludf.DUMMYFUNCTION("CONCATENATE(GOOGLETRANSLATE(C1056, ""en"", ""ko""))"),"톰 레이크: 소설")</f>
        <v>톰 레이크: 소설</v>
      </c>
      <c r="F1056" s="1" t="str">
        <f>IFERROR(__xludf.DUMMYFUNCTION("CONCATENATE(GOOGLETRANSLATE(C1056, ""en"", ""ja""))"),"トム・レイク: 小説")</f>
        <v>トム・レイク: 小説</v>
      </c>
    </row>
    <row r="1057" ht="15.75" customHeight="1">
      <c r="A1057" s="1">
        <v>6218.0</v>
      </c>
      <c r="B1057" s="1" t="s">
        <v>6</v>
      </c>
      <c r="C1057" s="1" t="s">
        <v>987</v>
      </c>
      <c r="D1057" s="1" t="str">
        <f>IFERROR(__xludf.DUMMYFUNCTION("CONCATENATE(GOOGLETRANSLATE(C1057, ""en"", ""zh-cn""))
"),"Kobo Nia EPD 带 Carta 显示屏")</f>
        <v>Kobo Nia EPD 带 Carta 显示屏</v>
      </c>
      <c r="E1057" s="1" t="str">
        <f>IFERROR(__xludf.DUMMYFUNCTION("CONCATENATE(GOOGLETRANSLATE(C1057, ""en"", ""ko""))"),"Kobo Nia EPD(Carta 디스플레이 포함)")</f>
        <v>Kobo Nia EPD(Carta 디스플레이 포함)</v>
      </c>
      <c r="F1057" s="1" t="str">
        <f>IFERROR(__xludf.DUMMYFUNCTION("CONCATENATE(GOOGLETRANSLATE(C1057, ""en"", ""ja""))"),"カルタ表示付き Kobo Nia EPD")</f>
        <v>カルタ表示付き Kobo Nia EPD</v>
      </c>
    </row>
    <row r="1058" ht="15.75" customHeight="1">
      <c r="A1058" s="1">
        <v>6242.0</v>
      </c>
      <c r="B1058" s="1" t="s">
        <v>6</v>
      </c>
      <c r="C1058" s="1" t="s">
        <v>988</v>
      </c>
      <c r="D1058" s="1" t="str">
        <f>IFERROR(__xludf.DUMMYFUNCTION("CONCATENATE(GOOGLETRANSLATE(C1058, ""en"", ""zh-cn""))
"),"200 美元 Apple 礼品卡 - 价格从 15 美元到 200 美元不等")</f>
        <v>200 美元 Apple 礼品卡 - 价格从 15 美元到 200 美元不等</v>
      </c>
      <c r="E1058" s="1" t="str">
        <f>IFERROR(__xludf.DUMMYFUNCTION("CONCATENATE(GOOGLETRANSLATE(C1058, ""en"", ""ko""))"),"$200 Apple 기프트 카드 - $15부터 $200까지 이용 가능")</f>
        <v>$200 Apple 기프트 카드 - $15부터 $200까지 이용 가능</v>
      </c>
      <c r="F1058" s="1" t="str">
        <f>IFERROR(__xludf.DUMMYFUNCTION("CONCATENATE(GOOGLETRANSLATE(C1058, ""en"", ""ja""))"),"$200 Apple Gift Card - $15 から $200 までご利用いただけます")</f>
        <v>$200 Apple Gift Card - $15 から $200 までご利用いただけます</v>
      </c>
    </row>
    <row r="1059" ht="15.75" customHeight="1">
      <c r="A1059" s="1">
        <v>6265.0</v>
      </c>
      <c r="B1059" s="1" t="s">
        <v>6</v>
      </c>
      <c r="C1059" s="1" t="s">
        <v>989</v>
      </c>
      <c r="D1059" s="1" t="str">
        <f>IFERROR(__xludf.DUMMYFUNCTION("CONCATENATE(GOOGLETRANSLATE(C1059, ""en"", ""zh-cn""))
"),"250 美元苹果礼品卡")</f>
        <v>250 美元苹果礼品卡</v>
      </c>
      <c r="E1059" s="1" t="str">
        <f>IFERROR(__xludf.DUMMYFUNCTION("CONCATENATE(GOOGLETRANSLATE(C1059, ""en"", ""ko""))"),"$250 애플 기프트 카드")</f>
        <v>$250 애플 기프트 카드</v>
      </c>
      <c r="F1059" s="1" t="str">
        <f>IFERROR(__xludf.DUMMYFUNCTION("CONCATENATE(GOOGLETRANSLATE(C1059, ""en"", ""ja""))"),"250ドルのアップルギフトカード")</f>
        <v>250ドルのアップルギフトカード</v>
      </c>
    </row>
    <row r="1060" ht="15.75" customHeight="1">
      <c r="A1060" s="1">
        <v>6275.0</v>
      </c>
      <c r="B1060" s="1" t="s">
        <v>6</v>
      </c>
      <c r="C1060" s="1" t="s">
        <v>990</v>
      </c>
      <c r="D1060" s="1" t="str">
        <f>IFERROR(__xludf.DUMMYFUNCTION("CONCATENATE(GOOGLETRANSLATE(C1060, ""en"", ""zh-cn""))
"),"PlayStation 商店礼品卡")</f>
        <v>PlayStation 商店礼品卡</v>
      </c>
      <c r="E1060" s="1" t="str">
        <f>IFERROR(__xludf.DUMMYFUNCTION("CONCATENATE(GOOGLETRANSLATE(C1060, ""en"", ""ko""))"),"PlayStation Store 기프트 카드")</f>
        <v>PlayStation Store 기프트 카드</v>
      </c>
      <c r="F1060" s="1" t="str">
        <f>IFERROR(__xludf.DUMMYFUNCTION("CONCATENATE(GOOGLETRANSLATE(C1060, ""en"", ""ja""))"),"PlayStation Store ギフトカード")</f>
        <v>PlayStation Store ギフトカード</v>
      </c>
    </row>
    <row r="1061" ht="15.75" customHeight="1">
      <c r="A1061" s="1">
        <v>6296.0</v>
      </c>
      <c r="B1061" s="1" t="s">
        <v>6</v>
      </c>
      <c r="C1061" s="1" t="s">
        <v>991</v>
      </c>
      <c r="D1061" s="1" t="str">
        <f>IFERROR(__xludf.DUMMYFUNCTION("CONCATENATE(GOOGLETRANSLATE(C1061, ""en"", ""zh-cn""))
"),"最终幻想 VII 重制版数字豪华版 PS4 帐户")</f>
        <v>最终幻想 VII 重制版数字豪华版 PS4 帐户</v>
      </c>
      <c r="E1061" s="1" t="str">
        <f>IFERROR(__xludf.DUMMYFUNCTION("CONCATENATE(GOOGLETRANSLATE(C1061, ""en"", ""ko""))"),"Final Fantasy VII 리메이크 디지털 디럭스 에디션 PS4 계정")</f>
        <v>Final Fantasy VII 리메이크 디지털 디럭스 에디션 PS4 계정</v>
      </c>
      <c r="F1061" s="1" t="str">
        <f>IFERROR(__xludf.DUMMYFUNCTION("CONCATENATE(GOOGLETRANSLATE(C1061, ""en"", ""ja""))"),"ファイナルファンタジー VII リメイク デジタルデラックス エディション PS4 アカウント")</f>
        <v>ファイナルファンタジー VII リメイク デジタルデラックス エディション PS4 アカウント</v>
      </c>
    </row>
    <row r="1062" ht="15.75" customHeight="1">
      <c r="A1062" s="1">
        <v>6315.0</v>
      </c>
      <c r="B1062" s="1" t="s">
        <v>6</v>
      </c>
      <c r="C1062" s="1" t="s">
        <v>992</v>
      </c>
      <c r="D1062" s="1" t="str">
        <f>IFERROR(__xludf.DUMMYFUNCTION("CONCATENATE(GOOGLETRANSLATE(C1062, ""en"", ""zh-cn""))
"),"任天堂 Switch 在线月会员卡")</f>
        <v>任天堂 Switch 在线月会员卡</v>
      </c>
      <c r="E1062" s="1" t="str">
        <f>IFERROR(__xludf.DUMMYFUNCTION("CONCATENATE(GOOGLETRANSLATE(C1062, ""en"", ""ko""))"),"Nintendo Switch 온라인 월간 멤버십 카드")</f>
        <v>Nintendo Switch 온라인 월간 멤버십 카드</v>
      </c>
      <c r="F1062" s="1" t="str">
        <f>IFERROR(__xludf.DUMMYFUNCTION("CONCATENATE(GOOGLETRANSLATE(C1062, ""en"", ""ja""))"),"Nintendo Switch Online 月間会員カード")</f>
        <v>Nintendo Switch Online 月間会員カード</v>
      </c>
    </row>
    <row r="1063" ht="15.75" customHeight="1">
      <c r="A1063" s="1">
        <v>6324.0</v>
      </c>
      <c r="B1063" s="1" t="s">
        <v>6</v>
      </c>
      <c r="C1063" s="1" t="s">
        <v>993</v>
      </c>
      <c r="D1063" s="1" t="str">
        <f>IFERROR(__xludf.DUMMYFUNCTION("CONCATENATE(GOOGLETRANSLATE(C1063, ""en"", ""zh-cn""))
"),"任天堂 eShop 卡 10$ (NINTENDO ESHOP) - 即时下载")</f>
        <v>任天堂 eShop 卡 10$ (NINTENDO ESHOP) - 即时下载</v>
      </c>
      <c r="E1063" s="1" t="str">
        <f>IFERROR(__xludf.DUMMYFUNCTION("CONCATENATE(GOOGLETRANSLATE(C1063, ""en"", ""ko""))"),"Nintendo eShop 카드 10$ (NINTENDO ESHOP) - 즉시 다운로드")</f>
        <v>Nintendo eShop 카드 10$ (NINTENDO ESHOP) - 즉시 다운로드</v>
      </c>
      <c r="F1063" s="1" t="str">
        <f>IFERROR(__xludf.DUMMYFUNCTION("CONCATENATE(GOOGLETRANSLATE(C1063, ""en"", ""ja""))"),"ニンテンドー eショップ カード 10$ (NINTENDO ESHOP) - インスタントダウンロード")</f>
        <v>ニンテンドー eショップ カード 10$ (NINTENDO ESHOP) - インスタントダウンロード</v>
      </c>
    </row>
    <row r="1064" ht="15.75" customHeight="1">
      <c r="A1064" s="1">
        <v>6326.0</v>
      </c>
      <c r="B1064" s="1" t="s">
        <v>6</v>
      </c>
      <c r="C1064" s="1" t="s">
        <v>994</v>
      </c>
      <c r="D1064" s="1" t="str">
        <f>IFERROR(__xludf.DUMMYFUNCTION("CONCATENATE(GOOGLETRANSLATE(C1064, ""en"", ""zh-cn""))
"),"任天堂小猫大城市")</f>
        <v>任天堂小猫大城市</v>
      </c>
      <c r="E1064" s="1" t="str">
        <f>IFERROR(__xludf.DUMMYFUNCTION("CONCATENATE(GOOGLETRANSLATE(C1064, ""en"", ""ko""))"),"닌텐도 리틀 키티 빅 시티")</f>
        <v>닌텐도 리틀 키티 빅 시티</v>
      </c>
      <c r="F1064" s="1" t="str">
        <f>IFERROR(__xludf.DUMMYFUNCTION("CONCATENATE(GOOGLETRANSLATE(C1064, ""en"", ""ja""))"),"任天堂 リトルキティ ビッグシティ")</f>
        <v>任天堂 リトルキティ ビッグシティ</v>
      </c>
    </row>
    <row r="1065" ht="15.75" customHeight="1">
      <c r="A1065" s="1">
        <v>6336.0</v>
      </c>
      <c r="B1065" s="1" t="s">
        <v>6</v>
      </c>
      <c r="C1065" s="1" t="s">
        <v>995</v>
      </c>
      <c r="D1065" s="1" t="str">
        <f>IFERROR(__xludf.DUMMYFUNCTION("CONCATENATE(GOOGLETRANSLATE(C1065, ""en"", ""zh-cn""))
"),"任天堂 Switch 体育")</f>
        <v>任天堂 Switch 体育</v>
      </c>
      <c r="E1065" s="1" t="str">
        <f>IFERROR(__xludf.DUMMYFUNCTION("CONCATENATE(GOOGLETRANSLATE(C1065, ""en"", ""ko""))"),"닌텐도 스위치 스포츠")</f>
        <v>닌텐도 스위치 스포츠</v>
      </c>
      <c r="F1065" s="1" t="str">
        <f>IFERROR(__xludf.DUMMYFUNCTION("CONCATENATE(GOOGLETRANSLATE(C1065, ""en"", ""ja""))"),"ニンテンドースイッチスポーツ")</f>
        <v>ニンテンドースイッチスポーツ</v>
      </c>
    </row>
    <row r="1066" ht="15.75" customHeight="1">
      <c r="A1066" s="1">
        <v>6359.0</v>
      </c>
      <c r="B1066" s="1" t="s">
        <v>6</v>
      </c>
      <c r="C1066" s="1" t="s">
        <v>996</v>
      </c>
      <c r="D1066" s="1" t="str">
        <f>IFERROR(__xludf.DUMMYFUNCTION("CONCATENATE(GOOGLETRANSLATE(C1066, ""en"", ""zh-cn""))
"),"男式 adidas Trefoil Essentials 裤子")</f>
        <v>男式 adidas Trefoil Essentials 裤子</v>
      </c>
      <c r="E1066" s="1" t="str">
        <f>IFERROR(__xludf.DUMMYFUNCTION("CONCATENATE(GOOGLETRANSLATE(C1066, ""en"", ""ko""))"),"남성용 아디다스 트레포일 에센셜 팬츠")</f>
        <v>남성용 아디다스 트레포일 에센셜 팬츠</v>
      </c>
      <c r="F1066" s="1" t="str">
        <f>IFERROR(__xludf.DUMMYFUNCTION("CONCATENATE(GOOGLETRANSLATE(C1066, ""en"", ""ja""))"),"メンズ アディダス トレフォイル エッセンシャル パンツ")</f>
        <v>メンズ アディダス トレフォイル エッセンシャル パンツ</v>
      </c>
    </row>
    <row r="1067" ht="15.75" customHeight="1">
      <c r="A1067" s="1">
        <v>6375.0</v>
      </c>
      <c r="B1067" s="1" t="s">
        <v>6</v>
      </c>
      <c r="C1067" s="1" t="s">
        <v>997</v>
      </c>
      <c r="D1067" s="1" t="str">
        <f>IFERROR(__xludf.DUMMYFUNCTION("CONCATENATE(GOOGLETRANSLATE(C1067, ""en"", ""zh-cn""))
"),"阿迪达斯 (adidas) 男士 Lite Racer Adapt 7.0 鞋")</f>
        <v>阿迪达斯 (adidas) 男士 Lite Racer Adapt 7.0 鞋</v>
      </c>
      <c r="E1067" s="1" t="str">
        <f>IFERROR(__xludf.DUMMYFUNCTION("CONCATENATE(GOOGLETRANSLATE(C1067, ""en"", ""ko""))"),"아디다스 남성 라이트 레이서 어댑트 7.0 신발")</f>
        <v>아디다스 남성 라이트 레이서 어댑트 7.0 신발</v>
      </c>
      <c r="F1067" s="1" t="str">
        <f>IFERROR(__xludf.DUMMYFUNCTION("CONCATENATE(GOOGLETRANSLATE(C1067, ""en"", ""ja""))"),"アディダス メンズ ライト レーサー アダプト 7.0 シューズ")</f>
        <v>アディダス メンズ ライト レーサー アダプト 7.0 シューズ</v>
      </c>
    </row>
    <row r="1068" ht="15.75" customHeight="1">
      <c r="A1068" s="1">
        <v>6387.0</v>
      </c>
      <c r="B1068" s="1" t="s">
        <v>6</v>
      </c>
      <c r="C1068" s="1" t="s">
        <v>998</v>
      </c>
      <c r="D1068" s="1" t="str">
        <f>IFERROR(__xludf.DUMMYFUNCTION("CONCATENATE(GOOGLETRANSLATE(C1068, ""en"", ""zh-cn""))
"),"adidas Barreda Decode 男鞋白色")</f>
        <v>adidas Barreda Decode 男鞋白色</v>
      </c>
      <c r="E1068" s="1" t="str">
        <f>IFERROR(__xludf.DUMMYFUNCTION("CONCATENATE(GOOGLETRANSLATE(C1068, ""en"", ""ko""))"),"아디다스 바레다 디코드 남성 신발 화이트")</f>
        <v>아디다스 바레다 디코드 남성 신발 화이트</v>
      </c>
      <c r="F1068" s="1" t="str">
        <f>IFERROR(__xludf.DUMMYFUNCTION("CONCATENATE(GOOGLETRANSLATE(C1068, ""en"", ""ja""))"),"アディダス バレダ デコード メンズ シューズ ホワイト")</f>
        <v>アディダス バレダ デコード メンズ シューズ ホワイト</v>
      </c>
    </row>
    <row r="1069" ht="15.75" customHeight="1">
      <c r="A1069" s="1">
        <v>6406.0</v>
      </c>
      <c r="B1069" s="1" t="s">
        <v>6</v>
      </c>
      <c r="C1069" s="1" t="s">
        <v>999</v>
      </c>
      <c r="D1069" s="1" t="str">
        <f>IFERROR(__xludf.DUMMYFUNCTION("CONCATENATE(GOOGLETRANSLATE(C1069, ""en"", ""zh-cn""))
"),"ASICS 男士 ACTIBREEZE 梭织短裤")</f>
        <v>ASICS 男士 ACTIBREEZE 梭织短裤</v>
      </c>
      <c r="E1069" s="1" t="str">
        <f>IFERROR(__xludf.DUMMYFUNCTION("CONCATENATE(GOOGLETRANSLATE(C1069, ""en"", ""ko""))"),"ASICS 남성 ACTIBREEZE 우븐 반바지")</f>
        <v>ASICS 남성 ACTIBREEZE 우븐 반바지</v>
      </c>
      <c r="F1069" s="1" t="str">
        <f>IFERROR(__xludf.DUMMYFUNCTION("CONCATENATE(GOOGLETRANSLATE(C1069, ""en"", ""ja""))"),"アシックス メンズ ACTIBREEZE ウーブンショーツ")</f>
        <v>アシックス メンズ ACTIBREEZE ウーブンショーツ</v>
      </c>
    </row>
    <row r="1070" ht="15.75" customHeight="1">
      <c r="A1070" s="1">
        <v>6409.0</v>
      </c>
      <c r="B1070" s="1" t="s">
        <v>6</v>
      </c>
      <c r="C1070" s="1" t="s">
        <v>1000</v>
      </c>
      <c r="D1070" s="1" t="str">
        <f>IFERROR(__xludf.DUMMYFUNCTION("CONCATENATE(GOOGLETRANSLATE(C1070, ""en"", ""zh-cn""))
"),"ASICS 男士 ACTIBREEZE 透气针织短裤")</f>
        <v>ASICS 男士 ACTIBREEZE 透气针织短裤</v>
      </c>
      <c r="E1070" s="1" t="str">
        <f>IFERROR(__xludf.DUMMYFUNCTION("CONCATENATE(GOOGLETRANSLATE(C1070, ""en"", ""ko""))"),"ASICS 남성 ACTIBREEZE 벤티드 니트 반바지")</f>
        <v>ASICS 남성 ACTIBREEZE 벤티드 니트 반바지</v>
      </c>
      <c r="F1070" s="1" t="str">
        <f>IFERROR(__xludf.DUMMYFUNCTION("CONCATENATE(GOOGLETRANSLATE(C1070, ""en"", ""ja""))"),"アシックス(ASICS) ACTIBREEZE ベンテッドニットショーツ メンズ")</f>
        <v>アシックス(ASICS) ACTIBREEZE ベンテッドニットショーツ メンズ</v>
      </c>
    </row>
    <row r="1071" ht="15.75" customHeight="1">
      <c r="A1071" s="1">
        <v>6426.0</v>
      </c>
      <c r="B1071" s="1" t="s">
        <v>6</v>
      </c>
      <c r="C1071" s="1" t="s">
        <v>1001</v>
      </c>
      <c r="D1071" s="1" t="str">
        <f>IFERROR(__xludf.DUMMYFUNCTION("CONCATENATE(GOOGLETRANSLATE(C1071, ""en"", ""zh-cn""))
"),"ASICS 男士 ACTIBREEZE 提花短袖上衣")</f>
        <v>ASICS 男士 ACTIBREEZE 提花短袖上衣</v>
      </c>
      <c r="E1071" s="1" t="str">
        <f>IFERROR(__xludf.DUMMYFUNCTION("CONCATENATE(GOOGLETRANSLATE(C1071, ""en"", ""ko""))"),"ASICS 남성 ACTIBREEZE 자카드 반팔 탑")</f>
        <v>ASICS 남성 ACTIBREEZE 자카드 반팔 탑</v>
      </c>
      <c r="F1071" s="1" t="str">
        <f>IFERROR(__xludf.DUMMYFUNCTION("CONCATENATE(GOOGLETRANSLATE(C1071, ""en"", ""ja""))"),"[アシックス] ACTIBREEZE ジャカード半袖トップ メンズ")</f>
        <v>[アシックス] ACTIBREEZE ジャカード半袖トップ メンズ</v>
      </c>
    </row>
    <row r="1072" ht="15.75" customHeight="1">
      <c r="A1072" s="1">
        <v>6448.0</v>
      </c>
      <c r="B1072" s="1" t="s">
        <v>6</v>
      </c>
      <c r="C1072" s="1" t="s">
        <v>1002</v>
      </c>
      <c r="D1072" s="1" t="str">
        <f>IFERROR(__xludf.DUMMYFUNCTION("CONCATENATE(GOOGLETRANSLATE(C1072, ""en"", ""zh-cn""))
"),"Gymshark 运动无缝打底裤")</f>
        <v>Gymshark 运动无缝打底裤</v>
      </c>
      <c r="E1072" s="1" t="str">
        <f>IFERROR(__xludf.DUMMYFUNCTION("CONCATENATE(GOOGLETRANSLATE(C1072, ""en"", ""ko""))"),"Gymshark 스포츠 심리스 레깅스")</f>
        <v>Gymshark 스포츠 심리스 레깅스</v>
      </c>
      <c r="F1072" s="1" t="str">
        <f>IFERROR(__xludf.DUMMYFUNCTION("CONCATENATE(GOOGLETRANSLATE(C1072, ""en"", ""ja""))"),"Gymshark スポーツ シームレス レギンス")</f>
        <v>Gymshark スポーツ シームレス レギンス</v>
      </c>
    </row>
    <row r="1073" ht="15.75" customHeight="1">
      <c r="A1073" s="1">
        <v>6462.0</v>
      </c>
      <c r="B1073" s="1" t="s">
        <v>6</v>
      </c>
      <c r="C1073" s="1" t="s">
        <v>1003</v>
      </c>
      <c r="D1073" s="1" t="str">
        <f>IFERROR(__xludf.DUMMYFUNCTION("CONCATENATE(GOOGLETRANSLATE(C1073, ""en"", ""zh-cn""))
"),"Gymshark Everyday 无缝拉链运动上衣")</f>
        <v>Gymshark Everyday 无缝拉链运动上衣</v>
      </c>
      <c r="E1073" s="1" t="str">
        <f>IFERROR(__xludf.DUMMYFUNCTION("CONCATENATE(GOOGLETRANSLATE(C1073, ""en"", ""ko""))"),"Gymshark Everyday Seamless Zip 트랙탑")</f>
        <v>Gymshark Everyday Seamless Zip 트랙탑</v>
      </c>
      <c r="F1073" s="1" t="str">
        <f>IFERROR(__xludf.DUMMYFUNCTION("CONCATENATE(GOOGLETRANSLATE(C1073, ""en"", ""ja""))"),"Gymshark Everyday シームレス ジップ トラックトップ")</f>
        <v>Gymshark Everyday シームレス ジップ トラックトップ</v>
      </c>
    </row>
    <row r="1074" ht="15.75" customHeight="1">
      <c r="A1074" s="1">
        <v>6478.0</v>
      </c>
      <c r="B1074" s="1" t="s">
        <v>6</v>
      </c>
      <c r="C1074" s="1" t="s">
        <v>1004</v>
      </c>
      <c r="D1074" s="1" t="str">
        <f>IFERROR(__xludf.DUMMYFUNCTION("CONCATENATE(GOOGLETRANSLATE(C1074, ""en"", ""zh-cn""))
"),"Lululemon 女式 Align 高腰打底裤")</f>
        <v>Lululemon 女式 Align 高腰打底裤</v>
      </c>
      <c r="E1074" s="1" t="str">
        <f>IFERROR(__xludf.DUMMYFUNCTION("CONCATENATE(GOOGLETRANSLATE(C1074, ""en"", ""ko""))"),"Lululemon 여성용 얼라인 하이웨이스트 레깅스")</f>
        <v>Lululemon 여성용 얼라인 하이웨이스트 레깅스</v>
      </c>
      <c r="F1074" s="1" t="str">
        <f>IFERROR(__xludf.DUMMYFUNCTION("CONCATENATE(GOOGLETRANSLATE(C1074, ""en"", ""ja""))"),"ルルレモン アライン ハイウエスト レギンス レディース")</f>
        <v>ルルレモン アライン ハイウエスト レギンス レディース</v>
      </c>
    </row>
    <row r="1075" ht="15.75" customHeight="1">
      <c r="A1075" s="1">
        <v>6480.0</v>
      </c>
      <c r="B1075" s="1" t="s">
        <v>6</v>
      </c>
      <c r="C1075" s="1" t="s">
        <v>1005</v>
      </c>
      <c r="D1075" s="1" t="str">
        <f>IFERROR(__xludf.DUMMYFUNCTION("CONCATENATE(GOOGLETRANSLATE(C1075, ""en"", ""zh-cn""))
"),"lululemon 女式潜水大廓形半拉链连帽衫")</f>
        <v>lululemon 女式潜水大廓形半拉链连帽衫</v>
      </c>
      <c r="E1075" s="1" t="str">
        <f>IFERROR(__xludf.DUMMYFUNCTION("CONCATENATE(GOOGLETRANSLATE(C1075, ""en"", ""ko""))"),"lululemon 여성용 스쿠버 오버사이즈 하프 지퍼 후디")</f>
        <v>lululemon 여성용 스쿠버 오버사이즈 하프 지퍼 후디</v>
      </c>
      <c r="F1075" s="1" t="str">
        <f>IFERROR(__xludf.DUMMYFUNCTION("CONCATENATE(GOOGLETRANSLATE(C1075, ""en"", ""ja""))"),"[ルルレモン] スキューバ オーバーサイズ ハーフジップ パーカー レディース")</f>
        <v>[ルルレモン] スキューバ オーバーサイズ ハーフジップ パーカー レディース</v>
      </c>
    </row>
    <row r="1076" ht="15.75" customHeight="1">
      <c r="A1076" s="1">
        <v>6500.0</v>
      </c>
      <c r="B1076" s="1" t="s">
        <v>6</v>
      </c>
      <c r="C1076" s="1" t="s">
        <v>1006</v>
      </c>
      <c r="D1076" s="1" t="str">
        <f>IFERROR(__xludf.DUMMYFUNCTION("CONCATENATE(GOOGLETRANSLATE(C1076, ""en"", ""zh-cn""))
"),"lululemon 男士 City Sweat Jogger 常规款")</f>
        <v>lululemon 男士 City Sweat Jogger 常规款</v>
      </c>
      <c r="E1076" s="1" t="str">
        <f>IFERROR(__xludf.DUMMYFUNCTION("CONCATENATE(GOOGLETRANSLATE(C1076, ""en"", ""ko""))"),"lululemon 남성 시티 스웨트 조거 레귤러")</f>
        <v>lululemon 남성 시티 스웨트 조거 레귤러</v>
      </c>
      <c r="F1076" s="1" t="str">
        <f>IFERROR(__xludf.DUMMYFUNCTION("CONCATENATE(GOOGLETRANSLATE(C1076, ""en"", ""ja""))"),"ルルレモン メンズ シティスウェットジョガー レギュラー")</f>
        <v>ルルレモン メンズ シティスウェットジョガー レギュラー</v>
      </c>
    </row>
    <row r="1077" ht="15.75" customHeight="1">
      <c r="A1077" s="1">
        <v>6506.0</v>
      </c>
      <c r="B1077" s="1" t="s">
        <v>6</v>
      </c>
      <c r="C1077" s="1" t="s">
        <v>1007</v>
      </c>
      <c r="D1077" s="1" t="str">
        <f>IFERROR(__xludf.DUMMYFUNCTION("CONCATENATE(GOOGLETRANSLATE(C1077, ""en"", ""zh-cn""))
"),"lululemon 女式休闲 Daydrift 高腰长裤常规款")</f>
        <v>lululemon 女式休闲 Daydrift 高腰长裤常规款</v>
      </c>
      <c r="E1077" s="1" t="str">
        <f>IFERROR(__xludf.DUMMYFUNCTION("CONCATENATE(GOOGLETRANSLATE(C1077, ""en"", ""ko""))"),"lululemon 여성 캐주얼 데이드리프트 하이라이즈 바지 레귤러")</f>
        <v>lululemon 여성 캐주얼 데이드리프트 하이라이즈 바지 레귤러</v>
      </c>
      <c r="F1077" s="1" t="str">
        <f>IFERROR(__xludf.DUMMYFUNCTION("CONCATENATE(GOOGLETRANSLATE(C1077, ""en"", ""ja""))"),"ルルレモン レディース カジュアル デイドリフト ハイライズ パンツ レギュラー")</f>
        <v>ルルレモン レディース カジュアル デイドリフト ハイライズ パンツ レギュラー</v>
      </c>
    </row>
    <row r="1078" ht="15.75" customHeight="1">
      <c r="A1078" s="1">
        <v>6528.0</v>
      </c>
      <c r="B1078" s="1" t="s">
        <v>6</v>
      </c>
      <c r="C1078" s="1" t="s">
        <v>1008</v>
      </c>
      <c r="D1078" s="1" t="str">
        <f>IFERROR(__xludf.DUMMYFUNCTION("CONCATENATE(GOOGLETRANSLATE(C1078, ""en"", ""zh-cn""))
"),"耐克女式运动装毛绒长裤")</f>
        <v>耐克女式运动装毛绒长裤</v>
      </c>
      <c r="E1078" s="1" t="str">
        <f>IFERROR(__xludf.DUMMYFUNCTION("CONCATENATE(GOOGLETRANSLATE(C1078, ""en"", ""ko""))"),"나이키 여성 스포츠웨어 플러시 팬츠")</f>
        <v>나이키 여성 스포츠웨어 플러시 팬츠</v>
      </c>
      <c r="F1078" s="1" t="str">
        <f>IFERROR(__xludf.DUMMYFUNCTION("CONCATENATE(GOOGLETRANSLATE(C1078, ""en"", ""ja""))"),"ナイキ レディース スポーツウェア プラッシュ パンツ")</f>
        <v>ナイキ レディース スポーツウェア プラッシュ パンツ</v>
      </c>
    </row>
    <row r="1079" ht="15.75" customHeight="1">
      <c r="A1079" s="1">
        <v>6557.0</v>
      </c>
      <c r="B1079" s="1" t="s">
        <v>6</v>
      </c>
      <c r="C1079" s="1" t="s">
        <v>1009</v>
      </c>
      <c r="D1079" s="1" t="str">
        <f>IFERROR(__xludf.DUMMYFUNCTION("CONCATENATE(GOOGLETRANSLATE(C1079, ""en"", ""zh-cn""))
"),"PUMA 男士 Relaxed Speed Driver 系列运动夹克")</f>
        <v>PUMA 男士 Relaxed Speed Driver 系列运动夹克</v>
      </c>
      <c r="E1079" s="1" t="str">
        <f>IFERROR(__xludf.DUMMYFUNCTION("CONCATENATE(GOOGLETRANSLATE(C1079, ""en"", ""ko""))"),"PUMA 남성용 릴렉스 스피드 드라이버 시리즈 트랙 재킷")</f>
        <v>PUMA 남성용 릴렉스 스피드 드라이버 시리즈 트랙 재킷</v>
      </c>
      <c r="F1079" s="1" t="str">
        <f>IFERROR(__xludf.DUMMYFUNCTION("CONCATENATE(GOOGLETRANSLATE(C1079, ""en"", ""ja""))"),"プーマ メンズ リラックス スピード ドライバー シリーズ トラック ジャケット")</f>
        <v>プーマ メンズ リラックス スピード ドライバー シリーズ トラック ジャケット</v>
      </c>
    </row>
    <row r="1080" ht="15.75" customHeight="1">
      <c r="A1080" s="1">
        <v>6572.0</v>
      </c>
      <c r="B1080" s="1" t="s">
        <v>6</v>
      </c>
      <c r="C1080" s="1" t="s">
        <v>1010</v>
      </c>
      <c r="D1080" s="1" t="str">
        <f>IFERROR(__xludf.DUMMYFUNCTION("CONCATENATE(GOOGLETRANSLATE(C1080, ""en"", ""zh-cn""))
"),"Puma 男士弹力长裤")</f>
        <v>Puma 男士弹力长裤</v>
      </c>
      <c r="E1080" s="1" t="str">
        <f>IFERROR(__xludf.DUMMYFUNCTION("CONCATENATE(GOOGLETRANSLATE(C1080, ""en"", ""ko""))"),"푸마 남성 스트레치라이트 바지")</f>
        <v>푸마 남성 스트레치라이트 바지</v>
      </c>
      <c r="F1080" s="1" t="str">
        <f>IFERROR(__xludf.DUMMYFUNCTION("CONCATENATE(GOOGLETRANSLATE(C1080, ""en"", ""ja""))"),"プーマ メンズ ストレッチライト パンツ")</f>
        <v>プーマ メンズ ストレッチライト パンツ</v>
      </c>
    </row>
    <row r="1081" ht="15.75" customHeight="1">
      <c r="A1081" s="1">
        <v>6588.0</v>
      </c>
      <c r="B1081" s="1" t="s">
        <v>6</v>
      </c>
      <c r="C1081" s="1" t="s">
        <v>1011</v>
      </c>
      <c r="D1081" s="1" t="str">
        <f>IFERROR(__xludf.DUMMYFUNCTION("CONCATENATE(GOOGLETRANSLATE(C1081, ""en"", ""zh-cn""))
"),"PUMA 男士 Cloudspun 拼色 1/4 拉链高尔夫套头衫")</f>
        <v>PUMA 男士 Cloudspun 拼色 1/4 拉链高尔夫套头衫</v>
      </c>
      <c r="E1081" s="1" t="str">
        <f>IFERROR(__xludf.DUMMYFUNCTION("CONCATENATE(GOOGLETRANSLATE(C1081, ""en"", ""ko""))"),"푸마 남성 클라우드스펀 컬러블록 1/4 지퍼 골프 풀오버")</f>
        <v>푸마 남성 클라우드스펀 컬러블록 1/4 지퍼 골프 풀오버</v>
      </c>
      <c r="F1081" s="1" t="str">
        <f>IFERROR(__xludf.DUMMYFUNCTION("CONCATENATE(GOOGLETRANSLATE(C1081, ""en"", ""ja""))"),"プーマ メンズ クラウドスパン カラーブロック 1/4 ジップ ゴルフ プルオーバー")</f>
        <v>プーマ メンズ クラウドスパン カラーブロック 1/4 ジップ ゴルフ プルオーバー</v>
      </c>
    </row>
    <row r="1082" ht="15.75" customHeight="1">
      <c r="A1082" s="1">
        <v>6625.0</v>
      </c>
      <c r="B1082" s="1" t="s">
        <v>6</v>
      </c>
      <c r="C1082" s="1" t="s">
        <v>1012</v>
      </c>
      <c r="D1082" s="1" t="str">
        <f>IFERROR(__xludf.DUMMYFUNCTION("CONCATENATE(GOOGLETRANSLATE(C1082, ""en"", ""zh-cn""))
"),"Reebok 女式火车三背运动文胸")</f>
        <v>Reebok 女式火车三背运动文胸</v>
      </c>
      <c r="E1082" s="1" t="str">
        <f>IFERROR(__xludf.DUMMYFUNCTION("CONCATENATE(GOOGLETRANSLATE(C1082, ""en"", ""ko""))"),"Reebok 여성용 트레인 트라이백 스포츠 브라")</f>
        <v>Reebok 여성용 트레인 트라이백 스포츠 브라</v>
      </c>
      <c r="F1082" s="1" t="str">
        <f>IFERROR(__xludf.DUMMYFUNCTION("CONCATENATE(GOOGLETRANSLATE(C1082, ""en"", ""ja""))"),"Reebok レディース トレイン トライバック スポーツ ブラ")</f>
        <v>Reebok レディース トレイン トライバック スポーツ ブラ</v>
      </c>
    </row>
    <row r="1083" ht="15.75" customHeight="1">
      <c r="A1083" s="1">
        <v>6649.0</v>
      </c>
      <c r="B1083" s="1" t="s">
        <v>6</v>
      </c>
      <c r="C1083" s="1" t="s">
        <v>1013</v>
      </c>
      <c r="D1083" s="1" t="str">
        <f>IFERROR(__xludf.DUMMYFUNCTION("CONCATENATE(GOOGLETRANSLATE(C1083, ""en"", ""zh-cn""))
"),"Chans Furniture 78 英寸传统风格实木霍普金顿双水槽浴室梳妆台套装带白色大理石台面")</f>
        <v>Chans Furniture 78 英寸传统风格实木霍普金顿双水槽浴室梳妆台套装带白色大理石台面</v>
      </c>
      <c r="E1083" s="1" t="str">
        <f>IFERROR(__xludf.DUMMYFUNCTION("CONCATENATE(GOOGLETRANSLATE(C1083, ""en"", ""ko""))"),"Chans 가구 78 인치 전통적인 스타일 단단한 나무 Hopkinton 더블 싱크 욕실 세면대 세트 흰색 대리석 탑")</f>
        <v>Chans 가구 78 인치 전통적인 스타일 단단한 나무 Hopkinton 더블 싱크 욕실 세면대 세트 흰색 대리석 탑</v>
      </c>
      <c r="F1083" s="1" t="str">
        <f>IFERROR(__xludf.DUMMYFUNCTION("CONCATENATE(GOOGLETRANSLATE(C1083, ""en"", ""ja""))"),"Chans Furniture 78 インチの伝統的なスタイルの無垢材ホプキントン ダブルシンク バスルーム バニティ セット ホワイト大理石トップ")</f>
        <v>Chans Furniture 78 インチの伝統的なスタイルの無垢材ホプキントン ダブルシンク バスルーム バニティ セット ホワイト大理石トップ</v>
      </c>
    </row>
    <row r="1084" ht="15.75" customHeight="1">
      <c r="A1084" s="1">
        <v>6680.0</v>
      </c>
      <c r="B1084" s="1" t="s">
        <v>6</v>
      </c>
      <c r="C1084" s="1" t="s">
        <v>1014</v>
      </c>
      <c r="D1084" s="1" t="str">
        <f>IFERROR(__xludf.DUMMYFUNCTION("CONCATENATE(GOOGLETRANSLATE(C1084, ""en"", ""zh-cn""))
"),"Ktaxon 3 层浴室储物架")</f>
        <v>Ktaxon 3 层浴室储物架</v>
      </c>
      <c r="E1084" s="1" t="str">
        <f>IFERROR(__xludf.DUMMYFUNCTION("CONCATENATE(GOOGLETRANSLATE(C1084, ""en"", ""ko""))"),"Ktaxon 3단 욕실 수납선반")</f>
        <v>Ktaxon 3단 욕실 수납선반</v>
      </c>
      <c r="F1084" s="1" t="str">
        <f>IFERROR(__xludf.DUMMYFUNCTION("CONCATENATE(GOOGLETRANSLATE(C1084, ""en"", ""ja""))"),"Ktaxon 3段バスルーム収納棚")</f>
        <v>Ktaxon 3段バスルーム収納棚</v>
      </c>
    </row>
    <row r="1085" ht="15.75" customHeight="1">
      <c r="A1085" s="1">
        <v>6685.0</v>
      </c>
      <c r="B1085" s="1" t="s">
        <v>6</v>
      </c>
      <c r="C1085" s="1" t="s">
        <v>1015</v>
      </c>
      <c r="D1085" s="1" t="str">
        <f>IFERROR(__xludf.DUMMYFUNCTION("CONCATENATE(GOOGLETRANSLATE(C1085, ""en"", ""zh-cn""))
"),"Ktaxon小浴室地柜")</f>
        <v>Ktaxon小浴室地柜</v>
      </c>
      <c r="E1085" s="1" t="str">
        <f>IFERROR(__xludf.DUMMYFUNCTION("CONCATENATE(GOOGLETRANSLATE(C1085, ""en"", ""ko""))"),"Ktaxon 작은 욕실 바닥 캐비닛")</f>
        <v>Ktaxon 작은 욕실 바닥 캐비닛</v>
      </c>
      <c r="F1085" s="1" t="str">
        <f>IFERROR(__xludf.DUMMYFUNCTION("CONCATENATE(GOOGLETRANSLATE(C1085, ""en"", ""ja""))"),"Ktaxon 小型バスルーム フロアキャビネット")</f>
        <v>Ktaxon 小型バスルーム フロアキャビネット</v>
      </c>
    </row>
    <row r="1086" ht="15.75" customHeight="1">
      <c r="A1086" s="1">
        <v>6687.0</v>
      </c>
      <c r="B1086" s="1" t="s">
        <v>6</v>
      </c>
      <c r="C1086" s="1" t="s">
        <v>1016</v>
      </c>
      <c r="D1086" s="1" t="str">
        <f>IFERROR(__xludf.DUMMYFUNCTION("CONCATENATE(GOOGLETRANSLATE(C1086, ""en"", ""zh-cn""))
"),"Ktaxon 现代镜子和浴室梳妆台")</f>
        <v>Ktaxon 现代镜子和浴室梳妆台</v>
      </c>
      <c r="E1086" s="1" t="str">
        <f>IFERROR(__xludf.DUMMYFUNCTION("CONCATENATE(GOOGLETRANSLATE(C1086, ""en"", ""ko""))"),"Ktaxon 모던 거울 및 욕실 세면대")</f>
        <v>Ktaxon 모던 거울 및 욕실 세면대</v>
      </c>
      <c r="F1086" s="1" t="str">
        <f>IFERROR(__xludf.DUMMYFUNCTION("CONCATENATE(GOOGLETRANSLATE(C1086, ""en"", ""ja""))"),"Ktaxon モダンミラーと洗面化粧台")</f>
        <v>Ktaxon モダンミラーと洗面化粧台</v>
      </c>
    </row>
    <row r="1087" ht="15.75" customHeight="1">
      <c r="A1087" s="1">
        <v>6706.0</v>
      </c>
      <c r="B1087" s="1" t="s">
        <v>6</v>
      </c>
      <c r="C1087" s="1" t="s">
        <v>1017</v>
      </c>
      <c r="D1087" s="1" t="str">
        <f>IFERROR(__xludf.DUMMYFUNCTION("CONCATENATE(GOOGLETRANSLATE(C1087, ""en"", ""zh-cn""))
"),"VASAGLE 高大浴室柜")</f>
        <v>VASAGLE 高大浴室柜</v>
      </c>
      <c r="E1087" s="1" t="str">
        <f>IFERROR(__xludf.DUMMYFUNCTION("CONCATENATE(GOOGLETRANSLATE(C1087, ""en"", ""ko""))"),"VASAGLE 키 큰 욕실 캐비닛")</f>
        <v>VASAGLE 키 큰 욕실 캐비닛</v>
      </c>
      <c r="F1087" s="1" t="str">
        <f>IFERROR(__xludf.DUMMYFUNCTION("CONCATENATE(GOOGLETRANSLATE(C1087, ""en"", ""ja""))"),"VASAGLE トールバスルームキャビネット")</f>
        <v>VASAGLE トールバスルームキャビネット</v>
      </c>
    </row>
    <row r="1088" ht="15.75" customHeight="1">
      <c r="A1088" s="1">
        <v>6712.0</v>
      </c>
      <c r="B1088" s="1" t="s">
        <v>6</v>
      </c>
      <c r="C1088" s="1" t="s">
        <v>1018</v>
      </c>
      <c r="D1088" s="1" t="str">
        <f>IFERROR(__xludf.DUMMYFUNCTION("CONCATENATE(GOOGLETRANSLATE(C1088, ""en"", ""zh-cn""))
"),"浴室壁柜")</f>
        <v>浴室壁柜</v>
      </c>
      <c r="E1088" s="1" t="str">
        <f>IFERROR(__xludf.DUMMYFUNCTION("CONCATENATE(GOOGLETRANSLATE(C1088, ""en"", ""ko""))"),"욕실 벽 캐비닛")</f>
        <v>욕실 벽 캐비닛</v>
      </c>
      <c r="F1088" s="1" t="str">
        <f>IFERROR(__xludf.DUMMYFUNCTION("CONCATENATE(GOOGLETRANSLATE(C1088, ""en"", ""ja""))"),"バスルーム用ウォールキャビネット")</f>
        <v>バスルーム用ウォールキャビネット</v>
      </c>
    </row>
    <row r="1089" ht="15.75" customHeight="1">
      <c r="A1089" s="1">
        <v>6727.0</v>
      </c>
      <c r="B1089" s="1" t="s">
        <v>6</v>
      </c>
      <c r="C1089" s="1" t="s">
        <v>1019</v>
      </c>
      <c r="D1089" s="1" t="str">
        <f>IFERROR(__xludf.DUMMYFUNCTION("CONCATENATE(GOOGLETRANSLATE(C1089, ""en"", ""zh-cn""))
"),"Fluidmaster 242 替换密封件")</f>
        <v>Fluidmaster 242 替换密封件</v>
      </c>
      <c r="E1089" s="1" t="str">
        <f>IFERROR(__xludf.DUMMYFUNCTION("CONCATENATE(GOOGLETRANSLATE(C1089, ""en"", ""ko""))"),"Fluidmaster 242 교체 씰")</f>
        <v>Fluidmaster 242 교체 씰</v>
      </c>
      <c r="F1089" s="1" t="str">
        <f>IFERROR(__xludf.DUMMYFUNCTION("CONCATENATE(GOOGLETRANSLATE(C1089, ""en"", ""ja""))"),"Fluidmaster 242 交換用シール")</f>
        <v>Fluidmaster 242 交換用シール</v>
      </c>
    </row>
    <row r="1090" ht="15.75" customHeight="1">
      <c r="A1090" s="1">
        <v>6787.0</v>
      </c>
      <c r="B1090" s="1" t="s">
        <v>6</v>
      </c>
      <c r="C1090" s="1" t="s">
        <v>1020</v>
      </c>
      <c r="D1090" s="1" t="str">
        <f>IFERROR(__xludf.DUMMYFUNCTION("CONCATENATE(GOOGLETRANSLATE(C1090, ""en"", ""zh-cn""))
"),"Brita 水龙头安装水过滤系统")</f>
        <v>Brita 水龙头安装水过滤系统</v>
      </c>
      <c r="E1090" s="1" t="str">
        <f>IFERROR(__xludf.DUMMYFUNCTION("CONCATENATE(GOOGLETRANSLATE(C1090, ""en"", ""ko""))"),"브리타 수도꼭지 장착 정수 시스템")</f>
        <v>브리타 수도꼭지 장착 정수 시스템</v>
      </c>
      <c r="F1090" s="1" t="str">
        <f>IFERROR(__xludf.DUMMYFUNCTION("CONCATENATE(GOOGLETRANSLATE(C1090, ""en"", ""ja""))"),"Brita 蛇口マウント水ろ過システム")</f>
        <v>Brita 蛇口マウント水ろ過システム</v>
      </c>
    </row>
    <row r="1091" ht="15.75" customHeight="1">
      <c r="A1091" s="1">
        <v>6801.0</v>
      </c>
      <c r="B1091" s="1" t="s">
        <v>6</v>
      </c>
      <c r="C1091" s="1" t="s">
        <v>1021</v>
      </c>
      <c r="D1091" s="1" t="str">
        <f>IFERROR(__xludf.DUMMYFUNCTION("CONCATENATE(GOOGLETRANSLATE(C1091, ""en"", ""zh-cn""))
"),"PUR 水罐替换过滤器 4 件装")</f>
        <v>PUR 水罐替换过滤器 4 件装</v>
      </c>
      <c r="E1091" s="1" t="str">
        <f>IFERROR(__xludf.DUMMYFUNCTION("CONCATENATE(GOOGLETRANSLATE(C1091, ""en"", ""ko""))"),"PUR 물 주전자 교체 필터 4팩")</f>
        <v>PUR 물 주전자 교체 필터 4팩</v>
      </c>
      <c r="F1091" s="1" t="str">
        <f>IFERROR(__xludf.DUMMYFUNCTION("CONCATENATE(GOOGLETRANSLATE(C1091, ""en"", ""ja""))"),"PURウォーターピッチャー交換フィルター4個パック")</f>
        <v>PURウォーターピッチャー交換フィルター4個パック</v>
      </c>
    </row>
    <row r="1092" ht="15.75" customHeight="1">
      <c r="A1092" s="1">
        <v>6803.0</v>
      </c>
      <c r="B1092" s="1" t="s">
        <v>6</v>
      </c>
      <c r="C1092" s="1" t="s">
        <v>1022</v>
      </c>
      <c r="D1092" s="1" t="str">
        <f>IFERROR(__xludf.DUMMYFUNCTION("CONCATENATE(GOOGLETRANSLATE(C1092, ""en"", ""zh-cn""))
"),"Giant 11 杯经典蓝色水罐过滤系统")</f>
        <v>Giant 11 杯经典蓝色水罐过滤系统</v>
      </c>
      <c r="E1092" s="1" t="str">
        <f>IFERROR(__xludf.DUMMYFUNCTION("CONCATENATE(GOOGLETRANSLATE(C1092, ""en"", ""ko""))"),"Giant 11 컵 클래식 블루 투수 여과 시스템")</f>
        <v>Giant 11 컵 클래식 블루 투수 여과 시스템</v>
      </c>
      <c r="F1092" s="1" t="str">
        <f>IFERROR(__xludf.DUMMYFUNCTION("CONCATENATE(GOOGLETRANSLATE(C1092, ""en"", ""ja""))"),"ジャイアント 11 カップ クラシック ブルー ピッチャー フィルター システム")</f>
        <v>ジャイアント 11 カップ クラシック ブルー ピッチャー フィルター システム</v>
      </c>
    </row>
    <row r="1093" ht="15.75" customHeight="1">
      <c r="A1093" s="1">
        <v>6805.0</v>
      </c>
      <c r="B1093" s="1" t="s">
        <v>6</v>
      </c>
      <c r="C1093" s="1" t="s">
        <v>1023</v>
      </c>
      <c r="D1093" s="1" t="str">
        <f>IFERROR(__xludf.DUMMYFUNCTION("CONCATENATE(GOOGLETRANSLATE(C1093, ""en"", ""zh-cn""))
"),"Katadyn Micropur 净化片")</f>
        <v>Katadyn Micropur 净化片</v>
      </c>
      <c r="E1093" s="1" t="str">
        <f>IFERROR(__xludf.DUMMYFUNCTION("CONCATENATE(GOOGLETRANSLATE(C1093, ""en"", ""ko""))"),"Katadyn Micropur 정제 정제")</f>
        <v>Katadyn Micropur 정제 정제</v>
      </c>
      <c r="F1093" s="1" t="str">
        <f>IFERROR(__xludf.DUMMYFUNCTION("CONCATENATE(GOOGLETRANSLATE(C1093, ""en"", ""ja""))"),"Katadyn Micropur 精製タブレット")</f>
        <v>Katadyn Micropur 精製タブレット</v>
      </c>
    </row>
    <row r="1094" ht="15.75" customHeight="1">
      <c r="A1094" s="1">
        <v>6830.0</v>
      </c>
      <c r="B1094" s="1" t="s">
        <v>6</v>
      </c>
      <c r="C1094" s="1" t="s">
        <v>1024</v>
      </c>
      <c r="D1094" s="1" t="str">
        <f>IFERROR(__xludf.DUMMYFUNCTION("CONCATENATE(GOOGLETRANSLATE(C1094, ""en"", ""zh-cn""))
"),"Denali Pure PUR Filter6 冰箱水过滤器更换")</f>
        <v>Denali Pure PUR Filter6 冰箱水过滤器更换</v>
      </c>
      <c r="E1094" s="1" t="str">
        <f>IFERROR(__xludf.DUMMYFUNCTION("CONCATENATE(GOOGLETRANSLATE(C1094, ""en"", ""ko""))"),"Denali Pure PUR Filter6 냉장고 정수 필터 교체")</f>
        <v>Denali Pure PUR Filter6 냉장고 정수 필터 교체</v>
      </c>
      <c r="F1094" s="1" t="str">
        <f>IFERROR(__xludf.DUMMYFUNCTION("CONCATENATE(GOOGLETRANSLATE(C1094, ""en"", ""ja""))"),"デナリ Pure PUR Filter6 冷蔵庫の水フィルター交換")</f>
        <v>デナリ Pure PUR Filter6 冷蔵庫の水フィルター交換</v>
      </c>
    </row>
    <row r="1095" ht="15.75" customHeight="1">
      <c r="A1095" s="1">
        <v>6834.0</v>
      </c>
      <c r="B1095" s="1" t="s">
        <v>6</v>
      </c>
      <c r="C1095" s="1" t="s">
        <v>1025</v>
      </c>
      <c r="D1095" s="1" t="str">
        <f>IFERROR(__xludf.DUMMYFUNCTION("CONCATENATE(GOOGLETRANSLATE(C1095, ""en"", ""zh-cn""))
"),"聚氨酯 88 盎司蓝白水过滤壶 - 编号 PPT111W")</f>
        <v>聚氨酯 88 盎司蓝白水过滤壶 - 编号 PPT111W</v>
      </c>
      <c r="E1095" s="1" t="str">
        <f>IFERROR(__xludf.DUMMYFUNCTION("CONCATENATE(GOOGLETRANSLATE(C1095, ""en"", ""ko""))"),"PUR 88온스 BlueWhite 정수용 투수 - No. PPT111W")</f>
        <v>PUR 88온스 BlueWhite 정수용 투수 - No. PPT111W</v>
      </c>
      <c r="F1095" s="1" t="str">
        <f>IFERROR(__xludf.DUMMYFUNCTION("CONCATENATE(GOOGLETRANSLATE(C1095, ""en"", ""ja""))"),"ピュア 88オンスBlueWhite 浄水ピッチャー No.PPT111W")</f>
        <v>ピュア 88オンスBlueWhite 浄水ピッチャー No.PPT111W</v>
      </c>
    </row>
    <row r="1096" ht="15.75" customHeight="1">
      <c r="A1096" s="1">
        <v>6848.0</v>
      </c>
      <c r="B1096" s="1" t="s">
        <v>6</v>
      </c>
      <c r="C1096" s="1" t="s">
        <v>1026</v>
      </c>
      <c r="D1096" s="1" t="str">
        <f>IFERROR(__xludf.DUMMYFUNCTION("CONCATENATE(GOOGLETRANSLATE(C1096, ""en"", ""zh-cn""))
"),"Equate Beauty 最大强度斑点治疗凝胶")</f>
        <v>Equate Beauty 最大强度斑点治疗凝胶</v>
      </c>
      <c r="E1096" s="1" t="str">
        <f>IFERROR(__xludf.DUMMYFUNCTION("CONCATENATE(GOOGLETRANSLATE(C1096, ""en"", ""ko""))"),"Equate Beauty 맥시멈 스트렝스 스팟 트리트먼트 젤")</f>
        <v>Equate Beauty 맥시멈 스트렝스 스팟 트리트먼트 젤</v>
      </c>
      <c r="F1096" s="1" t="str">
        <f>IFERROR(__xludf.DUMMYFUNCTION("CONCATENATE(GOOGLETRANSLATE(C1096, ""en"", ""ja""))"),"エクエイト ビューティー マキシマム ストレングス スポット トリートメント ジェル")</f>
        <v>エクエイト ビューティー マキシマム ストレングス スポット トリートメント ジェル</v>
      </c>
    </row>
    <row r="1097" ht="15.75" customHeight="1">
      <c r="A1097" s="1">
        <v>6849.0</v>
      </c>
      <c r="B1097" s="1" t="s">
        <v>6</v>
      </c>
      <c r="C1097" s="1" t="s">
        <v>1027</v>
      </c>
      <c r="D1097" s="1" t="str">
        <f>IFERROR(__xludf.DUMMYFUNCTION("CONCATENATE(GOOGLETRANSLATE(C1097, ""en"", ""zh-cn""))
"),"将纤维疗法等同于规律性")</f>
        <v>将纤维疗法等同于规律性</v>
      </c>
      <c r="E1097" s="1" t="str">
        <f>IFERROR(__xludf.DUMMYFUNCTION("CONCATENATE(GOOGLETRANSLATE(C1097, ""en"", ""ko""))"),"규칙성을 위한 동일 섬유 요법")</f>
        <v>규칙성을 위한 동일 섬유 요법</v>
      </c>
      <c r="F1097" s="1" t="str">
        <f>IFERROR(__xludf.DUMMYFUNCTION("CONCATENATE(GOOGLETRANSLATE(C1097, ""en"", ""ja""))"),"繊維療法を規則正しいものとみなす")</f>
        <v>繊維療法を規則正しいものとみなす</v>
      </c>
    </row>
    <row r="1098" ht="15.75" customHeight="1">
      <c r="A1098" s="1">
        <v>6860.0</v>
      </c>
      <c r="B1098" s="1" t="s">
        <v>6</v>
      </c>
      <c r="C1098" s="1" t="s">
        <v>1028</v>
      </c>
      <c r="D1098" s="1" t="str">
        <f>IFERROR(__xludf.DUMMYFUNCTION("CONCATENATE(GOOGLETRANSLATE(C1098, ""en"", ""zh-cn""))
"),"Equate 婴儿尿布疹膏")</f>
        <v>Equate 婴儿尿布疹膏</v>
      </c>
      <c r="E1098" s="1" t="str">
        <f>IFERROR(__xludf.DUMMYFUNCTION("CONCATENATE(GOOGLETRANSLATE(C1098, ""en"", ""ko""))"),"Equate 아기 기저귀 발진 페이스트")</f>
        <v>Equate 아기 기저귀 발진 페이스트</v>
      </c>
      <c r="F1098" s="1" t="str">
        <f>IFERROR(__xludf.DUMMYFUNCTION("CONCATENATE(GOOGLETRANSLATE(C1098, ""en"", ""ja""))"),"Equate ベビーおむつかぶれペースト")</f>
        <v>Equate ベビーおむつかぶれペースト</v>
      </c>
    </row>
    <row r="1099" ht="15.75" customHeight="1">
      <c r="A1099" s="1">
        <v>6871.0</v>
      </c>
      <c r="B1099" s="1" t="s">
        <v>6</v>
      </c>
      <c r="C1099" s="1" t="s">
        <v>1029</v>
      </c>
      <c r="D1099" s="1" t="str">
        <f>IFERROR(__xludf.DUMMYFUNCTION("CONCATENATE(GOOGLETRANSLATE(C1099, ""en"", ""zh-cn""))
"),"同等女性脱发和再生治疗")</f>
        <v>同等女性脱发和再生治疗</v>
      </c>
      <c r="E1099" s="1" t="str">
        <f>IFERROR(__xludf.DUMMYFUNCTION("CONCATENATE(GOOGLETRANSLATE(C1099, ""en"", ""ko""))"),"여성 탈모 및 재성장 치료 동일")</f>
        <v>여성 탈모 및 재성장 치료 동일</v>
      </c>
      <c r="F1099" s="1" t="str">
        <f>IFERROR(__xludf.DUMMYFUNCTION("CONCATENATE(GOOGLETRANSLATE(C1099, ""en"", ""ja""))"),"女性の脱毛と再生治療を同等に扱う")</f>
        <v>女性の脱毛と再生治療を同等に扱う</v>
      </c>
    </row>
    <row r="1100" ht="15.75" customHeight="1">
      <c r="A1100" s="1">
        <v>6879.0</v>
      </c>
      <c r="B1100" s="1" t="s">
        <v>6</v>
      </c>
      <c r="C1100" s="1" t="s">
        <v>1030</v>
      </c>
      <c r="D1100" s="1" t="str">
        <f>IFERROR(__xludf.DUMMYFUNCTION("CONCATENATE(GOOGLETRANSLATE(C1100, ""en"", ""zh-cn""))
"),"Hi-pro-pac Color Treatment 高光强效专业护理")</f>
        <v>Hi-pro-pac Color Treatment 高光强效专业护理</v>
      </c>
      <c r="E1100" s="1" t="str">
        <f>IFERROR(__xludf.DUMMYFUNCTION("CONCATENATE(GOOGLETRANSLATE(C1100, ""en"", ""ko""))"),"하이프로팩 ​​컬러 트리티드 하이라이트 인텐스 프로 트리트먼트")</f>
        <v>하이프로팩 ​​컬러 트리티드 하이라이트 인텐스 프로 트리트먼트</v>
      </c>
      <c r="F1100" s="1" t="str">
        <f>IFERROR(__xludf.DUMMYFUNCTION("CONCATENATE(GOOGLETRANSLATE(C1100, ""en"", ""ja""))"),"ハイプロパック カラー トリートメント ハイライト インテンス プロ トリートメント")</f>
        <v>ハイプロパック カラー トリートメント ハイライト インテンス プロ トリートメント</v>
      </c>
    </row>
    <row r="1101" ht="15.75" customHeight="1">
      <c r="A1101" s="1">
        <v>6890.0</v>
      </c>
      <c r="B1101" s="1" t="s">
        <v>6</v>
      </c>
      <c r="C1101" s="1" t="s">
        <v>1031</v>
      </c>
      <c r="D1101" s="1" t="str">
        <f>IFERROR(__xludf.DUMMYFUNCTION("CONCATENATE(GOOGLETRANSLATE(C1101, ""en"", ""zh-cn""))
"),"Hi Pro Pac 乳木果油保湿面膜")</f>
        <v>Hi Pro Pac 乳木果油保湿面膜</v>
      </c>
      <c r="E1101" s="1" t="str">
        <f>IFERROR(__xludf.DUMMYFUNCTION("CONCATENATE(GOOGLETRANSLATE(C1101, ""en"", ""ko""))"),"하이프로팩 ​​시어버터 모이스처 마스크")</f>
        <v>하이프로팩 ​​시어버터 모이스처 마스크</v>
      </c>
      <c r="F1101" s="1" t="str">
        <f>IFERROR(__xludf.DUMMYFUNCTION("CONCATENATE(GOOGLETRANSLATE(C1101, ""en"", ""ja""))"),"ハイプロパック シアバターモイスチャーマスク")</f>
        <v>ハイプロパック シアバターモイスチャーマスク</v>
      </c>
    </row>
    <row r="1102" ht="15.75" customHeight="1">
      <c r="A1102" s="1">
        <v>6892.0</v>
      </c>
      <c r="B1102" s="1" t="s">
        <v>6</v>
      </c>
      <c r="C1102" s="1" t="s">
        <v>1032</v>
      </c>
      <c r="D1102" s="1" t="str">
        <f>IFERROR(__xludf.DUMMYFUNCTION("CONCATENATE(GOOGLETRANSLATE(C1102, ""en"", ""zh-cn""))
"),"Hi-pro-pac 角蛋白无毛躁头发强效蛋白质护理")</f>
        <v>Hi-pro-pac 角蛋白无毛躁头发强效蛋白质护理</v>
      </c>
      <c r="E1102" s="1" t="str">
        <f>IFERROR(__xludf.DUMMYFUNCTION("CONCATENATE(GOOGLETRANSLATE(C1102, ""en"", ""ko""))"),"하이프로팩 ​​케라틴 프로틴 곱슬거림 없는 헤어 인텐스 프로틴 트리트먼트")</f>
        <v>하이프로팩 ​​케라틴 프로틴 곱슬거림 없는 헤어 인텐스 프로틴 트리트먼트</v>
      </c>
      <c r="F1102" s="1" t="str">
        <f>IFERROR(__xludf.DUMMYFUNCTION("CONCATENATE(GOOGLETRANSLATE(C1102, ""en"", ""ja""))"),"ハイプロパック ケラチン プロテイン ノーフリッズ ヘア インテンス プロテイン トリートメント")</f>
        <v>ハイプロパック ケラチン プロテイン ノーフリッズ ヘア インテンス プロテイン トリートメント</v>
      </c>
    </row>
    <row r="1103" ht="15.75" customHeight="1">
      <c r="A1103" s="1">
        <v>6902.0</v>
      </c>
      <c r="B1103" s="1" t="s">
        <v>6</v>
      </c>
      <c r="C1103" s="1" t="s">
        <v>1033</v>
      </c>
      <c r="D1103" s="1" t="str">
        <f>IFERROR(__xludf.DUMMYFUNCTION("CONCATENATE(GOOGLETRANSLATE(C1103, ""en"", ""zh-cn""))
"),"Hi-pro-pac Color Treatment 突出头发防御强化蛋白质护理")</f>
        <v>Hi-pro-pac Color Treatment 突出头发防御强化蛋白质护理</v>
      </c>
      <c r="E1103" s="1" t="str">
        <f>IFERROR(__xludf.DUMMYFUNCTION("CONCATENATE(GOOGLETRANSLATE(C1103, ""en"", ""ko""))"),"하이프로팩 ​​컬러 트리티드 하이라이티드 헤어 디펜스 인텐스 프로틴 트리트먼트")</f>
        <v>하이프로팩 ​​컬러 트리티드 하이라이티드 헤어 디펜스 인텐스 프로틴 트리트먼트</v>
      </c>
      <c r="F1103" s="1" t="str">
        <f>IFERROR(__xludf.DUMMYFUNCTION("CONCATENATE(GOOGLETRANSLATE(C1103, ""en"", ""ja""))"),"ハイプロパック カラー トリートメント ハイライト ヘア ディフェンス インテンス プロテイン トリートメント")</f>
        <v>ハイプロパック カラー トリートメント ハイライト ヘア ディフェンス インテンス プロテイン トリートメント</v>
      </c>
    </row>
    <row r="1104" ht="15.75" customHeight="1">
      <c r="A1104" s="1">
        <v>6917.0</v>
      </c>
      <c r="B1104" s="1" t="s">
        <v>6</v>
      </c>
      <c r="C1104" s="1" t="s">
        <v>1034</v>
      </c>
      <c r="D1104" s="1" t="str">
        <f>IFERROR(__xludf.DUMMYFUNCTION("CONCATENATE(GOOGLETRANSLATE(C1104, ""en"", ""zh-cn""))
"),"露得清顽固痤疮面部护理")</f>
        <v>露得清顽固痤疮面部护理</v>
      </c>
      <c r="E1104" s="1" t="str">
        <f>IFERROR(__xludf.DUMMYFUNCTION("CONCATENATE(GOOGLETRANSLATE(C1104, ""en"", ""ko""))"),"뉴트로지나 완고한 여드름 페이셜 트리트먼트")</f>
        <v>뉴트로지나 완고한 여드름 페이셜 트리트먼트</v>
      </c>
      <c r="F1104" s="1" t="str">
        <f>IFERROR(__xludf.DUMMYFUNCTION("CONCATENATE(GOOGLETRANSLATE(C1104, ""en"", ""ja""))"),"ニュートロジーナ 頑固なニキビフェイシャルトリートメント")</f>
        <v>ニュートロジーナ 頑固なニキビフェイシャルトリートメント</v>
      </c>
    </row>
    <row r="1105" ht="15.75" customHeight="1">
      <c r="A1105" s="1">
        <v>6920.0</v>
      </c>
      <c r="B1105" s="1" t="s">
        <v>6</v>
      </c>
      <c r="C1105" s="1" t="s">
        <v>1035</v>
      </c>
      <c r="D1105" s="1" t="str">
        <f>IFERROR(__xludf.DUMMYFUNCTION("CONCATENATE(GOOGLETRANSLATE(C1105, ""en"", ""zh-cn""))
"),"露得清 (Neutrogena) 顽固疤痕 PM 治疗")</f>
        <v>露得清 (Neutrogena) 顽固疤痕 PM 治疗</v>
      </c>
      <c r="E1105" s="1" t="str">
        <f>IFERROR(__xludf.DUMMYFUNCTION("CONCATENATE(GOOGLETRANSLATE(C1105, ""en"", ""ko""))"),"뉴트로지나 스터번 마크 PM 트리트먼트")</f>
        <v>뉴트로지나 스터번 마크 PM 트리트먼트</v>
      </c>
      <c r="F1105" s="1" t="str">
        <f>IFERROR(__xludf.DUMMYFUNCTION("CONCATENATE(GOOGLETRANSLATE(C1105, ""en"", ""ja""))"),"ニュートロジーナ 頑固なマーク PM トリートメント")</f>
        <v>ニュートロジーナ 頑固なマーク PM トリートメント</v>
      </c>
    </row>
    <row r="1106" ht="15.75" customHeight="1">
      <c r="A1106" s="1">
        <v>6943.0</v>
      </c>
      <c r="B1106" s="1" t="s">
        <v>6</v>
      </c>
      <c r="C1106" s="1" t="s">
        <v>1036</v>
      </c>
      <c r="D1106" s="1" t="str">
        <f>IFERROR(__xludf.DUMMYFUNCTION("CONCATENATE(GOOGLETRANSLATE(C1106, ""en"", ""zh-cn""))
"),"痤疮治疗露得清 On the Spot 0.75 盎司奶油 70501001790 1 包 |嘿医药供应")</f>
        <v>痤疮治疗露得清 On the Spot 0.75 盎司奶油 70501001790 1 包 |嘿医药供应</v>
      </c>
      <c r="E1106" s="1" t="str">
        <f>IFERROR(__xludf.DUMMYFUNCTION("CONCATENATE(GOOGLETRANSLATE(C1106, ""en"", ""ko""))"),"여드름 치료 뉴트로지나 온 더 스팟 0.75 온스. 크림 70501001790 1팩 | 안녕하세요 메드 서플라이")</f>
        <v>여드름 치료 뉴트로지나 온 더 스팟 0.75 온스. 크림 70501001790 1팩 | 안녕하세요 메드 서플라이</v>
      </c>
      <c r="F1106" s="1" t="str">
        <f>IFERROR(__xludf.DUMMYFUNCTION("CONCATENATE(GOOGLETRANSLATE(C1106, ""en"", ""ja""))"),"ニキビ治療ニュートロジーナ オン ザ スポット 0.75 オンスクリーム 70501001790 1 個パック |ヘイ・メッド・サプライ")</f>
        <v>ニキビ治療ニュートロジーナ オン ザ スポット 0.75 オンスクリーム 70501001790 1 個パック |ヘイ・メッド・サプライ</v>
      </c>
    </row>
    <row r="1107" ht="15.75" customHeight="1">
      <c r="A1107" s="1">
        <v>6963.0</v>
      </c>
      <c r="B1107" s="1" t="s">
        <v>6</v>
      </c>
      <c r="C1107" s="1" t="s">
        <v>899</v>
      </c>
      <c r="D1107" s="1" t="str">
        <f>IFERROR(__xludf.DUMMYFUNCTION("CONCATENATE(GOOGLETRANSLATE(C1107, ""en"", ""zh-cn""))
"),"Hi-Pro-Pac Pks 茶树和薄荷 1.75 盎司（12 件）")</f>
        <v>Hi-Pro-Pac Pks 茶树和薄荷 1.75 盎司（12 件）</v>
      </c>
      <c r="E1107" s="1" t="str">
        <f>IFERROR(__xludf.DUMMYFUNCTION("CONCATENATE(GOOGLETRANSLATE(C1107, ""en"", ""ko""))"),"Hi-Pro-Pac Pks 티트리 &amp; 민트 1.75온스(12개)")</f>
        <v>Hi-Pro-Pac Pks 티트리 &amp; 민트 1.75온스(12개)</v>
      </c>
      <c r="F1107" s="1" t="str">
        <f>IFERROR(__xludf.DUMMYFUNCTION("CONCATENATE(GOOGLETRANSLATE(C1107, ""en"", ""ja""))"),"Hi-Pro-Pac Pks ティーツリー &amp; ミント 1.75 オンス (12 個)")</f>
        <v>Hi-Pro-Pac Pks ティーツリー &amp; ミント 1.75 オンス (12 個)</v>
      </c>
    </row>
    <row r="1108" ht="15.75" customHeight="1">
      <c r="A1108" s="1">
        <v>6965.0</v>
      </c>
      <c r="B1108" s="1" t="s">
        <v>6</v>
      </c>
      <c r="C1108" s="1" t="s">
        <v>727</v>
      </c>
      <c r="D1108" s="1" t="str">
        <f>IFERROR(__xludf.DUMMYFUNCTION("CONCATENATE(GOOGLETRANSLATE(C1108, ""en"", ""zh-cn""))
"),"露得清 (Neutrogena) 可见修复再生霜，含视黄醇 + 肽，用于抗衰老、皱纹和细纹 - 50 克")</f>
        <v>露得清 (Neutrogena) 可见修复再生霜，含视黄醇 + 肽，用于抗衰老、皱纹和细纹 - 50 克</v>
      </c>
      <c r="E1108" s="1" t="str">
        <f>IFERROR(__xludf.DUMMYFUNCTION("CONCATENATE(GOOGLETRANSLATE(C1108, ""en"", ""ko""))"),"뉴트로지나 비저블 리페어 재생 크림(레티놀 + 펩타이드 포함) 노화 방지, 주름 및 잔주름 개선 - 50 gm")</f>
        <v>뉴트로지나 비저블 리페어 재생 크림(레티놀 + 펩타이드 포함) 노화 방지, 주름 및 잔주름 개선 - 50 gm</v>
      </c>
      <c r="F1108" s="1" t="str">
        <f>IFERROR(__xludf.DUMMYFUNCTION("CONCATENATE(GOOGLETRANSLATE(C1108, ""en"", ""ja""))"),"ニュートロジーナ アンチエイジング、シワ、小じわのためのレチノール + ペプチド配合のビジブルリペア再生クリーム - 50 gm")</f>
        <v>ニュートロジーナ アンチエイジング、シワ、小じわのためのレチノール + ペプチド配合のビジブルリペア再生クリーム - 50 gm</v>
      </c>
    </row>
    <row r="1109" ht="15.75" customHeight="1">
      <c r="A1109" s="1">
        <v>3164.0</v>
      </c>
      <c r="B1109" s="1" t="s">
        <v>51</v>
      </c>
      <c r="C1109" s="1" t="s">
        <v>1037</v>
      </c>
      <c r="D1109" s="1" t="str">
        <f>IFERROR(__xludf.DUMMYFUNCTION("CONCATENATE(GOOGLETRANSLATE(C1109, ""en"", ""zh-cn""))
"),"5 件装 MK8/V6//火山黄铜喷嘴 PTFE 涂层喷嘴克隆 CHT MK8 V6 喷嘴适用于 CR10 Ender3 SWX1 3d 打印机热端挤出机")</f>
        <v>5 件装 MK8/V6//火山黄铜喷嘴 PTFE 涂层喷嘴克隆 CHT MK8 V6 喷嘴适用于 CR10 Ender3 SWX1 3d 打印机热端挤出机</v>
      </c>
      <c r="E1109" s="1" t="str">
        <f>IFERROR(__xludf.DUMMYFUNCTION("CONCATENATE(GOOGLETRANSLATE(C1109, ""en"", ""ko""))"),"5PCS MK8/V6//화산 황동 노즐 PTFE 코팅 노즐 클론 CHT MK8 V6 노즐 CR10 Ender3 SWX1 3d 프린터 핫 엔드 압출기")</f>
        <v>5PCS MK8/V6//화산 황동 노즐 PTFE 코팅 노즐 클론 CHT MK8 V6 노즐 CR10 Ender3 SWX1 3d 프린터 핫 엔드 압출기</v>
      </c>
      <c r="F1109" s="1" t="str">
        <f>IFERROR(__xludf.DUMMYFUNCTION("CONCATENATE(GOOGLETRANSLATE(C1109, ""en"", ""ja""))"),"5 個 MK8/V6//火山真鍮ノズル PTFE コーティングノズルクローン CHT MK8 V6 ノズル CR10 Ender3 SWX1 3d プリンタ Hotend 押出機")</f>
        <v>5 個 MK8/V6//火山真鍮ノズル PTFE コーティングノズルクローン CHT MK8 V6 ノズル CR10 Ender3 SWX1 3d プリンタ Hotend 押出機</v>
      </c>
    </row>
    <row r="1110" ht="15.75" customHeight="1">
      <c r="A1110" s="1">
        <v>3209.0</v>
      </c>
      <c r="B1110" s="1" t="s">
        <v>6</v>
      </c>
      <c r="C1110" s="1" t="s">
        <v>422</v>
      </c>
      <c r="D1110" s="1" t="str">
        <f>IFERROR(__xludf.DUMMYFUNCTION("CONCATENATE(GOOGLETRANSLATE(C1110, ""en"", ""zh-cn""))
"),"ACME Picardy II 沙发带 7 个枕头 - - 织物和古董珍珠")</f>
        <v>ACME Picardy II 沙发带 7 个枕头 - - 织物和古董珍珠</v>
      </c>
      <c r="E1110" s="1" t="str">
        <f>IFERROR(__xludf.DUMMYFUNCTION("CONCATENATE(GOOGLETRANSLATE(C1110, ""en"", ""ko""))"),"ACME 피카르디 II 소파 및 베개 7개 - - 패브릭 및 앤티크 진주")</f>
        <v>ACME 피카르디 II 소파 및 베개 7개 - - 패브릭 및 앤티크 진주</v>
      </c>
      <c r="F1110" s="1" t="str">
        <f>IFERROR(__xludf.DUMMYFUNCTION("CONCATENATE(GOOGLETRANSLATE(C1110, ""en"", ""ja""))"),"ACME Picardy II ソファ 枕 7 個付き - - ファブリック &amp; アンティーク パール")</f>
        <v>ACME Picardy II ソファ 枕 7 個付き - - ファブリック &amp; アンティーク パール</v>
      </c>
    </row>
    <row r="1111" ht="15.75" customHeight="1">
      <c r="A1111" s="1">
        <v>3228.0</v>
      </c>
      <c r="B1111" s="1" t="s">
        <v>6</v>
      </c>
      <c r="C1111" s="1" t="s">
        <v>1038</v>
      </c>
      <c r="D1111" s="1" t="str">
        <f>IFERROR(__xludf.DUMMYFUNCTION("CONCATENATE(GOOGLETRANSLATE(C1111, ""en"", ""zh-cn""))
"),"Jura E8 自动咖啡机 15270，64 盎司，钢琴黑")</f>
        <v>Jura E8 自动咖啡机 15270，64 盎司，钢琴黑</v>
      </c>
      <c r="E1111" s="1" t="str">
        <f>IFERROR(__xludf.DUMMYFUNCTION("CONCATENATE(GOOGLETRANSLATE(C1111, ""en"", ""ko""))"),"Jura E8 자동 커피 머신 15270,64온스, 피아노 블랙")</f>
        <v>Jura E8 자동 커피 머신 15270,64온스, 피아노 블랙</v>
      </c>
      <c r="F1111" s="1" t="str">
        <f>IFERROR(__xludf.DUMMYFUNCTION("CONCATENATE(GOOGLETRANSLATE(C1111, ""en"", ""ja""))"),"Jura E8 自動コーヒーマシン 15270、64 オンス、ピアノブラック")</f>
        <v>Jura E8 自動コーヒーマシン 15270、64 オンス、ピアノブラック</v>
      </c>
    </row>
    <row r="1112" ht="15.75" customHeight="1">
      <c r="A1112" s="1">
        <v>3245.0</v>
      </c>
      <c r="B1112" s="1" t="s">
        <v>6</v>
      </c>
      <c r="C1112" s="1" t="s">
        <v>1039</v>
      </c>
      <c r="D1112" s="1" t="str">
        <f>IFERROR(__xludf.DUMMYFUNCTION("CONCATENATE(GOOGLETRANSLATE(C1112, ""en"", ""zh-cn""))
"),"集装箱家具 Direct Lotus 中世纪现代天鹅绒软垫客厅卷臂、椅子、双人沙发和沙发，灰色")</f>
        <v>集装箱家具 Direct Lotus 中世纪现代天鹅绒软垫客厅卷臂、椅子、双人沙发和沙发，灰色</v>
      </c>
      <c r="E1112" s="1" t="str">
        <f>IFERROR(__xludf.DUMMYFUNCTION("CONCATENATE(GOOGLETRANSLATE(C1112, ""en"", ""ko""))"),"컨테이너 가구 다이렉트 로터스 미드 센츄리 모던 벨벳 덮개를 씌운 거실 롤 팔, 의자, 2인용 의자 및 소파, 그레이")</f>
        <v>컨테이너 가구 다이렉트 로터스 미드 센츄리 모던 벨벳 덮개를 씌운 거실 롤 팔, 의자, 2인용 의자 및 소파, 그레이</v>
      </c>
      <c r="F1112" s="1" t="str">
        <f>IFERROR(__xludf.DUMMYFUNCTION("CONCATENATE(GOOGLETRANSLATE(C1112, ""en"", ""ja""))"),"コンテナ家具ダイレクトロータスミッドセンチュリーモダンベルベット布張りリビングルームロールアーム、椅子、二人掛けソファ、グレー")</f>
        <v>コンテナ家具ダイレクトロータスミッドセンチュリーモダンベルベット布張りリビングルームロールアーム、椅子、二人掛けソファ、グレー</v>
      </c>
    </row>
    <row r="1113" ht="15.75" customHeight="1">
      <c r="A1113" s="1">
        <v>3249.0</v>
      </c>
      <c r="B1113" s="1" t="s">
        <v>6</v>
      </c>
      <c r="C1113" s="1" t="s">
        <v>1040</v>
      </c>
      <c r="D1113" s="1" t="str">
        <f>IFERROR(__xludf.DUMMYFUNCTION("CONCATENATE(GOOGLETRANSLATE(C1113, ""en"", ""zh-cn""))
"),"ACME 切姆斯福德厨具和自助餐 - - 古董灰褐色")</f>
        <v>ACME 切姆斯福德厨具和自助餐 - - 古董灰褐色</v>
      </c>
      <c r="E1113" s="1" t="str">
        <f>IFERROR(__xludf.DUMMYFUNCTION("CONCATENATE(GOOGLETRANSLATE(C1113, ""en"", ""ko""))"),"ACME 첼름스포드 허치 &amp; 뷔페 - - 앤틱 토프")</f>
        <v>ACME 첼름스포드 허치 &amp; 뷔페 - - 앤틱 토프</v>
      </c>
      <c r="F1113" s="1" t="str">
        <f>IFERROR(__xludf.DUMMYFUNCTION("CONCATENATE(GOOGLETRANSLATE(C1113, ""en"", ""ja""))"),"ACME チェルムスフォード ハッチ &amp; ビュッフェ - - アンティーク トープ")</f>
        <v>ACME チェルムスフォード ハッチ &amp; ビュッフェ - - アンティーク トープ</v>
      </c>
    </row>
    <row r="1114" ht="15.75" customHeight="1">
      <c r="A1114" s="1">
        <v>3272.0</v>
      </c>
      <c r="B1114" s="1" t="s">
        <v>6</v>
      </c>
      <c r="C1114" s="1" t="s">
        <v>1041</v>
      </c>
      <c r="D1114" s="1" t="str">
        <f>IFERROR(__xludf.DUMMYFUNCTION("CONCATENATE(GOOGLETRANSLATE(C1114, ""en"", ""zh-cn""))
"),"ACME Chantelle 东方特大号床 - - 玫瑰金 PU 和珍珠白")</f>
        <v>ACME Chantelle 东方特大号床 - - 玫瑰金 PU 和珍珠白</v>
      </c>
      <c r="E1114" s="1" t="str">
        <f>IFERROR(__xludf.DUMMYFUNCTION("CONCATENATE(GOOGLETRANSLATE(C1114, ""en"", ""ko""))"),"ACME Chantelle 이스턴 킹 베드 - - 로즈 골드 PU 및 펄 화이트")</f>
        <v>ACME Chantelle 이스턴 킹 베드 - - 로즈 골드 PU 및 펄 화이트</v>
      </c>
      <c r="F1114" s="1" t="str">
        <f>IFERROR(__xludf.DUMMYFUNCTION("CONCATENATE(GOOGLETRANSLATE(C1114, ""en"", ""ja""))"),"ACME シャンテル イースタン キング ベッド - - ローズゴールド PU &amp; パール ホワイト")</f>
        <v>ACME シャンテル イースタン キング ベッド - - ローズゴールド PU &amp; パール ホワイト</v>
      </c>
    </row>
    <row r="1115" ht="15.75" customHeight="1">
      <c r="A1115" s="1">
        <v>3308.0</v>
      </c>
      <c r="B1115" s="1" t="s">
        <v>6</v>
      </c>
      <c r="C1115" s="1" t="s">
        <v>1042</v>
      </c>
      <c r="D1115" s="1" t="str">
        <f>IFERROR(__xludf.DUMMYFUNCTION("CONCATENATE(GOOGLETRANSLATE(C1115, ""en"", ""zh-cn""))
"),"Meridian 家具 Lola 系列 现代 |现代天鹅绒软垫沙发，带金色黑色腿和槽形簇绒设计，85 宽 x 35 深 x 33.5 高，橄榄色")</f>
        <v>Meridian 家具 Lola 系列 现代 |现代天鹅绒软垫沙发，带金色黑色腿和槽形簇绒设计，85 宽 x 35 深 x 33.5 高，橄榄色</v>
      </c>
      <c r="E1115" s="1" t="str">
        <f>IFERROR(__xludf.DUMMYFUNCTION("CONCATENATE(GOOGLETRANSLATE(C1115, ""en"", ""ko""))"),"자오선 가구 롤라 컬렉션 현대 | 골드 팁 블랙 다리와 채널 터프티드 디자인을 갖춘 현대적인 벨벳 커버 소파, 85 W x 35 D x 33.5 H, 올리브")</f>
        <v>자오선 가구 롤라 컬렉션 현대 | 골드 팁 블랙 다리와 채널 터프티드 디자인을 갖춘 현대적인 벨벳 커버 소파, 85 W x 35 D x 33.5 H, 올리브</v>
      </c>
      <c r="F1115" s="1" t="str">
        <f>IFERROR(__xludf.DUMMYFUNCTION("CONCATENATE(GOOGLETRANSLATE(C1115, ""en"", ""ja""))"),"メリディアン家具 Lola コレクション モダン |現代的なベルベット布張りのソファ、ゴールド先端の黒い脚とチャンネルタフテッドデザイン、幅85 x 奥行き35 x 高さ33.5、オリーブ")</f>
        <v>メリディアン家具 Lola コレクション モダン |現代的なベルベット布張りのソファ、ゴールド先端の黒い脚とチャンネルタフテッドデザイン、幅85 x 奥行き35 x 高さ33.5、オリーブ</v>
      </c>
    </row>
    <row r="1116" ht="15.75" customHeight="1">
      <c r="A1116" s="1">
        <v>3319.0</v>
      </c>
      <c r="B1116" s="1" t="s">
        <v>6</v>
      </c>
      <c r="C1116" s="1" t="s">
        <v>1043</v>
      </c>
      <c r="D1116" s="1" t="str">
        <f>IFERROR(__xludf.DUMMYFUNCTION("CONCATENATE(GOOGLETRANSLATE(C1116, ""en"", ""zh-cn""))
"),"Acme Furniture 德累斯顿电视柜，复古骨白色")</f>
        <v>Acme Furniture 德累斯顿电视柜，复古骨白色</v>
      </c>
      <c r="E1116" s="1" t="str">
        <f>IFERROR(__xludf.DUMMYFUNCTION("CONCATENATE(GOOGLETRANSLATE(C1116, ""en"", ""ko""))"),"Acme 가구 드레스덴 TV 콘솔, 빈티지 본 화이트")</f>
        <v>Acme 가구 드레스덴 TV 콘솔, 빈티지 본 화이트</v>
      </c>
      <c r="F1116" s="1" t="str">
        <f>IFERROR(__xludf.DUMMYFUNCTION("CONCATENATE(GOOGLETRANSLATE(C1116, ""en"", ""ja""))"),"Acme Furniture ドレスデン TV コンソール、ヴィンテージ ボーン ホワイト")</f>
        <v>Acme Furniture ドレスデン TV コンソール、ヴィンテージ ボーン ホワイト</v>
      </c>
    </row>
    <row r="1117" ht="15.75" customHeight="1">
      <c r="A1117" s="1">
        <v>3346.0</v>
      </c>
      <c r="B1117" s="1" t="s">
        <v>6</v>
      </c>
      <c r="C1117" s="1" t="s">
        <v>1044</v>
      </c>
      <c r="D1117" s="1" t="str">
        <f>IFERROR(__xludf.DUMMYFUNCTION("CONCATENATE(GOOGLETRANSLATE(C1117, ""en"", ""zh-cn""))
"),"Merax L 形组合沙发床，带储物脚凳和客厅躺椅，小公寓双人沙发，米色_亚麻")</f>
        <v>Merax L 形组合沙发床，带储物脚凳和客厅躺椅，小公寓双人沙发，米色_亚麻</v>
      </c>
      <c r="E1117" s="1" t="str">
        <f>IFERROR(__xludf.DUMMYFUNCTION("CONCATENATE(GOOGLETRANSLATE(C1117, ""en"", ""ko""))"),"메락스 L자형 단면 소파 소파 슬리퍼 침대(거실용 수납 오토만 및 긴 의자 포함), 소형 아파트 러브 시트, Beige_Linen")</f>
        <v>메락스 L자형 단면 소파 소파 슬리퍼 침대(거실용 수납 오토만 및 긴 의자 포함), 소형 아파트 러브 시트, Beige_Linen</v>
      </c>
      <c r="F1117" s="1" t="str">
        <f>IFERROR(__xludf.DUMMYFUNCTION("CONCATENATE(GOOGLETRANSLATE(C1117, ""en"", ""ja""))"),"Merax L 字型セクショナルソファカウチスリーパーベッド、収納オットマンと長椅子付き、リビングルーム用、小さなアパート用ラブシート、ベージュ_リネン")</f>
        <v>Merax L 字型セクショナルソファカウチスリーパーベッド、収納オットマンと長椅子付き、リビングルーム用、小さなアパート用ラブシート、ベージュ_リネン</v>
      </c>
    </row>
    <row r="1118" ht="15.75" customHeight="1">
      <c r="A1118" s="1">
        <v>3347.0</v>
      </c>
      <c r="B1118" s="1" t="s">
        <v>6</v>
      </c>
      <c r="C1118" s="1" t="s">
        <v>1045</v>
      </c>
      <c r="D1118" s="1" t="str">
        <f>IFERROR(__xludf.DUMMYFUNCTION("CONCATENATE(GOOGLETRANSLATE(C1118, ""en"", ""zh-cn""))
"),"灰色 Poundex 仿亚麻布艺沙发")</f>
        <v>灰色 Poundex 仿亚麻布艺沙发</v>
      </c>
      <c r="E1118" s="1" t="str">
        <f>IFERROR(__xludf.DUMMYFUNCTION("CONCATENATE(GOOGLETRANSLATE(C1118, ""en"", ""ko""))"),"그레이 색상의 Poundex 린넨 같은 패브릭 소파")</f>
        <v>그레이 색상의 Poundex 린넨 같은 패브릭 소파</v>
      </c>
      <c r="F1118" s="1" t="str">
        <f>IFERROR(__xludf.DUMMYFUNCTION("CONCATENATE(GOOGLETRANSLATE(C1118, ""en"", ""ja""))"),"Poundex リネンライクファブリックソファ、グレー")</f>
        <v>Poundex リネンライクファブリックソファ、グレー</v>
      </c>
    </row>
    <row r="1119" ht="15.75" customHeight="1">
      <c r="A1119" s="1">
        <v>3370.0</v>
      </c>
      <c r="B1119" s="1" t="s">
        <v>6</v>
      </c>
      <c r="C1119" s="1" t="s">
        <v>1046</v>
      </c>
      <c r="D1119" s="1" t="str">
        <f>IFERROR(__xludf.DUMMYFUNCTION("CONCATENATE(GOOGLETRANSLATE(C1119, ""en"", ""zh-cn""))
"),"Casa Andrea Milano LLC 现代大型天鹅绒布艺组合沙发 L 形沙发，带超宽躺椅，板岩")</f>
        <v>Casa Andrea Milano LLC 现代大型天鹅绒布艺组合沙发 L 形沙发，带超宽躺椅，板岩</v>
      </c>
      <c r="E1119" s="1" t="str">
        <f>IFERROR(__xludf.DUMMYFUNCTION("CONCATENATE(GOOGLETRANSLATE(C1119, ""en"", ""ko""))"),"Casa Andrea Milano LLC 현대적인 대형 벨벳 패브릭 단면 소파 L자형 소파(매우 넓은 긴 의자 라운지, 슬레이트 포함)")</f>
        <v>Casa Andrea Milano LLC 현대적인 대형 벨벳 패브릭 단면 소파 L자형 소파(매우 넓은 긴 의자 라운지, 슬레이트 포함)</v>
      </c>
      <c r="F1119" s="1" t="str">
        <f>IFERROR(__xludf.DUMMYFUNCTION("CONCATENATE(GOOGLETRANSLATE(C1119, ""en"", ""ja""))"),"Casa Andrea Milano LLC モダンな大型ベルベット生地セクショナルソファ L 字型ソファ、エクストラワイド長椅子付き、スレート")</f>
        <v>Casa Andrea Milano LLC モダンな大型ベルベット生地セクショナルソファ L 字型ソファ、エクストラワイド長椅子付き、スレート</v>
      </c>
    </row>
    <row r="1120" ht="15.75" customHeight="1">
      <c r="A1120" s="1">
        <v>3374.0</v>
      </c>
      <c r="B1120" s="1" t="s">
        <v>6</v>
      </c>
      <c r="C1120" s="1" t="s">
        <v>1047</v>
      </c>
      <c r="D1120" s="1" t="str">
        <f>IFERROR(__xludf.DUMMYFUNCTION("CONCATENATE(GOOGLETRANSLATE(C1120, ""en"", ""zh-cn""))
"),"BALUS 双面组合沙发床，带储物躺椅，83 英寸 L 形组合沙发，天鹅绒软垫拉出式沙发床沙发，适用于客厅、办公室和小型公寓（深灰色）")</f>
        <v>BALUS 双面组合沙发床，带储物躺椅，83 英寸 L 形组合沙发，天鹅绒软垫拉出式沙发床沙发，适用于客厅、办公室和小型公寓（深灰色）</v>
      </c>
      <c r="E1120" s="1" t="str">
        <f>IFERROR(__xludf.DUMMYFUNCTION("CONCATENATE(GOOGLETRANSLATE(C1120, ""en"", ""ko""))"),"BALUS 수납 의자가 있는 양면형 단면 슬리퍼 소파, 83인치 L자형 단면 소파 소파, 거실용 벨벳 겉천을 씌운 풀아웃 소파 베드 소파, 사무실 및 소형 아파트(진한 회색)")</f>
        <v>BALUS 수납 의자가 있는 양면형 단면 슬리퍼 소파, 83인치 L자형 단면 소파 소파, 거실용 벨벳 겉천을 씌운 풀아웃 소파 베드 소파, 사무실 및 소형 아파트(진한 회색)</v>
      </c>
      <c r="F1120" s="1" t="str">
        <f>IFERROR(__xludf.DUMMYFUNCTION("CONCATENATE(GOOGLETRANSLATE(C1120, ""en"", ""ja""))"),"BALUS リバーシブルセクショナルスリーパーソファ 収納長椅子付き、83インチ L字型セクショナルソファカウチ、ベルベット布張りの引き出し式ソファベッドカウチ、リビングルーム、オフィス、小規模アパート用 (ダークグレー)")</f>
        <v>BALUS リバーシブルセクショナルスリーパーソファ 収納長椅子付き、83インチ L字型セクショナルソファカウチ、ベルベット布張りの引き出し式ソファベッドカウチ、リビングルーム、オフィス、小規模アパート用 (ダークグレー)</v>
      </c>
    </row>
    <row r="1121" ht="15.75" customHeight="1">
      <c r="A1121" s="1">
        <v>3383.0</v>
      </c>
      <c r="B1121" s="1" t="s">
        <v>6</v>
      </c>
      <c r="C1121" s="1" t="s">
        <v>1048</v>
      </c>
      <c r="D1121" s="1" t="str">
        <f>IFERROR(__xludf.DUMMYFUNCTION("CONCATENATE(GOOGLETRANSLATE(C1121, ""en"", ""zh-cn""))
"),"Belffin 敞篷组合沙发布艺沙发带躺椅双面转角沙发家具 L 形 4 座沙发蓝灰色")</f>
        <v>Belffin 敞篷组合沙发布艺沙发带躺椅双面转角沙发家具 L 形 4 座沙发蓝灰色</v>
      </c>
      <c r="E1121" s="1" t="str">
        <f>IFERROR(__xludf.DUMMYFUNCTION("CONCATENATE(GOOGLETRANSLATE(C1121, ""en"", ""ko""))"),"Belffin 컨버터블 단면 소파 패브릭 소파(의자 포함) 가역 코너 소파 가구 L자형 4인용 소파 청회색")</f>
        <v>Belffin 컨버터블 단면 소파 패브릭 소파(의자 포함) 가역 코너 소파 가구 L자형 4인용 소파 청회색</v>
      </c>
      <c r="F1121" s="1" t="str">
        <f>IFERROR(__xludf.DUMMYFUNCTION("CONCATENATE(GOOGLETRANSLATE(C1121, ""en"", ""ja""))"),"Belffin コンバーチブルセクショナルソファ ファブリックソファ 長椅子付き リバーシブルコーナーソファ家具 L字型 4人掛けソファ ブルーイッシュグレー")</f>
        <v>Belffin コンバーチブルセクショナルソファ ファブリックソファ 長椅子付き リバーシブルコーナーソファ家具 L字型 4人掛けソファ ブルーイッシュグレー</v>
      </c>
    </row>
    <row r="1122" ht="15.75" customHeight="1">
      <c r="A1122" s="1">
        <v>3388.0</v>
      </c>
      <c r="B1122" s="1" t="s">
        <v>6</v>
      </c>
      <c r="C1122" s="1" t="s">
        <v>1049</v>
      </c>
      <c r="D1122" s="1" t="str">
        <f>IFERROR(__xludf.DUMMYFUNCTION("CONCATENATE(GOOGLETRANSLATE(C1122, ""en"", ""zh-cn""))
"),"亚马逊品牌 – Stone &amp; Beam Blaine 现代软垫客厅特色椅子，32.3W，海军蓝")</f>
        <v>亚马逊品牌 – Stone &amp; Beam Blaine 现代软垫客厅特色椅子，32.3W，海军蓝</v>
      </c>
      <c r="E1122" s="1" t="str">
        <f>IFERROR(__xludf.DUMMYFUNCTION("CONCATENATE(GOOGLETRANSLATE(C1122, ""en"", ""ko""))"),"Amazon 브랜드 – Stone &amp; Beam Blaine 모던한 덮개를 씌운 거실용 악센트 의자, 32.3W, 네이비 블루")</f>
        <v>Amazon 브랜드 – Stone &amp; Beam Blaine 모던한 덮개를 씌운 거실용 악센트 의자, 32.3W, 네이비 블루</v>
      </c>
      <c r="F1122" s="1" t="str">
        <f>IFERROR(__xludf.DUMMYFUNCTION("CONCATENATE(GOOGLETRANSLATE(C1122, ""en"", ""ja""))"),"Amazon ブランド – Stone &amp; Beam Blaine モダン布張りリビングルームアクセントチェア、32.3W、ネイビーブルー")</f>
        <v>Amazon ブランド – Stone &amp; Beam Blaine モダン布張りリビングルームアクセントチェア、32.3W、ネイビーブルー</v>
      </c>
    </row>
    <row r="1123" ht="15.75" customHeight="1">
      <c r="A1123" s="1">
        <v>3391.0</v>
      </c>
      <c r="B1123" s="1" t="s">
        <v>6</v>
      </c>
      <c r="C1123" s="1" t="s">
        <v>1050</v>
      </c>
      <c r="D1123" s="1" t="str">
        <f>IFERROR(__xludf.DUMMYFUNCTION("CONCATENATE(GOOGLETRANSLATE(C1123, ""en"", ""zh-cn""))
"),"飞利浦 3200 系列全自动浓缩咖啡机 - 经典奶泡机，4 种咖啡品种，直观触摸显示屏，黑色，(EP3221/44)")</f>
        <v>飞利浦 3200 系列全自动浓缩咖啡机 - 经典奶泡机，4 种咖啡品种，直观触摸显示屏，黑色，(EP3221/44)</v>
      </c>
      <c r="E1123" s="1" t="str">
        <f>IFERROR(__xludf.DUMMYFUNCTION("CONCATENATE(GOOGLETRANSLATE(C1123, ""en"", ""ko""))"),"PHILIPS 3200 시리즈 전자동 에스프레소 머신 - 클래식 우유 거품기, 4가지 커피 품종, 직관적인 터치 디스플레이, 블랙, (EP3221/44)")</f>
        <v>PHILIPS 3200 시리즈 전자동 에스프레소 머신 - 클래식 우유 거품기, 4가지 커피 품종, 직관적인 터치 디스플레이, 블랙, (EP3221/44)</v>
      </c>
      <c r="F1123" s="1" t="str">
        <f>IFERROR(__xludf.DUMMYFUNCTION("CONCATENATE(GOOGLETRANSLATE(C1123, ""en"", ""ja""))"),"PHILIPS 3200 シリーズ全自動エスプレッソマシン - クラシックミルク泡立て器、4種類のコーヒー、直感的なタッチディスプレイ、ブラック、(EP3221/44)")</f>
        <v>PHILIPS 3200 シリーズ全自動エスプレッソマシン - クラシックミルク泡立て器、4種類のコーヒー、直感的なタッチディスプレイ、ブラック、(EP3221/44)</v>
      </c>
    </row>
    <row r="1124" ht="15.75" customHeight="1">
      <c r="A1124" s="1">
        <v>3398.0</v>
      </c>
      <c r="B1124" s="1" t="s">
        <v>6</v>
      </c>
      <c r="C1124" s="1" t="s">
        <v>1051</v>
      </c>
      <c r="D1124" s="1" t="str">
        <f>IFERROR(__xludf.DUMMYFUNCTION("CONCATENATE(GOOGLETRANSLATE(C1124, ""en"", ""zh-cn""))
"),"全新经典家具 Glam Emma 天鹅绒三座切斯特菲尔德风格沙发，适合小空间，带水晶纽扣簇绒，黑色")</f>
        <v>全新经典家具 Glam Emma 天鹅绒三座切斯特菲尔德风格沙发，适合小空间，带水晶纽扣簇绒，黑色</v>
      </c>
      <c r="E1124" s="1" t="str">
        <f>IFERROR(__xludf.DUMMYFUNCTION("CONCATENATE(GOOGLETRANSLATE(C1124, ""en"", ""ko""))"),"작은 공간을 위한 새로운 클래식 가구 글램 엠마 벨벳 3인용 체스터필드 스타일 소파, 크리스탈 버튼 장식, 블랙")</f>
        <v>작은 공간을 위한 새로운 클래식 가구 글램 엠마 벨벳 3인용 체스터필드 스타일 소파, 크리스탈 버튼 장식, 블랙</v>
      </c>
      <c r="F1124" s="1" t="str">
        <f>IFERROR(__xludf.DUMMYFUNCTION("CONCATENATE(GOOGLETRANSLATE(C1124, ""en"", ""ja""))"),"ニュークラシック家具 Glam Emma ベルベット 3 人掛けチェスターフィールドスタイルソファ、小さなスペース用、クリスタルボタン房付き、ブラック")</f>
        <v>ニュークラシック家具 Glam Emma ベルベット 3 人掛けチェスターフィールドスタイルソファ、小さなスペース用、クリスタルボタン房付き、ブラック</v>
      </c>
    </row>
    <row r="1125" ht="15.75" customHeight="1">
      <c r="A1125" s="1">
        <v>3403.0</v>
      </c>
      <c r="B1125" s="1" t="s">
        <v>6</v>
      </c>
      <c r="C1125" s="1" t="s">
        <v>1052</v>
      </c>
      <c r="D1125" s="1" t="str">
        <f>IFERROR(__xludf.DUMMYFUNCTION("CONCATENATE(GOOGLETRANSLATE(C1125, ""en"", ""zh-cn""))
"),"Nolany 敞篷组合沙发 L 形沙发沙发，带储物 双面组合沙发，适合小空间，深灰色")</f>
        <v>Nolany 敞篷组合沙发 L 形沙发沙发，带储物 双面组合沙发，适合小空间，深灰色</v>
      </c>
      <c r="E1125" s="1" t="str">
        <f>IFERROR(__xludf.DUMMYFUNCTION("CONCATENATE(GOOGLETRANSLATE(C1125, ""en"", ""ko""))"),"Nolany 컨버터블 단면 소파 작은 공간, 짙은 회색을 위한 보관용 양면 단면 소파가 있는 L 모양의 소파 소파")</f>
        <v>Nolany 컨버터블 단면 소파 작은 공간, 짙은 회색을 위한 보관용 양면 단면 소파가 있는 L 모양의 소파 소파</v>
      </c>
      <c r="F1125" s="1" t="str">
        <f>IFERROR(__xludf.DUMMYFUNCTION("CONCATENATE(GOOGLETRANSLATE(C1125, ""en"", ""ja""))"),"Nolany コンバーチブルセクショナルソファ L 字型ソファ カウチ 収納付き リバーシブルセクショナルソファ 狭いスペース用 ダークグレー")</f>
        <v>Nolany コンバーチブルセクショナルソファ L 字型ソファ カウチ 収納付き リバーシブルセクショナルソファ 狭いスペース用 ダークグレー</v>
      </c>
    </row>
    <row r="1126" ht="15.75" customHeight="1">
      <c r="A1126" s="1">
        <v>3411.0</v>
      </c>
      <c r="B1126" s="1" t="s">
        <v>6</v>
      </c>
      <c r="C1126" s="1" t="s">
        <v>1053</v>
      </c>
      <c r="D1126" s="1" t="str">
        <f>IFERROR(__xludf.DUMMYFUNCTION("CONCATENATE(GOOGLETRANSLATE(C1126, ""en"", ""zh-cn""))
"),"Edenbrook Archer 软垫沙发 – 客厅沙发 - 木炭软垫沙发 - 客厅家具 - 小沙发 - 三个座位 - 直臂现代沙发")</f>
        <v>Edenbrook Archer 软垫沙发 – 客厅沙发 - 木炭软垫沙发 - 客厅家具 - 小沙发 - 三个座位 - 直臂现代沙发</v>
      </c>
      <c r="E1126" s="1" t="str">
        <f>IFERROR(__xludf.DUMMYFUNCTION("CONCATENATE(GOOGLETRANSLATE(C1126, ""en"", ""ko""))"),"Edenbrook Archer 덮개를 씌운 소파 – 거실용 소파 - 차콜 덮개를 씌운 소파 - 거실 가구 - 작은 소파 - 3인용 - 스트레이트 암 모던 소파")</f>
        <v>Edenbrook Archer 덮개를 씌운 소파 – 거실용 소파 - 차콜 덮개를 씌운 소파 - 거실 가구 - 작은 소파 - 3인용 - 스트레이트 암 모던 소파</v>
      </c>
      <c r="F1126" s="1" t="str">
        <f>IFERROR(__xludf.DUMMYFUNCTION("CONCATENATE(GOOGLETRANSLATE(C1126, ""en"", ""ja""))"),"エデンブルック アーチャー 布張りカウチ – リビングルーム用カウチ – チャコール布張りカウチ – リビングルーム用家具 – 小さなカウチ – 3人掛け – ストレートアームモダンカウチ")</f>
        <v>エデンブルック アーチャー 布張りカウチ – リビングルーム用カウチ – チャコール布張りカウチ – リビングルーム用家具 – 小さなカウチ – 3人掛け – ストレートアームモダンカウチ</v>
      </c>
    </row>
    <row r="1127" ht="15.75" customHeight="1">
      <c r="A1127" s="1">
        <v>3429.0</v>
      </c>
      <c r="B1127" s="1" t="s">
        <v>6</v>
      </c>
      <c r="C1127" s="1" t="s">
        <v>1054</v>
      </c>
      <c r="D1127" s="1" t="str">
        <f>IFERROR(__xludf.DUMMYFUNCTION("CONCATENATE(GOOGLETRANSLATE(C1127, ""en"", ""zh-cn""))
"),"PaPaJet 沙发床，带储物躺椅的沙发床 - 2 合 1 客厅拉出沙发床，带拉出床的组合沙发灰色")</f>
        <v>PaPaJet 沙发床，带储物躺椅的沙发床 - 2 合 1 客厅拉出沙发床，带拉出床的组合沙发灰色</v>
      </c>
      <c r="E1127" s="1" t="str">
        <f>IFERROR(__xludf.DUMMYFUNCTION("CONCATENATE(GOOGLETRANSLATE(C1127, ""en"", ""ko""))"),"PaPaJet 슬리퍼 소파, 수납용 의자가 있는 소파 베드-거실용 풀아웃 소파 베드 1개, 풀아웃 침대가 있는 단면 소파 그레이")</f>
        <v>PaPaJet 슬리퍼 소파, 수납용 의자가 있는 소파 베드-거실용 풀아웃 소파 베드 1개, 풀아웃 침대가 있는 단면 소파 그레이</v>
      </c>
      <c r="F1127" s="1" t="str">
        <f>IFERROR(__xludf.DUMMYFUNCTION("CONCATENATE(GOOGLETRANSLATE(C1127, ""en"", ""ja""))"),"PaPaJet スリーパーソファ、収納長椅子付きソファベッド、リビングルーム用 2 in 1 引き出し式カウチベッド、引き出し式ベッド付きセクショナルソファ グレー")</f>
        <v>PaPaJet スリーパーソファ、収納長椅子付きソファベッド、リビングルーム用 2 in 1 引き出し式カウチベッド、引き出し式ベッド付きセクショナルソファ グレー</v>
      </c>
    </row>
    <row r="1128" ht="15.75" customHeight="1">
      <c r="A1128" s="1">
        <v>3440.0</v>
      </c>
      <c r="B1128" s="1" t="s">
        <v>6</v>
      </c>
      <c r="C1128" s="1" t="s">
        <v>1055</v>
      </c>
      <c r="D1128" s="1" t="str">
        <f>IFERROR(__xludf.DUMMYFUNCTION("CONCATENATE(GOOGLETRANSLATE(C1128, ""en"", ""zh-cn""))
"),"Breville Combi Wave 三合一微波炉、空气炸锅和烤面包机，拉丝不锈钢，BMO870BSS1BUC1")</f>
        <v>Breville Combi Wave 三合一微波炉、空气炸锅和烤面包机，拉丝不锈钢，BMO870BSS1BUC1</v>
      </c>
      <c r="E1128" s="1" t="str">
        <f>IFERROR(__xludf.DUMMYFUNCTION("CONCATENATE(GOOGLETRANSLATE(C1128, ""en"", ""ko""))"),"브레빌 콤비 웨이브 3-in-1 전자레인지, 에어프라이어, 토스터 오븐, 브러시드 스테인레스 스틸, BMO870BSS1BUC1")</f>
        <v>브레빌 콤비 웨이브 3-in-1 전자레인지, 에어프라이어, 토스터 오븐, 브러시드 스테인레스 스틸, BMO870BSS1BUC1</v>
      </c>
      <c r="F1128" s="1" t="str">
        <f>IFERROR(__xludf.DUMMYFUNCTION("CONCATENATE(GOOGLETRANSLATE(C1128, ""en"", ""ja""))"),"Breville Combi Wave 3-in-1 電子レンジ、エアフライヤー、オーブントースター、つや消しステンレススチール、BMO870BSS1BUC1")</f>
        <v>Breville Combi Wave 3-in-1 電子レンジ、エアフライヤー、オーブントースター、つや消しステンレススチール、BMO870BSS1BUC1</v>
      </c>
    </row>
    <row r="1129" ht="15.75" customHeight="1">
      <c r="A1129" s="1">
        <v>3448.0</v>
      </c>
      <c r="B1129" s="1" t="s">
        <v>6</v>
      </c>
      <c r="C1129" s="1" t="s">
        <v>1056</v>
      </c>
      <c r="D1129" s="1" t="str">
        <f>IFERROR(__xludf.DUMMYFUNCTION("CONCATENATE(GOOGLETRANSLATE(C1129, ""en"", ""zh-cn""))
"),"Janoray 农舍餐椅 4 件套，带木制圆形皮革软垫靠背和座椅，适用于餐厅厨房 - 棕色")</f>
        <v>Janoray 农舍餐椅 4 件套，带木制圆形皮革软垫靠背和座椅，适用于餐厅厨房 - 棕色</v>
      </c>
      <c r="E1129" s="1" t="str">
        <f>IFERROR(__xludf.DUMMYFUNCTION("CONCATENATE(GOOGLETRANSLATE(C1129, ""en"", ""ko""))"),"Janoray 농가 식당 의자 4개 세트, 나무 둥근 가죽 덮개를 씌운 등받이와 다이닝 룸 주방용 좌석 - 브라운")</f>
        <v>Janoray 농가 식당 의자 4개 세트, 나무 둥근 가죽 덮개를 씌운 등받이와 다이닝 룸 주방용 좌석 - 브라운</v>
      </c>
      <c r="F1129" s="1" t="str">
        <f>IFERROR(__xludf.DUMMYFUNCTION("CONCATENATE(GOOGLETRANSLATE(C1129, ""en"", ""ja""))"),"Janoray ファームハウス ダイニングチェア 4 脚セット 木製ラウンドレザー張りの背もたれと座面付き ダイニングルーム キッチン用 - ブラウン")</f>
        <v>Janoray ファームハウス ダイニングチェア 4 脚セット 木製ラウンドレザー張りの背もたれと座面付き ダイニングルーム キッチン用 - ブラウン</v>
      </c>
    </row>
    <row r="1130" ht="15.75" customHeight="1">
      <c r="A1130" s="1">
        <v>3466.0</v>
      </c>
      <c r="B1130" s="1" t="s">
        <v>6</v>
      </c>
      <c r="C1130" s="1" t="s">
        <v>1057</v>
      </c>
      <c r="D1130" s="1" t="str">
        <f>IFERROR(__xludf.DUMMYFUNCTION("CONCATENATE(GOOGLETRANSLATE(C1130, ""en"", ""zh-cn""))
"),"Lilola Home Lucca 浅灰色亚麻双面沙发组合沙发带储物躺椅")</f>
        <v>Lilola Home Lucca 浅灰色亚麻双面沙发组合沙发带储物躺椅</v>
      </c>
      <c r="E1130" s="1" t="str">
        <f>IFERROR(__xludf.DUMMYFUNCTION("CONCATENATE(GOOGLETRANSLATE(C1130, ""en"", ""ko""))"),"Lilola 홈 루카 라이트 그레이 리넨 양면 슬리퍼 단면 소파(수납용 의자 포함)")</f>
        <v>Lilola 홈 루카 라이트 그레이 리넨 양면 슬리퍼 단면 소파(수납용 의자 포함)</v>
      </c>
      <c r="F1130" s="1" t="str">
        <f>IFERROR(__xludf.DUMMYFUNCTION("CONCATENATE(GOOGLETRANSLATE(C1130, ""en"", ""ja""))"),"リロラ ホーム ルッカ ライトグレー リネン リバーシブル スリーパー セクショナル ソファ 収納長椅子付き")</f>
        <v>リロラ ホーム ルッカ ライトグレー リネン リバーシブル スリーパー セクショナル ソファ 収納長椅子付き</v>
      </c>
    </row>
    <row r="1131" ht="15.75" customHeight="1">
      <c r="A1131" s="1">
        <v>3513.0</v>
      </c>
      <c r="B1131" s="1" t="s">
        <v>6</v>
      </c>
      <c r="C1131" s="1" t="s">
        <v>1058</v>
      </c>
      <c r="D1131" s="1" t="str">
        <f>IFERROR(__xludf.DUMMYFUNCTION("CONCATENATE(GOOGLETRANSLATE(C1131, ""en"", ""zh-cn""))
"),"HP 2022 Victus 15.6 144Hz FHD IPS 游戏笔记本电脑，英特尔酷睿 i7-11800H 处理器，64GB RAM，2TB PCIe SSD，背光键盘，NVIDIA GeForce RTX 3050Ti 显卡，Windows 11，黑色，32GB USB 卡")</f>
        <v>HP 2022 Victus 15.6 144Hz FHD IPS 游戏笔记本电脑，英特尔酷睿 i7-11800H 处理器，64GB RAM，2TB PCIe SSD，背光键盘，NVIDIA GeForce RTX 3050Ti 显卡，Windows 11，黑色，32GB USB 卡</v>
      </c>
      <c r="E1131" s="1" t="str">
        <f>IFERROR(__xludf.DUMMYFUNCTION("CONCATENATE(GOOGLETRANSLATE(C1131, ""en"", ""ko""))"),"HP 2022 Victus 15.6 144Hz FHD IPS 게이밍 노트북, Intel Core i7-11800H 프로세서, 64GB RAM, 2TB PCIe SSD, 백라이트 키보드, NVIDIA GeForce RTX 3050Ti 그래픽, Windows 11, 블랙, 32GB USB 카드")</f>
        <v>HP 2022 Victus 15.6 144Hz FHD IPS 게이밍 노트북, Intel Core i7-11800H 프로세서, 64GB RAM, 2TB PCIe SSD, 백라이트 키보드, NVIDIA GeForce RTX 3050Ti 그래픽, Windows 11, 블랙, 32GB USB 카드</v>
      </c>
      <c r="F1131" s="1" t="str">
        <f>IFERROR(__xludf.DUMMYFUNCTION("CONCATENATE(GOOGLETRANSLATE(C1131, ""en"", ""ja""))"),"HP 2022 Victus 15.6 144Hz FHD IPS ゲーミング ラップトップ、Intel Core i7-11800H プロセッサー、64GB RAM、2TB PCIe SSD、バックライト付きキーボード、NVIDIA GeForce RTX 3050Ti グラフィックス、Windows 11、ブラック、32GB USB カード")</f>
        <v>HP 2022 Victus 15.6 144Hz FHD IPS ゲーミング ラップトップ、Intel Core i7-11800H プロセッサー、64GB RAM、2TB PCIe SSD、バックライト付きキーボード、NVIDIA GeForce RTX 3050Ti グラフィックス、Windows 11、ブラック、32GB USB カード</v>
      </c>
    </row>
    <row r="1132" ht="15.75" customHeight="1">
      <c r="A1132" s="1">
        <v>3539.0</v>
      </c>
      <c r="B1132" s="1" t="s">
        <v>6</v>
      </c>
      <c r="C1132" s="1" t="s">
        <v>1059</v>
      </c>
      <c r="D1132" s="1" t="str">
        <f>IFERROR(__xludf.DUMMYFUNCTION("CONCATENATE(GOOGLETRANSLATE(C1132, ""en"", ""zh-cn""))
"),"戴尔 Latitude 5000 系列 5420 商务笔记本电脑，14 英寸全高清触摸屏，英特尔酷睿 i5-1145G7 处理器，32GB RAM，512GB SSD，网络摄像头，HDMI，RJ45，多媒体读卡器，背光 KB，Wi-Fi 6，Windows 11 Pro")</f>
        <v>戴尔 Latitude 5000 系列 5420 商务笔记本电脑，14 英寸全高清触摸屏，英特尔酷睿 i5-1145G7 处理器，32GB RAM，512GB SSD，网络摄像头，HDMI，RJ45，多媒体读卡器，背光 KB，Wi-Fi 6，Windows 11 Pro</v>
      </c>
      <c r="E1132" s="1" t="str">
        <f>IFERROR(__xludf.DUMMYFUNCTION("CONCATENATE(GOOGLETRANSLATE(C1132, ""en"", ""ko""))"),"Dell Latitude 5000 시리즈 5420 비즈니스 노트북, FHD 터치스크린 14개, Intel Core i5-1145G7 프로세서, 32GB RAM, 512GB SSD, 웹캠, HDMI, RJ45, 미디어 카드 리더기, 백라이트 KB, Wi-Fi 6, Windows 11 Pro")</f>
        <v>Dell Latitude 5000 시리즈 5420 비즈니스 노트북, FHD 터치스크린 14개, Intel Core i5-1145G7 프로세서, 32GB RAM, 512GB SSD, 웹캠, HDMI, RJ45, 미디어 카드 리더기, 백라이트 KB, Wi-Fi 6, Windows 11 Pro</v>
      </c>
      <c r="F1132" s="1" t="str">
        <f>IFERROR(__xludf.DUMMYFUNCTION("CONCATENATE(GOOGLETRANSLATE(C1132, ""en"", ""ja""))"),"Dell Latitude 5000 シリーズ 5420 ビジネス ノートパソコン、14 FHD タッチスクリーン、Intel Core i5-1145G7 プロセッサー、32GB RAM、512GB SSD、ウェブカメラ、HDMI、RJ45、メディア カード リーダー、バックライト付き KB、Wi-Fi 6、Windows 11 Pro")</f>
        <v>Dell Latitude 5000 シリーズ 5420 ビジネス ノートパソコン、14 FHD タッチスクリーン、Intel Core i5-1145G7 プロセッサー、32GB RAM、512GB SSD、ウェブカメラ、HDMI、RJ45、メディア カード リーダー、バックライト付き KB、Wi-Fi 6、Windows 11 Pro</v>
      </c>
    </row>
    <row r="1133" ht="15.75" customHeight="1">
      <c r="A1133" s="1">
        <v>3560.0</v>
      </c>
      <c r="B1133" s="1" t="s">
        <v>6</v>
      </c>
      <c r="C1133" s="1" t="s">
        <v>1060</v>
      </c>
      <c r="D1133" s="1" t="str">
        <f>IFERROR(__xludf.DUMMYFUNCTION("CONCATENATE(GOOGLETRANSLATE(C1133, ""en"", ""zh-cn""))
"),"Lenovo ThinkBook 15 Gen 4 15.6 FHD 触摸屏（第 12 代英特尔 10 核 i7-1255U，16GB RAM，512GB PCIe SSD，窄边框 IPS）商务笔记本电脑，背光 KB，指纹识别，Thunderbolt 4，Win 11 Pro")</f>
        <v>Lenovo ThinkBook 15 Gen 4 15.6 FHD 触摸屏（第 12 代英特尔 10 核 i7-1255U，16GB RAM，512GB PCIe SSD，窄边框 IPS）商务笔记本电脑，背光 KB，指纹识别，Thunderbolt 4，Win 11 Pro</v>
      </c>
      <c r="E1133" s="1" t="str">
        <f>IFERROR(__xludf.DUMMYFUNCTION("CONCATENATE(GOOGLETRANSLATE(C1133, ""en"", ""ko""))"),"Lenovo ThinkBook 15 Gen 4 15.6 FHD 터치스크린(12세대 Intel 10코어 i7-1255U, 16GB RAM, 512GB PCIe SSD, Narrow Bezel IPS) 비즈니스 노트북, 백라이트 KB, 지문 인식, Thunderbolt 4, Win 11 Pro")</f>
        <v>Lenovo ThinkBook 15 Gen 4 15.6 FHD 터치스크린(12세대 Intel 10코어 i7-1255U, 16GB RAM, 512GB PCIe SSD, Narrow Bezel IPS) 비즈니스 노트북, 백라이트 KB, 지문 인식, Thunderbolt 4, Win 11 Pro</v>
      </c>
      <c r="F1133" s="1" t="str">
        <f>IFERROR(__xludf.DUMMYFUNCTION("CONCATENATE(GOOGLETRANSLATE(C1133, ""en"", ""ja""))"),"Lenovo ThinkBook 15 Gen 4 15.6 FHD タッチスクリーン (第 12 世代 Intel 10 コア i7-1255U、16GB RAM、512GB PCIe SSD、ナローベゼル IPS) ビジネス ノートパソコン、バックライト付き KB、指紋認証、Thunderbolt 4、Win 11 Pro")</f>
        <v>Lenovo ThinkBook 15 Gen 4 15.6 FHD タッチスクリーン (第 12 世代 Intel 10 コア i7-1255U、16GB RAM、512GB PCIe SSD、ナローベゼル IPS) ビジネス ノートパソコン、バックライト付き KB、指紋認証、Thunderbolt 4、Win 11 Pro</v>
      </c>
    </row>
    <row r="1134" ht="15.75" customHeight="1">
      <c r="A1134" s="1">
        <v>3607.0</v>
      </c>
      <c r="B1134" s="1" t="s">
        <v>6</v>
      </c>
      <c r="C1134" s="1" t="s">
        <v>1061</v>
      </c>
      <c r="D1134" s="1" t="str">
        <f>IFERROR(__xludf.DUMMYFUNCTION("CONCATENATE(GOOGLETRANSLATE(C1134, ""en"", ""zh-cn""))
"),"CableCreation Mini HDMI 转 HDMI 电缆 0.5 英尺，100 包 Mini-HDMI 公头转 HDMI 母头适配器，支持 4K 60Hz，3D，适用于相机、摄像机、显卡、笔记本电脑、平板电脑、高清电视、投影仪，黑色")</f>
        <v>CableCreation Mini HDMI 转 HDMI 电缆 0.5 英尺，100 包 Mini-HDMI 公头转 HDMI 母头适配器，支持 4K 60Hz，3D，适用于相机、摄像机、显卡、笔记本电脑、平板电脑、高清电视、投影仪，黑色</v>
      </c>
      <c r="E1134" s="1" t="str">
        <f>IFERROR(__xludf.DUMMYFUNCTION("CONCATENATE(GOOGLETRANSLATE(C1134, ""en"", ""ko""))"),"CableCreation 미니 HDMI - HDMI 케이블 0.5피트, 100팩 미니 HDMI 수 - HDMI 암 어댑터, 4K 60Hz, 3D 지원, 카메라, 캠코더, 그래픽 카드, 노트북, 태블릿, HDTV, 프로젝터, 블랙")</f>
        <v>CableCreation 미니 HDMI - HDMI 케이블 0.5피트, 100팩 미니 HDMI 수 - HDMI 암 어댑터, 4K 60Hz, 3D 지원, 카메라, 캠코더, 그래픽 카드, 노트북, 태블릿, HDTV, 프로젝터, 블랙</v>
      </c>
      <c r="F1134" s="1" t="str">
        <f>IFERROR(__xludf.DUMMYFUNCTION("CONCATENATE(GOOGLETRANSLATE(C1134, ""en"", ""ja""))"),"CableCreation ミニ HDMI - HDMI ケーブル 0.5 フィート、100 パック Mini-HDMI オス - HDMI メス アダプター、4K 60Hz、3D 対応、カメラ、ビデオカメラ、グラフィックス カード、ラップトップ、タブレット、HDTV、プロジェクター用、ブラック")</f>
        <v>CableCreation ミニ HDMI - HDMI ケーブル 0.5 フィート、100 パック Mini-HDMI オス - HDMI メス アダプター、4K 60Hz、3D 対応、カメラ、ビデオカメラ、グラフィックス カード、ラップトップ、タブレット、HDTV、プロジェクター用、ブラック</v>
      </c>
    </row>
    <row r="1135" ht="15.75" customHeight="1">
      <c r="A1135" s="1">
        <v>3617.0</v>
      </c>
      <c r="B1135" s="1" t="s">
        <v>6</v>
      </c>
      <c r="C1135" s="1" t="s">
        <v>1062</v>
      </c>
      <c r="D1135" s="1" t="str">
        <f>IFERROR(__xludf.DUMMYFUNCTION("CONCATENATE(GOOGLETRANSLATE(C1135, ""en"", ""zh-cn""))
"),"HP Envy x360 二合一笔记本电脑，15.6 FHD 触摸屏，AMD Ryzen 5 5625U 处理器，32GB RAM，1TB SSD，网络摄像头，背光键盘，HDMI，Wi-Fi 6，Windows 11 Home，含手写笔")</f>
        <v>HP Envy x360 二合一笔记本电脑，15.6 FHD 触摸屏，AMD Ryzen 5 5625U 处理器，32GB RAM，1TB SSD，网络摄像头，背光键盘，HDMI，Wi-Fi 6，Windows 11 Home，含手写笔</v>
      </c>
      <c r="E1135" s="1" t="str">
        <f>IFERROR(__xludf.DUMMYFUNCTION("CONCATENATE(GOOGLETRANSLATE(C1135, ""en"", ""ko""))"),"HP Envy x360 2-in-1 노트북, 15.6 FHD 터치스크린, AMD Ryzen 5 5625U 프로세서, 32GB RAM, 1TB SSD, 웹캠, 백라이트 키보드, HDMI, Wi-Fi 6, Windows 11 Home, 스타일러스 펜 포함")</f>
        <v>HP Envy x360 2-in-1 노트북, 15.6 FHD 터치스크린, AMD Ryzen 5 5625U 프로세서, 32GB RAM, 1TB SSD, 웹캠, 백라이트 키보드, HDMI, Wi-Fi 6, Windows 11 Home, 스타일러스 펜 포함</v>
      </c>
      <c r="F1135" s="1" t="str">
        <f>IFERROR(__xludf.DUMMYFUNCTION("CONCATENATE(GOOGLETRANSLATE(C1135, ""en"", ""ja""))"),"HP Envy x360 2-in-1 ラップトップ、15.6 FHD タッチスクリーン、AMD Ryzen 5 5625U プロセッサー、32GB RAM、1TB SSD、ウェブカメラ、バックライト付きキーボード、HDMI、Wi-Fi 6、Windows 11 Home、スタイラス ペン付属")</f>
        <v>HP Envy x360 2-in-1 ラップトップ、15.6 FHD タッチスクリーン、AMD Ryzen 5 5625U プロセッサー、32GB RAM、1TB SSD、ウェブカメラ、バックライト付きキーボード、HDMI、Wi-Fi 6、Windows 11 Home、スタイラス ペン付属</v>
      </c>
    </row>
    <row r="1136" ht="15.75" customHeight="1">
      <c r="A1136" s="1">
        <v>3626.0</v>
      </c>
      <c r="B1136" s="1" t="s">
        <v>6</v>
      </c>
      <c r="C1136" s="1" t="s">
        <v>1063</v>
      </c>
      <c r="D1136" s="1" t="str">
        <f>IFERROR(__xludf.DUMMYFUNCTION("CONCATENATE(GOOGLETRANSLATE(C1136, ""en"", ""zh-cn""))
"),"戴尔 Inspiron 灵越 3910 台式电脑塔式电脑 - 第 12 代英特尔酷睿 i5-12400，16GB DDR4 RAM，256GB SSD + 1TB HDD，英特尔 UHD 显卡 730，WiFi 6，HDMI，蓝牙，USB-C，Windows 11 Home - 蓝色")</f>
        <v>戴尔 Inspiron 灵越 3910 台式电脑塔式电脑 - 第 12 代英特尔酷睿 i5-12400，16GB DDR4 RAM，256GB SSD + 1TB HDD，英特尔 UHD 显卡 730，WiFi 6，HDMI，蓝牙，USB-C，Windows 11 Home - 蓝色</v>
      </c>
      <c r="E1136" s="1" t="str">
        <f>IFERROR(__xludf.DUMMYFUNCTION("CONCATENATE(GOOGLETRANSLATE(C1136, ""en"", ""ko""))"),"Dell Inspiron 3910 데스크탑 컴퓨터 타워 - 12세대 Intel Core i5-12400, 16GB DDR4 RAM, 256GB SSD + 1TB HDD, Intel UHD 그래픽 730, WiFi 6, HDMI, Bluetooth, USB-C, Windows 11 Home - 블루")</f>
        <v>Dell Inspiron 3910 데스크탑 컴퓨터 타워 - 12세대 Intel Core i5-12400, 16GB DDR4 RAM, 256GB SSD + 1TB HDD, Intel UHD 그래픽 730, WiFi 6, HDMI, Bluetooth, USB-C, Windows 11 Home - 블루</v>
      </c>
      <c r="F1136" s="1" t="str">
        <f>IFERROR(__xludf.DUMMYFUNCTION("CONCATENATE(GOOGLETRANSLATE(C1136, ""en"", ""ja""))"),"Dell Inspiron 3910 デスクトップ コンピューター タワー - 第 12 世代インテル Core i5-12400、16GB DDR4 RAM、256GB SSD + 1TB HDD、インテル UHD グラフィックス 730、WiFi 6、HDMI、Bluetooth、USB-C、Windows 11 Home - ブルー")</f>
        <v>Dell Inspiron 3910 デスクトップ コンピューター タワー - 第 12 世代インテル Core i5-12400、16GB DDR4 RAM、256GB SSD + 1TB HDD、インテル UHD グラフィックス 730、WiFi 6、HDMI、Bluetooth、USB-C、Windows 11 Home - ブルー</v>
      </c>
    </row>
    <row r="1137" ht="15.75" customHeight="1">
      <c r="A1137" s="1">
        <v>3639.0</v>
      </c>
      <c r="B1137" s="1" t="s">
        <v>6</v>
      </c>
      <c r="C1137" s="1" t="s">
        <v>1064</v>
      </c>
      <c r="D1137" s="1" t="str">
        <f>IFERROR(__xludf.DUMMYFUNCTION("CONCATENATE(GOOGLETRANSLATE(C1137, ""en"", ""zh-cn""))
"),"戴尔 Inspiron 灵越 24 英寸一体机，Windows 11 Home，AMD Ryzen 5 5625U，AMD Radeon 显卡，8GB DDR4 RAM，256GB SSD，FHD (1920 x 1080)，MediaTek Wi-Fi 6，Infinity Display，5415 - 黑色")</f>
        <v>戴尔 Inspiron 灵越 24 英寸一体机，Windows 11 Home，AMD Ryzen 5 5625U，AMD Radeon 显卡，8GB DDR4 RAM，256GB SSD，FHD (1920 x 1080)，MediaTek Wi-Fi 6，Infinity Display，5415 - 黑色</v>
      </c>
      <c r="E1137" s="1" t="str">
        <f>IFERROR(__xludf.DUMMYFUNCTION("CONCATENATE(GOOGLETRANSLATE(C1137, ""en"", ""ko""))"),"Dell Inspiron 24인치 올인원 컴퓨터, Windows 11 Home, AMD Ryzen 5 5625U, AMD Radeon 그래픽, 8GB DDR4 RAM, 256GB SSD, FHD(1920 x 1080), MediaTek Wi-Fi 6, Infinity 디스플레이, 5415 - 블랙")</f>
        <v>Dell Inspiron 24인치 올인원 컴퓨터, Windows 11 Home, AMD Ryzen 5 5625U, AMD Radeon 그래픽, 8GB DDR4 RAM, 256GB SSD, FHD(1920 x 1080), MediaTek Wi-Fi 6, Infinity 디스플레이, 5415 - 블랙</v>
      </c>
      <c r="F1137" s="1" t="str">
        <f>IFERROR(__xludf.DUMMYFUNCTION("CONCATENATE(GOOGLETRANSLATE(C1137, ""en"", ""ja""))"),"Dell Inspiron 24 インチ オールインワン コンピューター、Windows 11 Home、AMD Ryzen 5 5625U、AMD Radeon グラフィックス、8GB DDR4 RAM、256GB SSD、FHD (1920 x 1080)、MediaTek Wi-Fi 6、Infinity Display、5415 - ブラック")</f>
        <v>Dell Inspiron 24 インチ オールインワン コンピューター、Windows 11 Home、AMD Ryzen 5 5625U、AMD Radeon グラフィックス、8GB DDR4 RAM、256GB SSD、FHD (1920 x 1080)、MediaTek Wi-Fi 6、Infinity Display、5415 - ブラック</v>
      </c>
    </row>
    <row r="1138" ht="15.75" customHeight="1">
      <c r="A1138" s="1">
        <v>3670.0</v>
      </c>
      <c r="B1138" s="1" t="s">
        <v>6</v>
      </c>
      <c r="C1138" s="1" t="s">
        <v>1065</v>
      </c>
      <c r="D1138" s="1" t="str">
        <f>IFERROR(__xludf.DUMMYFUNCTION("CONCATENATE(GOOGLETRANSLATE(C1138, ""en"", ""zh-cn""))
"),"索尼 CFexpress A 型存储卡 320GB")</f>
        <v>索尼 CFexpress A 型存储卡 320GB</v>
      </c>
      <c r="E1138" s="1" t="str">
        <f>IFERROR(__xludf.DUMMYFUNCTION("CONCATENATE(GOOGLETRANSLATE(C1138, ""en"", ""ko""))"),"소니 CFexpress Type A 메모리 카드 320GB")</f>
        <v>소니 CFexpress Type A 메모리 카드 320GB</v>
      </c>
      <c r="F1138" s="1" t="str">
        <f>IFERROR(__xludf.DUMMYFUNCTION("CONCATENATE(GOOGLETRANSLATE(C1138, ""en"", ""ja""))"),"ソニー CFexpress タイプ A メモリーカード 320GB")</f>
        <v>ソニー CFexpress タイプ A メモリーカード 320GB</v>
      </c>
    </row>
    <row r="1139" ht="15.75" customHeight="1">
      <c r="A1139" s="1">
        <v>3679.0</v>
      </c>
      <c r="B1139" s="1" t="s">
        <v>6</v>
      </c>
      <c r="C1139" s="1" t="s">
        <v>1066</v>
      </c>
      <c r="D1139" s="1" t="str">
        <f>IFERROR(__xludf.DUMMYFUNCTION("CONCATENATE(GOOGLETRANSLATE(C1139, ""en"", ""zh-cn""))
"),"HP 15 笔记本电脑，第 11 代英特尔酷睿 i5-1135G7 处理器，16GB RAM，512B SSD，15.6 英寸全高清 (1920 x 1080) 显示屏，HDMI，802.11ac，蓝牙，Windows 10 Home，电池寿命长，随附配件")</f>
        <v>HP 15 笔记本电脑，第 11 代英特尔酷睿 i5-1135G7 处理器，16GB RAM，512B SSD，15.6 英寸全高清 (1920 x 1080) 显示屏，HDMI，802.11ac，蓝牙，Windows 10 Home，电池寿命长，随附配件</v>
      </c>
      <c r="E1139" s="1" t="str">
        <f>IFERROR(__xludf.DUMMYFUNCTION("CONCATENATE(GOOGLETRANSLATE(C1139, ""en"", ""ko""))"),"HP 15 노트북, 11세대 Intel Core i5-1135G7 프로세서, 16GB RAM, 512B SSD, 15.6인치 풀 HD(1920 x 1080) 디스플레이, HDMI, 802.11ac, Bluetooth, Windows 10 Home, 긴 배터리 수명, 액세서리 포함")</f>
        <v>HP 15 노트북, 11세대 Intel Core i5-1135G7 프로세서, 16GB RAM, 512B SSD, 15.6인치 풀 HD(1920 x 1080) 디스플레이, HDMI, 802.11ac, Bluetooth, Windows 10 Home, 긴 배터리 수명, 액세서리 포함</v>
      </c>
      <c r="F1139" s="1" t="str">
        <f>IFERROR(__xludf.DUMMYFUNCTION("CONCATENATE(GOOGLETRANSLATE(C1139, ""en"", ""ja""))"),"HP 15 ラップトップ、第 11 世代インテル Core i5-1135G7 プロセッサー、16GB RAM、512B SSD、15.6 インチ フル HD (1920 x 1080) ディスプレイ、HDMI、802.11ac、Bluetooth、Windows 10 Home、長いバッテリー寿命、アクセサリ付属")</f>
        <v>HP 15 ラップトップ、第 11 世代インテル Core i5-1135G7 プロセッサー、16GB RAM、512B SSD、15.6 インチ フル HD (1920 x 1080) ディスプレイ、HDMI、802.11ac、Bluetooth、Windows 10 Home、長いバッテリー寿命、アクセサリ付属</v>
      </c>
    </row>
    <row r="1140" ht="15.75" customHeight="1">
      <c r="A1140" s="1">
        <v>3706.0</v>
      </c>
      <c r="B1140" s="1" t="s">
        <v>6</v>
      </c>
      <c r="C1140" s="1" t="s">
        <v>1067</v>
      </c>
      <c r="D1140" s="1" t="str">
        <f>IFERROR(__xludf.DUMMYFUNCTION("CONCATENATE(GOOGLETRANSLATE(C1140, ""en"", ""zh-cn""))
"),"Ergotron – HX 双显示器臂，VESA 桌面安装 – 适用于 2 个显示器，最大 32 英寸，每个显示器 5 至 17.5 磅 – 哑光黑色")</f>
        <v>Ergotron – HX 双显示器臂，VESA 桌面安装 – 适用于 2 个显示器，最大 32 英寸，每个显示器 5 至 17.5 磅 – 哑光黑色</v>
      </c>
      <c r="E1140" s="1" t="str">
        <f>IFERROR(__xludf.DUMMYFUNCTION("CONCATENATE(GOOGLETRANSLATE(C1140, ""en"", ""ko""))"),"Ergotron – HX 듀얼 모니터 암, VESA 데스크 마운트 – 최대 32인치 모니터 2대용, 각각 5~17.5파운드 – 무광 검정색")</f>
        <v>Ergotron – HX 듀얼 모니터 암, VESA 데스크 마운트 – 최대 32인치 모니터 2대용, 각각 5~17.5파운드 – 무광 검정색</v>
      </c>
      <c r="F1140" s="1" t="str">
        <f>IFERROR(__xludf.DUMMYFUNCTION("CONCATENATE(GOOGLETRANSLATE(C1140, ""en"", ""ja""))"),"Ergotron – HX デュアル モニター アーム、VESA デスク マウント – 最大 32 インチのモニター 2 台用、各 5 ～ 17.5 ポンド – マット ブラック")</f>
        <v>Ergotron – HX デュアル モニター アーム、VESA デスク マウント – 最大 32 インチのモニター 2 台用、各 5 ～ 17.5 ポンド – マット ブラック</v>
      </c>
    </row>
    <row r="1141" ht="15.75" customHeight="1">
      <c r="A1141" s="1">
        <v>3716.0</v>
      </c>
      <c r="B1141" s="1" t="s">
        <v>6</v>
      </c>
      <c r="C1141" s="1" t="s">
        <v>1068</v>
      </c>
      <c r="D1141" s="1" t="str">
        <f>IFERROR(__xludf.DUMMYFUNCTION("CONCATENATE(GOOGLETRANSLATE(C1141, ""en"", ""zh-cn""))
"),"HP Color LaserJet Pro M283fdw 无线一体式激光打印机，远程移动打印，扫描和复印，双面打印，与 Alexa 配合使用 (7KW75A)")</f>
        <v>HP Color LaserJet Pro M283fdw 无线一体式激光打印机，远程移动打印，扫描和复印，双面打印，与 Alexa 配合使用 (7KW75A)</v>
      </c>
      <c r="E1141" s="1" t="str">
        <f>IFERROR(__xludf.DUMMYFUNCTION("CONCATENATE(GOOGLETRANSLATE(C1141, ""en"", ""ko""))"),"HP 컬러 레이저젯 프로 M283fdw 무선 올인원 레이저 프린터, 원격 모바일 인쇄, 스캔 및 복사, 양면 인쇄, Alexa와 작동(7KW75A)")</f>
        <v>HP 컬러 레이저젯 프로 M283fdw 무선 올인원 레이저 프린터, 원격 모바일 인쇄, 스캔 및 복사, 양면 인쇄, Alexa와 작동(7KW75A)</v>
      </c>
      <c r="F1141" s="1" t="str">
        <f>IFERROR(__xludf.DUMMYFUNCTION("CONCATENATE(GOOGLETRANSLATE(C1141, ""en"", ""ja""))"),"HP Color LaserJet Pro M283fdw ワイヤレス オールインワン レーザー プリンター、リモート モバイル プリント、スキャン &amp; コピー、両面印刷、Alexa と連携 (7KW75A)")</f>
        <v>HP Color LaserJet Pro M283fdw ワイヤレス オールインワン レーザー プリンター、リモート モバイル プリント、スキャン &amp; コピー、両面印刷、Alexa と連携 (7KW75A)</v>
      </c>
    </row>
    <row r="1142" ht="15.75" customHeight="1">
      <c r="A1142" s="1">
        <v>3729.0</v>
      </c>
      <c r="B1142" s="1" t="s">
        <v>6</v>
      </c>
      <c r="C1142" s="1" t="s">
        <v>1069</v>
      </c>
      <c r="D1142" s="1" t="str">
        <f>IFERROR(__xludf.DUMMYFUNCTION("CONCATENATE(GOOGLETRANSLATE(C1142, ""en"", ""zh-cn""))
"),"HP 17 英寸笔记本电脑，第 11 代英特尔酷睿 i5-1135G7，Iris Xe 显卡，8 GB RAM，256 GB SSD，Windows 11 Home（17-cn0025nr，自然银）")</f>
        <v>HP 17 英寸笔记本电脑，第 11 代英特尔酷睿 i5-1135G7，Iris Xe 显卡，8 GB RAM，256 GB SSD，Windows 11 Home（17-cn0025nr，自然银）</v>
      </c>
      <c r="E1142" s="1" t="str">
        <f>IFERROR(__xludf.DUMMYFUNCTION("CONCATENATE(GOOGLETRANSLATE(C1142, ""en"", ""ko""))"),"HP 17인치 노트북, 11세대 Intel Core i5-1135G7, Iris Xe 그래픽, 8GB RAM, 256GB SSD, Windows 11 Home(17-cn0025nr, 천연 실버)")</f>
        <v>HP 17인치 노트북, 11세대 Intel Core i5-1135G7, Iris Xe 그래픽, 8GB RAM, 256GB SSD, Windows 11 Home(17-cn0025nr, 천연 실버)</v>
      </c>
      <c r="F1142" s="1" t="str">
        <f>IFERROR(__xludf.DUMMYFUNCTION("CONCATENATE(GOOGLETRANSLATE(C1142, ""en"", ""ja""))"),"HP 17 インチ ラップトップ、第 11 世代インテル Core i5-1135G7、Iris Xe グラフィックス、8 GB RAM、256 GB SSD、Windows 11 Home (17-cn0025nr、ナチュラルシルバー)")</f>
        <v>HP 17 インチ ラップトップ、第 11 世代インテル Core i5-1135G7、Iris Xe グラフィックス、8 GB RAM、256 GB SSD、Windows 11 Home (17-cn0025nr、ナチュラルシルバー)</v>
      </c>
    </row>
    <row r="1143" ht="15.75" customHeight="1">
      <c r="A1143" s="1">
        <v>3790.0</v>
      </c>
      <c r="B1143" s="1" t="s">
        <v>6</v>
      </c>
      <c r="C1143" s="1" t="s">
        <v>1070</v>
      </c>
      <c r="D1143" s="1" t="str">
        <f>IFERROR(__xludf.DUMMYFUNCTION("CONCATENATE(GOOGLETRANSLATE(C1143, ""en"", ""zh-cn""))
"),"OTVOC 笔记本电脑 15.6 英寸 Windows 11，VocBook 15，Intel Celeron N5100，16GB RAM，512GB PCIE NvMe SSD，4TB 扩展，15.6 FHD IPS，2.0MP，2.4G+5G WiFi，蓝牙 5.0，Type-C，HDMI，RJ45，HDD，银色")</f>
        <v>OTVOC 笔记本电脑 15.6 英寸 Windows 11，VocBook 15，Intel Celeron N5100，16GB RAM，512GB PCIE NvMe SSD，4TB 扩展，15.6 FHD IPS，2.0MP，2.4G+5G WiFi，蓝牙 5.0，Type-C，HDMI，RJ45，HDD，银色</v>
      </c>
      <c r="E1143" s="1" t="str">
        <f>IFERROR(__xludf.DUMMYFUNCTION("CONCATENATE(GOOGLETRANSLATE(C1143, ""en"", ""ko""))"),"OTVOC 노트북 15.6인치 Windows 11, VocBook 15, Intel Celeron N5100, 16GB RAM, 512GB PCIE NvMe SSD, 4TB 확장, 15.6 FHD IPS, 2.0MP, 2.4G+5G WiFi, Bluetooth 5.0, Type-C, HDMI, RJ45, HDD, 실버")</f>
        <v>OTVOC 노트북 15.6인치 Windows 11, VocBook 15, Intel Celeron N5100, 16GB RAM, 512GB PCIE NvMe SSD, 4TB 확장, 15.6 FHD IPS, 2.0MP, 2.4G+5G WiFi, Bluetooth 5.0, Type-C, HDMI, RJ45, HDD, 실버</v>
      </c>
      <c r="F1143" s="1" t="str">
        <f>IFERROR(__xludf.DUMMYFUNCTION("CONCATENATE(GOOGLETRANSLATE(C1143, ""en"", ""ja""))"),"OTVOC ノートパソコン 15.6 インチ Windows 11、VocBook 15、Intel Celeron N5100、16GB RAM、512GB PCIE NvMe SSD、4TB 拡張、1​​5.6 FHD IPS、2.0MP、2.4G+5G WiFi、Bluetooth 5.0、Type-C、HDMI、RJ45、HDD、シルバー")</f>
        <v>OTVOC ノートパソコン 15.6 インチ Windows 11、VocBook 15、Intel Celeron N5100、16GB RAM、512GB PCIE NvMe SSD、4TB 拡張、1​​5.6 FHD IPS、2.0MP、2.4G+5G WiFi、Bluetooth 5.0、Type-C、HDMI、RJ45、HDD、シルバー</v>
      </c>
    </row>
    <row r="1144" ht="15.75" customHeight="1">
      <c r="A1144" s="1">
        <v>3802.0</v>
      </c>
      <c r="B1144" s="1" t="s">
        <v>6</v>
      </c>
      <c r="C1144" s="1" t="s">
        <v>1071</v>
      </c>
      <c r="D1144" s="1" t="str">
        <f>IFERROR(__xludf.DUMMYFUNCTION("CONCATENATE(GOOGLETRANSLATE(C1144, ""en"", ""zh-cn""))
"),"系统机架 - 服务器机架 - 壁挂式机架 - 网络锁柜 - 电子 - 安全 - 音频 - 视频 - AV 设备 - 数据机架 - 支腿/电源板/架子/风扇 - 24 英寸深系统机架… (18U)")</f>
        <v>系统机架 - 服务器机架 - 壁挂式机架 - 网络锁柜 - 电子 - 安全 - 音频 - 视频 - AV 设备 - 数据机架 - 支腿/电源板/架子/风扇 - 24 英寸深系统机架… (18U)</v>
      </c>
      <c r="E1144" s="1" t="str">
        <f>IFERROR(__xludf.DUMMYFUNCTION("CONCATENATE(GOOGLETRANSLATE(C1144, ""en"", ""ko""))"),"Sysracks - 서버 랙 - 벽 장착형 랙 - 네트워크용 잠금 캐비닛 - 전자 제품 - 보안 - 오디오 - 비디오 - AV 장비 - 데이터 랙 - 다리/전원 스트립/선반/팬 - 24인치 깊이 Sysracks… (18U)")</f>
        <v>Sysracks - 서버 랙 - 벽 장착형 랙 - 네트워크용 잠금 캐비닛 - 전자 제품 - 보안 - 오디오 - 비디오 - AV 장비 - 데이터 랙 - 다리/전원 스트립/선반/팬 - 24인치 깊이 Sysracks… (18U)</v>
      </c>
      <c r="F1144" s="1" t="str">
        <f>IFERROR(__xludf.DUMMYFUNCTION("CONCATENATE(GOOGLETRANSLATE(C1144, ""en"", ""ja""))"),"Sysracks - サーバーラック - ウォールマウントラック - ネットワーク用ロッキングキャビネット - 電子機器 - セキュリティ - オーディオ - ビデオ - AV機器 - データラック - 脚/電源タップ/棚/ファン - 深さ24インチのSysracks… (18U)")</f>
        <v>Sysracks - サーバーラック - ウォールマウントラック - ネットワーク用ロッキングキャビネット - 電子機器 - セキュリティ - オーディオ - ビデオ - AV機器 - データラック - 脚/電源タップ/棚/ファン - 深さ24インチのSysracks… (18U)</v>
      </c>
    </row>
    <row r="1145" ht="15.75" customHeight="1">
      <c r="A1145" s="1">
        <v>3879.0</v>
      </c>
      <c r="B1145" s="1" t="s">
        <v>6</v>
      </c>
      <c r="C1145" s="1" t="s">
        <v>44</v>
      </c>
      <c r="D1145" s="1" t="str">
        <f>IFERROR(__xludf.DUMMYFUNCTION("CONCATENATE(GOOGLETRANSLATE(C1145, ""en"", ""zh-cn""))
"),"Apple iPhone 14 Pro Max，256GB，深空黑色 - 解锁（续订）")</f>
        <v>Apple iPhone 14 Pro Max，256GB，深空黑色 - 解锁（续订）</v>
      </c>
      <c r="E1145" s="1" t="str">
        <f>IFERROR(__xludf.DUMMYFUNCTION("CONCATENATE(GOOGLETRANSLATE(C1145, ""en"", ""ko""))"),"Apple iPhone 14 Pro Max, 256GB, 스페이스 블랙 - 공기계(리뉴얼)")</f>
        <v>Apple iPhone 14 Pro Max, 256GB, 스페이스 블랙 - 공기계(리뉴얼)</v>
      </c>
      <c r="F1145" s="1" t="str">
        <f>IFERROR(__xludf.DUMMYFUNCTION("CONCATENATE(GOOGLETRANSLATE(C1145, ""en"", ""ja""))"),"Apple iPhone 14 Pro Max、256GB、スペース ブラック - ロック解除済み (更新済み)")</f>
        <v>Apple iPhone 14 Pro Max、256GB、スペース ブラック - ロック解除済み (更新済み)</v>
      </c>
    </row>
    <row r="1146" ht="15.75" customHeight="1">
      <c r="A1146" s="1">
        <v>3887.0</v>
      </c>
      <c r="B1146" s="1" t="s">
        <v>6</v>
      </c>
      <c r="C1146" s="1" t="s">
        <v>944</v>
      </c>
      <c r="D1146" s="1" t="str">
        <f>IFERROR(__xludf.DUMMYFUNCTION("CONCATENATE(GOOGLETRANSLATE(C1146, ""en"", ""zh-cn""))
"),"REDMAGIC 8 Pro 智能手机 5G，120Hz 游戏手机，6.8 全面屏，屏下摄像头，6000mAh Android 手机，Snapdragon 8 Gen 2，12+256GB，65W 充电器，双卡，美国解锁手机黑色")</f>
        <v>REDMAGIC 8 Pro 智能手机 5G，120Hz 游戏手机，6.8 全面屏，屏下摄像头，6000mAh Android 手机，Snapdragon 8 Gen 2，12+256GB，65W 充电器，双卡，美国解锁手机黑色</v>
      </c>
      <c r="E1146" s="1" t="str">
        <f>IFERROR(__xludf.DUMMYFUNCTION("CONCATENATE(GOOGLETRANSLATE(C1146, ""en"", ""ko""))"),"REDMAGIC 8 Pro 스마트폰 5G, 120Hz 게이밍 폰, 6.8 전체 화면, 언더 디스플레이 카메라, 6000mAh 안드로이드 폰, Snapdragon 8 Gen 2, 12+256GB, 65W 충전기, 듀얼 심, 미국 공기계 휴대폰 블랙")</f>
        <v>REDMAGIC 8 Pro 스마트폰 5G, 120Hz 게이밍 폰, 6.8 전체 화면, 언더 디스플레이 카메라, 6000mAh 안드로이드 폰, Snapdragon 8 Gen 2, 12+256GB, 65W 충전기, 듀얼 심, 미국 공기계 휴대폰 블랙</v>
      </c>
      <c r="F1146" s="1" t="str">
        <f>IFERROR(__xludf.DUMMYFUNCTION("CONCATENATE(GOOGLETRANSLATE(C1146, ""en"", ""ja""))"),"REDMAGIC 8 Pro スマートフォン 5G、120Hz ゲーム電話、6.8 フルスクリーン、ディスプレイカメラ下、6000mAh Android 携帯電話、Snapdragon 8 Gen 2、12+256GB、65W 充電器、デュアル Sim、米国ロック解除済み携帯電話 ブラック")</f>
        <v>REDMAGIC 8 Pro スマートフォン 5G、120Hz ゲーム電話、6.8 フルスクリーン、ディスプレイカメラ下、6000mAh Android 携帯電話、Snapdragon 8 Gen 2、12+256GB、65W 充電器、デュアル Sim、米国ロック解除済み携帯電話 ブラック</v>
      </c>
    </row>
    <row r="1147" ht="15.75" customHeight="1">
      <c r="A1147" s="1">
        <v>3919.0</v>
      </c>
      <c r="B1147" s="1" t="s">
        <v>6</v>
      </c>
      <c r="C1147" s="1" t="s">
        <v>1072</v>
      </c>
      <c r="D1147" s="1" t="str">
        <f>IFERROR(__xludf.DUMMYFUNCTION("CONCATENATE(GOOGLETRANSLATE(C1147, ""en"", ""zh-cn""))
"),"Apple iPhone SE 第三代，64GB，午夜 - 解锁（续订）")</f>
        <v>Apple iPhone SE 第三代，64GB，午夜 - 解锁（续订）</v>
      </c>
      <c r="E1147" s="1" t="str">
        <f>IFERROR(__xludf.DUMMYFUNCTION("CONCATENATE(GOOGLETRANSLATE(C1147, ""en"", ""ko""))"),"Apple iPhone SE 3세대, 64GB, 미드나잇 - 공기계(리뉴얼)")</f>
        <v>Apple iPhone SE 3세대, 64GB, 미드나잇 - 공기계(리뉴얼)</v>
      </c>
      <c r="F1147" s="1" t="str">
        <f>IFERROR(__xludf.DUMMYFUNCTION("CONCATENATE(GOOGLETRANSLATE(C1147, ""en"", ""ja""))"),"Apple iPhone SE 第 3 世代、64GB、ミッドナイト - ロック解除済み (更新済み)")</f>
        <v>Apple iPhone SE 第 3 世代、64GB、ミッドナイト - ロック解除済み (更新済み)</v>
      </c>
    </row>
    <row r="1148" ht="15.75" customHeight="1">
      <c r="A1148" s="1">
        <v>3943.0</v>
      </c>
      <c r="B1148" s="1" t="s">
        <v>6</v>
      </c>
      <c r="C1148" s="1" t="s">
        <v>1073</v>
      </c>
      <c r="D1148" s="1" t="str">
        <f>IFERROR(__xludf.DUMMYFUNCTION("CONCATENATE(GOOGLETRANSLATE(C1148, ""en"", ""zh-cn""))
"),"欧米茄超霸同轴计时码表月之暗面黑色表盘黑色织物男式手表 31192445101003")</f>
        <v>欧米茄超霸同轴计时码表月之暗面黑色表盘黑色织物男式手表 31192445101003</v>
      </c>
      <c r="E1148" s="1" t="str">
        <f>IFERROR(__xludf.DUMMYFUNCTION("CONCATENATE(GOOGLETRANSLATE(C1148, ""en"", ""ko""))"),"오메가 스피드마스터 Co-Axial 크로노그래프 Dark Side of the Moon Black 다이얼 Black Fabric 남성용 시계 31192445101003")</f>
        <v>오메가 스피드마스터 Co-Axial 크로노그래프 Dark Side of the Moon Black 다이얼 Black Fabric 남성용 시계 31192445101003</v>
      </c>
      <c r="F1148" s="1" t="str">
        <f>IFERROR(__xludf.DUMMYFUNCTION("CONCATENATE(GOOGLETRANSLATE(C1148, ""en"", ""ja""))"),"オメガ スピードマスター コーアクシャル クロノグラフ ダーク サイド オブ ザ ムーン ブラック ダイヤル ブラック ファブリック メンズ腕時計 31192445101003")</f>
        <v>オメガ スピードマスター コーアクシャル クロノグラフ ダーク サイド オブ ザ ムーン ブラック ダイヤル ブラック ファブリック メンズ腕時計 31192445101003</v>
      </c>
    </row>
    <row r="1149" ht="15.75" customHeight="1">
      <c r="A1149" s="1">
        <v>3951.0</v>
      </c>
      <c r="B1149" s="1" t="s">
        <v>6</v>
      </c>
      <c r="C1149" s="1" t="s">
        <v>1074</v>
      </c>
      <c r="D1149" s="1" t="str">
        <f>IFERROR(__xludf.DUMMYFUNCTION("CONCATENATE(GOOGLETRANSLATE(C1149, ""en"", ""zh-cn""))
"),"百年灵 黑色表盘 Navitimer 8 计时码表 B01 Chronometer 43 AB0117131B1A1")</f>
        <v>百年灵 黑色表盘 Navitimer 8 计时码表 B01 Chronometer 43 AB0117131B1A1</v>
      </c>
      <c r="E1149" s="1" t="str">
        <f>IFERROR(__xludf.DUMMYFUNCTION("CONCATENATE(GOOGLETRANSLATE(C1149, ""en"", ""ko""))"),"브라이틀링 검은색 다이얼 내비타이머 8 크로노그래프 B01 Chronometer 43 AB0117131B1A1")</f>
        <v>브라이틀링 검은색 다이얼 내비타이머 8 크로노그래프 B01 Chronometer 43 AB0117131B1A1</v>
      </c>
      <c r="F1149" s="1" t="str">
        <f>IFERROR(__xludf.DUMMYFUNCTION("CONCATENATE(GOOGLETRANSLATE(C1149, ""en"", ""ja""))"),"ブライトリング ブラック ダイヤル ナビタイマー 8 クロノグラフ B01 クロノメーター 43 AB0117131B1A1")</f>
        <v>ブライトリング ブラック ダイヤル ナビタイマー 8 クロノグラフ B01 クロノメーター 43 AB0117131B1A1</v>
      </c>
    </row>
    <row r="1150" ht="15.75" customHeight="1">
      <c r="A1150" s="1">
        <v>3967.0</v>
      </c>
      <c r="B1150" s="1" t="s">
        <v>6</v>
      </c>
      <c r="C1150" s="1" t="s">
        <v>1075</v>
      </c>
      <c r="D1150" s="1" t="str">
        <f>IFERROR(__xludf.DUMMYFUNCTION("CONCATENATE(GOOGLETRANSLATE(C1150, ""en"", ""zh-cn""))
"),"欧米茄男士 32632405001001 Speed Master 模拟显示自动上链黑色手表")</f>
        <v>欧米茄男士 32632405001001 Speed Master 模拟显示自动上链黑色手表</v>
      </c>
      <c r="E1150" s="1" t="str">
        <f>IFERROR(__xludf.DUMMYFUNCTION("CONCATENATE(GOOGLETRANSLATE(C1150, ""en"", ""ko""))"),"오메가 남성용 32632405001001 Speed ​​Master 아날로그 디스플레이 오토매틱 셀프 와인딩 검은색 시계")</f>
        <v>오메가 남성용 32632405001001 Speed ​​Master 아날로그 디스플레이 오토매틱 셀프 와인딩 검은색 시계</v>
      </c>
      <c r="F1150" s="1" t="str">
        <f>IFERROR(__xludf.DUMMYFUNCTION("CONCATENATE(GOOGLETRANSLATE(C1150, ""en"", ""ja""))"),"オメガ メンズ 32632405001001 スピードマスター アナログ表示 自動巻き ブラック ウォッチ")</f>
        <v>オメガ メンズ 32632405001001 スピードマスター アナログ表示 自動巻き ブラック ウォッチ</v>
      </c>
    </row>
    <row r="1151" ht="15.75" customHeight="1">
      <c r="A1151" s="1">
        <v>3995.0</v>
      </c>
      <c r="B1151" s="1" t="s">
        <v>6</v>
      </c>
      <c r="C1151" s="1" t="s">
        <v>1076</v>
      </c>
      <c r="D1151" s="1" t="str">
        <f>IFERROR(__xludf.DUMMYFUNCTION("CONCATENATE(GOOGLETRANSLATE(C1151, ""en"", ""zh-cn""))
"),"汉密尔顿卡其色野外日期自动男士手表 H71626735")</f>
        <v>汉密尔顿卡其色野外日期自动男士手表 H71626735</v>
      </c>
      <c r="E1151" s="1" t="str">
        <f>IFERROR(__xludf.DUMMYFUNCTION("CONCATENATE(GOOGLETRANSLATE(C1151, ""en"", ""ko""))"),"해밀턴 카키 필드 데이 데이트 오토매틱 남성용 시계 H71626735")</f>
        <v>해밀턴 카키 필드 데이 데이트 오토매틱 남성용 시계 H71626735</v>
      </c>
      <c r="F1151" s="1" t="str">
        <f>IFERROR(__xludf.DUMMYFUNCTION("CONCATENATE(GOOGLETRANSLATE(C1151, ""en"", ""ja""))"),"ハミルトン カーキ フィールド デイデイト 自動巻き メンズ 腕時計 H71626735")</f>
        <v>ハミルトン カーキ フィールド デイデイト 自動巻き メンズ 腕時計 H71626735</v>
      </c>
    </row>
    <row r="1152" ht="15.75" customHeight="1">
      <c r="A1152" s="1">
        <v>3996.0</v>
      </c>
      <c r="B1152" s="1" t="s">
        <v>6</v>
      </c>
      <c r="C1152" s="1" t="s">
        <v>1077</v>
      </c>
      <c r="D1152" s="1" t="str">
        <f>IFERROR(__xludf.DUMMYFUNCTION("CONCATENATE(GOOGLETRANSLATE(C1152, ""en"", ""zh-cn""))
"),"卡其色 Field Auto Chrono")</f>
        <v>卡其色 Field Auto Chrono</v>
      </c>
      <c r="E1152" s="1" t="str">
        <f>IFERROR(__xludf.DUMMYFUNCTION("CONCATENATE(GOOGLETRANSLATE(C1152, ""en"", ""ko""))"),"카키 필드 오토 크로노")</f>
        <v>카키 필드 오토 크로노</v>
      </c>
      <c r="F1152" s="1" t="str">
        <f>IFERROR(__xludf.DUMMYFUNCTION("CONCATENATE(GOOGLETRANSLATE(C1152, ""en"", ""ja""))"),"カーキ フィールド オート クロノ")</f>
        <v>カーキ フィールド オート クロノ</v>
      </c>
    </row>
    <row r="1153" ht="15.75" customHeight="1">
      <c r="A1153" s="1">
        <v>4003.0</v>
      </c>
      <c r="B1153" s="1" t="s">
        <v>6</v>
      </c>
      <c r="C1153" s="1" t="s">
        <v>1078</v>
      </c>
      <c r="D1153" s="1" t="str">
        <f>IFERROR(__xludf.DUMMYFUNCTION("CONCATENATE(GOOGLETRANSLATE(C1153, ""en"", ""zh-cn""))
"),"爵士大师自动计时码表")</f>
        <v>爵士大师自动计时码表</v>
      </c>
      <c r="E1153" s="1" t="str">
        <f>IFERROR(__xludf.DUMMYFUNCTION("CONCATENATE(GOOGLETRANSLATE(C1153, ""en"", ""ko""))"),"재즈마스터 오토 크로노")</f>
        <v>재즈마스터 오토 크로노</v>
      </c>
      <c r="F1153" s="1" t="str">
        <f>IFERROR(__xludf.DUMMYFUNCTION("CONCATENATE(GOOGLETRANSLATE(C1153, ""en"", ""ja""))"),"ジャズマスター オート クロノ")</f>
        <v>ジャズマスター オート クロノ</v>
      </c>
    </row>
    <row r="1154" ht="15.75" customHeight="1">
      <c r="A1154" s="1">
        <v>4063.0</v>
      </c>
      <c r="B1154" s="1" t="s">
        <v>6</v>
      </c>
      <c r="C1154" s="1" t="s">
        <v>1079</v>
      </c>
      <c r="D1154" s="1" t="str">
        <f>IFERROR(__xludf.DUMMYFUNCTION("CONCATENATE(GOOGLETRANSLATE(C1154, ""en"", ""zh-cn""))
"),"汉密尔顿男士 H64455533 卡其王系列不锈钢自动腕表配棕色皮表带")</f>
        <v>汉密尔顿男士 H64455533 卡其王系列不锈钢自动腕表配棕色皮表带</v>
      </c>
      <c r="E1154" s="1" t="str">
        <f>IFERROR(__xludf.DUMMYFUNCTION("CONCATENATE(GOOGLETRANSLATE(C1154, ""en"", ""ko""))"),"해밀턴 남성용 H64455533 카키 킹 시리즈 스테인리스 스틸 오토매틱 시계, 브라운 가죽 밴드")</f>
        <v>해밀턴 남성용 H64455533 카키 킹 시리즈 스테인리스 스틸 오토매틱 시계, 브라운 가죽 밴드</v>
      </c>
      <c r="F1154" s="1" t="str">
        <f>IFERROR(__xludf.DUMMYFUNCTION("CONCATENATE(GOOGLETRANSLATE(C1154, ""en"", ""ja""))"),"ハミルトン メンズ H64455533 カーキ キング シリーズ ステンレススチール 自動巻き時計 ブラウン レザー バンド付き")</f>
        <v>ハミルトン メンズ H64455533 カーキ キング シリーズ ステンレススチール 自動巻き時計 ブラウン レザー バンド付き</v>
      </c>
    </row>
    <row r="1155" ht="15.75" customHeight="1">
      <c r="A1155" s="1">
        <v>4086.0</v>
      </c>
      <c r="B1155" s="1" t="s">
        <v>6</v>
      </c>
      <c r="C1155" s="1" t="s">
        <v>1080</v>
      </c>
      <c r="D1155" s="1" t="str">
        <f>IFERROR(__xludf.DUMMYFUNCTION("CONCATENATE(GOOGLETRANSLATE(C1155, ""en"", ""zh-cn""))
"),"Luminox 男士 Pacific Diver Sea 系列红色/黑色 44 毫米模拟潜水手表")</f>
        <v>Luminox 男士 Pacific Diver Sea 系列红色/黑色 44 毫米模拟潜水手表</v>
      </c>
      <c r="E1155" s="1" t="str">
        <f>IFERROR(__xludf.DUMMYFUNCTION("CONCATENATE(GOOGLETRANSLATE(C1155, ""en"", ""ko""))"),"Luminox 남성용 Pacific Diver Sea 시리즈 레드/블랙 44mm 아날로그 다이브 시계")</f>
        <v>Luminox 남성용 Pacific Diver Sea 시리즈 레드/블랙 44mm 아날로그 다이브 시계</v>
      </c>
      <c r="F1155" s="1" t="str">
        <f>IFERROR(__xludf.DUMMYFUNCTION("CONCATENATE(GOOGLETRANSLATE(C1155, ""en"", ""ja""))"),"ルミノックス メンズ パシフィック ダイバー シー シリーズ レッド/ブラック 44mm アナログ ダイブウォッチ")</f>
        <v>ルミノックス メンズ パシフィック ダイバー シー シリーズ レッド/ブラック 44mm アナログ ダイブウォッチ</v>
      </c>
    </row>
    <row r="1156" ht="15.75" customHeight="1">
      <c r="A1156" s="1">
        <v>4094.0</v>
      </c>
      <c r="B1156" s="1" t="s">
        <v>6</v>
      </c>
      <c r="C1156" s="1" t="s">
        <v>1081</v>
      </c>
      <c r="D1156" s="1" t="str">
        <f>IFERROR(__xludf.DUMMYFUNCTION("CONCATENATE(GOOGLETRANSLATE(C1156, ""en"", ""zh-cn""))
"),"Luminox 海军海豹突击队男士手表 45 毫米 - 军用潜水手表黑色日期功能计时码表 200m 防水 - XS.3581.EY")</f>
        <v>Luminox 海军海豹突击队男士手表 45 毫米 - 军用潜水手表黑色日期功能计时码表 200m 防水 - XS.3581.EY</v>
      </c>
      <c r="E1156" s="1" t="str">
        <f>IFERROR(__xludf.DUMMYFUNCTION("CONCATENATE(GOOGLETRANSLATE(C1156, ""en"", ""ko""))"),"Luminox Navy Seal 남성용 시계 45mm - 블랙 날짜 기능 밀리터리 다이브 시계 크로노그래프 200m 방수 - XS.3581.EY")</f>
        <v>Luminox Navy Seal 남성용 시계 45mm - 블랙 날짜 기능 밀리터리 다이브 시계 크로노그래프 200m 방수 - XS.3581.EY</v>
      </c>
      <c r="F1156" s="1" t="str">
        <f>IFERROR(__xludf.DUMMYFUNCTION("CONCATENATE(GOOGLETRANSLATE(C1156, ""en"", ""ja""))"),"ルミノックス ネイビー シール メンズ ウォッチ 45mm - ミリタリー ダイブウォッチ ブラック 日付機能 クロノグラフ 200m 防水 - XS.3581.EY")</f>
        <v>ルミノックス ネイビー シール メンズ ウォッチ 45mm - ミリタリー ダイブウォッチ ブラック 日付機能 クロノグラフ 200m 防水 - XS.3581.EY</v>
      </c>
    </row>
    <row r="1157" ht="15.75" customHeight="1">
      <c r="A1157" s="1">
        <v>4105.0</v>
      </c>
      <c r="B1157" s="1" t="s">
        <v>6</v>
      </c>
      <c r="C1157" s="1" t="s">
        <v>1082</v>
      </c>
      <c r="D1157" s="1" t="str">
        <f>IFERROR(__xludf.DUMMYFUNCTION("CONCATENATE(GOOGLETRANSLATE(C1157, ""en"", ""zh-cn""))
"),"SEIKO SRPG13 Prospex 男士手表绿色 42.4 毫米不锈钢")</f>
        <v>SEIKO SRPG13 Prospex 男士手表绿色 42.4 毫米不锈钢</v>
      </c>
      <c r="E1157" s="1" t="str">
        <f>IFERROR(__xludf.DUMMYFUNCTION("CONCATENATE(GOOGLETRANSLATE(C1157, ""en"", ""ko""))"),"SEIKO SRPG13 Prospex 남성용 시계 그린 42.4mm 스테인리스 스틸")</f>
        <v>SEIKO SRPG13 Prospex 남성용 시계 그린 42.4mm 스테인리스 스틸</v>
      </c>
      <c r="F1157" s="1" t="str">
        <f>IFERROR(__xludf.DUMMYFUNCTION("CONCATENATE(GOOGLETRANSLATE(C1157, ""en"", ""ja""))"),"セイコー SRPG13 プロスペックス メンズ 腕時計 グリーン 42.4mm ステンレススチール")</f>
        <v>セイコー SRPG13 プロスペックス メンズ 腕時計 グリーン 42.4mm ステンレススチール</v>
      </c>
    </row>
    <row r="1158" ht="15.75" customHeight="1">
      <c r="A1158" s="1">
        <v>4137.0</v>
      </c>
      <c r="B1158" s="1" t="s">
        <v>6</v>
      </c>
      <c r="C1158" s="1" t="s">
        <v>1083</v>
      </c>
      <c r="D1158" s="1" t="str">
        <f>IFERROR(__xludf.DUMMYFUNCTION("CONCATENATE(GOOGLETRANSLATE(C1158, ""en"", ""zh-cn""))
"),"Seiko 男士 Prospex - 太阳能“Tuna”PADI 潜水手表模拟/数字")</f>
        <v>Seiko 男士 Prospex - 太阳能“Tuna”PADI 潜水手表模拟/数字</v>
      </c>
      <c r="E1158" s="1" t="str">
        <f>IFERROR(__xludf.DUMMYFUNCTION("CONCATENATE(GOOGLETRANSLATE(C1158, ""en"", ""ko""))"),"세이코 맨 프로스펙스 - Solar 'Tuna' PADI 다이브 시계 아날로그/디지털")</f>
        <v>세이코 맨 프로스펙스 - Solar 'Tuna' PADI 다이브 시계 아날로그/디지털</v>
      </c>
      <c r="F1158" s="1" t="str">
        <f>IFERROR(__xludf.DUMMYFUNCTION("CONCATENATE(GOOGLETRANSLATE(C1158, ""en"", ""ja""))"),"セイコー メンズ プロスペックス - ソーラー 'Tuna' PADI ダイブウォッチ アナログ/デジタル")</f>
        <v>セイコー メンズ プロスペックス - ソーラー 'Tuna' PADI ダイブウォッチ アナログ/デジタル</v>
      </c>
    </row>
    <row r="1159" ht="15.75" customHeight="1">
      <c r="A1159" s="1">
        <v>4158.0</v>
      </c>
      <c r="B1159" s="1" t="s">
        <v>6</v>
      </c>
      <c r="C1159" s="1" t="s">
        <v>1084</v>
      </c>
      <c r="D1159" s="1" t="str">
        <f>IFERROR(__xludf.DUMMYFUNCTION("CONCATENATE(GOOGLETRANSLATE(C1159, ""en"", ""zh-cn""))
"),"三星 Galaxy Watch 5 40 毫米蓝牙智能手表，带身体、健康、健身和睡眠跟踪器，改进的电池，蓝宝石水晶玻璃，增强型 GPS 跟踪，美国版，玫瑰金边框带粉色表带")</f>
        <v>三星 Galaxy Watch 5 40 毫米蓝牙智能手表，带身体、健康、健身和睡眠跟踪器，改进的电池，蓝宝石水晶玻璃，增强型 GPS 跟踪，美国版，玫瑰金边框带粉色表带</v>
      </c>
      <c r="E1159" s="1" t="str">
        <f>IFERROR(__xludf.DUMMYFUNCTION("CONCATENATE(GOOGLETRANSLATE(C1159, ""en"", ""ko""))"),"SAMSUNG Galaxy Watch 5 40mm 블루투스 스마트워치 신체, 건강, 피트니스 및 수면 추적기 포함, 향상된 배터리, 사파이어 크리스탈 유리, 향상된 GPS 추적, 미국 버전, 핑크 골드 베젤 포함 핑크 밴드")</f>
        <v>SAMSUNG Galaxy Watch 5 40mm 블루투스 스마트워치 신체, 건강, 피트니스 및 수면 추적기 포함, 향상된 배터리, 사파이어 크리스탈 유리, 향상된 GPS 추적, 미국 버전, 핑크 골드 베젤 포함 핑크 밴드</v>
      </c>
      <c r="F1159" s="1" t="str">
        <f>IFERROR(__xludf.DUMMYFUNCTION("CONCATENATE(GOOGLETRANSLATE(C1159, ""en"", ""ja""))"),"SAMSUNG Galaxy Watch 5 40mm Bluetooth スマートウォッチ、ボディ、健康、フィットネス、睡眠トラッカー、改良されたバッテリー、サファイアクリスタルガラス、強化された GPS トラッキング、US バージョン、ピンクゴールドベゼル、ピンクバンド付き")</f>
        <v>SAMSUNG Galaxy Watch 5 40mm Bluetooth スマートウォッチ、ボディ、健康、フィットネス、睡眠トラッカー、改良されたバッテリー、サファイアクリスタルガラス、強化された GPS トラッキング、US バージョン、ピンクゴールドベゼル、ピンクバンド付き</v>
      </c>
    </row>
    <row r="1160" ht="15.75" customHeight="1">
      <c r="A1160" s="1">
        <v>4176.0</v>
      </c>
      <c r="B1160" s="1" t="s">
        <v>6</v>
      </c>
      <c r="C1160" s="1" t="s">
        <v>1085</v>
      </c>
      <c r="D1160" s="1" t="str">
        <f>IFERROR(__xludf.DUMMYFUNCTION("CONCATENATE(GOOGLETRANSLATE(C1160, ""en"", ""zh-cn""))
"),"Luminox 男士 Bear Grylls 生存黑色/橙色 42 毫米模拟潜水手表")</f>
        <v>Luminox 男士 Bear Grylls 生存黑色/橙色 42 毫米模拟潜水手表</v>
      </c>
      <c r="E1160" s="1" t="str">
        <f>IFERROR(__xludf.DUMMYFUNCTION("CONCATENATE(GOOGLETRANSLATE(C1160, ""en"", ""ko""))"),"Luminox 남성용 Bear Grylls 서바이벌 블랙/오렌지 42mm 아날로그 다이브 시계")</f>
        <v>Luminox 남성용 Bear Grylls 서바이벌 블랙/오렌지 42mm 아날로그 다이브 시계</v>
      </c>
      <c r="F1160" s="1" t="str">
        <f>IFERROR(__xludf.DUMMYFUNCTION("CONCATENATE(GOOGLETRANSLATE(C1160, ""en"", ""ja""))"),"ルミノックス メンズ ベア グリルス サバイバル ブラック/オレンジ 42mm アナログ ダイブウォッチ")</f>
        <v>ルミノックス メンズ ベア グリルス サバイバル ブラック/オレンジ 42mm アナログ ダイブウォッチ</v>
      </c>
    </row>
    <row r="1161" ht="15.75" customHeight="1">
      <c r="A1161" s="1">
        <v>4207.0</v>
      </c>
      <c r="B1161" s="1" t="s">
        <v>6</v>
      </c>
      <c r="C1161" s="1" t="s">
        <v>1086</v>
      </c>
      <c r="D1161" s="1" t="str">
        <f>IFERROR(__xludf.DUMMYFUNCTION("CONCATENATE(GOOGLETRANSLATE(C1161, ""en"", ""zh-cn""))
"),"FEICE 男士自动手表包豪斯手表男士机械手表不锈钢圆顶镜面模拟休闲正装手表男女通用 -FM202（42 毫米）")</f>
        <v>FEICE 男士自动手表包豪斯手表男士机械手表不锈钢圆顶镜面模拟休闲正装手表男女通用 -FM202（42 毫米）</v>
      </c>
      <c r="E1161" s="1" t="str">
        <f>IFERROR(__xludf.DUMMYFUNCTION("CONCATENATE(GOOGLETRANSLATE(C1161, ""en"", ""ko""))"),"FEICE 남성용 자동 시계 바우하우스 시계 남성용 기계식 시계 스테인레스 스틸 돔형 거울 아날로그 캐주얼 복장 시계 남여 -FM202 (42mm)")</f>
        <v>FEICE 남성용 자동 시계 바우하우스 시계 남성용 기계식 시계 스테인레스 스틸 돔형 거울 아날로그 캐주얼 복장 시계 남여 -FM202 (42mm)</v>
      </c>
      <c r="F1161" s="1" t="str">
        <f>IFERROR(__xludf.DUMMYFUNCTION("CONCATENATE(GOOGLETRANSLATE(C1161, ""en"", ""ja""))"),"FEICE 自動巻きメンズウォッチ バウハウスウォッチ メンズ機械式時計 ステンレススチール ドーム型ミラー アナログ カジュアル ドレスウォッチ ユニセックス -FM202 (42mm)")</f>
        <v>FEICE 自動巻きメンズウォッチ バウハウスウォッチ メンズ機械式時計 ステンレススチール ドーム型ミラー アナログ カジュアル ドレスウォッチ ユニセックス -FM202 (42mm)</v>
      </c>
    </row>
    <row r="1162" ht="15.75" customHeight="1">
      <c r="A1162" s="1">
        <v>4210.0</v>
      </c>
      <c r="B1162" s="1" t="s">
        <v>6</v>
      </c>
      <c r="C1162" s="1" t="s">
        <v>1087</v>
      </c>
      <c r="D1162" s="1" t="str">
        <f>IFERROR(__xludf.DUMMYFUNCTION("CONCATENATE(GOOGLETRANSLATE(C1162, ""en"", ""zh-cn""))
"),"CASIO G-SHOCK GW-M5610RB-4JF 男士日本进口")</f>
        <v>CASIO G-SHOCK GW-M5610RB-4JF 男士日本进口</v>
      </c>
      <c r="E1162" s="1" t="str">
        <f>IFERROR(__xludf.DUMMYFUNCTION("CONCATENATE(GOOGLETRANSLATE(C1162, ""en"", ""ko""))"),"CASIO G-SHOCK GW-M5610RB-4JF 남성 일본 수입")</f>
        <v>CASIO G-SHOCK GW-M5610RB-4JF 남성 일본 수입</v>
      </c>
      <c r="F1162" s="1" t="str">
        <f>IFERROR(__xludf.DUMMYFUNCTION("CONCATENATE(GOOGLETRANSLATE(C1162, ""en"", ""ja""))"),"カシオ G-SHOCK GW-M5610RB-4JF メンズ 日本輸入")</f>
        <v>カシオ G-SHOCK GW-M5610RB-4JF メンズ 日本輸入</v>
      </c>
    </row>
    <row r="1163" ht="15.75" customHeight="1">
      <c r="A1163" s="1">
        <v>4225.0</v>
      </c>
      <c r="B1163" s="1" t="s">
        <v>6</v>
      </c>
      <c r="C1163" s="1" t="s">
        <v>1088</v>
      </c>
      <c r="D1163" s="1" t="str">
        <f>IFERROR(__xludf.DUMMYFUNCTION("CONCATENATE(GOOGLETRANSLATE(C1163, ""en"", ""zh-cn""))
"),"施华洛世奇 Constella 水晶珠宝系列，金色饰面")</f>
        <v>施华洛世奇 Constella 水晶珠宝系列，金色饰面</v>
      </c>
      <c r="E1163" s="1" t="str">
        <f>IFERROR(__xludf.DUMMYFUNCTION("CONCATENATE(GOOGLETRANSLATE(C1163, ""en"", ""ko""))"),"Swarovski Constella 크리스탈 주얼리 컬렉션, 골드 톤 마감")</f>
        <v>Swarovski Constella 크리스탈 주얼리 컬렉션, 골드 톤 마감</v>
      </c>
      <c r="F1163" s="1" t="str">
        <f>IFERROR(__xludf.DUMMYFUNCTION("CONCATENATE(GOOGLETRANSLATE(C1163, ""en"", ""ja""))"),"スワロフスキー コンステラ クリスタル ジュエリー コレクション、ゴールドトーン仕上げ")</f>
        <v>スワロフスキー コンステラ クリスタル ジュエリー コレクション、ゴールドトーン仕上げ</v>
      </c>
    </row>
    <row r="1164" ht="15.75" customHeight="1">
      <c r="A1164" s="1">
        <v>4243.0</v>
      </c>
      <c r="B1164" s="1" t="s">
        <v>6</v>
      </c>
      <c r="C1164" s="1" t="s">
        <v>1089</v>
      </c>
      <c r="D1164" s="1" t="str">
        <f>IFERROR(__xludf.DUMMYFUNCTION("CONCATENATE(GOOGLETRANSLATE(C1164, ""en"", ""zh-cn""))
"),"卡西欧 GM-S5600BR-5JF [G-Shock 青铜色主题型号] 手表 日本发货 2022 年 8 月 型号")</f>
        <v>卡西欧 GM-S5600BR-5JF [G-Shock 青铜色主题型号] 手表 日本发货 2022 年 8 月 型号</v>
      </c>
      <c r="E1164" s="1" t="str">
        <f>IFERROR(__xludf.DUMMYFUNCTION("CONCATENATE(GOOGLETRANSLATE(C1164, ""en"", ""ko""))"),"Casio GM-S5600BR-5JF [G-Shock 브론즈 컬러 테마 모델] 시계 2022년 8월 일본에서 출시 모델")</f>
        <v>Casio GM-S5600BR-5JF [G-Shock 브론즈 컬러 테마 모델] 시계 2022년 8월 일본에서 출시 모델</v>
      </c>
      <c r="F1164" s="1" t="str">
        <f>IFERROR(__xludf.DUMMYFUNCTION("CONCATENATE(GOOGLETRANSLATE(C1164, ""en"", ""ja""))"),"カシオ GM-S5600BR-5JF [G-Shock ブロンズカラーテーマモデル] 腕時計 日本国内発送 2022年8月モデル")</f>
        <v>カシオ GM-S5600BR-5JF [G-Shock ブロンズカラーテーマモデル] 腕時計 日本国内発送 2022年8月モデル</v>
      </c>
    </row>
    <row r="1165" ht="15.75" customHeight="1">
      <c r="A1165" s="1">
        <v>4309.0</v>
      </c>
      <c r="B1165" s="1" t="s">
        <v>6</v>
      </c>
      <c r="C1165" s="1" t="s">
        <v>1090</v>
      </c>
      <c r="D1165" s="1" t="str">
        <f>IFERROR(__xludf.DUMMYFUNCTION("CONCATENATE(GOOGLETRANSLATE(C1165, ""en"", ""zh-cn""))
"),"卡西欧 G-Shock 男士手表 GD-120MB-1ER")</f>
        <v>卡西欧 G-Shock 男士手表 GD-120MB-1ER</v>
      </c>
      <c r="E1165" s="1" t="str">
        <f>IFERROR(__xludf.DUMMYFUNCTION("CONCATENATE(GOOGLETRANSLATE(C1165, ""en"", ""ko""))"),"카시오 G-Shock 남성용 시계 GD-120MB-1ER")</f>
        <v>카시오 G-Shock 남성용 시계 GD-120MB-1ER</v>
      </c>
      <c r="F1165" s="1" t="str">
        <f>IFERROR(__xludf.DUMMYFUNCTION("CONCATENATE(GOOGLETRANSLATE(C1165, ""en"", ""ja""))"),"カシオ Gショック メンズ 腕時計 GD-120MB-1ER")</f>
        <v>カシオ Gショック メンズ 腕時計 GD-120MB-1ER</v>
      </c>
    </row>
    <row r="1166" ht="15.75" customHeight="1">
      <c r="A1166" s="1">
        <v>4317.0</v>
      </c>
      <c r="B1166" s="1" t="s">
        <v>6</v>
      </c>
      <c r="C1166" s="1" t="s">
        <v>1091</v>
      </c>
      <c r="D1166" s="1" t="str">
        <f>IFERROR(__xludf.DUMMYFUNCTION("CONCATENATE(GOOGLETRANSLATE(C1166, ""en"", ""zh-cn""))
"),"施华洛世奇 Hear Heart 珠宝系列，透明水晶（亚马逊独家）")</f>
        <v>施华洛世奇 Hear Heart 珠宝系列，透明水晶（亚马逊独家）</v>
      </c>
      <c r="E1166" s="1" t="str">
        <f>IFERROR(__xludf.DUMMYFUNCTION("CONCATENATE(GOOGLETRANSLATE(C1166, ""en"", ""ko""))"),"스와로브스키 히어 하트 주얼리 컬렉션, 클리어 크리스털(아마존 독점)")</f>
        <v>스와로브스키 히어 하트 주얼리 컬렉션, 클리어 크리스털(아마존 독점)</v>
      </c>
      <c r="F1166" s="1" t="str">
        <f>IFERROR(__xludf.DUMMYFUNCTION("CONCATENATE(GOOGLETRANSLATE(C1166, ""en"", ""ja""))"),"スワロフスキー ヒア ハート ジュエリー コレクション、クリア クリスタル (Amazon限定)")</f>
        <v>スワロフスキー ヒア ハート ジュエリー コレクション、クリア クリスタル (Amazon限定)</v>
      </c>
    </row>
    <row r="1167" ht="15.75" customHeight="1">
      <c r="A1167" s="1">
        <v>4332.0</v>
      </c>
      <c r="B1167" s="1" t="s">
        <v>6</v>
      </c>
      <c r="C1167" s="1" t="s">
        <v>1092</v>
      </c>
      <c r="D1167" s="1" t="str">
        <f>IFERROR(__xludf.DUMMYFUNCTION("CONCATENATE(GOOGLETRANSLATE(C1167, ""en"", ""zh-cn""))
"),"HUGO #First 男士石英不锈钢链式手链休闲手表，颜色：黑色（型号：1530187）")</f>
        <v>HUGO #First 男士石英不锈钢链式手链休闲手表，颜色：黑色（型号：1530187）</v>
      </c>
      <c r="E1167" s="1" t="str">
        <f>IFERROR(__xludf.DUMMYFUNCTION("CONCATENATE(GOOGLETRANSLATE(C1167, ""en"", ""ko""))"),"HUGO #First 남성용 쿼츠 스테인리스 스틸 및 링크 팔찌 캐주얼 시계, 색상: 블랙(모델: 1530187)")</f>
        <v>HUGO #First 남성용 쿼츠 스테인리스 스틸 및 링크 팔찌 캐주얼 시계, 색상: 블랙(모델: 1530187)</v>
      </c>
      <c r="F1167" s="1" t="str">
        <f>IFERROR(__xludf.DUMMYFUNCTION("CONCATENATE(GOOGLETRANSLATE(C1167, ""en"", ""ja""))"),"HUGO #First メンズ クォーツ ステンレススチールとリンク ブレスレット カジュアルウォッチ、カラー: ブラック (モデル: 1530187)")</f>
        <v>HUGO #First メンズ クォーツ ステンレススチールとリンク ブレスレット カジュアルウォッチ、カラー: ブラック (モデル: 1530187)</v>
      </c>
    </row>
    <row r="1168" ht="15.75" customHeight="1">
      <c r="A1168" s="1">
        <v>4340.0</v>
      </c>
      <c r="B1168" s="1" t="s">
        <v>6</v>
      </c>
      <c r="C1168" s="1" t="s">
        <v>1093</v>
      </c>
      <c r="D1168" s="1" t="str">
        <f>IFERROR(__xludf.DUMMYFUNCTION("CONCATENATE(GOOGLETRANSLATE(C1168, ""en"", ""zh-cn""))
"),"Invicta 男士 Pro Diver 自动手表带硅胶表带，黑色（型号 23678）")</f>
        <v>Invicta 男士 Pro Diver 自动手表带硅胶表带，黑色（型号 23678）</v>
      </c>
      <c r="E1168" s="1" t="str">
        <f>IFERROR(__xludf.DUMMYFUNCTION("CONCATENATE(GOOGLETRANSLATE(C1168, ""en"", ""ko""))"),"인빅타 남성용 프로 다이버 오토매틱 시계, 실리콘 밴드, 블랙(모델 23678)")</f>
        <v>인빅타 남성용 프로 다이버 오토매틱 시계, 실리콘 밴드, 블랙(모델 23678)</v>
      </c>
      <c r="F1168" s="1" t="str">
        <f>IFERROR(__xludf.DUMMYFUNCTION("CONCATENATE(GOOGLETRANSLATE(C1168, ""en"", ""ja""))"),"Invicta メンズ プロダイバー 自動巻き時計 シリコンバンド付き ブラック (モデル 23678)")</f>
        <v>Invicta メンズ プロダイバー 自動巻き時計 シリコンバンド付き ブラック (モデル 23678)</v>
      </c>
    </row>
    <row r="1169" ht="15.75" customHeight="1">
      <c r="A1169" s="1">
        <v>4350.0</v>
      </c>
      <c r="B1169" s="1" t="s">
        <v>6</v>
      </c>
      <c r="C1169" s="1" t="s">
        <v>1094</v>
      </c>
      <c r="D1169" s="1" t="str">
        <f>IFERROR(__xludf.DUMMYFUNCTION("CONCATENATE(GOOGLETRANSLATE(C1169, ""en"", ""zh-cn""))
"),"施华洛世奇石戒指珠宝系列，粉色水晶，玫瑰金色调饰面")</f>
        <v>施华洛世奇石戒指珠宝系列，粉色水晶，玫瑰金色调饰面</v>
      </c>
      <c r="E1169" s="1" t="str">
        <f>IFERROR(__xludf.DUMMYFUNCTION("CONCATENATE(GOOGLETRANSLATE(C1169, ""en"", ""ko""))"),"스와로브스키 스톤 링 주얼리 컬렉션, 핑크 크리스털, 로즈 골드 톤 마감")</f>
        <v>스와로브스키 스톤 링 주얼리 컬렉션, 핑크 크리스털, 로즈 골드 톤 마감</v>
      </c>
      <c r="F1169" s="1" t="str">
        <f>IFERROR(__xludf.DUMMYFUNCTION("CONCATENATE(GOOGLETRANSLATE(C1169, ""en"", ""ja""))"),"スワロフスキー ストーン リング ジュエリー コレクション、ピンク クリスタル、ローズゴールドトーン仕上げ")</f>
        <v>スワロフスキー ストーン リング ジュエリー コレクション、ピンク クリスタル、ローズゴールドトーン仕上げ</v>
      </c>
    </row>
    <row r="1170" ht="15.75" customHeight="1">
      <c r="A1170" s="1">
        <v>4369.0</v>
      </c>
      <c r="B1170" s="1" t="s">
        <v>6</v>
      </c>
      <c r="C1170" s="1" t="s">
        <v>738</v>
      </c>
      <c r="D1170" s="1" t="str">
        <f>IFERROR(__xludf.DUMMYFUNCTION("CONCATENATE(GOOGLETRANSLATE(C1170, ""en"", ""zh-cn""))
"),"SZUBEE 8888 L 形组合沙发客厅家具深扣簇绒天鹅绒软垫卷臂经典切斯特菲尔德 含 3 个枕头，灰色")</f>
        <v>SZUBEE 8888 L 形组合沙发客厅家具深扣簇绒天鹅绒软垫卷臂经典切斯特菲尔德 含 3 个枕头，灰色</v>
      </c>
      <c r="E1170" s="1" t="str">
        <f>IFERROR(__xludf.DUMMYFUNCTION("CONCATENATE(GOOGLETRANSLATE(C1170, ""en"", ""ko""))"),"SZUBEE 8888 L 모양의 단면 소파 거실 가구 깊은 단추 술을 단 벨벳 덮개를 씌운 압연 팔 클래식 체스터필드 베개 3개 포함, 회색")</f>
        <v>SZUBEE 8888 L 모양의 단면 소파 거실 가구 깊은 단추 술을 단 벨벳 덮개를 씌운 압연 팔 클래식 체스터필드 베개 3개 포함, 회색</v>
      </c>
      <c r="F1170" s="1" t="str">
        <f>IFERROR(__xludf.DUMMYFUNCTION("CONCATENATE(GOOGLETRANSLATE(C1170, ""en"", ""ja""))"),"SZUBEE 8888 L字型セクショナルソファ リビングルーム家具 ディープボタン 房状ベルベット布張り ロールアーム クラシックチェスターフィールド 枕3個付き グレー")</f>
        <v>SZUBEE 8888 L字型セクショナルソファ リビングルーム家具 ディープボタン 房状ベルベット布張り ロールアーム クラシックチェスターフィールド 枕3個付き グレー</v>
      </c>
    </row>
    <row r="1171" ht="15.75" customHeight="1">
      <c r="A1171" s="1">
        <v>4378.0</v>
      </c>
      <c r="B1171" s="1" t="s">
        <v>6</v>
      </c>
      <c r="C1171" s="1" t="s">
        <v>1095</v>
      </c>
      <c r="D1171" s="1" t="str">
        <f>IFERROR(__xludf.DUMMYFUNCTION("CONCATENATE(GOOGLETRANSLATE(C1171, ""en"", ""zh-cn""))
"),"CHITA 中世纪沙发 74.4 英寸宽沙发套，适用于客厅公寓，易于组装，亚麻米色")</f>
        <v>CHITA 中世纪沙发 74.4 英寸宽沙发套，适用于客厅公寓，易于组装，亚麻米色</v>
      </c>
      <c r="E1171" s="1" t="str">
        <f>IFERROR(__xludf.DUMMYFUNCTION("CONCATENATE(GOOGLETRANSLATE(C1171, ""en"", ""ko""))"),"CHITA Mid-Century 소파 74.4''W 소파 소파 세트 거실 아파트, 간편한 조립, 아마 베이지")</f>
        <v>CHITA Mid-Century 소파 74.4''W 소파 소파 세트 거실 아파트, 간편한 조립, 아마 베이지</v>
      </c>
      <c r="F1171" s="1" t="str">
        <f>IFERROR(__xludf.DUMMYFUNCTION("CONCATENATE(GOOGLETRANSLATE(C1171, ""en"", ""ja""))"),"CHITA ミッドセンチュリーソファ 74.4 インチ W ソファ カウチセット リビングルーム アパートメント用 組み立て簡単 亜麻ベージュ")</f>
        <v>CHITA ミッドセンチュリーソファ 74.4 インチ W ソファ カウチセット リビングルーム アパートメント用 組み立て簡単 亜麻ベージュ</v>
      </c>
    </row>
    <row r="1172" ht="15.75" customHeight="1">
      <c r="A1172" s="1">
        <v>4387.0</v>
      </c>
      <c r="B1172" s="1" t="s">
        <v>6</v>
      </c>
      <c r="C1172" s="1" t="s">
        <v>358</v>
      </c>
      <c r="D1172" s="1" t="str">
        <f>IFERROR(__xludf.DUMMYFUNCTION("CONCATENATE(GOOGLETRANSLATE(C1172, ""en"", ""zh-cn""))
"),"Lilola Home Zoey 深灰色亚麻可转换沙发床，带侧袋")</f>
        <v>Lilola Home Zoey 深灰色亚麻可转换沙发床，带侧袋</v>
      </c>
      <c r="E1172" s="1" t="str">
        <f>IFERROR(__xludf.DUMMYFUNCTION("CONCATENATE(GOOGLETRANSLATE(C1172, ""en"", ""ko""))"),"Lilola Home Zoey 다크 그레이 리넨 컨버터블 슬리퍼 소파(사이드 포켓 ​​포함)")</f>
        <v>Lilola Home Zoey 다크 그레이 리넨 컨버터블 슬리퍼 소파(사이드 포켓 ​​포함)</v>
      </c>
      <c r="F1172" s="1" t="str">
        <f>IFERROR(__xludf.DUMMYFUNCTION("CONCATENATE(GOOGLETRANSLATE(C1172, ""en"", ""ja""))"),"Lilola Home ゾーイ ダークグレー リネン コンバーチブル スリーパー ソファ サイドポケット付き")</f>
        <v>Lilola Home ゾーイ ダークグレー リネン コンバーチブル スリーパー ソファ サイドポケット付き</v>
      </c>
    </row>
    <row r="1173" ht="15.75" customHeight="1">
      <c r="A1173" s="1">
        <v>4393.0</v>
      </c>
      <c r="B1173" s="1" t="s">
        <v>6</v>
      </c>
      <c r="C1173" s="1" t="s">
        <v>1096</v>
      </c>
      <c r="D1173" s="1" t="str">
        <f>IFERROR(__xludf.DUMMYFUNCTION("CONCATENATE(GOOGLETRANSLATE(C1173, ""en"", ""zh-cn""))
"),"LEISLAND 79 现代客厅组合沙发，小空间小沙发，实木框架雪尼尔 L 形沙发，可拆卸套罩，附扶手，易于安装（金色）")</f>
        <v>LEISLAND 79 现代客厅组合沙发，小空间小沙发，实木框架雪尼尔 L 形沙发，可拆卸套罩，附扶手，易于安装（金色）</v>
      </c>
      <c r="E1173" s="1" t="str">
        <f>IFERROR(__xludf.DUMMYFUNCTION("CONCATENATE(GOOGLETRANSLATE(C1173, ""en"", ""ko""))"),"LEISLAND 79 거실용 현대식 단면 소파 소파, 작은 공간을 위한 소형 소파, 원목 프레임이 있는 셔닐 L형 소파, 분리형 커버, 부착형 팔걸이, 설치가 용이함(골든)")</f>
        <v>LEISLAND 79 거실용 현대식 단면 소파 소파, 작은 공간을 위한 소형 소파, 원목 프레임이 있는 셔닐 L형 소파, 분리형 커버, 부착형 팔걸이, 설치가 용이함(골든)</v>
      </c>
      <c r="F1173" s="1" t="str">
        <f>IFERROR(__xludf.DUMMYFUNCTION("CONCATENATE(GOOGLETRANSLATE(C1173, ""en"", ""ja""))"),"LEISLAND 79 リビングルーム用モダンなセクショナルソファカウチ、小さなスペース用の小さなカウチ、無垢材フレーム付きシェニール織L字型ソファ、取り外し可能なカバー、アームレスト付き、取り付け簡単(ゴールド)")</f>
        <v>LEISLAND 79 リビングルーム用モダンなセクショナルソファカウチ、小さなスペース用の小さなカウチ、無垢材フレーム付きシェニール織L字型ソファ、取り外し可能なカバー、アームレスト付き、取り付け簡単(ゴールド)</v>
      </c>
    </row>
    <row r="1174" ht="15.75" customHeight="1">
      <c r="A1174" s="1">
        <v>4409.0</v>
      </c>
      <c r="B1174" s="1" t="s">
        <v>6</v>
      </c>
      <c r="C1174" s="1" t="s">
        <v>1097</v>
      </c>
      <c r="D1174" s="1" t="str">
        <f>IFERROR(__xludf.DUMMYFUNCTION("CONCATENATE(GOOGLETRANSLATE(C1174, ""en"", ""zh-cn""))
"),"Lestar 布艺沙发 3 座现代软垫沙发 3 座沙发带钉子和扶手（米色）")</f>
        <v>Lestar 布艺沙发 3 座现代软垫沙发 3 座沙发带钉子和扶手（米色）</v>
      </c>
      <c r="E1174" s="1" t="str">
        <f>IFERROR(__xludf.DUMMYFUNCTION("CONCATENATE(GOOGLETRANSLATE(C1174, ""en"", ""ko""))"),"레스타 패브릭 소파 소파 3인용 모던한 덮개를 씌운 소파 3인용 소파, 손톱과 팔걸이(베이지색)")</f>
        <v>레스타 패브릭 소파 소파 3인용 모던한 덮개를 씌운 소파 3인용 소파, 손톱과 팔걸이(베이지색)</v>
      </c>
      <c r="F1174" s="1" t="str">
        <f>IFERROR(__xludf.DUMMYFUNCTION("CONCATENATE(GOOGLETRANSLATE(C1174, ""en"", ""ja""))"),"Lestar ファブリック ソファ カウチ 3 席 モダンな布張りソファ 3 人掛けソファ ネイルとアームレスト付き (ベージュ)")</f>
        <v>Lestar ファブリック ソファ カウチ 3 席 モダンな布張りソファ 3 人掛けソファ ネイルとアームレスト付き (ベージュ)</v>
      </c>
    </row>
    <row r="1175" ht="15.75" customHeight="1">
      <c r="A1175" s="1">
        <v>4444.0</v>
      </c>
      <c r="B1175" s="1" t="s">
        <v>6</v>
      </c>
      <c r="C1175" s="1" t="s">
        <v>1098</v>
      </c>
      <c r="D1175" s="1" t="str">
        <f>IFERROR(__xludf.DUMMYFUNCTION("CONCATENATE(GOOGLETRANSLATE(C1175, ""en"", ""zh-cn""))
"),"SISLEY 希思黎雅全球抗衰老面霜 适合干性皮肤 50ml/1.7oz")</f>
        <v>SISLEY 希思黎雅全球抗衰老面霜 适合干性皮肤 50ml/1.7oz</v>
      </c>
      <c r="E1175" s="1" t="str">
        <f>IFERROR(__xludf.DUMMYFUNCTION("CONCATENATE(GOOGLETRANSLATE(C1175, ""en"", ""ko""))"),"시슬리 시슬리아 글로벌 안티 에이지 크림 엑스트라 리치 포 건성 피부 50ml/1.7oz")</f>
        <v>시슬리 시슬리아 글로벌 안티 에이지 크림 엑스트라 리치 포 건성 피부 50ml/1.7oz</v>
      </c>
      <c r="F1175" s="1" t="str">
        <f>IFERROR(__xludf.DUMMYFUNCTION("CONCATENATE(GOOGLETRANSLATE(C1175, ""en"", ""ja""))"),"SISLEY シスレーヤ グローバル アンチ エイジ クリーム エクストラ リッチ フォー ドライ スキン 50ml/1.7oz")</f>
        <v>SISLEY シスレーヤ グローバル アンチ エイジ クリーム エクストラ リッチ フォー ドライ スキン 50ml/1.7oz</v>
      </c>
    </row>
    <row r="1176" ht="15.75" customHeight="1">
      <c r="A1176" s="1">
        <v>4451.0</v>
      </c>
      <c r="B1176" s="1" t="s">
        <v>6</v>
      </c>
      <c r="C1176" s="1" t="s">
        <v>1099</v>
      </c>
      <c r="D1176" s="1" t="str">
        <f>IFERROR(__xludf.DUMMYFUNCTION("CONCATENATE(GOOGLETRANSLATE(C1176, ""en"", ""zh-cn""))
"),"toyshi 睫毛LED落地灯，半月落地灯，睫毛延长环形灯，美容照明，护肤，睫毛，眉毛，拍摄内容创作")</f>
        <v>toyshi 睫毛LED落地灯，半月落地灯，睫毛延长环形灯，美容照明，护肤，睫毛，眉毛，拍摄内容创作</v>
      </c>
      <c r="E1176" s="1" t="str">
        <f>IFERROR(__xludf.DUMMYFUNCTION("CONCATENATE(GOOGLETRANSLATE(C1176, ""en"", ""ko""))"),"toyshi 속눈썹 LED 플로어 라이트, 하프문 플로어 램프, 속눈썹 연장용 링 라이트, 뷰티 조명, 스킨케어, 속눈썹, 눈썹, 촬영 콘텐츠 제작")</f>
        <v>toyshi 속눈썹 LED 플로어 라이트, 하프문 플로어 램프, 속눈썹 연장용 링 라이트, 뷰티 조명, 스킨케어, 속눈썹, 눈썹, 촬영 콘텐츠 제작</v>
      </c>
      <c r="F1176" s="1" t="str">
        <f>IFERROR(__xludf.DUMMYFUNCTION("CONCATENATE(GOOGLETRANSLATE(C1176, ""en"", ""ja""))"),"toyshi Eyelash LEDフロアライト、ハーフムーンフロアランプ、まつげエクステ用リングライト、美容、スキンケア、まつげ、眉毛、撮影コンテンツ作成用照明")</f>
        <v>toyshi Eyelash LEDフロアライト、ハーフムーンフロアランプ、まつげエクステ用リングライト、美容、スキンケア、まつげ、眉毛、撮影コンテンツ作成用照明</v>
      </c>
    </row>
    <row r="1177" ht="15.75" customHeight="1">
      <c r="A1177" s="1">
        <v>4461.0</v>
      </c>
      <c r="B1177" s="1" t="s">
        <v>6</v>
      </c>
      <c r="C1177" s="1" t="s">
        <v>1100</v>
      </c>
      <c r="D1177" s="1" t="str">
        <f>IFERROR(__xludf.DUMMYFUNCTION("CONCATENATE(GOOGLETRANSLATE(C1177, ""en"", ""zh-cn""))
"),"sisley paris 抗衰老全面焕活剂，男女通用，正常皮肤，1.7 盎司 (SISLEY-550101)")</f>
        <v>sisley paris 抗衰老全面焕活剂，男女通用，正常皮肤，1.7 盎司 (SISLEY-550101)</v>
      </c>
      <c r="E1177" s="1" t="str">
        <f>IFERROR(__xludf.DUMMYFUNCTION("CONCATENATE(GOOGLETRANSLATE(C1177, ""en"", ""ko""))"),"시슬리 파리 안티 에이지 글로벌 리바이탈라이저 남녀공용 중성 피부용, 1.7온스(SISLEY-550101)")</f>
        <v>시슬리 파리 안티 에이지 글로벌 리바이탈라이저 남녀공용 중성 피부용, 1.7온스(SISLEY-550101)</v>
      </c>
      <c r="F1177" s="1" t="str">
        <f>IFERROR(__xludf.DUMMYFUNCTION("CONCATENATE(GOOGLETRANSLATE(C1177, ""en"", ""ja""))"),"シスレー パリ アンチエイジ グローバル リバイタライザー ユニセックス ノーマルスキン用、1.7 オンス (SISLEY-550101)")</f>
        <v>シスレー パリ アンチエイジ グローバル リバイタライザー ユニセックス ノーマルスキン用、1.7 オンス (SISLEY-550101)</v>
      </c>
    </row>
    <row r="1178" ht="15.75" customHeight="1">
      <c r="A1178" s="1">
        <v>4479.0</v>
      </c>
      <c r="B1178" s="1" t="s">
        <v>6</v>
      </c>
      <c r="C1178" s="1" t="s">
        <v>1101</v>
      </c>
      <c r="D1178" s="1" t="str">
        <f>IFERROR(__xludf.DUMMYFUNCTION("CONCATENATE(GOOGLETRANSLATE(C1178, ""en"", ""zh-cn""))
"),"Germaine de Capuccini - Timexpert SRNS Pro 60+ 额外滋养高要求霜 - 改善色素沉着和保湿 - 满足成熟肌肤的所有需求 - 1.7 盎司")</f>
        <v>Germaine de Capuccini - Timexpert SRNS Pro 60+ 额外滋养高要求霜 - 改善色素沉着和保湿 - 满足成熟肌肤的所有需求 - 1.7 盎司</v>
      </c>
      <c r="E1178" s="1" t="str">
        <f>IFERROR(__xludf.DUMMYFUNCTION("CONCATENATE(GOOGLETRANSLATE(C1178, ""en"", ""ko""))"),"Germaine de Capuccini - Timexpert SRNS Pro 60+ 매우 까다로운 영양 크림 - 색소 침착 및 수화 개선 - 성숙한 피부의 모든 요구 사항 충족 - 1.7온스")</f>
        <v>Germaine de Capuccini - Timexpert SRNS Pro 60+ 매우 까다로운 영양 크림 - 색소 침착 및 수화 개선 - 성숙한 피부의 모든 요구 사항 충족 - 1.7온스</v>
      </c>
      <c r="F1178" s="1" t="str">
        <f>IFERROR(__xludf.DUMMYFUNCTION("CONCATENATE(GOOGLETRANSLATE(C1178, ""en"", ""ja""))"),"Germaine de Capuccini - Timexpert SRNS Pro 60+ Extra Naurishing Highly Demand Cream - 色素沈着と水分補給を改善 - 成熟した肌のすべてのニーズをカバー - 1.7 oz")</f>
        <v>Germaine de Capuccini - Timexpert SRNS Pro 60+ Extra Naurishing Highly Demand Cream - 色素沈着と水分補給を改善 - 成熟した肌のすべてのニーズをカバー - 1.7 oz</v>
      </c>
    </row>
    <row r="1179" ht="15.75" customHeight="1">
      <c r="A1179" s="1">
        <v>4482.0</v>
      </c>
      <c r="B1179" s="1" t="s">
        <v>6</v>
      </c>
      <c r="C1179" s="1" t="s">
        <v>1102</v>
      </c>
      <c r="D1179" s="1" t="str">
        <f>IFERROR(__xludf.DUMMYFUNCTION("CONCATENATE(GOOGLETRANSLATE(C1179, ""en"", ""zh-cn""))
"),"Sisley Hydra-全球强效抗衰老保湿，1.4 盎司")</f>
        <v>Sisley Hydra-全球强效抗衰老保湿，1.4 盎司</v>
      </c>
      <c r="E1179" s="1" t="str">
        <f>IFERROR(__xludf.DUMMYFUNCTION("CONCATENATE(GOOGLETRANSLATE(C1179, ""en"", ""ko""))"),"시슬리 하이드라-글로벌 인텐스 안티에이징 하이드레이션, 1.4온스")</f>
        <v>시슬리 하이드라-글로벌 인텐스 안티에이징 하이드레이션, 1.4온스</v>
      </c>
      <c r="F1179" s="1" t="str">
        <f>IFERROR(__xludf.DUMMYFUNCTION("CONCATENATE(GOOGLETRANSLATE(C1179, ""en"", ""ja""))"),"シスレー ハイドラ - グローバル インテンス アンチエイジング ハイドレーション、1.4 オンス")</f>
        <v>シスレー ハイドラ - グローバル インテンス アンチエイジング ハイドレーション、1.4 オンス</v>
      </c>
    </row>
    <row r="1180" ht="15.75" customHeight="1">
      <c r="A1180" s="1">
        <v>4493.0</v>
      </c>
      <c r="B1180" s="1" t="s">
        <v>6</v>
      </c>
      <c r="C1180" s="1" t="s">
        <v>1103</v>
      </c>
      <c r="D1180" s="1" t="str">
        <f>IFERROR(__xludf.DUMMYFUNCTION("CONCATENATE(GOOGLETRANSLATE(C1180, ""en"", ""zh-cn""))
"),"Sisley Phyto Teint Eclat 紧致粉底液 2 号柔和米色，适合女士，0.35 盎司")</f>
        <v>Sisley Phyto Teint Eclat 紧致粉底液 2 号柔和米色，适合女士，0.35 盎司</v>
      </c>
      <c r="E1180" s="1" t="str">
        <f>IFERROR(__xludf.DUMMYFUNCTION("CONCATENATE(GOOGLETRANSLATE(C1180, ""en"", ""ko""))"),"시슬리 피토 떼인 에끌라 컴팩트 파운데이션 No. 2 여성용 소프트 베이지, 0.35온스")</f>
        <v>시슬리 피토 떼인 에끌라 컴팩트 파운데이션 No. 2 여성용 소프트 베이지, 0.35온스</v>
      </c>
      <c r="F1180" s="1" t="str">
        <f>IFERROR(__xludf.DUMMYFUNCTION("CONCATENATE(GOOGLETRANSLATE(C1180, ""en"", ""ja""))"),"シスレー フィト タン エクラ コンパクト ファンデーション No. 2 女性用 ソフトベージュ、0.35 オンス")</f>
        <v>シスレー フィト タン エクラ コンパクト ファンデーション No. 2 女性用 ソフトベージュ、0.35 オンス</v>
      </c>
    </row>
    <row r="1181" ht="15.75" customHeight="1">
      <c r="A1181" s="1">
        <v>4499.0</v>
      </c>
      <c r="B1181" s="1" t="s">
        <v>6</v>
      </c>
      <c r="C1181" s="1" t="s">
        <v>1104</v>
      </c>
      <c r="D1181" s="1" t="str">
        <f>IFERROR(__xludf.DUMMYFUNCTION("CONCATENATE(GOOGLETRANSLATE(C1181, ""en"", ""zh-cn""))
"),"香奈儿紧致眼霜，0.5291 盎司")</f>
        <v>香奈儿紧致眼霜，0.5291 盎司</v>
      </c>
      <c r="E1181" s="1" t="str">
        <f>IFERROR(__xludf.DUMMYFUNCTION("CONCATENATE(GOOGLETRANSLATE(C1181, ""en"", ""ko""))"),"샤넬 르 리프트 크림 이유, 0.5291 온스")</f>
        <v>샤넬 르 리프트 크림 이유, 0.5291 온스</v>
      </c>
      <c r="F1181" s="1" t="str">
        <f>IFERROR(__xludf.DUMMYFUNCTION("CONCATENATE(GOOGLETRANSLATE(C1181, ""en"", ""ja""))"),"シャネル ル リフト クリーム ユー、0.5291 オンス")</f>
        <v>シャネル ル リフト クリーム ユー、0.5291 オンス</v>
      </c>
    </row>
    <row r="1182" ht="15.75" customHeight="1">
      <c r="A1182" s="1">
        <v>4524.0</v>
      </c>
      <c r="B1182" s="1" t="s">
        <v>6</v>
      </c>
      <c r="C1182" s="1" t="s">
        <v>1105</v>
      </c>
      <c r="D1182" s="1" t="str">
        <f>IFERROR(__xludf.DUMMYFUNCTION("CONCATENATE(GOOGLETRANSLATE(C1182, ""en"", ""zh-cn""))
"),"Tata Harper 焕肤面膜，焕发光彩面膜，100% 天然，佛蒙特州新鲜制造，30 毫升")</f>
        <v>Tata Harper 焕肤面膜，焕发光彩面膜，100% 天然，佛蒙特州新鲜制造，30 毫升</v>
      </c>
      <c r="E1182" s="1" t="str">
        <f>IFERROR(__xludf.DUMMYFUNCTION("CONCATENATE(GOOGLETRANSLATE(C1182, ""en"", ""ko""))"),"타타 하퍼 리서페이싱 마스크, 글로우 기빙 마스크, 100% 천연, 버몬트에서 신선하게 제조, 30ml")</f>
        <v>타타 하퍼 리서페이싱 마스크, 글로우 기빙 마스크, 100% 천연, 버몬트에서 신선하게 제조, 30ml</v>
      </c>
      <c r="F1182" s="1" t="str">
        <f>IFERROR(__xludf.DUMMYFUNCTION("CONCATENATE(GOOGLETRANSLATE(C1182, ""en"", ""ja""))"),"Tata Harper リサーフェシング マスク、グロー ギビング マスク、100% 天然、バーモント州で製造、30ml")</f>
        <v>Tata Harper リサーフェシング マスク、グロー ギビング マスク、100% 天然、バーモント州で製造、30ml</v>
      </c>
    </row>
    <row r="1183" ht="15.75" customHeight="1">
      <c r="A1183" s="1">
        <v>4534.0</v>
      </c>
      <c r="B1183" s="1" t="s">
        <v>6</v>
      </c>
      <c r="C1183" s="1" t="s">
        <v>1106</v>
      </c>
      <c r="D1183" s="1" t="str">
        <f>IFERROR(__xludf.DUMMYFUNCTION("CONCATENATE(GOOGLETRANSLATE(C1183, ""en"", ""zh-cn""))
"),"GERMAINE DE CAPUCCINI FOR MEN - 眼部轮廓解决方案精华素 | GERMAINE DE CAPUCCINI FOR MEN男士眼部精华液 |针对黑眼圈和浮肿的眼部精华 - 抗疲劳眼部精华 - 所有皮肤类型 - 0.5 盎司")</f>
        <v>GERMAINE DE CAPUCCINI FOR MEN - 眼部轮廓解决方案精华素 | GERMAINE DE CAPUCCINI FOR MEN男士眼部精华液 |针对黑眼圈和浮肿的眼部精华 - 抗疲劳眼部精华 - 所有皮肤类型 - 0.5 盎司</v>
      </c>
      <c r="E1183" s="1" t="str">
        <f>IFERROR(__xludf.DUMMYFUNCTION("CONCATENATE(GOOGLETRANSLATE(C1183, ""en"", ""ko""))"),"남성용 제르맹 드 카푸치니 - 아이 컨투어 솔루션 세럼 | 남성용 아이세럼 | 다크서클과 붓기를 위한 아이 세럼 - 피로 방지 아이 세럼 - 모든 피부 타입 - 0.5온스")</f>
        <v>남성용 제르맹 드 카푸치니 - 아이 컨투어 솔루션 세럼 | 남성용 아이세럼 | 다크서클과 붓기를 위한 아이 세럼 - 피로 방지 아이 세럼 - 모든 피부 타입 - 0.5온스</v>
      </c>
      <c r="F1183" s="1" t="str">
        <f>IFERROR(__xludf.DUMMYFUNCTION("CONCATENATE(GOOGLETRANSLATE(C1183, ""en"", ""ja""))"),"GERMAINE DE CAPUCCINI FOR MEN - アイ輪郭ソリューション セラム |男性用目元美容液 |くまやむくみのためのアイセラム - 抗疲労アイセラム - すべての肌タイプ - 0.5 オンス")</f>
        <v>GERMAINE DE CAPUCCINI FOR MEN - アイ輪郭ソリューション セラム |男性用目元美容液 |くまやむくみのためのアイセラム - 抗疲労アイセラム - すべての肌タイプ - 0.5 オンス</v>
      </c>
    </row>
    <row r="1184" ht="15.75" customHeight="1">
      <c r="A1184" s="1">
        <v>4542.0</v>
      </c>
      <c r="B1184" s="1" t="s">
        <v>6</v>
      </c>
      <c r="C1184" s="1" t="s">
        <v>1107</v>
      </c>
      <c r="D1184" s="1" t="str">
        <f>IFERROR(__xludf.DUMMYFUNCTION("CONCATENATE(GOOGLETRANSLATE(C1184, ""en"", ""zh-cn""))
"),"GERGO 落地灯，带 4 色温遥控器，LED 手电筒落地灯，带可调卧室阅读灯，客厅立灯，含灯泡（哑光黑色）")</f>
        <v>GERGO 落地灯，带 4 色温遥控器，LED 手电筒落地灯，带可调卧室阅读灯，客厅立灯，含灯泡（哑光黑色）</v>
      </c>
      <c r="E1184" s="1" t="str">
        <f>IFERROR(__xludf.DUMMYFUNCTION("CONCATENATE(GOOGLETRANSLATE(C1184, ""en"", ""ko""))"),"GERGO 플로어 램프, 4가지 색온도 리모콘, 침실용 조절 가능한 독서등이 있는 LED Torchiere 플로어 램프, 거실용 스탠딩 램프, 전구 포함(무광택 검정색)")</f>
        <v>GERGO 플로어 램프, 4가지 색온도 리모콘, 침실용 조절 가능한 독서등이 있는 LED Torchiere 플로어 램프, 거실용 스탠딩 램프, 전구 포함(무광택 검정색)</v>
      </c>
      <c r="F1184" s="1" t="str">
        <f>IFERROR(__xludf.DUMMYFUNCTION("CONCATENATE(GOOGLETRANSLATE(C1184, ""en"", ""ja""))"),"GERGO フロアランプ、4色温度のリモコン、寝室用調節可能な読書ランプ付きLEDトルシエールフロアランプ、リビングルーム用スタンドランプ、電球付き (マットブラック)")</f>
        <v>GERGO フロアランプ、4色温度のリモコン、寝室用調節可能な読書ランプ付きLEDトルシエールフロアランプ、リビングルーム用スタンドランプ、電球付き (マットブラック)</v>
      </c>
    </row>
    <row r="1185" ht="15.75" customHeight="1">
      <c r="A1185" s="1">
        <v>4564.0</v>
      </c>
      <c r="B1185" s="1" t="s">
        <v>6</v>
      </c>
      <c r="C1185" s="1" t="s">
        <v>1108</v>
      </c>
      <c r="D1185" s="1" t="str">
        <f>IFERROR(__xludf.DUMMYFUNCTION("CONCATENATE(GOOGLETRANSLATE(C1185, ""en"", ""zh-cn""))
"),"LIVACA 面部果冻面膜 - 奇异果面膜即时保湿 - 果冻面膜粉 23 液量盎司 - 面部护肤产品剥离，平滑、保湿、清洁（奇异果）")</f>
        <v>LIVACA 面部果冻面膜 - 奇异果面膜即时保湿 - 果冻面膜粉 23 液量盎司 - 面部护肤产品剥离，平滑、保湿、清洁（奇异果）</v>
      </c>
      <c r="E1185" s="1" t="str">
        <f>IFERROR(__xludf.DUMMYFUNCTION("CONCATENATE(GOOGLETRANSLATE(C1185, ""en"", ""ko""))"),"LIVACA 젤리 마스크 페이셜 - 즉각적인 수분 공급을 위한 키위 과일 페이스 마스크 - 젤리 페이스 마스크 파우더 23 Fl Oz - 페이셜 스킨 케어 제품 껍질을 벗겨 부드럽게 하고, 보습하고, 클렌징합니다(키위)")</f>
        <v>LIVACA 젤리 마스크 페이셜 - 즉각적인 수분 공급을 위한 키위 과일 페이스 마스크 - 젤리 페이스 마스크 파우더 23 Fl Oz - 페이셜 스킨 케어 제품 껍질을 벗겨 부드럽게 하고, 보습하고, 클렌징합니다(키위)</v>
      </c>
      <c r="F1185" s="1" t="str">
        <f>IFERROR(__xludf.DUMMYFUNCTION("CONCATENATE(GOOGLETRANSLATE(C1185, ""en"", ""ja""))"),"LIVACA フェイシャル用ゼリーマスク - 瞬時に水分補給できるキウイフルーツフェイスマスク - ゼリーフェイスマスクパウダー 23 液量オンス - フェイシャルスキンケア製品のピールオフで滑らかにし、保湿し、クレンジングします (キウイ)")</f>
        <v>LIVACA フェイシャル用ゼリーマスク - 瞬時に水分補給できるキウイフルーツフェイスマスク - ゼリーフェイスマスクパウダー 23 液量オンス - フェイシャルスキンケア製品のピールオフで滑らかにし、保湿し、クレンジングします (キウイ)</v>
      </c>
    </row>
    <row r="1186" ht="15.75" customHeight="1">
      <c r="A1186" s="1">
        <v>4569.0</v>
      </c>
      <c r="B1186" s="1" t="s">
        <v>6</v>
      </c>
      <c r="C1186" s="1" t="s">
        <v>1109</v>
      </c>
      <c r="D1186" s="1" t="str">
        <f>IFERROR(__xludf.DUMMYFUNCTION("CONCATENATE(GOOGLETRANSLATE(C1186, ""en"", ""zh-cn""))
"),"用于面部护肤的果冻面膜粉，天然凝胶面膜，专业剥离果冻面膜，保湿，提亮和保湿，用于皱纹和痤疮的面膜粉 23 液体盎司（透明质酸）")</f>
        <v>用于面部护肤的果冻面膜粉，天然凝胶面膜，专业剥离果冻面膜，保湿，提亮和保湿，用于皱纹和痤疮的面膜粉 23 液体盎司（透明质酸）</v>
      </c>
      <c r="E1186" s="1" t="str">
        <f>IFERROR(__xludf.DUMMYFUNCTION("CONCATENATE(GOOGLETRANSLATE(C1186, ""en"", ""ko""))"),"페이셜 스킨 케어용 젤리 마스크 파우더, 천연 젤 페이스 마스크, 프로페셔널 필 오프 젤리 마스크, 보습, 브라이트닝 &amp; 수분 공급, 주름 및 여드름용 마스크 파우더 23 Fl Oz (히알루론산)")</f>
        <v>페이셜 스킨 케어용 젤리 마스크 파우더, 천연 젤 페이스 마스크, 프로페셔널 필 오프 젤리 마스크, 보습, 브라이트닝 &amp; 수분 공급, 주름 및 여드름용 마스크 파우더 23 Fl Oz (히알루론산)</v>
      </c>
      <c r="F1186" s="1" t="str">
        <f>IFERROR(__xludf.DUMMYFUNCTION("CONCATENATE(GOOGLETRANSLATE(C1186, ""en"", ""ja""))"),"フェイシャルスキンケア用ゼリーマスクパウダー、ナチュラルジェルフェイスマスク、プロフェッショナルピールオフゼリーマスク、保湿、美白＆保湿、しわやニキビ用マスクパウダー 23液量オンス（ヒアルロン酸）")</f>
        <v>フェイシャルスキンケア用ゼリーマスクパウダー、ナチュラルジェルフェイスマスク、プロフェッショナルピールオフゼリーマスク、保湿、美白＆保湿、しわやニキビ用マスクパウダー 23液量オンス（ヒアルロン酸）</v>
      </c>
    </row>
    <row r="1187" ht="15.75" customHeight="1">
      <c r="A1187" s="1">
        <v>4679.0</v>
      </c>
      <c r="B1187" s="1" t="s">
        <v>6</v>
      </c>
      <c r="C1187" s="1" t="s">
        <v>1110</v>
      </c>
      <c r="D1187" s="1" t="str">
        <f>IFERROR(__xludf.DUMMYFUNCTION("CONCATENATE(GOOGLETRANSLATE(C1187, ""en"", ""zh-cn""))
"),"罗林斯| HEART OF THE HIDE 棒球手套 |传统的闯入|多种风格")</f>
        <v>罗林斯| HEART OF THE HIDE 棒球手套 |传统的闯入|多种风格</v>
      </c>
      <c r="E1187" s="1" t="str">
        <f>IFERROR(__xludf.DUMMYFUNCTION("CONCATENATE(GOOGLETRANSLATE(C1187, ""en"", ""ko""))"),"롤링스 | 숨은 야구 글러브의 심장 | 전통적인 침입 | 다양한 스타일")</f>
        <v>롤링스 | 숨은 야구 글러브의 심장 | 전통적인 침입 | 다양한 스타일</v>
      </c>
      <c r="F1187" s="1" t="str">
        <f>IFERROR(__xludf.DUMMYFUNCTION("CONCATENATE(GOOGLETRANSLATE(C1187, ""en"", ""ja""))"),"ローリングス | HEART OF THE HIDE 野球グローブ |従来の慣らし運転 |複数のスタイル")</f>
        <v>ローリングス | HEART OF THE HIDE 野球グローブ |従来の慣らし運転 |複数のスタイル</v>
      </c>
    </row>
    <row r="1188" ht="15.75" customHeight="1">
      <c r="A1188" s="1">
        <v>4693.0</v>
      </c>
      <c r="B1188" s="1" t="s">
        <v>6</v>
      </c>
      <c r="C1188" s="1" t="s">
        <v>244</v>
      </c>
      <c r="D1188" s="1" t="str">
        <f>IFERROR(__xludf.DUMMYFUNCTION("CONCATENATE(GOOGLETRANSLATE(C1188, ""en"", ""zh-cn""))
"),"Cyclace 固定式健身车 - 承重能力 330 磅 - 室内骑行车，配有舒适座垫、平板电脑支架和液晶显示屏，适合家庭锻炼")</f>
        <v>Cyclace 固定式健身车 - 承重能力 330 磅 - 室内骑行车，配有舒适座垫、平板电脑支架和液晶显示屏，适合家庭锻炼</v>
      </c>
      <c r="E1188" s="1" t="str">
        <f>IFERROR(__xludf.DUMMYFUNCTION("CONCATENATE(GOOGLETRANSLATE(C1188, ""en"", ""ko""))"),"사이클레이스 운동용 자전거 고정식 - 330파운드 무게 용량 - 편안한 시트 쿠션, 태블릿 홀더 및 가정 운동용 LCD 모니터를 갖춘 실내 사이클링 자전거")</f>
        <v>사이클레이스 운동용 자전거 고정식 - 330파운드 무게 용량 - 편안한 시트 쿠션, 태블릿 홀더 및 가정 운동용 LCD 모니터를 갖춘 실내 사이클링 자전거</v>
      </c>
      <c r="F1188" s="1" t="str">
        <f>IFERROR(__xludf.DUMMYFUNCTION("CONCATENATE(GOOGLETRANSLATE(C1188, ""en"", ""ja""))"),"Cyclace エアロバイク ステーショナリー - 耐荷重 330 ポンド - 快適なシートクッション、タブレットホルダー、自宅トレーニング用 LCD モニター付き屋内サイクリングバイク")</f>
        <v>Cyclace エアロバイク ステーショナリー - 耐荷重 330 ポンド - 快適なシートクッション、タブレットホルダー、自宅トレーニング用 LCD モニター付き屋内サイクリングバイク</v>
      </c>
    </row>
    <row r="1189" ht="15.75" customHeight="1">
      <c r="A1189" s="1">
        <v>4698.0</v>
      </c>
      <c r="B1189" s="1" t="s">
        <v>6</v>
      </c>
      <c r="C1189" s="1" t="s">
        <v>444</v>
      </c>
      <c r="D1189" s="1" t="str">
        <f>IFERROR(__xludf.DUMMYFUNCTION("CONCATENATE(GOOGLETRANSLATE(C1189, ""en"", ""zh-cn""))
"),"Lake MX241 耐力骑行鞋 - 男士")</f>
        <v>Lake MX241 耐力骑行鞋 - 男士</v>
      </c>
      <c r="E1189" s="1" t="str">
        <f>IFERROR(__xludf.DUMMYFUNCTION("CONCATENATE(GOOGLETRANSLATE(C1189, ""en"", ""ko""))"),"Lake MX241 인듀어런스 사이클링 슈즈 - 남성용")</f>
        <v>Lake MX241 인듀어런스 사이클링 슈즈 - 남성용</v>
      </c>
      <c r="F1189" s="1" t="str">
        <f>IFERROR(__xludf.DUMMYFUNCTION("CONCATENATE(GOOGLETRANSLATE(C1189, ""en"", ""ja""))"),"Lake MX241 エンデュランス サイクリング シューズ - メンズ")</f>
        <v>Lake MX241 エンデュランス サイクリング シューズ - メンズ</v>
      </c>
    </row>
    <row r="1190" ht="15.75" customHeight="1">
      <c r="A1190" s="1">
        <v>4701.0</v>
      </c>
      <c r="B1190" s="1" t="s">
        <v>6</v>
      </c>
      <c r="C1190" s="1" t="s">
        <v>1111</v>
      </c>
      <c r="D1190" s="1" t="str">
        <f>IFERROR(__xludf.DUMMYFUNCTION("CONCATENATE(GOOGLETRANSLATE(C1190, ""en"", ""zh-cn""))
"),"Giro Regime 男士公路骑行鞋")</f>
        <v>Giro Regime 男士公路骑行鞋</v>
      </c>
      <c r="E1190" s="1" t="str">
        <f>IFERROR(__xludf.DUMMYFUNCTION("CONCATENATE(GOOGLETRANSLATE(C1190, ""en"", ""ko""))"),"Giro Regime 남성용 로드 사이클링 신발")</f>
        <v>Giro Regime 남성용 로드 사이클링 신발</v>
      </c>
      <c r="F1190" s="1" t="str">
        <f>IFERROR(__xludf.DUMMYFUNCTION("CONCATENATE(GOOGLETRANSLATE(C1190, ""en"", ""ja""))"),"Giro Regime メンズ ロード サイクリング シューズ")</f>
        <v>Giro Regime メンズ ロード サイクリング シューズ</v>
      </c>
    </row>
    <row r="1191" ht="15.75" customHeight="1">
      <c r="A1191" s="1">
        <v>4704.0</v>
      </c>
      <c r="B1191" s="1" t="s">
        <v>6</v>
      </c>
      <c r="C1191" s="1" t="s">
        <v>631</v>
      </c>
      <c r="D1191" s="1" t="str">
        <f>IFERROR(__xludf.DUMMYFUNCTION("CONCATENATE(GOOGLETRANSLATE(C1191, ""en"", ""zh-cn""))
"),"Igloo 54 夸脱钢带传统不锈钢冷却器带开瓶器")</f>
        <v>Igloo 54 夸脱钢带传统不锈钢冷却器带开瓶器</v>
      </c>
      <c r="E1191" s="1" t="str">
        <f>IFERROR(__xludf.DUMMYFUNCTION("CONCATENATE(GOOGLETRANSLATE(C1191, ""en"", ""ko""))"),"이글루 54 Qt 스틸 벨티드 레거시 스테인리스 스틸 쿨러(병따개 포함)")</f>
        <v>이글루 54 Qt 스틸 벨티드 레거시 스테인리스 스틸 쿨러(병따개 포함)</v>
      </c>
      <c r="F1191" s="1" t="str">
        <f>IFERROR(__xludf.DUMMYFUNCTION("CONCATENATE(GOOGLETRANSLATE(C1191, ""en"", ""ja""))"),"Igloo 54 Qt スチールベルト付きレガシーステンレススチールクーラー ボトルオープナー付き")</f>
        <v>Igloo 54 Qt スチールベルト付きレガシーステンレススチールクーラー ボトルオープナー付き</v>
      </c>
    </row>
    <row r="1192" ht="15.75" customHeight="1">
      <c r="A1192" s="1">
        <v>4752.0</v>
      </c>
      <c r="B1192" s="1" t="s">
        <v>51</v>
      </c>
      <c r="C1192" s="1" t="s">
        <v>1112</v>
      </c>
      <c r="D1192" s="1" t="str">
        <f>IFERROR(__xludf.DUMMYFUNCTION("CONCATENATE(GOOGLETRANSLATE(C1192, ""en"", ""zh-cn""))
"),"男士格子拼布多口袋休闲连帽夹克")</f>
        <v>男士格子拼布多口袋休闲连帽夹克</v>
      </c>
      <c r="E1192" s="1" t="str">
        <f>IFERROR(__xludf.DUMMYFUNCTION("CONCATENATE(GOOGLETRANSLATE(C1192, ""en"", ""ko""))"),"남성 체크 무늬 패치워크 멀티 포켓 캐주얼 후드 재킷")</f>
        <v>남성 체크 무늬 패치워크 멀티 포켓 캐주얼 후드 재킷</v>
      </c>
      <c r="F1192" s="1" t="str">
        <f>IFERROR(__xludf.DUMMYFUNCTION("CONCATENATE(GOOGLETRANSLATE(C1192, ""en"", ""ja""))"),"メンズチェック柄パッチワークマルチポケットカジュアルフード付きジャケット")</f>
        <v>メンズチェック柄パッチワークマルチポケットカジュアルフード付きジャケット</v>
      </c>
    </row>
    <row r="1193" ht="15.75" customHeight="1">
      <c r="A1193" s="1">
        <v>4757.0</v>
      </c>
      <c r="B1193" s="1" t="s">
        <v>51</v>
      </c>
      <c r="C1193" s="1" t="s">
        <v>802</v>
      </c>
      <c r="D1193" s="1" t="str">
        <f>IFERROR(__xludf.DUMMYFUNCTION("CONCATENATE(GOOGLETRANSLATE(C1193, ""en"", ""zh-cn""))
"),"男式民族几何印花拼接纽扣前连帽夹克")</f>
        <v>男式民族几何印花拼接纽扣前连帽夹克</v>
      </c>
      <c r="E1193" s="1" t="str">
        <f>IFERROR(__xludf.DUMMYFUNCTION("CONCATENATE(GOOGLETRANSLATE(C1193, ""en"", ""ko""))"),"남성용 에스닉 기하학 프린트 패치워크 버튼 프론트 후드 재킷")</f>
        <v>남성용 에스닉 기하학 프린트 패치워크 버튼 프론트 후드 재킷</v>
      </c>
      <c r="F1193" s="1" t="str">
        <f>IFERROR(__xludf.DUMMYFUNCTION("CONCATENATE(GOOGLETRANSLATE(C1193, ""en"", ""ja""))"),"メンズエスニック幾何学プリントパッチワークボタンフロントフード付きジャケット")</f>
        <v>メンズエスニック幾何学プリントパッチワークボタンフロントフード付きジャケット</v>
      </c>
    </row>
    <row r="1194" ht="15.75" customHeight="1">
      <c r="A1194" s="1">
        <v>4769.0</v>
      </c>
      <c r="B1194" s="1" t="s">
        <v>6</v>
      </c>
      <c r="C1194" s="1" t="s">
        <v>597</v>
      </c>
      <c r="D1194" s="1" t="str">
        <f>IFERROR(__xludf.DUMMYFUNCTION("CONCATENATE(GOOGLETRANSLATE(C1194, ""en"", ""zh-cn""))
"),"香奈儿 SUBLIMAGE LA CRÈME 终极肌肤再生 - 通用质地 1.7 盎司。")</f>
        <v>香奈儿 SUBLIMAGE LA CRÈME 终极肌肤再生 - 通用质地 1.7 盎司。</v>
      </c>
      <c r="E1194" s="1" t="str">
        <f>IFERROR(__xludf.DUMMYFUNCTION("CONCATENATE(GOOGLETRANSLATE(C1194, ""en"", ""ko""))"),"CHANEL 수블리마지 라 크림 얼티미트 스킨 리제너레이션 - 텍스처 유니버설 1.7온스.")</f>
        <v>CHANEL 수블리마지 라 크림 얼티미트 스킨 리제너레이션 - 텍스처 유니버설 1.7온스.</v>
      </c>
      <c r="F1194" s="1" t="str">
        <f>IFERROR(__xludf.DUMMYFUNCTION("CONCATENATE(GOOGLETRANSLATE(C1194, ""en"", ""ja""))"),"シャネル サブリマージュ ラ クレーム アルティメット スキン リジェネレーション - テクスチャー ユニバーサル 1.7 オンス")</f>
        <v>シャネル サブリマージュ ラ クレーム アルティメット スキン リジェネレーション - テクスチャー ユニバーサル 1.7 オンス</v>
      </c>
    </row>
    <row r="1195" ht="15.75" customHeight="1">
      <c r="A1195" s="1">
        <v>4815.0</v>
      </c>
      <c r="B1195" s="1" t="s">
        <v>6</v>
      </c>
      <c r="C1195" s="1" t="s">
        <v>1113</v>
      </c>
      <c r="D1195" s="1" t="str">
        <f>IFERROR(__xludf.DUMMYFUNCTION("CONCATENATE(GOOGLETRANSLATE(C1195, ""en"", ""zh-cn""))
"),"Apple 2024 MacBook Air 15 英寸笔记本电脑，配备 M3 芯片：15.3 英寸 Liquid Retina 显示屏、8GB 统一内存、256GB SSD 存储、背光键盘、1080p FaceTime 高清摄像头、Touch ID；深空灰色")</f>
        <v>Apple 2024 MacBook Air 15 英寸笔记本电脑，配备 M3 芯片：15.3 英寸 Liquid Retina 显示屏、8GB 统一内存、256GB SSD 存储、背光键盘、1080p FaceTime 高清摄像头、Touch ID；深空灰色</v>
      </c>
      <c r="E1195" s="1" t="str">
        <f>IFERROR(__xludf.DUMMYFUNCTION("CONCATENATE(GOOGLETRANSLATE(C1195, ""en"", ""ko""))"),"M3 칩이 탑재된 Apple 2024 MacBook Air 15인치 노트북: 15.3인치 Liquid Retina 디스플레이, 8GB 통합 메모리, 256GB SSD 스토리지, 백라이트 키보드, 1080p FaceTime HD 카메라, Touch ID; 스페이스 그레이")</f>
        <v>M3 칩이 탑재된 Apple 2024 MacBook Air 15인치 노트북: 15.3인치 Liquid Retina 디스플레이, 8GB 통합 메모리, 256GB SSD 스토리지, 백라이트 키보드, 1080p FaceTime HD 카메라, Touch ID; 스페이스 그레이</v>
      </c>
      <c r="F1195" s="1" t="str">
        <f>IFERROR(__xludf.DUMMYFUNCTION("CONCATENATE(GOOGLETRANSLATE(C1195, ""en"", ""ja""))"),"Apple 2024 MacBook Air 15 インチ ラップトップ (M3 チップ搭載): 15.3 インチ Liquid Retina ディスプレイ、8GB ユニファイド メモリ、256GB SSD ストレージ、バックライト付きキーボード、1080p FaceTime HD カメラ、Touch ID。スペースグレイ")</f>
        <v>Apple 2024 MacBook Air 15 インチ ラップトップ (M3 チップ搭載): 15.3 インチ Liquid Retina ディスプレイ、8GB ユニファイド メモリ、256GB SSD ストレージ、バックライト付きキーボード、1080p FaceTime HD カメラ、Touch ID。スペースグレイ</v>
      </c>
    </row>
    <row r="1196" ht="15.75" customHeight="1">
      <c r="A1196" s="1">
        <v>4819.0</v>
      </c>
      <c r="B1196" s="1" t="s">
        <v>6</v>
      </c>
      <c r="C1196" s="1" t="s">
        <v>1114</v>
      </c>
      <c r="D1196" s="1" t="str">
        <f>IFERROR(__xludf.DUMMYFUNCTION("CONCATENATE(GOOGLETRANSLATE(C1196, ""en"", ""zh-cn""))
"),"Apple 2024 MacBook Air 13 英寸笔记本电脑，配备 M3 芯片：13.6 英寸 Liquid Retina 显示屏、16GB 统一内存、512GB SSD 存储、背光键盘、1080p FaceTime 高清摄像头、Touch ID；星光")</f>
        <v>Apple 2024 MacBook Air 13 英寸笔记本电脑，配备 M3 芯片：13.6 英寸 Liquid Retina 显示屏、16GB 统一内存、512GB SSD 存储、背光键盘、1080p FaceTime 高清摄像头、Touch ID；星光</v>
      </c>
      <c r="E1196" s="1" t="str">
        <f>IFERROR(__xludf.DUMMYFUNCTION("CONCATENATE(GOOGLETRANSLATE(C1196, ""en"", ""ko""))"),"M3 칩을 탑재한 Apple 2024 MacBook Air 13인치 노트북: 13.6인치 Liquid Retina 디스플레이, 16GB 통합 메모리, 512GB SSD 스토리지, 백라이트 키보드, 1080p FaceTime HD 카메라, Touch ID; 별빛")</f>
        <v>M3 칩을 탑재한 Apple 2024 MacBook Air 13인치 노트북: 13.6인치 Liquid Retina 디스플레이, 16GB 통합 메모리, 512GB SSD 스토리지, 백라이트 키보드, 1080p FaceTime HD 카메라, Touch ID; 별빛</v>
      </c>
      <c r="F1196" s="1" t="str">
        <f>IFERROR(__xludf.DUMMYFUNCTION("CONCATENATE(GOOGLETRANSLATE(C1196, ""en"", ""ja""))"),"Apple 2024 MacBook Air 13 インチ ラップトップ (M3 チップ搭載): 13.6 インチ Liquid Retina ディスプレイ、16GB ユニファイド メモリ、512GB SSD ストレージ、バックライト付きキーボード、1080p FaceTime HD カメラ、Touch ID。スターライト")</f>
        <v>Apple 2024 MacBook Air 13 インチ ラップトップ (M3 チップ搭載): 13.6 インチ Liquid Retina ディスプレイ、16GB ユニファイド メモリ、512GB SSD ストレージ、バックライト付きキーボード、1080p FaceTime HD カメラ、Touch ID。スターライト</v>
      </c>
    </row>
    <row r="1197" ht="15.75" customHeight="1">
      <c r="A1197" s="1">
        <v>4823.0</v>
      </c>
      <c r="B1197" s="1" t="s">
        <v>6</v>
      </c>
      <c r="C1197" s="1" t="s">
        <v>1115</v>
      </c>
      <c r="D1197" s="1" t="str">
        <f>IFERROR(__xludf.DUMMYFUNCTION("CONCATENATE(GOOGLETRANSLATE(C1197, ""en"", ""zh-cn""))
"),"Apple 2024 MacBook Air 15 英寸笔记本电脑，配备 M3 芯片：15.3 英寸 Liquid Retina 显示屏、8GB 统一内存、512GB SSD 存储、背光键盘、1080p FaceTime 高清摄像头、Touch ID；星光")</f>
        <v>Apple 2024 MacBook Air 15 英寸笔记本电脑，配备 M3 芯片：15.3 英寸 Liquid Retina 显示屏、8GB 统一内存、512GB SSD 存储、背光键盘、1080p FaceTime 高清摄像头、Touch ID；星光</v>
      </c>
      <c r="E1197" s="1" t="str">
        <f>IFERROR(__xludf.DUMMYFUNCTION("CONCATENATE(GOOGLETRANSLATE(C1197, ""en"", ""ko""))"),"M3 칩이 탑재된 Apple 2024 MacBook Air 15인치 노트북: 15.3인치 Liquid Retina 디스플레이, 8GB 통합 메모리, 512GB SSD 스토리지, 백라이트 키보드, 1080p FaceTime HD 카메라, Touch ID; 별빛")</f>
        <v>M3 칩이 탑재된 Apple 2024 MacBook Air 15인치 노트북: 15.3인치 Liquid Retina 디스플레이, 8GB 통합 메모리, 512GB SSD 스토리지, 백라이트 키보드, 1080p FaceTime HD 카메라, Touch ID; 별빛</v>
      </c>
      <c r="F1197" s="1" t="str">
        <f>IFERROR(__xludf.DUMMYFUNCTION("CONCATENATE(GOOGLETRANSLATE(C1197, ""en"", ""ja""))"),"Apple 2024 MacBook Air 15 インチ ラップトップ (M3 チップ搭載): 15.3 インチ Liquid Retina ディスプレイ、8GB ユニファイド メモリ、512GB SSD ストレージ、バックライト付きキーボード、1080p FaceTime HD カメラ、Touch ID。スターライト")</f>
        <v>Apple 2024 MacBook Air 15 インチ ラップトップ (M3 チップ搭載): 15.3 インチ Liquid Retina ディスプレイ、8GB ユニファイド メモリ、512GB SSD ストレージ、バックライト付きキーボード、1080p FaceTime HD カメラ、Touch ID。スターライト</v>
      </c>
    </row>
    <row r="1198" ht="15.75" customHeight="1">
      <c r="A1198" s="1">
        <v>4840.0</v>
      </c>
      <c r="B1198" s="1" t="s">
        <v>6</v>
      </c>
      <c r="C1198" s="1" t="s">
        <v>1116</v>
      </c>
      <c r="D1198" s="1" t="str">
        <f>IFERROR(__xludf.DUMMYFUNCTION("CONCATENATE(GOOGLETRANSLATE(C1198, ""en"", ""zh-cn""))
"),"戴尔 Precision 7000 7680 工作站笔记本电脑 (2023) | 16 英寸 FHD+ | 酷睿 i9-1TB SSD - 64GB RAM | 24 核 @ 5.5 GHz - 第 13 代 CPU Win 11 Pro（更新版）")</f>
        <v>戴尔 Precision 7000 7680 工作站笔记本电脑 (2023) | 16 英寸 FHD+ | 酷睿 i9-1TB SSD - 64GB RAM | 24 核 @ 5.5 GHz - 第 13 代 CPU Win 11 Pro（更新版）</v>
      </c>
      <c r="E1198" s="1" t="str">
        <f>IFERROR(__xludf.DUMMYFUNCTION("CONCATENATE(GOOGLETRANSLATE(C1198, ""en"", ""ko""))"),"Dell Precision 7000 7680 워크스테이션 노트북(2023) | 16인치 FHD+ | Core i9-1TB SSD - 64GB RAM | 24코어 @ 5.5GHz - 13세대 CPU Win 11 Pro(리뉴얼)")</f>
        <v>Dell Precision 7000 7680 워크스테이션 노트북(2023) | 16인치 FHD+ | Core i9-1TB SSD - 64GB RAM | 24코어 @ 5.5GHz - 13세대 CPU Win 11 Pro(리뉴얼)</v>
      </c>
      <c r="F1198" s="1" t="str">
        <f>IFERROR(__xludf.DUMMYFUNCTION("CONCATENATE(GOOGLETRANSLATE(C1198, ""en"", ""ja""))"),"Dell Precision 7000 7680 ワークステーション ラップトップ (2023) | 16 インチ FHD+ | Core i9-1TB SSD - 64GB RAM | 24 コア @ 5.5 GHz - 第 13 世代 CPU Win 11 Pro (リニューアル)")</f>
        <v>Dell Precision 7000 7680 ワークステーション ラップトップ (2023) | 16 インチ FHD+ | Core i9-1TB SSD - 64GB RAM | 24 コア @ 5.5 GHz - 第 13 世代 CPU Win 11 Pro (リニューアル)</v>
      </c>
    </row>
    <row r="1199" ht="15.75" customHeight="1">
      <c r="A1199" s="1">
        <v>5055.0</v>
      </c>
      <c r="B1199" s="1" t="s">
        <v>6</v>
      </c>
      <c r="C1199" s="1" t="s">
        <v>443</v>
      </c>
      <c r="D1199" s="1" t="str">
        <f>IFERROR(__xludf.DUMMYFUNCTION("CONCATENATE(GOOGLETRANSLATE(C1199, ""en"", ""zh-cn""))
"),"LiangCuber GAN 12 M 3x3 速度魔方 磁力无贴 GAN 12 MagLev UV 旗舰 3x3x3 魔方（UV 涂层光面和初级内部）")</f>
        <v>LiangCuber GAN 12 M 3x3 速度魔方 磁力无贴 GAN 12 MagLev UV 旗舰 3x3x3 魔方（UV 涂层光面和初级内部）</v>
      </c>
      <c r="E1199" s="1" t="str">
        <f>IFERROR(__xludf.DUMMYFUNCTION("CONCATENATE(GOOGLETRANSLATE(C1199, ""en"", ""ko""))"),"LiangCuber GAN 12 M 3x3 스피드 큐브 자기 스티커가 없는 GAN 12 MagLev UV 플래그십 3x3x3 매직 큐브(UV 코팅 광택 및 기본 내부)")</f>
        <v>LiangCuber GAN 12 M 3x3 스피드 큐브 자기 스티커가 없는 GAN 12 MagLev UV 플래그십 3x3x3 매직 큐브(UV 코팅 광택 및 기본 내부)</v>
      </c>
      <c r="F1199" s="1" t="str">
        <f>IFERROR(__xludf.DUMMYFUNCTION("CONCATENATE(GOOGLETRANSLATE(C1199, ""en"", ""ja""))"),"LiangCuber GAN 12 M 3x3 スピード キューブ 磁気ステッカーレス GAN 12 MagLev UV フラッグシップ 3x3x3 マジック キューブ (UV コーティング光沢 &amp; プライマリ内部)")</f>
        <v>LiangCuber GAN 12 M 3x3 スピード キューブ 磁気ステッカーレス GAN 12 MagLev UV フラッグシップ 3x3x3 マジック キューブ (UV コーティング光沢 &amp; プライマリ内部)</v>
      </c>
    </row>
    <row r="1200" ht="15.75" customHeight="1">
      <c r="A1200" s="1">
        <v>5066.0</v>
      </c>
      <c r="B1200" s="1" t="s">
        <v>51</v>
      </c>
      <c r="C1200" s="1" t="s">
        <v>813</v>
      </c>
      <c r="D1200" s="1" t="str">
        <f>IFERROR(__xludf.DUMMYFUNCTION("CONCATENATE(GOOGLETRANSLATE(C1200, ""en"", ""zh-cn""))
"),"男式卡通宇航员印花圆领短袖 T 恤")</f>
        <v>男式卡通宇航员印花圆领短袖 T 恤</v>
      </c>
      <c r="E1200" s="1" t="str">
        <f>IFERROR(__xludf.DUMMYFUNCTION("CONCATENATE(GOOGLETRANSLATE(C1200, ""en"", ""ko""))"),"남성용 만화 우주 비행사 프린트 크루넥 반팔 티셔츠")</f>
        <v>남성용 만화 우주 비행사 프린트 크루넥 반팔 티셔츠</v>
      </c>
      <c r="F1200" s="1" t="str">
        <f>IFERROR(__xludf.DUMMYFUNCTION("CONCATENATE(GOOGLETRANSLATE(C1200, ""en"", ""ja""))"),"メンズ漫画宇宙飛行士プリントクルーネック半袖 T シャツ")</f>
        <v>メンズ漫画宇宙飛行士プリントクルーネック半袖 T シャツ</v>
      </c>
    </row>
    <row r="1201" ht="15.75" customHeight="1">
      <c r="A1201" s="1">
        <v>5128.0</v>
      </c>
      <c r="B1201" s="1" t="s">
        <v>6</v>
      </c>
      <c r="C1201" s="1" t="s">
        <v>454</v>
      </c>
      <c r="D1201" s="1" t="str">
        <f>IFERROR(__xludf.DUMMYFUNCTION("CONCATENATE(GOOGLETRANSLATE(C1201, ""en"", ""zh-cn""))
"),"GAN 460 M 速度魔方， 4x4 磁性魔方 Gans 460M 拼图玩具（无贴纸）")</f>
        <v>GAN 460 M 速度魔方， 4x4 磁性魔方 Gans 460M 拼图玩具（无贴纸）</v>
      </c>
      <c r="E1201" s="1" t="str">
        <f>IFERROR(__xludf.DUMMYFUNCTION("CONCATENATE(GOOGLETRANSLATE(C1201, ""en"", ""ko""))"),"GAN 460 M 스피드 큐브, 4x4 마그네틱 마스터 큐브 Gans 460M 퍼즐 장난감(스티커 없음)")</f>
        <v>GAN 460 M 스피드 큐브, 4x4 마그네틱 마스터 큐브 Gans 460M 퍼즐 장난감(스티커 없음)</v>
      </c>
      <c r="F1201" s="1" t="str">
        <f>IFERROR(__xludf.DUMMYFUNCTION("CONCATENATE(GOOGLETRANSLATE(C1201, ""en"", ""ja""))"),"GAN 460 M スピード キューブ、4x4 磁気マスター キューブ Gans 460M パズルおもちゃ (ステッカーなし)")</f>
        <v>GAN 460 M スピード キューブ、4x4 磁気マスター キューブ Gans 460M パズルおもちゃ (ステッカーなし)</v>
      </c>
    </row>
    <row r="1202" ht="15.75" customHeight="1">
      <c r="A1202" s="1">
        <v>5129.0</v>
      </c>
      <c r="B1202" s="1" t="s">
        <v>6</v>
      </c>
      <c r="C1202" s="1" t="s">
        <v>1117</v>
      </c>
      <c r="D1202" s="1" t="str">
        <f>IFERROR(__xludf.DUMMYFUNCTION("CONCATENATE(GOOGLETRANSLATE(C1202, ""en"", ""zh-cn""))
"),"宁神茶丸 甘麦大枣丸 (1000 茶丸)3383E-MAYWAY by Mayway")</f>
        <v>宁神茶丸 甘麦大枣丸 (1000 茶丸)3383E-MAYWAY by Mayway</v>
      </c>
      <c r="E1202" s="1" t="str">
        <f>IFERROR(__xludf.DUMMYFUNCTION("CONCATENATE(GOOGLETRANSLATE(C1202, ""en"", ""ko""))"),"Calm Spirit Teapills Gan Mai Da Zao Wan (1000 티필)3383E-MAYWAY by Mayway")</f>
        <v>Calm Spirit Teapills Gan Mai Da Zao Wan (1000 티필)3383E-MAYWAY by Mayway</v>
      </c>
      <c r="F1202" s="1" t="str">
        <f>IFERROR(__xludf.DUMMYFUNCTION("CONCATENATE(GOOGLETRANSLATE(C1202, ""en"", ""ja""))"),"Calm Spirit Teapills Gan Mai Da Zao Wan (1000 Teapills)3383E-MAYWAY by Mayway")</f>
        <v>Calm Spirit Teapills Gan Mai Da Zao Wan (1000 Teapills)3383E-MAYWAY by Mayway</v>
      </c>
    </row>
    <row r="1203" ht="15.75" customHeight="1">
      <c r="A1203" s="1">
        <v>5184.0</v>
      </c>
      <c r="B1203" s="1" t="s">
        <v>51</v>
      </c>
      <c r="C1203" s="1" t="s">
        <v>945</v>
      </c>
      <c r="D1203" s="1" t="str">
        <f>IFERROR(__xludf.DUMMYFUNCTION("CONCATENATE(GOOGLETRANSLATE(C1203, ""en"", ""zh-cn""))
"),"男式拼色拼布翻盖灯芯绒衬衫夹克")</f>
        <v>男式拼色拼布翻盖灯芯绒衬衫夹克</v>
      </c>
      <c r="E1203" s="1" t="str">
        <f>IFERROR(__xludf.DUMMYFUNCTION("CONCATENATE(GOOGLETRANSLATE(C1203, ""en"", ""ko""))"),"남성용 컬러 블록 패치워크 플랩 포켓 코듀로이 셔츠 재킷")</f>
        <v>남성용 컬러 블록 패치워크 플랩 포켓 코듀로이 셔츠 재킷</v>
      </c>
      <c r="F1203" s="1" t="str">
        <f>IFERROR(__xludf.DUMMYFUNCTION("CONCATENATE(GOOGLETRANSLATE(C1203, ""en"", ""ja""))"),"メンズ カラーブロック パッチワーク フラップ ポケット コーデュロイ シャツ ジャケット")</f>
        <v>メンズ カラーブロック パッチワーク フラップ ポケット コーデュロイ シャツ ジャケット</v>
      </c>
    </row>
    <row r="1204" ht="15.75" customHeight="1">
      <c r="A1204" s="1">
        <v>5188.0</v>
      </c>
      <c r="B1204" s="1" t="s">
        <v>51</v>
      </c>
      <c r="C1204" s="1" t="s">
        <v>430</v>
      </c>
      <c r="D1204" s="1" t="str">
        <f>IFERROR(__xludf.DUMMYFUNCTION("CONCATENATE(GOOGLETRANSLATE(C1204, ""en"", ""zh-cn""))
"),"男式民族部落图案拼布有盖口袋花呢夹克")</f>
        <v>男式民族部落图案拼布有盖口袋花呢夹克</v>
      </c>
      <c r="E1204" s="1" t="str">
        <f>IFERROR(__xludf.DUMMYFUNCTION("CONCATENATE(GOOGLETRANSLATE(C1204, ""en"", ""ko""))"),"남성용 에스닉 트라이벌 패턴 패치워크 플랩 포켓 트위드 재킷")</f>
        <v>남성용 에스닉 트라이벌 패턴 패치워크 플랩 포켓 트위드 재킷</v>
      </c>
      <c r="F1204" s="1" t="str">
        <f>IFERROR(__xludf.DUMMYFUNCTION("CONCATENATE(GOOGLETRANSLATE(C1204, ""en"", ""ja""))"),"メンズエスニックトライバルパターンパッチワークフラップポケットツイードジャケット")</f>
        <v>メンズエスニックトライバルパターンパッチワークフラップポケットツイードジャケット</v>
      </c>
    </row>
    <row r="1205" ht="15.75" customHeight="1">
      <c r="A1205" s="1">
        <v>5197.0</v>
      </c>
      <c r="B1205" s="1" t="s">
        <v>51</v>
      </c>
      <c r="C1205" s="1" t="s">
        <v>431</v>
      </c>
      <c r="D1205" s="1" t="str">
        <f>IFERROR(__xludf.DUMMYFUNCTION("CONCATENATE(GOOGLETRANSLATE(C1205, ""en"", ""zh-cn""))
"),"男式民族几何印花拼布前拉链连帽夹克")</f>
        <v>男式民族几何印花拼布前拉链连帽夹克</v>
      </c>
      <c r="E1205" s="1" t="str">
        <f>IFERROR(__xludf.DUMMYFUNCTION("CONCATENATE(GOOGLETRANSLATE(C1205, ""en"", ""ko""))"),"남성용 에스닉 기하학 프린트 패치워크 지퍼 프론트 후드 재킷")</f>
        <v>남성용 에스닉 기하학 프린트 패치워크 지퍼 프론트 후드 재킷</v>
      </c>
      <c r="F1205" s="1" t="str">
        <f>IFERROR(__xludf.DUMMYFUNCTION("CONCATENATE(GOOGLETRANSLATE(C1205, ""en"", ""ja""))"),"メンズエスニック幾何学プリントパッチワークジップフロントフード付きジャケット")</f>
        <v>メンズエスニック幾何学プリントパッチワークジップフロントフード付きジャケット</v>
      </c>
    </row>
    <row r="1206" ht="15.75" customHeight="1">
      <c r="A1206" s="1">
        <v>5281.0</v>
      </c>
      <c r="B1206" s="1" t="s">
        <v>51</v>
      </c>
      <c r="C1206" s="1" t="s">
        <v>1118</v>
      </c>
      <c r="D1206" s="1" t="str">
        <f>IFERROR(__xludf.DUMMYFUNCTION("CONCATENATE(GOOGLETRANSLATE(C1206, ""en"", ""zh-cn""))
"),"男式几何图案拼布有盖口袋短袖 T 恤")</f>
        <v>男式几何图案拼布有盖口袋短袖 T 恤</v>
      </c>
      <c r="E1206" s="1" t="str">
        <f>IFERROR(__xludf.DUMMYFUNCTION("CONCATENATE(GOOGLETRANSLATE(C1206, ""en"", ""ko""))"),"남성용 기하학 무늬 패치워크 플랩 포켓 반팔 티셔츠")</f>
        <v>남성용 기하학 무늬 패치워크 플랩 포켓 반팔 티셔츠</v>
      </c>
      <c r="F1206" s="1" t="str">
        <f>IFERROR(__xludf.DUMMYFUNCTION("CONCATENATE(GOOGLETRANSLATE(C1206, ""en"", ""ja""))"),"メンズ幾何学模様パッチワーク フラップ ポケット半袖 T シャツ")</f>
        <v>メンズ幾何学模様パッチワーク フラップ ポケット半袖 T シャツ</v>
      </c>
    </row>
    <row r="1207" ht="15.75" customHeight="1">
      <c r="A1207" s="1">
        <v>5285.0</v>
      </c>
      <c r="B1207" s="1" t="s">
        <v>51</v>
      </c>
      <c r="C1207" s="1" t="s">
        <v>1119</v>
      </c>
      <c r="D1207" s="1" t="str">
        <f>IFERROR(__xludf.DUMMYFUNCTION("CONCATENATE(GOOGLETRANSLATE(C1207, ""en"", ""zh-cn""))
"),"男士纯色高领休闲长袖 T 恤")</f>
        <v>男士纯色高领休闲长袖 T 恤</v>
      </c>
      <c r="E1207" s="1" t="str">
        <f>IFERROR(__xludf.DUMMYFUNCTION("CONCATENATE(GOOGLETRANSLATE(C1207, ""en"", ""ko""))"),"남성 솔리드 텍스쳐 하이넥 캐주얼 긴팔 티셔츠")</f>
        <v>남성 솔리드 텍스쳐 하이넥 캐주얼 긴팔 티셔츠</v>
      </c>
      <c r="F1207" s="1" t="str">
        <f>IFERROR(__xludf.DUMMYFUNCTION("CONCATENATE(GOOGLETRANSLATE(C1207, ""en"", ""ja""))"),"メンズソリッドテクスチャーハイネックカジュアル長袖Tシャツ")</f>
        <v>メンズソリッドテクスチャーハイネックカジュアル長袖Tシャツ</v>
      </c>
    </row>
    <row r="1208" ht="15.75" customHeight="1">
      <c r="A1208" s="1">
        <v>5302.0</v>
      </c>
      <c r="B1208" s="1" t="s">
        <v>6</v>
      </c>
      <c r="C1208" s="1" t="s">
        <v>255</v>
      </c>
      <c r="D1208" s="1" t="str">
        <f>IFERROR(__xludf.DUMMYFUNCTION("CONCATENATE(GOOGLETRANSLATE(C1208, ""en"", ""zh-cn""))
"),"Drako 2 SRS 山地自行车鞋")</f>
        <v>Drako 2 SRS 山地自行车鞋</v>
      </c>
      <c r="E1208" s="1" t="str">
        <f>IFERROR(__xludf.DUMMYFUNCTION("CONCATENATE(GOOGLETRANSLATE(C1208, ""en"", ""ko""))"),"Drako 2 SRS 산악 자전거 신발")</f>
        <v>Drako 2 SRS 산악 자전거 신발</v>
      </c>
      <c r="F1208" s="1" t="str">
        <f>IFERROR(__xludf.DUMMYFUNCTION("CONCATENATE(GOOGLETRANSLATE(C1208, ""en"", ""ja""))"),"Drako 2 SRS マウンテン バイク シューズ")</f>
        <v>Drako 2 SRS マウンテン バイク シューズ</v>
      </c>
    </row>
    <row r="1209" ht="15.75" customHeight="1">
      <c r="A1209" s="1">
        <v>5319.0</v>
      </c>
      <c r="B1209" s="1" t="s">
        <v>6</v>
      </c>
      <c r="C1209" s="1" t="s">
        <v>1120</v>
      </c>
      <c r="D1209" s="1" t="str">
        <f>IFERROR(__xludf.DUMMYFUNCTION("CONCATENATE(GOOGLETRANSLATE(C1209, ""en"", ""zh-cn""))
"),"PVC RV 橡胶屋顶套件 45 百万 | 9’6’’宽x 10’-40’长房车（露营车）屋顶维修（40’），白色，（RVK45PVCW95）")</f>
        <v>PVC RV 橡胶屋顶套件 45 百万 | 9’6’’宽x 10’-40’长房车（露营车）屋顶维修（40’），白色，（RVK45PVCW95）</v>
      </c>
      <c r="E1209" s="1" t="str">
        <f>IFERROR(__xludf.DUMMYFUNCTION("CONCATENATE(GOOGLETRANSLATE(C1209, ""en"", ""ko""))"),"PVC RV 고무 지붕 키트 45mil | 9'6'' 너비 x 10'-40' 길이 RV(캠퍼) 지붕 수리(40'), 흰색, (RVK45PVCW95)")</f>
        <v>PVC RV 고무 지붕 키트 45mil | 9'6'' 너비 x 10'-40' 길이 RV(캠퍼) 지붕 수리(40'), 흰색, (RVK45PVCW95)</v>
      </c>
      <c r="F1209" s="1" t="str">
        <f>IFERROR(__xludf.DUMMYFUNCTION("CONCATENATE(GOOGLETRANSLATE(C1209, ""en"", ""ja""))"),"PVC RV ラバー ルーフ キット 45 mil |幅9'6'' x 長さ10'-40' RV (キャンピングカー) 屋根修理 (40')、白、(RVK45PVCW95)")</f>
        <v>PVC RV ラバー ルーフ キット 45 mil |幅9'6'' x 長さ10'-40' RV (キャンピングカー) 屋根修理 (40')、白、(RVK45PVCW95)</v>
      </c>
    </row>
    <row r="1210" ht="15.75" customHeight="1">
      <c r="A1210" s="1">
        <v>5321.0</v>
      </c>
      <c r="B1210" s="1" t="s">
        <v>6</v>
      </c>
      <c r="C1210" s="1" t="s">
        <v>1121</v>
      </c>
      <c r="D1210" s="1" t="str">
        <f>IFERROR(__xludf.DUMMYFUNCTION("CONCATENATE(GOOGLETRANSLATE(C1210, ""en"", ""zh-cn""))
"),"2022 最新联想 IdeaPad 3i 笔记本电脑，17.3 HD+ 显示屏，第 11 代英特尔酷睿 i5-1135G7，英特尔 Iris Xe 显卡，20GB RAM，512GB PCIe SSD，WiFi，网络摄像头，指纹识别器，Windows 11 Home，蓝色")</f>
        <v>2022 最新联想 IdeaPad 3i 笔记本电脑，17.3 HD+ 显示屏，第 11 代英特尔酷睿 i5-1135G7，英特尔 Iris Xe 显卡，20GB RAM，512GB PCIe SSD，WiFi，网络摄像头，指纹识别器，Windows 11 Home，蓝色</v>
      </c>
      <c r="E1210" s="1" t="str">
        <f>IFERROR(__xludf.DUMMYFUNCTION("CONCATENATE(GOOGLETRANSLATE(C1210, ""en"", ""ko""))"),"2022 최신 레노버 IdeaPad 3i 노트북, 17.3 HD+ 디스플레이, 11세대 인텔 코어 i5-1135G7, 인텔 Iris Xe 그래픽, 20GB RAM, 512GB PCIe SSD, WiFi, 웹캠, 지문 인식기, Windows 11 Home, 블루")</f>
        <v>2022 최신 레노버 IdeaPad 3i 노트북, 17.3 HD+ 디스플레이, 11세대 인텔 코어 i5-1135G7, 인텔 Iris Xe 그래픽, 20GB RAM, 512GB PCIe SSD, WiFi, 웹캠, 지문 인식기, Windows 11 Home, 블루</v>
      </c>
      <c r="F1210" s="1" t="str">
        <f>IFERROR(__xludf.DUMMYFUNCTION("CONCATENATE(GOOGLETRANSLATE(C1210, ""en"", ""ja""))"),"2022 最新 Lenovo IdeaPad 3i ラップトップ、17.3 HD+ ディスプレイ、第 11 世代インテル Core i5-1135G7、インテル Iris Xe グラフィックス、20GB RAM、512GB PCIe SSD、WiFi、ウェブカメラ、指紋リーダー、Windows 11 Home、ブルー")</f>
        <v>2022 最新 Lenovo IdeaPad 3i ラップトップ、17.3 HD+ ディスプレイ、第 11 世代インテル Core i5-1135G7、インテル Iris Xe グラフィックス、20GB RAM、512GB PCIe SSD、WiFi、ウェブカメラ、指紋リーダー、Windows 11 Home、ブルー</v>
      </c>
    </row>
    <row r="1211" ht="15.75" customHeight="1">
      <c r="A1211" s="1">
        <v>5322.0</v>
      </c>
      <c r="B1211" s="1" t="s">
        <v>6</v>
      </c>
      <c r="C1211" s="1" t="s">
        <v>1064</v>
      </c>
      <c r="D1211" s="1" t="str">
        <f>IFERROR(__xludf.DUMMYFUNCTION("CONCATENATE(GOOGLETRANSLATE(C1211, ""en"", ""zh-cn""))
"),"戴尔 Inspiron 灵越 24 英寸一体机，Windows 11 Home，AMD Ryzen 5 5625U，AMD Radeon 显卡，8GB DDR4 RAM，256GB SSD，FHD (1920 x 1080)，MediaTek Wi-Fi 6，Infinity Display，5415 - 黑色")</f>
        <v>戴尔 Inspiron 灵越 24 英寸一体机，Windows 11 Home，AMD Ryzen 5 5625U，AMD Radeon 显卡，8GB DDR4 RAM，256GB SSD，FHD (1920 x 1080)，MediaTek Wi-Fi 6，Infinity Display，5415 - 黑色</v>
      </c>
      <c r="E1211" s="1" t="str">
        <f>IFERROR(__xludf.DUMMYFUNCTION("CONCATENATE(GOOGLETRANSLATE(C1211, ""en"", ""ko""))"),"Dell Inspiron 24인치 올인원 컴퓨터, Windows 11 Home, AMD Ryzen 5 5625U, AMD Radeon 그래픽, 8GB DDR4 RAM, 256GB SSD, FHD(1920 x 1080), MediaTek Wi-Fi 6, Infinity 디스플레이, 5415 - 블랙")</f>
        <v>Dell Inspiron 24인치 올인원 컴퓨터, Windows 11 Home, AMD Ryzen 5 5625U, AMD Radeon 그래픽, 8GB DDR4 RAM, 256GB SSD, FHD(1920 x 1080), MediaTek Wi-Fi 6, Infinity 디스플레이, 5415 - 블랙</v>
      </c>
      <c r="F1211" s="1" t="str">
        <f>IFERROR(__xludf.DUMMYFUNCTION("CONCATENATE(GOOGLETRANSLATE(C1211, ""en"", ""ja""))"),"Dell Inspiron 24 インチ オールインワン コンピューター、Windows 11 Home、AMD Ryzen 5 5625U、AMD Radeon グラフィックス、8GB DDR4 RAM、256GB SSD、FHD (1920 x 1080)、MediaTek Wi-Fi 6、Infinity Display、5415 - ブラック")</f>
        <v>Dell Inspiron 24 インチ オールインワン コンピューター、Windows 11 Home、AMD Ryzen 5 5625U、AMD Radeon グラフィックス、8GB DDR4 RAM、256GB SSD、FHD (1920 x 1080)、MediaTek Wi-Fi 6、Infinity Display、5415 - ブラック</v>
      </c>
    </row>
    <row r="1212" ht="15.75" customHeight="1">
      <c r="A1212" s="1">
        <v>5358.0</v>
      </c>
      <c r="B1212" s="1" t="s">
        <v>6</v>
      </c>
      <c r="C1212" s="1" t="s">
        <v>453</v>
      </c>
      <c r="D1212" s="1" t="str">
        <f>IFERROR(__xludf.DUMMYFUNCTION("CONCATENATE(GOOGLETRANSLATE(C1212, ""en"", ""zh-cn""))
"),"GAN 356 i 3 无贴纸速度魔方，3x3 智能魔方 356 i3 甘斯磁力魔方智能跟踪计时运动步骤与 CubeStation 应用程序甘魔方拼图玩具（不含 GAN 机器人）")</f>
        <v>GAN 356 i 3 无贴纸速度魔方，3x3 智能魔方 356 i3 甘斯磁力魔方智能跟踪计时运动步骤与 CubeStation 应用程序甘魔方拼图玩具（不含 GAN 机器人）</v>
      </c>
      <c r="E1212" s="1" t="str">
        <f>IFERROR(__xludf.DUMMYFUNCTION("CONCATENATE(GOOGLETRANSLATE(C1212, ""en"", ""ko""))"),"GAN 356 i 3 스티커 없는 스피드 큐브, 3x3 스마트 큐브 356 i3 Gans 마그네틱 큐브 CubeStation 앱을 사용한 지능형 추적 타이밍 동작 단계 Gan 큐브 퍼즐 장난감(GAN 로봇은 포함되지 않음)")</f>
        <v>GAN 356 i 3 스티커 없는 스피드 큐브, 3x3 스마트 큐브 356 i3 Gans 마그네틱 큐브 CubeStation 앱을 사용한 지능형 추적 타이밍 동작 단계 Gan 큐브 퍼즐 장난감(GAN 로봇은 포함되지 않음)</v>
      </c>
      <c r="F1212" s="1" t="str">
        <f>IFERROR(__xludf.DUMMYFUNCTION("CONCATENATE(GOOGLETRANSLATE(C1212, ""en"", ""ja""))"),"GAN 356 i 3 ステッカーレス スピード キューブ、3x3 スマート キューブ 356 i3 Gans 磁気キューブ インテリジェント トラッキング タイミング動作ステップ、CubeStation アプリ付き Gan キューブ パズルおもちゃ (GAN ロボットは含まれません)")</f>
        <v>GAN 356 i 3 ステッカーレス スピード キューブ、3x3 スマート キューブ 356 i3 Gans 磁気キューブ インテリジェント トラッキング タイミング動作ステップ、CubeStation アプリ付き Gan キューブ パズルおもちゃ (GAN ロボットは含まれません)</v>
      </c>
    </row>
    <row r="1213" ht="15.75" customHeight="1">
      <c r="A1213" s="1">
        <v>5372.0</v>
      </c>
      <c r="B1213" s="1" t="s">
        <v>6</v>
      </c>
      <c r="C1213" s="1" t="s">
        <v>254</v>
      </c>
      <c r="D1213" s="1" t="str">
        <f>IFERROR(__xludf.DUMMYFUNCTION("CONCATENATE(GOOGLETRANSLATE(C1213, ""en"", ""zh-cn""))
"),"CuberShop GAN 12 MagLev UV 涂层， GAN 12 M MagLev 2021 旗舰 3x3 磁力速度立方体无贴纸， GAN 12 M Pro 3x3 （GAN12 MagLev UV 速度立方体，UV 涂层光面和初级内部）")</f>
        <v>CuberShop GAN 12 MagLev UV 涂层， GAN 12 M MagLev 2021 旗舰 3x3 磁力速度立方体无贴纸， GAN 12 M Pro 3x3 （GAN12 MagLev UV 速度立方体，UV 涂层光面和初级内部）</v>
      </c>
      <c r="E1213" s="1" t="str">
        <f>IFERROR(__xludf.DUMMYFUNCTION("CONCATENATE(GOOGLETRANSLATE(C1213, ""en"", ""ko""))"),"CuberShop GAN 12 MagLev UV 코팅, GAN 12 M MagLev 2021 플래그십 3x3 자기 속도 큐브 스티커 없음, GAN 12 M Pro 3x3(GAN12 MagLev UV 속도 큐브, UV 코팅 광택 및 기본 내부)")</f>
        <v>CuberShop GAN 12 MagLev UV 코팅, GAN 12 M MagLev 2021 플래그십 3x3 자기 속도 큐브 스티커 없음, GAN 12 M Pro 3x3(GAN12 MagLev UV 속도 큐브, UV 코팅 광택 및 기본 내부)</v>
      </c>
      <c r="F1213" s="1" t="str">
        <f>IFERROR(__xludf.DUMMYFUNCTION("CONCATENATE(GOOGLETRANSLATE(C1213, ""en"", ""ja""))"),"CuberShop GAN 12 MagLev UV コーティング、GAN 12 M MagLev 2021 フラッグシップ 3x3 磁気スピード キューブ ステッカーレス、GAN 12 M Pro 3x3 (GAN12 MagLev UV スピード キューブ、UV コーティング光沢 &amp; プライマリ内部)")</f>
        <v>CuberShop GAN 12 MagLev UV コーティング、GAN 12 M MagLev 2021 フラッグシップ 3x3 磁気スピード キューブ ステッカーレス、GAN 12 M Pro 3x3 (GAN12 MagLev UV スピード キューブ、UV コーティング光沢 &amp; プライマリ内部)</v>
      </c>
    </row>
    <row r="1214" ht="15.75" customHeight="1">
      <c r="A1214" s="1">
        <v>5377.0</v>
      </c>
      <c r="B1214" s="1" t="s">
        <v>51</v>
      </c>
      <c r="C1214" s="1" t="s">
        <v>945</v>
      </c>
      <c r="D1214" s="1" t="str">
        <f>IFERROR(__xludf.DUMMYFUNCTION("CONCATENATE(GOOGLETRANSLATE(C1214, ""en"", ""zh-cn""))
"),"男式拼色拼布翻盖灯芯绒衬衫夹克")</f>
        <v>男式拼色拼布翻盖灯芯绒衬衫夹克</v>
      </c>
      <c r="E1214" s="1" t="str">
        <f>IFERROR(__xludf.DUMMYFUNCTION("CONCATENATE(GOOGLETRANSLATE(C1214, ""en"", ""ko""))"),"남성용 컬러 블록 패치워크 플랩 포켓 코듀로이 셔츠 재킷")</f>
        <v>남성용 컬러 블록 패치워크 플랩 포켓 코듀로이 셔츠 재킷</v>
      </c>
      <c r="F1214" s="1" t="str">
        <f>IFERROR(__xludf.DUMMYFUNCTION("CONCATENATE(GOOGLETRANSLATE(C1214, ""en"", ""ja""))"),"メンズ カラーブロック パッチワーク フラップ ポケット コーデュロイ シャツ ジャケット")</f>
        <v>メンズ カラーブロック パッチワーク フラップ ポケット コーデュロイ シャツ ジャケット</v>
      </c>
    </row>
    <row r="1215" ht="15.75" customHeight="1">
      <c r="A1215" s="1">
        <v>5419.0</v>
      </c>
      <c r="B1215" s="1" t="s">
        <v>6</v>
      </c>
      <c r="C1215" s="1" t="s">
        <v>42</v>
      </c>
      <c r="D1215" s="1" t="str">
        <f>IFERROR(__xludf.DUMMYFUNCTION("CONCATENATE(GOOGLETRANSLATE(C1215, ""en"", ""zh-cn""))
"),"Ravensburger Space Odyssey 5000 片成人拼图 - 16720 - 每一块都是独一无二的，Softclick 技术意味着各块完美地组合在一起")</f>
        <v>Ravensburger Space Odyssey 5000 片成人拼图 - 16720 - 每一块都是独一无二的，Softclick 技术意味着各块完美地组合在一起</v>
      </c>
      <c r="E1215" s="1" t="str">
        <f>IFERROR(__xludf.DUMMYFUNCTION("CONCATENATE(GOOGLETRANSLATE(C1215, ""en"", ""ko""))"),"Ravensburger Space Odyssey 성인용 5000피스 직소 퍼즐 - 16720 - 모든 조각은 독특하며 소프트클릭 기술로 조각이 완벽하게 들어맞습니다.")</f>
        <v>Ravensburger Space Odyssey 성인용 5000피스 직소 퍼즐 - 16720 - 모든 조각은 독특하며 소프트클릭 기술로 조각이 완벽하게 들어맞습니다.</v>
      </c>
      <c r="F1215" s="1" t="str">
        <f>IFERROR(__xludf.DUMMYFUNCTION("CONCATENATE(GOOGLETRANSLATE(C1215, ""en"", ""ja""))"),"Ravensburger 宇宙の旅 大人用 5000 ピース ジグソーパズル - 16720 - すべてのピースはユニークで、ソフトクリックテクノロジーによりピースが完璧にフィットします。")</f>
        <v>Ravensburger 宇宙の旅 大人用 5000 ピース ジグソーパズル - 16720 - すべてのピースはユニークで、ソフトクリックテクノロジーによりピースが完璧にフィットします。</v>
      </c>
    </row>
    <row r="1216" ht="15.75" customHeight="1">
      <c r="A1216" s="1">
        <v>5447.0</v>
      </c>
      <c r="B1216" s="1" t="s">
        <v>6</v>
      </c>
      <c r="C1216" s="1" t="s">
        <v>934</v>
      </c>
      <c r="D1216" s="1" t="str">
        <f>IFERROR(__xludf.DUMMYFUNCTION("CONCATENATE(GOOGLETRANSLATE(C1216, ""en"", ""zh-cn""))
"),"Sand &amp; Sky 澳大利亚粉红粘土毛孔细致面膜，针对黑头、毛孔粗大和色素沉着")</f>
        <v>Sand &amp; Sky 澳大利亚粉红粘土毛孔细致面膜，针对黑头、毛孔粗大和色素沉着</v>
      </c>
      <c r="E1216" s="1" t="str">
        <f>IFERROR(__xludf.DUMMYFUNCTION("CONCATENATE(GOOGLETRANSLATE(C1216, ""en"", ""ko""))"),"블랙헤드, 모공 확대 및 색소침착을 위한 샌드 앤 스카이 오스트레일리안 핑크 클레이 포어파이닝 마스크")</f>
        <v>블랙헤드, 모공 확대 및 색소침착을 위한 샌드 앤 스카이 오스트레일리안 핑크 클레이 포어파이닝 마스크</v>
      </c>
      <c r="F1216" s="1" t="str">
        <f>IFERROR(__xludf.DUMMYFUNCTION("CONCATENATE(GOOGLETRANSLATE(C1216, ""en"", ""ja""))"),"Sand &amp; Sky オーストラリアン ピンク クレイ ポアファイニング マスク 黒ずみ、毛穴の拡大、色素沈着用")</f>
        <v>Sand &amp; Sky オーストラリアン ピンク クレイ ポアファイニング マスク 黒ずみ、毛穴の拡大、色素沈着用</v>
      </c>
    </row>
    <row r="1217" ht="15.75" customHeight="1">
      <c r="A1217" s="1">
        <v>5448.0</v>
      </c>
      <c r="B1217" s="1" t="s">
        <v>6</v>
      </c>
      <c r="C1217" s="1" t="s">
        <v>1122</v>
      </c>
      <c r="D1217" s="1" t="str">
        <f>IFERROR(__xludf.DUMMYFUNCTION("CONCATENATE(GOOGLETRANSLATE(C1217, ""en"", ""zh-cn""))
"),"Dermalogica 多种维生素强力恢复面膜（2.5 液体盎司）抗衰老面膜，含维生素 C 和乳酸 - 恢复和修复压力、老化皮肤")</f>
        <v>Dermalogica 多种维生素强力恢复面膜（2.5 液体盎司）抗衰老面膜，含维生素 C 和乳酸 - 恢复和修复压力、老化皮肤</v>
      </c>
      <c r="E1217" s="1" t="str">
        <f>IFERROR(__xludf.DUMMYFUNCTION("CONCATENATE(GOOGLETRANSLATE(C1217, ""en"", ""ko""))"),"Dermalogica 멀티비타민 파워 리커버리 마스크(2.5 Fl Oz) 비타민 C와 젖산이 함유된 안티 에이징 페이스 마스크 - 스트레스를 받고 노화된 피부를 회복하고 복구")</f>
        <v>Dermalogica 멀티비타민 파워 리커버리 마스크(2.5 Fl Oz) 비타민 C와 젖산이 함유된 안티 에이징 페이스 마스크 - 스트레스를 받고 노화된 피부를 회복하고 복구</v>
      </c>
      <c r="F1217" s="1" t="str">
        <f>IFERROR(__xludf.DUMMYFUNCTION("CONCATENATE(GOOGLETRANSLATE(C1217, ""en"", ""ja""))"),"Dermalogica マルチビタミン パワー リカバリー マスク (2.5 液量オンス) ビタミン C と乳酸を配合したアンチエイジング フェイス マスク - ストレスを受けた老化した肌を回復し修復します")</f>
        <v>Dermalogica マルチビタミン パワー リカバリー マスク (2.5 液量オンス) ビタミン C と乳酸を配合したアンチエイジング フェイス マスク - ストレスを受けた老化した肌を回復し修復します</v>
      </c>
    </row>
    <row r="1218" ht="15.75" customHeight="1">
      <c r="A1218" s="1">
        <v>5469.0</v>
      </c>
      <c r="B1218" s="1" t="s">
        <v>6</v>
      </c>
      <c r="C1218" s="1" t="s">
        <v>436</v>
      </c>
      <c r="D1218" s="1" t="str">
        <f>IFERROR(__xludf.DUMMYFUNCTION("CONCATENATE(GOOGLETRANSLATE(C1218, ""en"", ""zh-cn""))
"),"SHARGEEK 的 SHARGE USB C 充电器，带数字雨功率显示的复古 67 GaN 充电器，67W 可折叠快速壁式充电器，适用于 iPhone 14/Pro/Pro Max/13、iPad、MacBook、Galaxy、Google Pixel 礼品创意")</f>
        <v>SHARGEEK 的 SHARGE USB C 充电器，带数字雨功率显示的复古 67 GaN 充电器，67W 可折叠快速壁式充电器，适用于 iPhone 14/Pro/Pro Max/13、iPad、MacBook、Galaxy、Google Pixel 礼品创意</v>
      </c>
      <c r="E1218" s="1" t="str">
        <f>IFERROR(__xludf.DUMMYFUNCTION("CONCATENATE(GOOGLETRANSLATE(C1218, ""en"", ""ko""))"),"SHARGEEK의 SHARGE USB C 충전기, 디지털 레인 파워 디스플레이를 갖춘 레트로 67 GaN 충전기, iPhone 14/Pro/Pro Max/13, iPad, MacBook, Galaxy, Google Pixel 선물용 아이디어를 위한 67W 접이식 고속 벽 충전기")</f>
        <v>SHARGEEK의 SHARGE USB C 충전기, 디지털 레인 파워 디스플레이를 갖춘 레트로 67 GaN 충전기, iPhone 14/Pro/Pro Max/13, iPad, MacBook, Galaxy, Google Pixel 선물용 아이디어를 위한 67W 접이식 고속 벽 충전기</v>
      </c>
      <c r="F1218" s="1" t="str">
        <f>IFERROR(__xludf.DUMMYFUNCTION("CONCATENATE(GOOGLETRANSLATE(C1218, ""en"", ""ja""))"),"SHARGEEK の SHARGE USB C 充電器、デジタルレインパワーディスプレイ付きレトロ 67 GaN 充電器、iPhone 14/Pro/Pro Max/13、iPad、MacBook、Galaxy、Google Pixel ギフトアイデア用の 67W 折りたたみ式高速壁充電器")</f>
        <v>SHARGEEK の SHARGE USB C 充電器、デジタルレインパワーディスプレイ付きレトロ 67 GaN 充電器、iPhone 14/Pro/Pro Max/13、iPad、MacBook、Galaxy、Google Pixel ギフトアイデア用の 67W 折りたたみ式高速壁充電器</v>
      </c>
    </row>
    <row r="1219" ht="15.75" customHeight="1">
      <c r="A1219" s="1">
        <v>5494.0</v>
      </c>
      <c r="B1219" s="1" t="s">
        <v>6</v>
      </c>
      <c r="C1219" s="1" t="s">
        <v>1123</v>
      </c>
      <c r="D1219" s="1" t="str">
        <f>IFERROR(__xludf.DUMMYFUNCTION("CONCATENATE(GOOGLETRANSLATE(C1219, ""en"", ""zh-cn""))
"),"东点运动羽毛球套装")</f>
        <v>东点运动羽毛球套装</v>
      </c>
      <c r="E1219" s="1" t="str">
        <f>IFERROR(__xludf.DUMMYFUNCTION("CONCATENATE(GOOGLETRANSLATE(C1219, ""en"", ""ko""))"),"EastPoint 스포츠 배드민턴 세트")</f>
        <v>EastPoint 스포츠 배드민턴 세트</v>
      </c>
      <c r="F1219" s="1" t="str">
        <f>IFERROR(__xludf.DUMMYFUNCTION("CONCATENATE(GOOGLETRANSLATE(C1219, ""en"", ""ja""))"),"EastPoint スポーツ バドミントン セット")</f>
        <v>EastPoint スポーツ バドミントン セット</v>
      </c>
    </row>
    <row r="1220" ht="15.75" customHeight="1">
      <c r="A1220" s="1">
        <v>5520.0</v>
      </c>
      <c r="B1220" s="1" t="s">
        <v>6</v>
      </c>
      <c r="C1220" s="1" t="s">
        <v>1124</v>
      </c>
      <c r="D1220" s="1" t="str">
        <f>IFERROR(__xludf.DUMMYFUNCTION("CONCATENATE(GOOGLETRANSLATE(C1220, ""en"", ""zh-cn""))
"),"惠普一体机电脑")</f>
        <v>惠普一体机电脑</v>
      </c>
      <c r="E1220" s="1" t="str">
        <f>IFERROR(__xludf.DUMMYFUNCTION("CONCATENATE(GOOGLETRANSLATE(C1220, ""en"", ""ko""))"),"HP 올인원 컴퓨터")</f>
        <v>HP 올인원 컴퓨터</v>
      </c>
      <c r="F1220" s="1" t="str">
        <f>IFERROR(__xludf.DUMMYFUNCTION("CONCATENATE(GOOGLETRANSLATE(C1220, ""en"", ""ja""))"),"HP オールインワン コンピューター")</f>
        <v>HP オールインワン コンピューター</v>
      </c>
    </row>
    <row r="1221" ht="15.75" customHeight="1">
      <c r="A1221" s="1">
        <v>5574.0</v>
      </c>
      <c r="B1221" s="1" t="s">
        <v>6</v>
      </c>
      <c r="C1221" s="1" t="s">
        <v>1125</v>
      </c>
      <c r="D1221" s="1" t="str">
        <f>IFERROR(__xludf.DUMMYFUNCTION("CONCATENATE(GOOGLETRANSLATE(C1221, ""en"", ""zh-cn""))
"),"Urban Outfitters Bri 双蝴蝶结缎面迷你连衣裙")</f>
        <v>Urban Outfitters Bri 双蝴蝶结缎面迷你连衣裙</v>
      </c>
      <c r="E1221" s="1" t="str">
        <f>IFERROR(__xludf.DUMMYFUNCTION("CONCATENATE(GOOGLETRANSLATE(C1221, ""en"", ""ko""))"),"Urban Outfitters 브리 더블 보우 새틴 미니 드레스")</f>
        <v>Urban Outfitters 브리 더블 보우 새틴 미니 드레스</v>
      </c>
      <c r="F1221" s="1" t="str">
        <f>IFERROR(__xludf.DUMMYFUNCTION("CONCATENATE(GOOGLETRANSLATE(C1221, ""en"", ""ja""))"),"アーバン アウトフィッターズ ブライ ダブル リボン サテン ミニ ドレス")</f>
        <v>アーバン アウトフィッターズ ブライ ダブル リボン サテン ミニ ドレス</v>
      </c>
    </row>
    <row r="1222" ht="15.75" customHeight="1">
      <c r="A1222" s="1">
        <v>5592.0</v>
      </c>
      <c r="B1222" s="1" t="s">
        <v>6</v>
      </c>
      <c r="C1222" s="1" t="s">
        <v>1126</v>
      </c>
      <c r="D1222" s="1" t="str">
        <f>IFERROR(__xludf.DUMMYFUNCTION("CONCATENATE(GOOGLETRANSLATE(C1222, ""en"", ""zh-cn""))
"),"Abercrombie &amp; Fitch 女式亚麻混纺高领上衣")</f>
        <v>Abercrombie &amp; Fitch 女式亚麻混纺高领上衣</v>
      </c>
      <c r="E1222" s="1" t="str">
        <f>IFERROR(__xludf.DUMMYFUNCTION("CONCATENATE(GOOGLETRANSLATE(C1222, ""en"", ""ko""))"),"Abercrombie &amp; Fitch 여성용 리넨 블렌드 하이넥 탑")</f>
        <v>Abercrombie &amp; Fitch 여성용 리넨 블렌드 하이넥 탑</v>
      </c>
      <c r="F1222" s="1" t="str">
        <f>IFERROR(__xludf.DUMMYFUNCTION("CONCATENATE(GOOGLETRANSLATE(C1222, ""en"", ""ja""))"),"アバクロ レディース リネンブレンド ハイネック トップ")</f>
        <v>アバクロ レディース リネンブレンド ハイネック トップ</v>
      </c>
    </row>
    <row r="1223" ht="15.75" customHeight="1">
      <c r="A1223" s="1">
        <v>5597.0</v>
      </c>
      <c r="B1223" s="1" t="s">
        <v>6</v>
      </c>
      <c r="C1223" s="1" t="s">
        <v>1127</v>
      </c>
      <c r="D1223" s="1" t="str">
        <f>IFERROR(__xludf.DUMMYFUNCTION("CONCATENATE(GOOGLETRANSLATE(C1223, ""en"", ""zh-cn""))
"),"女式时尚长袖针织毛衣")</f>
        <v>女式时尚长袖针织毛衣</v>
      </c>
      <c r="E1223" s="1" t="str">
        <f>IFERROR(__xludf.DUMMYFUNCTION("CONCATENATE(GOOGLETRANSLATE(C1223, ""en"", ""ko""))"),"여성용 트렌디 긴팔 니트 스웨터")</f>
        <v>여성용 트렌디 긴팔 니트 스웨터</v>
      </c>
      <c r="F1223" s="1" t="str">
        <f>IFERROR(__xludf.DUMMYFUNCTION("CONCATENATE(GOOGLETRANSLATE(C1223, ""en"", ""ja""))"),"レディーストレンディ長袖ニットセーター")</f>
        <v>レディーストレンディ長袖ニットセーター</v>
      </c>
    </row>
    <row r="1224" ht="15.75" customHeight="1">
      <c r="A1224" s="1">
        <v>5601.0</v>
      </c>
      <c r="B1224" s="1" t="s">
        <v>6</v>
      </c>
      <c r="C1224" s="1" t="s">
        <v>268</v>
      </c>
      <c r="D1224" s="1" t="str">
        <f>IFERROR(__xludf.DUMMYFUNCTION("CONCATENATE(GOOGLETRANSLATE(C1224, ""en"", ""zh-cn""))
"),"Roxenda [15 件装] 速度立方体套装 - 2x2x2 3x3x3 4x4x4 2x2x3 X 立方体六点立方体斜轴风车费舍尔镜子 2x2-Megaminx 3x3-Megaminx 金字塔常春藤立方体光滑魔方拼图系列")</f>
        <v>Roxenda [15 件装] 速度立方体套装 - 2x2x2 3x3x3 4x4x4 2x2x3 X 立方体六点立方体斜轴风车费舍尔镜子 2x2-Megaminx 3x3-Megaminx 金字塔常春藤立方体光滑魔方拼图系列</v>
      </c>
      <c r="E1224" s="1" t="str">
        <f>IFERROR(__xludf.DUMMYFUNCTION("CONCATENATE(GOOGLETRANSLATE(C1224, ""en"", ""ko""))"),"Roxenda [15 팩] 스피드 큐브 세트 - 2x2x2 3x3x3 4x4x4 2x2x3 X-Cube 6스팟 큐브 Skew Axis Windmill Fisher Mirror 2x2-Megaminx 3x3-Megaminx Pyramid Ivy Cube Smooth Magic Cube 퍼즐 컬렉션")</f>
        <v>Roxenda [15 팩] 스피드 큐브 세트 - 2x2x2 3x3x3 4x4x4 2x2x3 X-Cube 6스팟 큐브 Skew Axis Windmill Fisher Mirror 2x2-Megaminx 3x3-Megaminx Pyramid Ivy Cube Smooth Magic Cube 퍼즐 컬렉션</v>
      </c>
      <c r="F1224" s="1" t="str">
        <f>IFERROR(__xludf.DUMMYFUNCTION("CONCATENATE(GOOGLETRANSLATE(C1224, ""en"", ""ja""))"),"Roxenda [15 パック] スピード キューブ セット - 2x2x2 3x3x3 4x4x4 2x2x3 X-Cube 6 スポット キューブ スキュー軸 風車 フィッシャー ミラー 2x2-メガミンクス 3x3-メガミンクス ピラミッド アイビー キューブ スムーズ マジック キューブ パズル コレクション")</f>
        <v>Roxenda [15 パック] スピード キューブ セット - 2x2x2 3x3x3 4x4x4 2x2x3 X-Cube 6 スポット キューブ スキュー軸 風車 フィッシャー ミラー 2x2-メガミンクス 3x3-メガミンクス ピラミッド アイビー キューブ スムーズ マジック キューブ パズル コレクション</v>
      </c>
    </row>
    <row r="1225" ht="15.75" customHeight="1">
      <c r="A1225" s="1">
        <v>5634.0</v>
      </c>
      <c r="B1225" s="1" t="s">
        <v>6</v>
      </c>
      <c r="C1225" s="1" t="s">
        <v>1128</v>
      </c>
      <c r="D1225" s="1" t="str">
        <f>IFERROR(__xludf.DUMMYFUNCTION("CONCATENATE(GOOGLETRANSLATE(C1225, ""en"", ""zh-cn""))
"),"Michael Kors 女士金刚砂不锈钢手表")</f>
        <v>Michael Kors 女士金刚砂不锈钢手表</v>
      </c>
      <c r="E1225" s="1" t="str">
        <f>IFERROR(__xludf.DUMMYFUNCTION("CONCATENATE(GOOGLETRANSLATE(C1225, ""en"", ""ko""))"),"Michael Kors 여성용 에머리 스테인레스 스틸 시계")</f>
        <v>Michael Kors 여성용 에머리 스테인레스 스틸 시계</v>
      </c>
      <c r="F1225" s="1" t="str">
        <f>IFERROR(__xludf.DUMMYFUNCTION("CONCATENATE(GOOGLETRANSLATE(C1225, ""en"", ""ja""))"),"Michael Kors レディース エメリー ステンレススチール ウォッチ")</f>
        <v>Michael Kors レディース エメリー ステンレススチール ウォッチ</v>
      </c>
    </row>
    <row r="1226" ht="15.75" customHeight="1">
      <c r="A1226" s="1">
        <v>5640.0</v>
      </c>
      <c r="B1226" s="1" t="s">
        <v>6</v>
      </c>
      <c r="C1226" s="1" t="s">
        <v>1129</v>
      </c>
      <c r="D1226" s="1" t="str">
        <f>IFERROR(__xludf.DUMMYFUNCTION("CONCATENATE(GOOGLETRANSLATE(C1226, ""en"", ""zh-cn""))
"),"Urban Outfitters 水钻双心链手表")</f>
        <v>Urban Outfitters 水钻双心链手表</v>
      </c>
      <c r="E1226" s="1" t="str">
        <f>IFERROR(__xludf.DUMMYFUNCTION("CONCATENATE(GOOGLETRANSLATE(C1226, ""en"", ""ko""))"),"Urban Outfitters 라인스톤 더블 하트 체인 시계")</f>
        <v>Urban Outfitters 라인스톤 더블 하트 체인 시계</v>
      </c>
      <c r="F1226" s="1" t="str">
        <f>IFERROR(__xludf.DUMMYFUNCTION("CONCATENATE(GOOGLETRANSLATE(C1226, ""en"", ""ja""))"),"アーバン アウトフィッターズ ラインストーン ダブル ハート チェーン ウォッチ")</f>
        <v>アーバン アウトフィッターズ ラインストーン ダブル ハート チェーン ウォッチ</v>
      </c>
    </row>
    <row r="1227" ht="15.75" customHeight="1">
      <c r="A1227" s="1">
        <v>5649.0</v>
      </c>
      <c r="B1227" s="1" t="s">
        <v>6</v>
      </c>
      <c r="C1227" s="1" t="s">
        <v>81</v>
      </c>
      <c r="D1227" s="1" t="str">
        <f>IFERROR(__xludf.DUMMYFUNCTION("CONCATENATE(GOOGLETRANSLATE(C1227, ""en"", ""zh-cn""))
"),"Ed Hardy 男士仿骷髅表盘硅胶手表套装")</f>
        <v>Ed Hardy 男士仿骷髅表盘硅胶手表套装</v>
      </c>
      <c r="E1227" s="1" t="str">
        <f>IFERROR(__xludf.DUMMYFUNCTION("CONCATENATE(GOOGLETRANSLATE(C1227, ""en"", ""ko""))"),"에드 하디 남성용 인조 스켈레톤 다이얼 실리콘 시계 세트")</f>
        <v>에드 하디 남성용 인조 스켈레톤 다이얼 실리콘 시계 세트</v>
      </c>
      <c r="F1227" s="1" t="str">
        <f>IFERROR(__xludf.DUMMYFUNCTION("CONCATENATE(GOOGLETRANSLATE(C1227, ""en"", ""ja""))"),"Ed Hardy メンズ フェイクスケルトン ダイヤル シリコン ウォッチ セット")</f>
        <v>Ed Hardy メンズ フェイクスケルトン ダイヤル シリコン ウォッチ セット</v>
      </c>
    </row>
    <row r="1228" ht="15.75" customHeight="1">
      <c r="A1228" s="1">
        <v>5695.0</v>
      </c>
      <c r="B1228" s="1" t="s">
        <v>6</v>
      </c>
      <c r="C1228" s="1" t="s">
        <v>821</v>
      </c>
      <c r="D1228" s="1" t="str">
        <f>IFERROR(__xludf.DUMMYFUNCTION("CONCATENATE(GOOGLETRANSLATE(C1228, ""en"", ""zh-cn""))
"),"Lenovo ThinkPad P17 Gen 2 工作站笔记本电脑（Intel i9-11950H vPro 8 核、64GB RAM、2x2TB PCIe SSD RAID 0 (4TB)、RTX A2000、17.3"" 60Hz 全高清 (1920x1080)、Win 11 Pro），带 Dockztorm Hub")</f>
        <v>Lenovo ThinkPad P17 Gen 2 工作站笔记本电脑（Intel i9-11950H vPro 8 核、64GB RAM、2x2TB PCIe SSD RAID 0 (4TB)、RTX A2000、17.3" 60Hz 全高清 (1920x1080)、Win 11 Pro），带 Dockztorm Hub</v>
      </c>
      <c r="E1228" s="1" t="str">
        <f>IFERROR(__xludf.DUMMYFUNCTION("CONCATENATE(GOOGLETRANSLATE(C1228, ""en"", ""ko""))"),"Lenovo ThinkPad P17 Gen 2 워크스테이션 노트북(Intel i9-11950H vPro 8코어, 64GB RAM, 2x2TB PCIe SSD RAID 0(4TB), RTX A2000, 17.3인치 60Hz 풀 HD(1920x1080), Win 11 Pro)(Dockztorm 허브 포함)")</f>
        <v>Lenovo ThinkPad P17 Gen 2 워크스테이션 노트북(Intel i9-11950H vPro 8코어, 64GB RAM, 2x2TB PCIe SSD RAID 0(4TB), RTX A2000, 17.3인치 60Hz 풀 HD(1920x1080), Win 11 Pro)(Dockztorm 허브 포함)</v>
      </c>
      <c r="F1228" s="1" t="str">
        <f>IFERROR(__xludf.DUMMYFUNCTION("CONCATENATE(GOOGLETRANSLATE(C1228, ""en"", ""ja""))"),"Lenovo ThinkPad P17 Gen 2 ワークステーション ラップトップ (Intel i9-11950H vPro 8 コア、64GB RAM、2x2TB PCIe SSD RAID 0 (4TB)、RTX A2000、17.3 インチ 60Hz フル HD (1920x1080)、Win 11 Pro) Dockztorm Hub 付き")</f>
        <v>Lenovo ThinkPad P17 Gen 2 ワークステーション ラップトップ (Intel i9-11950H vPro 8 コア、64GB RAM、2x2TB PCIe SSD RAID 0 (4TB)、RTX A2000、17.3 インチ 60Hz フル HD (1920x1080)、Win 11 Pro) Dockztorm Hub 付き</v>
      </c>
    </row>
    <row r="1229" ht="15.75" customHeight="1">
      <c r="A1229" s="1">
        <v>5709.0</v>
      </c>
      <c r="B1229" s="1" t="s">
        <v>6</v>
      </c>
      <c r="C1229" s="1" t="s">
        <v>58</v>
      </c>
      <c r="D1229" s="1" t="str">
        <f>IFERROR(__xludf.DUMMYFUNCTION("CONCATENATE(GOOGLETRANSLATE(C1229, ""en"", ""zh-cn""))
"),"GAN 13 磁悬浮磨砂涂层，磁性速度魔方 3x3 无贴纸 56 毫米磁铁魔方拼图玩具，GAN 2022 旗舰")</f>
        <v>GAN 13 磁悬浮磨砂涂层，磁性速度魔方 3x3 无贴纸 56 毫米磁铁魔方拼图玩具，GAN 2022 旗舰</v>
      </c>
      <c r="E1229" s="1" t="str">
        <f>IFERROR(__xludf.DUMMYFUNCTION("CONCATENATE(GOOGLETRANSLATE(C1229, ""en"", ""ko""))"),"GAN 13 자기 부상 프로스트 코팅, 자기 속도 큐브 3x3 스티커 없는 56mm 자석 매직 큐브 퍼즐 장난감, GAN 2022 플래그십")</f>
        <v>GAN 13 자기 부상 프로스트 코팅, 자기 속도 큐브 3x3 스티커 없는 56mm 자석 매직 큐브 퍼즐 장난감, GAN 2022 플래그십</v>
      </c>
      <c r="F1229" s="1" t="str">
        <f>IFERROR(__xludf.DUMMYFUNCTION("CONCATENATE(GOOGLETRANSLATE(C1229, ""en"", ""ja""))"),"GAN 13 リニアモーターカー フロストコーティング、磁気スピードキューブ 3x3 ステッカーレス 56mm マグネット マジックキューブ パズルおもちゃ、GAN 2022 フラッグシップ")</f>
        <v>GAN 13 リニアモーターカー フロストコーティング、磁気スピードキューブ 3x3 ステッカーレス 56mm マグネット マジックキューブ パズルおもちゃ、GAN 2022 フラッグシップ</v>
      </c>
    </row>
    <row r="1230" ht="15.75" customHeight="1">
      <c r="A1230" s="1">
        <v>5724.0</v>
      </c>
      <c r="B1230" s="1" t="s">
        <v>6</v>
      </c>
      <c r="C1230" s="1" t="s">
        <v>1130</v>
      </c>
      <c r="D1230" s="1" t="str">
        <f>IFERROR(__xludf.DUMMYFUNCTION("CONCATENATE(GOOGLETRANSLATE(C1230, ""en"", ""zh-cn""))
"),"DOROSE 女式正装休闲蕾丝花卉长袖衬衫")</f>
        <v>DOROSE 女式正装休闲蕾丝花卉长袖衬衫</v>
      </c>
      <c r="E1230" s="1" t="str">
        <f>IFERROR(__xludf.DUMMYFUNCTION("CONCATENATE(GOOGLETRANSLATE(C1230, ""en"", ""ko""))"),"DOROSE 여성 드레시 캐주얼 레이스 꽃무늬 긴팔 셔츠")</f>
        <v>DOROSE 여성 드레시 캐주얼 레이스 꽃무늬 긴팔 셔츠</v>
      </c>
      <c r="F1230" s="1" t="str">
        <f>IFERROR(__xludf.DUMMYFUNCTION("CONCATENATE(GOOGLETRANSLATE(C1230, ""en"", ""ja""))"),"DOROSE レディース ドレッシー カジュアル レース 花柄 長袖シャツ")</f>
        <v>DOROSE レディース ドレッシー カジュアル レース 花柄 長袖シャツ</v>
      </c>
    </row>
    <row r="1231" ht="15.75" customHeight="1">
      <c r="A1231" s="1">
        <v>5732.0</v>
      </c>
      <c r="B1231" s="1" t="s">
        <v>6</v>
      </c>
      <c r="C1231" s="1" t="s">
        <v>1131</v>
      </c>
      <c r="D1231" s="1" t="str">
        <f>IFERROR(__xludf.DUMMYFUNCTION("CONCATENATE(GOOGLETRANSLATE(C1231, ""en"", ""zh-cn""))
"),"女式飘逸蕾丝下摆圆领短袖上衣")</f>
        <v>女式飘逸蕾丝下摆圆领短袖上衣</v>
      </c>
      <c r="E1231" s="1" t="str">
        <f>IFERROR(__xludf.DUMMYFUNCTION("CONCATENATE(GOOGLETRANSLATE(C1231, ""en"", ""ko""))"),"여성용 하늘거리는 레이스 밑단 크루넥 반팔 탑")</f>
        <v>여성용 하늘거리는 레이스 밑단 크루넥 반팔 탑</v>
      </c>
      <c r="F1231" s="1" t="str">
        <f>IFERROR(__xludf.DUMMYFUNCTION("CONCATENATE(GOOGLETRANSLATE(C1231, ""en"", ""ja""))"),"レディース Flowy レースヘム クルーネック 半袖トップ")</f>
        <v>レディース Flowy レースヘム クルーネック 半袖トップ</v>
      </c>
    </row>
    <row r="1232" ht="15.75" customHeight="1">
      <c r="A1232" s="1">
        <v>5766.0</v>
      </c>
      <c r="B1232" s="1" t="s">
        <v>6</v>
      </c>
      <c r="C1232" s="1" t="s">
        <v>1132</v>
      </c>
      <c r="D1232" s="1" t="str">
        <f>IFERROR(__xludf.DUMMYFUNCTION("CONCATENATE(GOOGLETRANSLATE(C1232, ""en"", ""zh-cn""))
"),"Azaro Uomo 男式修身长袖几何纽扣衬衫")</f>
        <v>Azaro Uomo 男式修身长袖几何纽扣衬衫</v>
      </c>
      <c r="E1232" s="1" t="str">
        <f>IFERROR(__xludf.DUMMYFUNCTION("CONCATENATE(GOOGLETRANSLATE(C1232, ""en"", ""ko""))"),"Azaro Uomo 남성 슬림핏 긴 소매 기하학 버튼다운 셔츠")</f>
        <v>Azaro Uomo 남성 슬림핏 긴 소매 기하학 버튼다운 셔츠</v>
      </c>
      <c r="F1232" s="1" t="str">
        <f>IFERROR(__xludf.DUMMYFUNCTION("CONCATENATE(GOOGLETRANSLATE(C1232, ""en"", ""ja""))"),"Azaro Uomo メンズ スリムフィット 長袖 幾何学模様 ボタンダウン シャツ")</f>
        <v>Azaro Uomo メンズ スリムフィット 長袖 幾何学模様 ボタンダウン シャツ</v>
      </c>
    </row>
    <row r="1233" ht="15.75" customHeight="1">
      <c r="A1233" s="1">
        <v>5771.0</v>
      </c>
      <c r="B1233" s="1" t="s">
        <v>6</v>
      </c>
      <c r="C1233" s="1" t="s">
        <v>1133</v>
      </c>
      <c r="D1233" s="1" t="str">
        <f>IFERROR(__xludf.DUMMYFUNCTION("CONCATENATE(GOOGLETRANSLATE(C1233, ""en"", ""zh-cn""))
"),"2022 男士设计师品牌男士衬衫 时尚长款")</f>
        <v>2022 男士设计师品牌男士衬衫 时尚长款</v>
      </c>
      <c r="E1233" s="1" t="str">
        <f>IFERROR(__xludf.DUMMYFUNCTION("CONCATENATE(GOOGLETRANSLATE(C1233, ""en"", ""ko""))"),"2022 남성 디자이너 셔츠 남성용 웨어러블 의류 패션 롱")</f>
        <v>2022 남성 디자이너 셔츠 남성용 웨어러블 의류 패션 롱</v>
      </c>
      <c r="F1233" s="1" t="str">
        <f>IFERROR(__xludf.DUMMYFUNCTION("CONCATENATE(GOOGLETRANSLATE(C1233, ""en"", ""ja""))"),"2022 メンズデザイナーシャツ男性ウェアラブル服ファッションロング")</f>
        <v>2022 メンズデザイナーシャツ男性ウェアラブル服ファッションロング</v>
      </c>
    </row>
    <row r="1234" ht="15.75" customHeight="1">
      <c r="A1234" s="1">
        <v>5779.0</v>
      </c>
      <c r="B1234" s="1" t="s">
        <v>6</v>
      </c>
      <c r="C1234" s="1" t="s">
        <v>1134</v>
      </c>
      <c r="D1234" s="1" t="str">
        <f>IFERROR(__xludf.DUMMYFUNCTION("CONCATENATE(GOOGLETRANSLATE(C1234, ""en"", ""zh-cn""))
"),"Michael Kors 男士连帽背带式呼吸管派克大衣")</f>
        <v>Michael Kors 男士连帽背带式呼吸管派克大衣</v>
      </c>
      <c r="E1234" s="1" t="str">
        <f>IFERROR(__xludf.DUMMYFUNCTION("CONCATENATE(GOOGLETRANSLATE(C1234, ""en"", ""ko""))"),"Michael Kors 남성용 후드 턱받이 스노클 파카")</f>
        <v>Michael Kors 남성용 후드 턱받이 스노클 파카</v>
      </c>
      <c r="F1234" s="1" t="str">
        <f>IFERROR(__xludf.DUMMYFUNCTION("CONCATENATE(GOOGLETRANSLATE(C1234, ""en"", ""ja""))"),"Michael Kors メンズ フード付きビブ シュノーケル パーカー")</f>
        <v>Michael Kors メンズ フード付きビブ シュノーケル パーカー</v>
      </c>
    </row>
    <row r="1235" ht="15.75" customHeight="1">
      <c r="A1235" s="1">
        <v>5783.0</v>
      </c>
      <c r="B1235" s="1" t="s">
        <v>6</v>
      </c>
      <c r="C1235" s="1" t="s">
        <v>1135</v>
      </c>
      <c r="D1235" s="1" t="str">
        <f>IFERROR(__xludf.DUMMYFUNCTION("CONCATENATE(GOOGLETRANSLATE(C1235, ""en"", ""zh-cn""))
"),"男士宽松厚重棉质 T 恤")</f>
        <v>男士宽松厚重棉质 T 恤</v>
      </c>
      <c r="E1235" s="1" t="str">
        <f>IFERROR(__xludf.DUMMYFUNCTION("CONCATENATE(GOOGLETRANSLATE(C1235, ""en"", ""ko""))"),"남성용 루즈핏 헤비 코튼 티셔츠")</f>
        <v>남성용 루즈핏 헤비 코튼 티셔츠</v>
      </c>
      <c r="F1235" s="1" t="str">
        <f>IFERROR(__xludf.DUMMYFUNCTION("CONCATENATE(GOOGLETRANSLATE(C1235, ""en"", ""ja""))"),"メンズ ルーズフィット ヘビーコットン Tシャツ")</f>
        <v>メンズ ルーズフィット ヘビーコットン Tシャツ</v>
      </c>
    </row>
    <row r="1236" ht="15.75" customHeight="1">
      <c r="A1236" s="1">
        <v>5822.0</v>
      </c>
      <c r="B1236" s="1" t="s">
        <v>6</v>
      </c>
      <c r="C1236" s="1" t="s">
        <v>1136</v>
      </c>
      <c r="D1236" s="1" t="str">
        <f>IFERROR(__xludf.DUMMYFUNCTION("CONCATENATE(GOOGLETRANSLATE(C1236, ""en"", ""zh-cn""))
"),"荣耀 Model O 2 有线游戏鼠标")</f>
        <v>荣耀 Model O 2 有线游戏鼠标</v>
      </c>
      <c r="E1236" s="1" t="str">
        <f>IFERROR(__xludf.DUMMYFUNCTION("CONCATENATE(GOOGLETRANSLATE(C1236, ""en"", ""ko""))"),"Glorious Model O 2 유선 게이밍 마우스")</f>
        <v>Glorious Model O 2 유선 게이밍 마우스</v>
      </c>
      <c r="F1236" s="1" t="str">
        <f>IFERROR(__xludf.DUMMYFUNCTION("CONCATENATE(GOOGLETRANSLATE(C1236, ""en"", ""ja""))"),"Glorious Model O 2 有線ゲーミングマウス")</f>
        <v>Glorious Model O 2 有線ゲーミングマウス</v>
      </c>
    </row>
    <row r="1237" ht="15.75" customHeight="1">
      <c r="A1237" s="1">
        <v>5829.0</v>
      </c>
      <c r="B1237" s="1" t="s">
        <v>6</v>
      </c>
      <c r="C1237" s="1" t="s">
        <v>1137</v>
      </c>
      <c r="D1237" s="1" t="str">
        <f>IFERROR(__xludf.DUMMYFUNCTION("CONCATENATE(GOOGLETRANSLATE(C1237, ""en"", ""zh-cn""))
"),"Silverstone Technology GD07B 家庭影院电脑机箱带锁铝制F")</f>
        <v>Silverstone Technology GD07B 家庭影院电脑机箱带锁铝制F</v>
      </c>
      <c r="E1237" s="1" t="str">
        <f>IFERROR(__xludf.DUMMYFUNCTION("CONCATENATE(GOOGLETRANSLATE(C1237, ""en"", ""ko""))"),"Silverstone Technology GD07B 홈 시어터 컴퓨터 케이스(잠금 가능 알루미늄 F 포함)")</f>
        <v>Silverstone Technology GD07B 홈 시어터 컴퓨터 케이스(잠금 가능 알루미늄 F 포함)</v>
      </c>
      <c r="F1237" s="1" t="str">
        <f>IFERROR(__xludf.DUMMYFUNCTION("CONCATENATE(GOOGLETRANSLATE(C1237, ""en"", ""ja""))"),"Silverstone Technology GD07B ホームシアター コンピュータ ケース ロック可能なアルミニウム F 付き")</f>
        <v>Silverstone Technology GD07B ホームシアター コンピュータ ケース ロック可能なアルミニウム F 付き</v>
      </c>
    </row>
    <row r="1238" ht="15.75" customHeight="1">
      <c r="A1238" s="1">
        <v>5842.0</v>
      </c>
      <c r="B1238" s="1" t="s">
        <v>6</v>
      </c>
      <c r="C1238" s="1" t="s">
        <v>1138</v>
      </c>
      <c r="D1238" s="1" t="str">
        <f>IFERROR(__xludf.DUMMYFUNCTION("CONCATENATE(GOOGLETRANSLATE(C1238, ""en"", ""zh-cn""))
"),"罗技 MX Keys S 无线键盘")</f>
        <v>罗技 MX Keys S 无线键盘</v>
      </c>
      <c r="E1238" s="1" t="str">
        <f>IFERROR(__xludf.DUMMYFUNCTION("CONCATENATE(GOOGLETRANSLATE(C1238, ""en"", ""ko""))"),"로지텍 MX Keys S 무선 키보드")</f>
        <v>로지텍 MX Keys S 무선 키보드</v>
      </c>
      <c r="F1238" s="1" t="str">
        <f>IFERROR(__xludf.DUMMYFUNCTION("CONCATENATE(GOOGLETRANSLATE(C1238, ""en"", ""ja""))"),"ロジクール MX Keys S ワイヤレス キーボード")</f>
        <v>ロジクール MX Keys S ワイヤレス キーボード</v>
      </c>
    </row>
    <row r="1239" ht="15.75" customHeight="1">
      <c r="A1239" s="1">
        <v>5847.0</v>
      </c>
      <c r="B1239" s="1" t="s">
        <v>6</v>
      </c>
      <c r="C1239" s="1" t="s">
        <v>1139</v>
      </c>
      <c r="D1239" s="1" t="str">
        <f>IFERROR(__xludf.DUMMYFUNCTION("CONCATENATE(GOOGLETRANSLATE(C1239, ""en"", ""zh-cn""))
"),"戴尔坞站 WD19S 130W 14CN6 210-AZBG")</f>
        <v>戴尔坞站 WD19S 130W 14CN6 210-AZBG</v>
      </c>
      <c r="E1239" s="1" t="str">
        <f>IFERROR(__xludf.DUMMYFUNCTION("CONCATENATE(GOOGLETRANSLATE(C1239, ""en"", ""ko""))"),"델 도크 WD19S 130W 14CN6 210-AZBG")</f>
        <v>델 도크 WD19S 130W 14CN6 210-AZBG</v>
      </c>
      <c r="F1239" s="1" t="str">
        <f>IFERROR(__xludf.DUMMYFUNCTION("CONCATENATE(GOOGLETRANSLATE(C1239, ""en"", ""ja""))"),"デル ドック WD19S 130W 14CN6 210-AZBG")</f>
        <v>デル ドック WD19S 130W 14CN6 210-AZBG</v>
      </c>
    </row>
    <row r="1240" ht="15.75" customHeight="1">
      <c r="A1240" s="1">
        <v>5851.0</v>
      </c>
      <c r="B1240" s="1" t="s">
        <v>6</v>
      </c>
      <c r="C1240" s="1" t="s">
        <v>1140</v>
      </c>
      <c r="D1240" s="1" t="str">
        <f>IFERROR(__xludf.DUMMYFUNCTION("CONCATENATE(GOOGLETRANSLATE(C1240, ""en"", ""zh-cn""))
"),"USB 光纤有线电脑鼠标")</f>
        <v>USB 光纤有线电脑鼠标</v>
      </c>
      <c r="E1240" s="1" t="str">
        <f>IFERROR(__xludf.DUMMYFUNCTION("CONCATENATE(GOOGLETRANSLATE(C1240, ""en"", ""ko""))"),"USB 광 유선 컴퓨터 마우스")</f>
        <v>USB 광 유선 컴퓨터 마우스</v>
      </c>
      <c r="F1240" s="1" t="str">
        <f>IFERROR(__xludf.DUMMYFUNCTION("CONCATENATE(GOOGLETRANSLATE(C1240, ""en"", ""ja""))"),"USB光学式有線コンピュータマウス")</f>
        <v>USB光学式有線コンピュータマウス</v>
      </c>
    </row>
    <row r="1241" ht="15.75" customHeight="1">
      <c r="A1241" s="1">
        <v>5867.0</v>
      </c>
      <c r="B1241" s="1" t="s">
        <v>6</v>
      </c>
      <c r="C1241" s="1" t="s">
        <v>1141</v>
      </c>
      <c r="D1241" s="1" t="str">
        <f>IFERROR(__xludf.DUMMYFUNCTION("CONCATENATE(GOOGLETRANSLATE(C1241, ""en"", ""zh-cn""))
"),"Skytech 游戏电脑零件")</f>
        <v>Skytech 游戏电脑零件</v>
      </c>
      <c r="E1241" s="1" t="str">
        <f>IFERROR(__xludf.DUMMYFUNCTION("CONCATENATE(GOOGLETRANSLATE(C1241, ""en"", ""ko""))"),"Skytech 게임용 컴퓨터 부품")</f>
        <v>Skytech 게임용 컴퓨터 부품</v>
      </c>
      <c r="F1241" s="1" t="str">
        <f>IFERROR(__xludf.DUMMYFUNCTION("CONCATENATE(GOOGLETRANSLATE(C1241, ""en"", ""ja""))"),"Skytech ゲーミング コンピューターの部品")</f>
        <v>Skytech ゲーミング コンピューターの部品</v>
      </c>
    </row>
    <row r="1242" ht="15.75" customHeight="1">
      <c r="A1242" s="1">
        <v>5887.0</v>
      </c>
      <c r="B1242" s="1" t="s">
        <v>6</v>
      </c>
      <c r="C1242" s="1" t="s">
        <v>1142</v>
      </c>
      <c r="D1242" s="1" t="str">
        <f>IFERROR(__xludf.DUMMYFUNCTION("CONCATENATE(GOOGLETRANSLATE(C1242, ""en"", ""zh-cn""))
"),"Melissa &amp; Doug 100 块木块套装")</f>
        <v>Melissa &amp; Doug 100 块木块套装</v>
      </c>
      <c r="E1242" s="1" t="str">
        <f>IFERROR(__xludf.DUMMYFUNCTION("CONCATENATE(GOOGLETRANSLATE(C1242, ""en"", ""ko""))"),"Melissa &amp; Doug 100 나무 블록 세트")</f>
        <v>Melissa &amp; Doug 100 나무 블록 세트</v>
      </c>
      <c r="F1242" s="1" t="str">
        <f>IFERROR(__xludf.DUMMYFUNCTION("CONCATENATE(GOOGLETRANSLATE(C1242, ""en"", ""ja""))"),"メリッサ &amp; ダグ 100 ウッドブロックセット")</f>
        <v>メリッサ &amp; ダグ 100 ウッドブロックセット</v>
      </c>
    </row>
    <row r="1243" ht="15.75" customHeight="1">
      <c r="A1243" s="1">
        <v>5893.0</v>
      </c>
      <c r="B1243" s="1" t="s">
        <v>6</v>
      </c>
      <c r="C1243" s="1" t="s">
        <v>1143</v>
      </c>
      <c r="D1243" s="1" t="str">
        <f>IFERROR(__xludf.DUMMYFUNCTION("CONCATENATE(GOOGLETRANSLATE(C1243, ""en"", ""zh-cn""))
"),"Anpcso 儿童玩具适合 2 3 4 5 6 7 岁以上男孩幼儿经典积木套装、恐龙、汽车、人物、拼搭、学习和玩耍、教育互动")</f>
        <v>Anpcso 儿童玩具适合 2 3 4 5 6 7 岁以上男孩幼儿经典积木套装、恐龙、汽车、人物、拼搭、学习和玩耍、教育互动</v>
      </c>
      <c r="E1243" s="1" t="str">
        <f>IFERROR(__xludf.DUMMYFUNCTION("CONCATENATE(GOOGLETRANSLATE(C1243, ""en"", ""ko""))"),"Anpcso 어린이 장난감 2 3 4 5 6 7세 이상 소년 유아 클래식 벽돌 세트, 공룡, 자동차, 피규어, 빌드, 학습 및 놀이, 교육용 대화형")</f>
        <v>Anpcso 어린이 장난감 2 3 4 5 6 7세 이상 소년 유아 클래식 벽돌 세트, 공룡, 자동차, 피규어, 빌드, 학습 및 놀이, 교육용 대화형</v>
      </c>
      <c r="F1243" s="1" t="str">
        <f>IFERROR(__xludf.DUMMYFUNCTION("CONCATENATE(GOOGLETRANSLATE(C1243, ""en"", ""ja""))"),"Anpcso 子供のおもちゃ 2 3 4 5 6 7 歳以上の男の子向け 幼児 クラシック レンガセット 恐竜 車 フィギュア 組み立て 学び遊び 教育インタラクティブ")</f>
        <v>Anpcso 子供のおもちゃ 2 3 4 5 6 7 歳以上の男の子向け 幼児 クラシック レンガセット 恐竜 車 フィギュア 組み立て 学び遊び 教育インタラクティブ</v>
      </c>
    </row>
    <row r="1244" ht="15.75" customHeight="1">
      <c r="A1244" s="1">
        <v>5907.0</v>
      </c>
      <c r="B1244" s="1" t="s">
        <v>6</v>
      </c>
      <c r="C1244" s="1" t="s">
        <v>1144</v>
      </c>
      <c r="D1244" s="1" t="str">
        <f>IFERROR(__xludf.DUMMYFUNCTION("CONCATENATE(GOOGLETRANSLATE(C1244, ""en"", ""zh-cn""))
"),"SYSKENI 56 件装磁性积木幼儿玩具、磁性积木磁铁玩具、适合 3-5 4-8 岁儿童的磁性积木、STEM 感官玩具磁铁")</f>
        <v>SYSKENI 56 件装磁性积木幼儿玩具、磁性积木磁铁玩具、适合 3-5 4-8 岁儿童的磁性积木、STEM 感官玩具磁铁</v>
      </c>
      <c r="E1244" s="1" t="str">
        <f>IFERROR(__xludf.DUMMYFUNCTION("CONCATENATE(GOOGLETRANSLATE(C1244, ""en"", ""ko""))"),"SYSKENI 56PCS 자석 블록 유아 장난감, 자석 빌딩 블록 자석 장난감, 어린이를위한 자석 블록 3-5 4-8 세, STEM 감각 장난감 자석")</f>
        <v>SYSKENI 56PCS 자석 블록 유아 장난감, 자석 빌딩 블록 자석 장난감, 어린이를위한 자석 블록 3-5 4-8 세, STEM 감각 장난감 자석</v>
      </c>
      <c r="F1244" s="1" t="str">
        <f>IFERROR(__xludf.DUMMYFUNCTION("CONCATENATE(GOOGLETRANSLATE(C1244, ""en"", ""ja""))"),"SYSKENI 56PCS 磁気ブロック 幼児用おもちゃ 磁気ビルディングブロック 磁石のおもちゃ 磁気ブロック 3-5 4-8歳の子供向け STEM 感覚玩具 マグネット")</f>
        <v>SYSKENI 56PCS 磁気ブロック 幼児用おもちゃ 磁気ビルディングブロック 磁石のおもちゃ 磁気ブロック 3-5 4-8歳の子供向け STEM 感覚玩具 マグネット</v>
      </c>
    </row>
    <row r="1245" ht="15.75" customHeight="1">
      <c r="A1245" s="1">
        <v>5923.0</v>
      </c>
      <c r="B1245" s="1" t="s">
        <v>6</v>
      </c>
      <c r="C1245" s="1" t="s">
        <v>1145</v>
      </c>
      <c r="D1245" s="1" t="str">
        <f>IFERROR(__xludf.DUMMYFUNCTION("CONCATENATE(GOOGLETRANSLATE(C1245, ""en"", ""zh-cn""))
"),"Pickleball Central Franklin X-40 高性能户外 Pickleball 光学器件 6 件装")</f>
        <v>Pickleball Central Franklin X-40 高性能户外 Pickleball 光学器件 6 件装</v>
      </c>
      <c r="E1245" s="1" t="str">
        <f>IFERROR(__xludf.DUMMYFUNCTION("CONCATENATE(GOOGLETRANSLATE(C1245, ""en"", ""ko""))"),"피클볼 센트럴 프랭클린 X-40 성능 야외 피클볼 옵틱 6팩")</f>
        <v>피클볼 센트럴 프랭클린 X-40 성능 야외 피클볼 옵틱 6팩</v>
      </c>
      <c r="F1245" s="1" t="str">
        <f>IFERROR(__xludf.DUMMYFUNCTION("CONCATENATE(GOOGLETRANSLATE(C1245, ""en"", ""ja""))"),"ピックルボール セントラル フランクリン X-40 パフォーマンス アウトドア ピックルボール オプティック 6 パック")</f>
        <v>ピックルボール セントラル フランクリン X-40 パフォーマンス アウトドア ピックルボール オプティック 6 パック</v>
      </c>
    </row>
    <row r="1246" ht="15.75" customHeight="1">
      <c r="A1246" s="1">
        <v>5936.0</v>
      </c>
      <c r="B1246" s="1" t="s">
        <v>6</v>
      </c>
      <c r="C1246" s="1" t="s">
        <v>1146</v>
      </c>
      <c r="D1246" s="1" t="str">
        <f>IFERROR(__xludf.DUMMYFUNCTION("CONCATENATE(GOOGLETRANSLATE(C1246, ""en"", ""zh-cn""))
"),"Champion Sports PROAGSET 专业敏捷杆套装")</f>
        <v>Champion Sports PROAGSET 专业敏捷杆套装</v>
      </c>
      <c r="E1246" s="1" t="str">
        <f>IFERROR(__xludf.DUMMYFUNCTION("CONCATENATE(GOOGLETRANSLATE(C1246, ""en"", ""ko""))"),"Champion Sports PROAGSET 프로 민첩성 폴 세트")</f>
        <v>Champion Sports PROAGSET 프로 민첩성 폴 세트</v>
      </c>
      <c r="F1246" s="1" t="str">
        <f>IFERROR(__xludf.DUMMYFUNCTION("CONCATENATE(GOOGLETRANSLATE(C1246, ""en"", ""ja""))"),"Champion Sports PROAGSET プロアジリティポールセット")</f>
        <v>Champion Sports PROAGSET プロアジリティポールセット</v>
      </c>
    </row>
    <row r="1247" ht="15.75" customHeight="1">
      <c r="A1247" s="1">
        <v>5946.0</v>
      </c>
      <c r="B1247" s="1" t="s">
        <v>6</v>
      </c>
      <c r="C1247" s="1" t="s">
        <v>1147</v>
      </c>
      <c r="D1247" s="1" t="str">
        <f>IFERROR(__xludf.DUMMYFUNCTION("CONCATENATE(GOOGLETRANSLATE(C1247, ""en"", ""zh-cn""))
"),"Jaypro Sports 终极可调鹅颈户外篮球系统")</f>
        <v>Jaypro Sports 终极可调鹅颈户外篮球系统</v>
      </c>
      <c r="E1247" s="1" t="str">
        <f>IFERROR(__xludf.DUMMYFUNCTION("CONCATENATE(GOOGLETRANSLATE(C1247, ""en"", ""ko""))"),"Jaypro Sports Ultimate 조정 가능한 구즈넥 야외 농구 시스템")</f>
        <v>Jaypro Sports Ultimate 조정 가능한 구즈넥 야외 농구 시스템</v>
      </c>
      <c r="F1247" s="1" t="str">
        <f>IFERROR(__xludf.DUMMYFUNCTION("CONCATENATE(GOOGLETRANSLATE(C1247, ""en"", ""ja""))"),"Jaypro Sports 究極の調節可能なグースネック アウトドア バスケットボール システム")</f>
        <v>Jaypro Sports 究極の調節可能なグースネック アウトドア バスケットボール システム</v>
      </c>
    </row>
    <row r="1248" ht="15.75" customHeight="1">
      <c r="A1248" s="1">
        <v>5979.0</v>
      </c>
      <c r="B1248" s="1" t="s">
        <v>6</v>
      </c>
      <c r="C1248" s="1" t="s">
        <v>1148</v>
      </c>
      <c r="D1248" s="1" t="str">
        <f>IFERROR(__xludf.DUMMYFUNCTION("CONCATENATE(GOOGLETRANSLATE(C1248, ""en"", ""zh-cn""))
"),"标致女士坦克手链手表 Panther Link")</f>
        <v>标致女士坦克手链手表 Panther Link</v>
      </c>
      <c r="E1248" s="1" t="str">
        <f>IFERROR(__xludf.DUMMYFUNCTION("CONCATENATE(GOOGLETRANSLATE(C1248, ""en"", ""ko""))"),"푸조 여성용 탱크 팔찌 시계 Panther Link")</f>
        <v>푸조 여성용 탱크 팔찌 시계 Panther Link</v>
      </c>
      <c r="F1248" s="1" t="str">
        <f>IFERROR(__xludf.DUMMYFUNCTION("CONCATENATE(GOOGLETRANSLATE(C1248, ""en"", ""ja""))"),"プジョー レディース タンク ブレスレット ウォッチ パンサー リンク")</f>
        <v>プジョー レディース タンク ブレスレット ウォッチ パンサー リンク</v>
      </c>
    </row>
    <row r="1249" ht="15.75" customHeight="1">
      <c r="A1249" s="1">
        <v>5980.0</v>
      </c>
      <c r="B1249" s="1" t="s">
        <v>6</v>
      </c>
      <c r="C1249" s="1" t="s">
        <v>1149</v>
      </c>
      <c r="D1249" s="1" t="str">
        <f>IFERROR(__xludf.DUMMYFUNCTION("CONCATENATE(GOOGLETRANSLATE(C1249, ""en"", ""zh-cn""))
"),"女士施华洛世奇 Dextera 手镯手表")</f>
        <v>女士施华洛世奇 Dextera 手镯手表</v>
      </c>
      <c r="E1249" s="1" t="str">
        <f>IFERROR(__xludf.DUMMYFUNCTION("CONCATENATE(GOOGLETRANSLATE(C1249, ""en"", ""ko""))"),"여성 스와로브스키 Dextera 뱅글 시계")</f>
        <v>여성 스와로브스키 Dextera 뱅글 시계</v>
      </c>
      <c r="F1249" s="1" t="str">
        <f>IFERROR(__xludf.DUMMYFUNCTION("CONCATENATE(GOOGLETRANSLATE(C1249, ""en"", ""ja""))"),"女性スワロフスキー デクステラ バングル ウォッチ")</f>
        <v>女性スワロフスキー デクステラ バングル ウォッチ</v>
      </c>
    </row>
    <row r="1250" ht="15.75" customHeight="1">
      <c r="A1250" s="1">
        <v>6007.0</v>
      </c>
      <c r="B1250" s="1" t="s">
        <v>6</v>
      </c>
      <c r="C1250" s="1" t="s">
        <v>1150</v>
      </c>
      <c r="D1250" s="1" t="str">
        <f>IFERROR(__xludf.DUMMYFUNCTION("CONCATENATE(GOOGLETRANSLATE(C1250, ""en"", ""zh-cn""))
"),"PopSockets 梦幻心形手机握把")</f>
        <v>PopSockets 梦幻心形手机握把</v>
      </c>
      <c r="E1250" s="1" t="str">
        <f>IFERROR(__xludf.DUMMYFUNCTION("CONCATENATE(GOOGLETRANSLATE(C1250, ""en"", ""ko""))"),"PopSockets 드리미 하트 폰 그립")</f>
        <v>PopSockets 드리미 하트 폰 그립</v>
      </c>
      <c r="F1250" s="1" t="str">
        <f>IFERROR(__xludf.DUMMYFUNCTION("CONCATENATE(GOOGLETRANSLATE(C1250, ""en"", ""ja""))"),"ポップソケッツ ドリーミー ハート フォン グリップ")</f>
        <v>ポップソケッツ ドリーミー ハート フォン グリップ</v>
      </c>
    </row>
    <row r="1251" ht="15.75" customHeight="1">
      <c r="A1251" s="1">
        <v>6014.0</v>
      </c>
      <c r="B1251" s="1" t="s">
        <v>6</v>
      </c>
      <c r="C1251" s="1" t="s">
        <v>1151</v>
      </c>
      <c r="D1251" s="1" t="str">
        <f>IFERROR(__xludf.DUMMYFUNCTION("CONCATENATE(GOOGLETRANSLATE(C1251, ""en"", ""zh-cn""))
"),"水晶手机支架，手机支架，水晶手机握把，水晶手机支架，手机配件，手机配件，4.5 厘米宽x 3.5 厘米长")</f>
        <v>水晶手机支架，手机支架，水晶手机握把，水晶手机支架，手机配件，手机配件，4.5 厘米宽x 3.5 厘米长</v>
      </c>
      <c r="E1251" s="1" t="str">
        <f>IFERROR(__xludf.DUMMYFUNCTION("CONCATENATE(GOOGLETRANSLATE(C1251, ""en"", ""ko""))"),"크리스탈 휴대폰 홀더, 휴대폰 홀더, 크리스탈 휴대폰 그립, 크리스탈 휴대폰 홀더, 모바일 액세서리, 휴대폰 액세서리, 4.5cmWx3.5cmL")</f>
        <v>크리스탈 휴대폰 홀더, 휴대폰 홀더, 크리스탈 휴대폰 그립, 크리스탈 휴대폰 홀더, 모바일 액세서리, 휴대폰 액세서리, 4.5cmWx3.5cmL</v>
      </c>
      <c r="F1251" s="1" t="str">
        <f>IFERROR(__xludf.DUMMYFUNCTION("CONCATENATE(GOOGLETRANSLATE(C1251, ""en"", ""ja""))"),"クリスタル携帯電話ホルダー、電話ホルダー、クリスタル電話グリップ、クリスタル電話ホルダー、モバイルアクセサリー、電話アクセサリー、4.5cmWx3.5cmL")</f>
        <v>クリスタル携帯電話ホルダー、電話ホルダー、クリスタル電話グリップ、クリスタル電話ホルダー、モバイルアクセサリー、電話アクセサリー、4.5cmWx3.5cmL</v>
      </c>
    </row>
    <row r="1252" ht="15.75" customHeight="1">
      <c r="A1252" s="1">
        <v>6038.0</v>
      </c>
      <c r="B1252" s="1" t="s">
        <v>6</v>
      </c>
      <c r="C1252" s="1" t="s">
        <v>1152</v>
      </c>
      <c r="D1252" s="1" t="str">
        <f>IFERROR(__xludf.DUMMYFUNCTION("CONCATENATE(GOOGLETRANSLATE(C1252, ""en"", ""zh-cn""))
"),"HADEN 传统台面微波炉")</f>
        <v>HADEN 传统台面微波炉</v>
      </c>
      <c r="E1252" s="1" t="str">
        <f>IFERROR(__xludf.DUMMYFUNCTION("CONCATENATE(GOOGLETRANSLATE(C1252, ""en"", ""ko""))"),"HADEN 헤리티지 조리대 전자레인지")</f>
        <v>HADEN 헤리티지 조리대 전자레인지</v>
      </c>
      <c r="F1252" s="1" t="str">
        <f>IFERROR(__xludf.DUMMYFUNCTION("CONCATENATE(GOOGLETRANSLATE(C1252, ""en"", ""ja""))"),"HADEN Heritage カウンタートップ電子レンジ")</f>
        <v>HADEN Heritage カウンタートップ電子レンジ</v>
      </c>
    </row>
    <row r="1253" ht="15.75" customHeight="1">
      <c r="A1253" s="1">
        <v>6062.0</v>
      </c>
      <c r="B1253" s="1" t="s">
        <v>6</v>
      </c>
      <c r="C1253" s="1" t="s">
        <v>1153</v>
      </c>
      <c r="D1253" s="1" t="str">
        <f>IFERROR(__xludf.DUMMYFUNCTION("CONCATENATE(GOOGLETRANSLATE(C1253, ""en"", ""zh-cn""))
"),"26 铜。英尺。 36标准深度并排冰箱")</f>
        <v>26 铜。英尺。 36标准深度并排冰箱</v>
      </c>
      <c r="E1253" s="1" t="str">
        <f>IFERROR(__xludf.DUMMYFUNCTION("CONCATENATE(GOOGLETRANSLATE(C1253, ""en"", ""ko""))"),"26큐. 포트. 36 표준 깊이 병렬 냉장고")</f>
        <v>26큐. 포트. 36 표준 깊이 병렬 냉장고</v>
      </c>
      <c r="F1253" s="1" t="str">
        <f>IFERROR(__xludf.DUMMYFUNCTION("CONCATENATE(GOOGLETRANSLATE(C1253, ""en"", ""ja""))"),"26銅。フォート標準深さ36型サイドバイサイド冷蔵庫")</f>
        <v>26銅。フォート標準深さ36型サイドバイサイド冷蔵庫</v>
      </c>
    </row>
    <row r="1254" ht="15.75" customHeight="1">
      <c r="A1254" s="1">
        <v>6071.0</v>
      </c>
      <c r="B1254" s="1" t="s">
        <v>6</v>
      </c>
      <c r="C1254" s="1" t="s">
        <v>1154</v>
      </c>
      <c r="D1254" s="1" t="str">
        <f>IFERROR(__xludf.DUMMYFUNCTION("CONCATENATE(GOOGLETRANSLATE(C1254, ""en"", ""zh-cn""))
"),"敏卡艾尔光波 LED 吊扇 F845")</f>
        <v>敏卡艾尔光波 LED 吊扇 F845</v>
      </c>
      <c r="E1254" s="1" t="str">
        <f>IFERROR(__xludf.DUMMYFUNCTION("CONCATENATE(GOOGLETRANSLATE(C1254, ""en"", ""ko""))"),"Minka Aire 라이트 웨이브 LED 천장 팬 F845")</f>
        <v>Minka Aire 라이트 웨이브 LED 천장 팬 F845</v>
      </c>
      <c r="F1254" s="1" t="str">
        <f>IFERROR(__xludf.DUMMYFUNCTION("CONCATENATE(GOOGLETRANSLATE(C1254, ""en"", ""ja""))"),"ミンカアイレ ライトウェーブLEDシーリングファン F845")</f>
        <v>ミンカアイレ ライトウェーブLEDシーリングファン F845</v>
      </c>
    </row>
    <row r="1255" ht="15.75" customHeight="1">
      <c r="A1255" s="1">
        <v>6084.0</v>
      </c>
      <c r="B1255" s="1" t="s">
        <v>6</v>
      </c>
      <c r="C1255" s="1" t="s">
        <v>1155</v>
      </c>
      <c r="D1255" s="1" t="str">
        <f>IFERROR(__xludf.DUMMYFUNCTION("CONCATENATE(GOOGLETRANSLATE(C1255, ""en"", ""zh-cn""))
"),"埃文亚历山大修饰我的头发修复系统")</f>
        <v>埃文亚历山大修饰我的头发修复系统</v>
      </c>
      <c r="E1255" s="1" t="str">
        <f>IFERROR(__xludf.DUMMYFUNCTION("CONCATENATE(GOOGLETRANSLATE(C1255, ""en"", ""ko""))"),"에반 알렉산더 그루밍 마이 헤어 리페어 시스템")</f>
        <v>에반 알렉산더 그루밍 마이 헤어 리페어 시스템</v>
      </c>
      <c r="F1255" s="1" t="str">
        <f>IFERROR(__xludf.DUMMYFUNCTION("CONCATENATE(GOOGLETRANSLATE(C1255, ""en"", ""ja""))"),"エヴァン アレクサンダー グルーミング マイ ヘアリペア システム")</f>
        <v>エヴァン アレクサンダー グルーミング マイ ヘアリペア システム</v>
      </c>
    </row>
    <row r="1256" ht="15.75" customHeight="1">
      <c r="A1256" s="1">
        <v>6086.0</v>
      </c>
      <c r="B1256" s="1" t="s">
        <v>6</v>
      </c>
      <c r="C1256" s="1" t="s">
        <v>1156</v>
      </c>
      <c r="D1256" s="1" t="str">
        <f>IFERROR(__xludf.DUMMYFUNCTION("CONCATENATE(GOOGLETRANSLATE(C1256, ""en"", ""zh-cn""))
"),"她的三重威胁系统护发套装")</f>
        <v>她的三重威胁系统护发套装</v>
      </c>
      <c r="E1256" s="1" t="str">
        <f>IFERROR(__xludf.DUMMYFUNCTION("CONCATENATE(GOOGLETRANSLATE(C1256, ""en"", ""ko""))"),"Hers Triple Threat System 헤어 케어 키트")</f>
        <v>Hers Triple Threat System 헤어 케어 키트</v>
      </c>
      <c r="F1256" s="1" t="str">
        <f>IFERROR(__xludf.DUMMYFUNCTION("CONCATENATE(GOOGLETRANSLATE(C1256, ""en"", ""ja""))"),"Hers トリプル スレット システム ヘアケア キット")</f>
        <v>Hers トリプル スレット システム ヘアケア キット</v>
      </c>
    </row>
    <row r="1257" ht="15.75" customHeight="1">
      <c r="A1257" s="1">
        <v>6103.0</v>
      </c>
      <c r="B1257" s="1" t="s">
        <v>6</v>
      </c>
      <c r="C1257" s="1" t="s">
        <v>1157</v>
      </c>
      <c r="D1257" s="1" t="str">
        <f>IFERROR(__xludf.DUMMYFUNCTION("CONCATENATE(GOOGLETRANSLATE(C1257, ""en"", ""zh-cn""))
"),"HAIRtamin 高级配方")</f>
        <v>HAIRtamin 高级配方</v>
      </c>
      <c r="E1257" s="1" t="str">
        <f>IFERROR(__xludf.DUMMYFUNCTION("CONCATENATE(GOOGLETRANSLATE(C1257, ""en"", ""ko""))"),"헤어타민 어드밴스드 포뮬러")</f>
        <v>헤어타민 어드밴스드 포뮬러</v>
      </c>
      <c r="F1257" s="1" t="str">
        <f>IFERROR(__xludf.DUMMYFUNCTION("CONCATENATE(GOOGLETRANSLATE(C1257, ""en"", ""ja""))"),"ヘアタミン アドバンスト フォーミュラ")</f>
        <v>ヘアタミン アドバンスト フォーミュラ</v>
      </c>
    </row>
    <row r="1258" ht="15.75" customHeight="1">
      <c r="A1258" s="1">
        <v>6107.0</v>
      </c>
      <c r="B1258" s="1" t="s">
        <v>6</v>
      </c>
      <c r="C1258" s="1" t="s">
        <v>1158</v>
      </c>
      <c r="D1258" s="1" t="str">
        <f>IFERROR(__xludf.DUMMYFUNCTION("CONCATENATE(GOOGLETRANSLATE(C1258, ""en"", ""zh-cn""))
"),"慈善与爱心 阿育吠陀芳香疗法 头发和皮肤护理")</f>
        <v>慈善与爱心 阿育吠陀芳香疗法 头发和皮肤护理</v>
      </c>
      <c r="E1258" s="1" t="str">
        <f>IFERROR(__xludf.DUMMYFUNCTION("CONCATENATE(GOOGLETRANSLATE(C1258, ""en"", ""ko""))"),"자선 &amp; 사랑 아유르베다 아로마테라피 헤어 &amp; 스킨 케어")</f>
        <v>자선 &amp; 사랑 아유르베다 아로마테라피 헤어 &amp; 스킨 케어</v>
      </c>
      <c r="F1258" s="1" t="str">
        <f>IFERROR(__xludf.DUMMYFUNCTION("CONCATENATE(GOOGLETRANSLATE(C1258, ""en"", ""ja""))"),"チャリティー＆ラブ アーユルヴェーダ アロマセラピー ヘア＆スキンケア")</f>
        <v>チャリティー＆ラブ アーユルヴェーダ アロマセラピー ヘア＆スキンケア</v>
      </c>
    </row>
    <row r="1259" ht="15.75" customHeight="1">
      <c r="A1259" s="1">
        <v>6114.0</v>
      </c>
      <c r="B1259" s="1" t="s">
        <v>6</v>
      </c>
      <c r="C1259" s="1" t="s">
        <v>1159</v>
      </c>
      <c r="D1259" s="1" t="str">
        <f>IFERROR(__xludf.DUMMYFUNCTION("CONCATENATE(GOOGLETRANSLATE(C1259, ""en"", ""zh-cn""))
"),"John Frieda ULTRA 填充剂 + 增稠洗发水")</f>
        <v>John Frieda ULTRA 填充剂 + 增稠洗发水</v>
      </c>
      <c r="E1259" s="1" t="str">
        <f>IFERROR(__xludf.DUMMYFUNCTION("CONCATENATE(GOOGLETRANSLATE(C1259, ""en"", ""ko""))"),"존 프리다 울트라 필러+ 씨크닝 샴푸")</f>
        <v>존 프리다 울트라 필러+ 씨크닝 샴푸</v>
      </c>
      <c r="F1259" s="1" t="str">
        <f>IFERROR(__xludf.DUMMYFUNCTION("CONCATENATE(GOOGLETRANSLATE(C1259, ""en"", ""ja""))"),"ジョン フリーダ ウルトラ フィラー+ シックニング シャンプー")</f>
        <v>ジョン フリーダ ウルトラ フィラー+ シックニング シャンプー</v>
      </c>
    </row>
    <row r="1260" ht="15.75" customHeight="1">
      <c r="A1260" s="1">
        <v>6123.0</v>
      </c>
      <c r="B1260" s="1" t="s">
        <v>6</v>
      </c>
      <c r="C1260" s="1" t="s">
        <v>1160</v>
      </c>
      <c r="D1260" s="1" t="str">
        <f>IFERROR(__xludf.DUMMYFUNCTION("CONCATENATE(GOOGLETRANSLATE(C1260, ""en"", ""zh-cn""))
"),"女性头发维生素，超强 5000 微克生物素、胶原蛋白、巴巴和")</f>
        <v>女性头发维生素，超强 5000 微克生物素、胶原蛋白、巴巴和</v>
      </c>
      <c r="E1260" s="1" t="str">
        <f>IFERROR(__xludf.DUMMYFUNCTION("CONCATENATE(GOOGLETRANSLATE(C1260, ""en"", ""ko""))"),"모발 비타민 여성, 초강력 5000mcg 비오틴, 콜라겐, 파바 &amp;")</f>
        <v>모발 비타민 여성, 초강력 5000mcg 비오틴, 콜라겐, 파바 &amp;</v>
      </c>
      <c r="F1260" s="1" t="str">
        <f>IFERROR(__xludf.DUMMYFUNCTION("CONCATENATE(GOOGLETRANSLATE(C1260, ""en"", ""ja""))"),"女性の髪のビタミン、超強力 5000mcg ビオチン、コラーゲン、パバ &amp;")</f>
        <v>女性の髪のビタミン、超強力 5000mcg ビオチン、コラーゲン、パバ &amp;</v>
      </c>
    </row>
    <row r="1261" ht="15.75" customHeight="1">
      <c r="A1261" s="1">
        <v>6154.0</v>
      </c>
      <c r="B1261" s="1" t="s">
        <v>6</v>
      </c>
      <c r="C1261" s="1" t="s">
        <v>1161</v>
      </c>
      <c r="D1261" s="1" t="str">
        <f>IFERROR(__xludf.DUMMYFUNCTION("CONCATENATE(GOOGLETRANSLATE(C1261, ""en"", ""zh-cn""))
"),"我，我自己，以及为什么：寻找自我的科学")</f>
        <v>我，我自己，以及为什么：寻找自我的科学</v>
      </c>
      <c r="E1261" s="1" t="str">
        <f>IFERROR(__xludf.DUMMYFUNCTION("CONCATENATE(GOOGLETRANSLATE(C1261, ""en"", ""ko""))"),"나, 나 자신, 그리고 왜: 자기 과학을 찾아서")</f>
        <v>나, 나 자신, 그리고 왜: 자기 과학을 찾아서</v>
      </c>
      <c r="F1261" s="1" t="str">
        <f>IFERROR(__xludf.DUMMYFUNCTION("CONCATENATE(GOOGLETRANSLATE(C1261, ""en"", ""ja""))"),"私、私自身、そしてなぜ: 自己の科学の探求")</f>
        <v>私、私自身、そしてなぜ: 自己の科学の探求</v>
      </c>
    </row>
    <row r="1262" ht="15.75" customHeight="1">
      <c r="A1262" s="1">
        <v>6156.0</v>
      </c>
      <c r="B1262" s="1" t="s">
        <v>6</v>
      </c>
      <c r="C1262" s="1" t="s">
        <v>1162</v>
      </c>
      <c r="D1262" s="1" t="str">
        <f>IFERROR(__xludf.DUMMYFUNCTION("CONCATENATE(GOOGLETRANSLATE(C1262, ""en"", ""zh-cn""))
"),"维兰德 [电子书]")</f>
        <v>维兰德 [电子书]</v>
      </c>
      <c r="E1262" s="1" t="str">
        <f>IFERROR(__xludf.DUMMYFUNCTION("CONCATENATE(GOOGLETRANSLATE(C1262, ""en"", ""ko""))"),"빌란트 [eBook]")</f>
        <v>빌란트 [eBook]</v>
      </c>
      <c r="F1262" s="1" t="str">
        <f>IFERROR(__xludf.DUMMYFUNCTION("CONCATENATE(GOOGLETRANSLATE(C1262, ""en"", ""ja""))"),"ヴィーランド [電子書籍]")</f>
        <v>ヴィーランド [電子書籍]</v>
      </c>
    </row>
    <row r="1263" ht="15.75" customHeight="1">
      <c r="A1263" s="1">
        <v>6183.0</v>
      </c>
      <c r="B1263" s="1" t="s">
        <v>6</v>
      </c>
      <c r="C1263" s="1" t="s">
        <v>1163</v>
      </c>
      <c r="D1263" s="1" t="str">
        <f>IFERROR(__xludf.DUMMYFUNCTION("CONCATENATE(GOOGLETRANSLATE(C1263, ""en"", ""zh-cn""))
"),"年轻的蒙戈 [电子书]")</f>
        <v>年轻的蒙戈 [电子书]</v>
      </c>
      <c r="E1263" s="1" t="str">
        <f>IFERROR(__xludf.DUMMYFUNCTION("CONCATENATE(GOOGLETRANSLATE(C1263, ""en"", ""ko""))"),"영 문고 [eBook]")</f>
        <v>영 문고 [eBook]</v>
      </c>
      <c r="F1263" s="1" t="str">
        <f>IFERROR(__xludf.DUMMYFUNCTION("CONCATENATE(GOOGLETRANSLATE(C1263, ""en"", ""ja""))"),"ヤング・マンゴ [電子書籍]")</f>
        <v>ヤング・マンゴ [電子書籍]</v>
      </c>
    </row>
    <row r="1264" ht="15.75" customHeight="1">
      <c r="A1264" s="1">
        <v>6226.0</v>
      </c>
      <c r="B1264" s="1" t="s">
        <v>6</v>
      </c>
      <c r="C1264" s="1" t="s">
        <v>1164</v>
      </c>
      <c r="D1264" s="1" t="str">
        <f>IFERROR(__xludf.DUMMYFUNCTION("CONCATENATE(GOOGLETRANSLATE(C1264, ""en"", ""zh-cn""))
"),"和我在一起：一本小说 [电子书]")</f>
        <v>和我在一起：一本小说 [电子书]</v>
      </c>
      <c r="E1264" s="1" t="str">
        <f>IFERROR(__xludf.DUMMYFUNCTION("CONCATENATE(GOOGLETRANSLATE(C1264, ""en"", ""ko""))"),"나와 함께 있어주세요: 소설 [eBook]")</f>
        <v>나와 함께 있어주세요: 소설 [eBook]</v>
      </c>
      <c r="F1264" s="1" t="str">
        <f>IFERROR(__xludf.DUMMYFUNCTION("CONCATENATE(GOOGLETRANSLATE(C1264, ""en"", ""ja""))"),"Be with Me: 小説 [電子書籍]")</f>
        <v>Be with Me: 小説 [電子書籍]</v>
      </c>
    </row>
    <row r="1265" ht="15.75" customHeight="1">
      <c r="A1265" s="1">
        <v>6232.0</v>
      </c>
      <c r="B1265" s="1" t="s">
        <v>6</v>
      </c>
      <c r="C1265" s="1" t="s">
        <v>1165</v>
      </c>
      <c r="D1265" s="1" t="str">
        <f>IFERROR(__xludf.DUMMYFUNCTION("CONCATENATE(GOOGLETRANSLATE(C1265, ""en"", ""zh-cn""))
"),"是你！")</f>
        <v>是你！</v>
      </c>
      <c r="E1265" s="1" t="str">
        <f>IFERROR(__xludf.DUMMYFUNCTION("CONCATENATE(GOOGLETRANSLATE(C1265, ""en"", ""ko""))"),"당신이 되세요!")</f>
        <v>당신이 되세요!</v>
      </c>
      <c r="F1265" s="1" t="str">
        <f>IFERROR(__xludf.DUMMYFUNCTION("CONCATENATE(GOOGLETRANSLATE(C1265, ""en"", ""ja""))"),"ビーユー！")</f>
        <v>ビーユー！</v>
      </c>
    </row>
    <row r="1266" ht="15.75" customHeight="1">
      <c r="A1266" s="1">
        <v>6240.0</v>
      </c>
      <c r="B1266" s="1" t="s">
        <v>6</v>
      </c>
      <c r="C1266" s="1" t="s">
        <v>1166</v>
      </c>
      <c r="D1266" s="1" t="str">
        <f>IFERROR(__xludf.DUMMYFUNCTION("CONCATENATE(GOOGLETRANSLATE(C1266, ""en"", ""zh-cn""))
"),"Apple 电子礼品卡 - 10 美元以上")</f>
        <v>Apple 电子礼品卡 - 10 美元以上</v>
      </c>
      <c r="E1266" s="1" t="str">
        <f>IFERROR(__xludf.DUMMYFUNCTION("CONCATENATE(GOOGLETRANSLATE(C1266, ""en"", ""ko""))"),"Apple eGift 카드 - $10 이상")</f>
        <v>Apple eGift 카드 - $10 이상</v>
      </c>
      <c r="F1266" s="1" t="str">
        <f>IFERROR(__xludf.DUMMYFUNCTION("CONCATENATE(GOOGLETRANSLATE(C1266, ""en"", ""ja""))"),"Apple eギフトカード - $10+")</f>
        <v>Apple eギフトカード - $10+</v>
      </c>
    </row>
    <row r="1267" ht="15.75" customHeight="1">
      <c r="A1267" s="1">
        <v>6268.0</v>
      </c>
      <c r="B1267" s="1" t="s">
        <v>6</v>
      </c>
      <c r="C1267" s="1" t="s">
        <v>1167</v>
      </c>
      <c r="D1267" s="1" t="str">
        <f>IFERROR(__xludf.DUMMYFUNCTION("CONCATENATE(GOOGLETRANSLATE(C1267, ""en"", ""zh-cn""))
"),"购买 100 美元的美国 Apple Music 礼品卡 - 电子邮件发送")</f>
        <v>购买 100 美元的美国 Apple Music 礼品卡 - 电子邮件发送</v>
      </c>
      <c r="E1267" s="1" t="str">
        <f>IFERROR(__xludf.DUMMYFUNCTION("CONCATENATE(GOOGLETRANSLATE(C1267, ""en"", ""ko""))"),"$100 상당의 미국 Apple Music 기프트 카드 구매 - 이메일 배송")</f>
        <v>$100 상당의 미국 Apple Music 기프트 카드 구매 - 이메일 배송</v>
      </c>
      <c r="F1267" s="1" t="str">
        <f>IFERROR(__xludf.DUMMYFUNCTION("CONCATENATE(GOOGLETRANSLATE(C1267, ""en"", ""ja""))"),"100 ドルの Apple Music ギフト カードを購入 - 電子メール配信")</f>
        <v>100 ドルの Apple Music ギフト カードを購入 - 電子メール配信</v>
      </c>
    </row>
    <row r="1268" ht="15.75" customHeight="1">
      <c r="A1268" s="1">
        <v>6282.0</v>
      </c>
      <c r="B1268" s="1" t="s">
        <v>6</v>
      </c>
      <c r="C1268" s="1" t="s">
        <v>1168</v>
      </c>
      <c r="D1268" s="1" t="str">
        <f>IFERROR(__xludf.DUMMYFUNCTION("CONCATENATE(GOOGLETRANSLATE(C1268, ""en"", ""zh-cn""))
"),"索尼 PlayStation 商店赠送 25 礼品卡")</f>
        <v>索尼 PlayStation 商店赠送 25 礼品卡</v>
      </c>
      <c r="E1268" s="1" t="str">
        <f>IFERROR(__xludf.DUMMYFUNCTION("CONCATENATE(GOOGLETRANSLATE(C1268, ""en"", ""ko""))"),"Sony PlayStation Store 기프트 카드 25개 선물하기")</f>
        <v>Sony PlayStation Store 기프트 카드 25개 선물하기</v>
      </c>
      <c r="F1268" s="1" t="str">
        <f>IFERROR(__xludf.DUMMYFUNCTION("CONCATENATE(GOOGLETRANSLATE(C1268, ""en"", ""ja""))"),"Sony PlayStation Store Gifting 25 ギフトカード")</f>
        <v>Sony PlayStation Store Gifting 25 ギフトカード</v>
      </c>
    </row>
    <row r="1269" ht="15.75" customHeight="1">
      <c r="A1269" s="1">
        <v>6292.0</v>
      </c>
      <c r="B1269" s="1" t="s">
        <v>6</v>
      </c>
      <c r="C1269" s="1" t="s">
        <v>1169</v>
      </c>
      <c r="D1269" s="1" t="str">
        <f>IFERROR(__xludf.DUMMYFUNCTION("CONCATENATE(GOOGLETRANSLATE(C1269, ""en"", ""zh-cn""))
"),"Sony Destiny 2：包含数字豪华内容 - 电子产品")</f>
        <v>Sony Destiny 2：包含数字豪华内容 - 电子产品</v>
      </c>
      <c r="E1269" s="1" t="str">
        <f>IFERROR(__xludf.DUMMYFUNCTION("CONCATENATE(GOOGLETRANSLATE(C1269, ""en"", ""ko""))"),"Sony Destiny 2: 디지털 디럭스 콘텐츠 포함 - 전자제품")</f>
        <v>Sony Destiny 2: 디지털 디럭스 콘텐츠 포함 - 전자제품</v>
      </c>
      <c r="F1269" s="1" t="str">
        <f>IFERROR(__xludf.DUMMYFUNCTION("CONCATENATE(GOOGLETRANSLATE(C1269, ""en"", ""ja""))"),"Sony Destiny 2: デジタル デラックス コンテンツが付属 - 電子機器")</f>
        <v>Sony Destiny 2: デジタル デラックス コンテンツが付属 - 電子機器</v>
      </c>
    </row>
    <row r="1270" ht="15.75" customHeight="1">
      <c r="A1270" s="1">
        <v>6297.0</v>
      </c>
      <c r="B1270" s="1" t="s">
        <v>6</v>
      </c>
      <c r="C1270" s="1" t="s">
        <v>1170</v>
      </c>
      <c r="D1270" s="1" t="str">
        <f>IFERROR(__xludf.DUMMYFUNCTION("CONCATENATE(GOOGLETRANSLATE(C1270, ""en"", ""zh-cn""))
"),"传奇故事 - 索尼 PlayStation 5 [数字下载]")</f>
        <v>传奇故事 - 索尼 PlayStation 5 [数字下载]</v>
      </c>
      <c r="E1270" s="1" t="str">
        <f>IFERROR(__xludf.DUMMYFUNCTION("CONCATENATE(GOOGLETRANSLATE(C1270, ""en"", ""ko""))"),"전설적인 이야기 - Sony PlayStation 5 [디지털 다운로드]")</f>
        <v>전설적인 이야기 - Sony PlayStation 5 [디지털 다운로드]</v>
      </c>
      <c r="F1270" s="1" t="str">
        <f>IFERROR(__xludf.DUMMYFUNCTION("CONCATENATE(GOOGLETRANSLATE(C1270, ""en"", ""ja""))"),"Legendary Tales - Sony PlayStation 5 [デジタルダウンロード]")</f>
        <v>Legendary Tales - Sony PlayStation 5 [デジタルダウンロード]</v>
      </c>
    </row>
    <row r="1271" ht="15.75" customHeight="1">
      <c r="A1271" s="1">
        <v>6304.0</v>
      </c>
      <c r="B1271" s="1" t="s">
        <v>6</v>
      </c>
      <c r="C1271" s="1" t="s">
        <v>1171</v>
      </c>
      <c r="D1271" s="1" t="str">
        <f>IFERROR(__xludf.DUMMYFUNCTION("CONCATENATE(GOOGLETRANSLATE(C1271, ""en"", ""zh-cn""))
"),"无敌 - 索尼 PlayStation 5 [数字下载]")</f>
        <v>无敌 - 索尼 PlayStation 5 [数字下载]</v>
      </c>
      <c r="E1271" s="1" t="str">
        <f>IFERROR(__xludf.DUMMYFUNCTION("CONCATENATE(GOOGLETRANSLATE(C1271, ""en"", ""ko""))"),"The Invincible - Sony PlayStation 5 [디지털 다운로드]")</f>
        <v>The Invincible - Sony PlayStation 5 [디지털 다운로드]</v>
      </c>
      <c r="F1271" s="1" t="str">
        <f>IFERROR(__xludf.DUMMYFUNCTION("CONCATENATE(GOOGLETRANSLATE(C1271, ""en"", ""ja""))"),"The Invincible - Sony PlayStation 5 [デジタルダウンロード]")</f>
        <v>The Invincible - Sony PlayStation 5 [デジタルダウンロード]</v>
      </c>
    </row>
    <row r="1272" ht="15.75" customHeight="1">
      <c r="A1272" s="1">
        <v>6325.0</v>
      </c>
      <c r="B1272" s="1" t="s">
        <v>6</v>
      </c>
      <c r="C1272" s="1" t="s">
        <v>1172</v>
      </c>
      <c r="D1272" s="1" t="str">
        <f>IFERROR(__xludf.DUMMYFUNCTION("CONCATENATE(GOOGLETRANSLATE(C1272, ""en"", ""zh-cn""))
"),"育碧 UNO PC")</f>
        <v>育碧 UNO PC</v>
      </c>
      <c r="E1272" s="1" t="str">
        <f>IFERROR(__xludf.DUMMYFUNCTION("CONCATENATE(GOOGLETRANSLATE(C1272, ""en"", ""ko""))"),"유비소프트 우노 PC")</f>
        <v>유비소프트 우노 PC</v>
      </c>
      <c r="F1272" s="1" t="str">
        <f>IFERROR(__xludf.DUMMYFUNCTION("CONCATENATE(GOOGLETRANSLATE(C1272, ""en"", ""ja""))"),"ユービーアイソフト UNO PC")</f>
        <v>ユービーアイソフト UNO PC</v>
      </c>
    </row>
    <row r="1273" ht="15.75" customHeight="1">
      <c r="A1273" s="1">
        <v>6367.0</v>
      </c>
      <c r="B1273" s="1" t="s">
        <v>6</v>
      </c>
      <c r="C1273" s="1" t="s">
        <v>1173</v>
      </c>
      <c r="D1273" s="1" t="str">
        <f>IFERROR(__xludf.DUMMYFUNCTION("CONCATENATE(GOOGLETRANSLATE(C1273, ""en"", ""zh-cn""))
"),"阿迪达斯 (adidas) 男士 Z.N.E.全拉链")</f>
        <v>阿迪达斯 (adidas) 男士 Z.N.E.全拉链</v>
      </c>
      <c r="E1273" s="1" t="str">
        <f>IFERROR(__xludf.DUMMYFUNCTION("CONCATENATE(GOOGLETRANSLATE(C1273, ""en"", ""ko""))"),"아디다스 남성 Z.N.E. 풀집")</f>
        <v>아디다스 남성 Z.N.E. 풀집</v>
      </c>
      <c r="F1273" s="1" t="str">
        <f>IFERROR(__xludf.DUMMYFUNCTION("CONCATENATE(GOOGLETRANSLATE(C1273, ""en"", ""ja""))"),"アディダス メンズ Z.N.E.フルジップ")</f>
        <v>アディダス メンズ Z.N.E.フルジップ</v>
      </c>
    </row>
    <row r="1274" ht="15.75" customHeight="1">
      <c r="A1274" s="1">
        <v>6373.0</v>
      </c>
      <c r="B1274" s="1" t="s">
        <v>6</v>
      </c>
      <c r="C1274" s="1" t="s">
        <v>1174</v>
      </c>
      <c r="D1274" s="1" t="str">
        <f>IFERROR(__xludf.DUMMYFUNCTION("CONCATENATE(GOOGLETRANSLATE(C1274, ""en"", ""zh-cn""))
"),"阿迪达斯三条纹喇叭火鸟女式运动裤米色")</f>
        <v>阿迪达斯三条纹喇叭火鸟女式运动裤米色</v>
      </c>
      <c r="E1274" s="1" t="str">
        <f>IFERROR(__xludf.DUMMYFUNCTION("CONCATENATE(GOOGLETRANSLATE(C1274, ""en"", ""ko""))"),"아디다스 3-스트라이프 플레어 파이어버드 여성용 트랙 팬츠 베이지")</f>
        <v>아디다스 3-스트라이프 플레어 파이어버드 여성용 트랙 팬츠 베이지</v>
      </c>
      <c r="F1274" s="1" t="str">
        <f>IFERROR(__xludf.DUMMYFUNCTION("CONCATENATE(GOOGLETRANSLATE(C1274, ""en"", ""ja""))"),"アディダス 3 ストライプ フレア ファイアバード ウィメンズ トラック パンツ ベージュ")</f>
        <v>アディダス 3 ストライプ フレア ファイアバード ウィメンズ トラック パンツ ベージュ</v>
      </c>
    </row>
    <row r="1275" ht="15.75" customHeight="1">
      <c r="A1275" s="1">
        <v>6376.0</v>
      </c>
      <c r="B1275" s="1" t="s">
        <v>6</v>
      </c>
      <c r="C1275" s="1" t="s">
        <v>1175</v>
      </c>
      <c r="D1275" s="1" t="str">
        <f>IFERROR(__xludf.DUMMYFUNCTION("CONCATENATE(GOOGLETRANSLATE(C1275, ""en"", ""zh-cn""))
"),"阿迪达斯 (adidas) 女式 Essentials 三条纹羊毛长裤")</f>
        <v>阿迪达斯 (adidas) 女式 Essentials 三条纹羊毛长裤</v>
      </c>
      <c r="E1275" s="1" t="str">
        <f>IFERROR(__xludf.DUMMYFUNCTION("CONCATENATE(GOOGLETRANSLATE(C1275, ""en"", ""ko""))"),"adidas Women's Essentials 3-스트라이프 플리스 팬츠")</f>
        <v>adidas Women's Essentials 3-스트라이프 플리스 팬츠</v>
      </c>
      <c r="F1275" s="1" t="str">
        <f>IFERROR(__xludf.DUMMYFUNCTION("CONCATENATE(GOOGLETRANSLATE(C1275, ""en"", ""ja""))"),"アディダス レディース エッセンシャル 3 ストライプ フリース パンツ")</f>
        <v>アディダス レディース エッセンシャル 3 ストライプ フリース パンツ</v>
      </c>
    </row>
    <row r="1276" ht="15.75" customHeight="1">
      <c r="A1276" s="1">
        <v>6379.0</v>
      </c>
      <c r="B1276" s="1" t="s">
        <v>6</v>
      </c>
      <c r="C1276" s="1" t="s">
        <v>1176</v>
      </c>
      <c r="D1276" s="1" t="str">
        <f>IFERROR(__xludf.DUMMYFUNCTION("CONCATENATE(GOOGLETRANSLATE(C1276, ""en"", ""zh-cn""))
"),"阿迪达斯 (adidas) 女式 D4T 针织训练裤")</f>
        <v>阿迪达斯 (adidas) 女式 D4T 针织训练裤</v>
      </c>
      <c r="E1276" s="1" t="str">
        <f>IFERROR(__xludf.DUMMYFUNCTION("CONCATENATE(GOOGLETRANSLATE(C1276, ""en"", ""ko""))"),"아디다스 여성용 D4T 니트 트레이닝 팬츠")</f>
        <v>아디다스 여성용 D4T 니트 트레이닝 팬츠</v>
      </c>
      <c r="F1276" s="1" t="str">
        <f>IFERROR(__xludf.DUMMYFUNCTION("CONCATENATE(GOOGLETRANSLATE(C1276, ""en"", ""ja""))"),"アディダス レディース D4T ニット トレーニング パンツ")</f>
        <v>アディダス レディース D4T ニット トレーニング パンツ</v>
      </c>
    </row>
    <row r="1277" ht="15.75" customHeight="1">
      <c r="A1277" s="1">
        <v>6384.0</v>
      </c>
      <c r="B1277" s="1" t="s">
        <v>6</v>
      </c>
      <c r="C1277" s="1" t="s">
        <v>1177</v>
      </c>
      <c r="D1277" s="1" t="str">
        <f>IFERROR(__xludf.DUMMYFUNCTION("CONCATENATE(GOOGLETRANSLATE(C1277, ""en"", ""zh-cn""))
"),"阿迪达斯 (adidas) 女式 Cloudfoam Pure 跑鞋")</f>
        <v>阿迪达斯 (adidas) 女式 Cloudfoam Pure 跑鞋</v>
      </c>
      <c r="E1277" s="1" t="str">
        <f>IFERROR(__xludf.DUMMYFUNCTION("CONCATENATE(GOOGLETRANSLATE(C1277, ""en"", ""ko""))"),"아디다스 여성용 Cloudfoam Pure 운동화")</f>
        <v>아디다스 여성용 Cloudfoam Pure 운동화</v>
      </c>
      <c r="F1277" s="1" t="str">
        <f>IFERROR(__xludf.DUMMYFUNCTION("CONCATENATE(GOOGLETRANSLATE(C1277, ""en"", ""ja""))"),"アディダス レディース クラウドフォーム ピュア ランニング シューズ")</f>
        <v>アディダス レディース クラウドフォーム ピュア ランニング シューズ</v>
      </c>
    </row>
    <row r="1278" ht="15.75" customHeight="1">
      <c r="A1278" s="1">
        <v>6394.0</v>
      </c>
      <c r="B1278" s="1" t="s">
        <v>6</v>
      </c>
      <c r="C1278" s="1" t="s">
        <v>1178</v>
      </c>
      <c r="D1278" s="1" t="str">
        <f>IFERROR(__xludf.DUMMYFUNCTION("CONCATENATE(GOOGLETRANSLATE(C1278, ""en"", ""zh-cn""))
"),"ASICS 女士训练核心文胸")</f>
        <v>ASICS 女士训练核心文胸</v>
      </c>
      <c r="E1278" s="1" t="str">
        <f>IFERROR(__xludf.DUMMYFUNCTION("CONCATENATE(GOOGLETRANSLATE(C1278, ""en"", ""ko""))"),"아식스 여성 트레이닝 코어 브라")</f>
        <v>아식스 여성 트레이닝 코어 브라</v>
      </c>
      <c r="F1278" s="1" t="str">
        <f>IFERROR(__xludf.DUMMYFUNCTION("CONCATENATE(GOOGLETRANSLATE(C1278, ""en"", ""ja""))"),"アシックス トレーニングコアブラ レディース")</f>
        <v>アシックス トレーニングコアブラ レディース</v>
      </c>
    </row>
    <row r="1279" ht="15.75" customHeight="1">
      <c r="A1279" s="1">
        <v>6398.0</v>
      </c>
      <c r="B1279" s="1" t="s">
        <v>6</v>
      </c>
      <c r="C1279" s="1" t="s">
        <v>1179</v>
      </c>
      <c r="D1279" s="1" t="str">
        <f>IFERROR(__xludf.DUMMYFUNCTION("CONCATENATE(GOOGLETRANSLATE(C1279, ""en"", ""zh-cn""))
"),"ASICS 男士双层编织长裤")</f>
        <v>ASICS 男士双层编织长裤</v>
      </c>
      <c r="E1279" s="1" t="str">
        <f>IFERROR(__xludf.DUMMYFUNCTION("CONCATENATE(GOOGLETRANSLATE(C1279, ""en"", ""ko""))"),"아식스 남성 더블 위브 팬츠")</f>
        <v>아식스 남성 더블 위브 팬츠</v>
      </c>
      <c r="F1279" s="1" t="str">
        <f>IFERROR(__xludf.DUMMYFUNCTION("CONCATENATE(GOOGLETRANSLATE(C1279, ""en"", ""ja""))"),"アシックス ダブルウィーブ パンツ メンズ")</f>
        <v>アシックス ダブルウィーブ パンツ メンズ</v>
      </c>
    </row>
    <row r="1280" ht="15.75" customHeight="1">
      <c r="A1280" s="1">
        <v>6414.0</v>
      </c>
      <c r="B1280" s="1" t="s">
        <v>6</v>
      </c>
      <c r="C1280" s="1" t="s">
        <v>1180</v>
      </c>
      <c r="D1280" s="1" t="str">
        <f>IFERROR(__xludf.DUMMYFUNCTION("CONCATENATE(GOOGLETRANSLATE(C1280, ""en"", ""zh-cn""))
"),"ASICS 女式徽标 7/8 紧身裤")</f>
        <v>ASICS 女式徽标 7/8 紧身裤</v>
      </c>
      <c r="E1280" s="1" t="str">
        <f>IFERROR(__xludf.DUMMYFUNCTION("CONCATENATE(GOOGLETRANSLATE(C1280, ""en"", ""ko""))"),"아식스 여성용 로고 7/8 타이트")</f>
        <v>아식스 여성용 로고 7/8 타이트</v>
      </c>
      <c r="F1280" s="1" t="str">
        <f>IFERROR(__xludf.DUMMYFUNCTION("CONCATENATE(GOOGLETRANSLATE(C1280, ""en"", ""ja""))"),"アシックス ウィメンズ ロゴ 7/8 タイト")</f>
        <v>アシックス ウィメンズ ロゴ 7/8 タイト</v>
      </c>
    </row>
    <row r="1281" ht="15.75" customHeight="1">
      <c r="A1281" s="1">
        <v>6447.0</v>
      </c>
      <c r="B1281" s="1" t="s">
        <v>6</v>
      </c>
      <c r="C1281" s="1" t="s">
        <v>1181</v>
      </c>
      <c r="D1281" s="1" t="str">
        <f>IFERROR(__xludf.DUMMYFUNCTION("CONCATENATE(GOOGLETRANSLATE(C1281, ""en"", ""zh-cn""))
"),"Gymshark Lift 无缝紧身裤")</f>
        <v>Gymshark Lift 无缝紧身裤</v>
      </c>
      <c r="E1281" s="1" t="str">
        <f>IFERROR(__xludf.DUMMYFUNCTION("CONCATENATE(GOOGLETRANSLATE(C1281, ""en"", ""ko""))"),"Gymshark 리프트 심리스 레깅스")</f>
        <v>Gymshark 리프트 심리스 레깅스</v>
      </c>
      <c r="F1281" s="1" t="str">
        <f>IFERROR(__xludf.DUMMYFUNCTION("CONCATENATE(GOOGLETRANSLATE(C1281, ""en"", ""ja""))"),"Gymshark リフト シームレス レギンス")</f>
        <v>Gymshark リフト シームレス レギンス</v>
      </c>
    </row>
    <row r="1282" ht="15.75" customHeight="1">
      <c r="A1282" s="1">
        <v>6453.0</v>
      </c>
      <c r="B1282" s="1" t="s">
        <v>6</v>
      </c>
      <c r="C1282" s="1" t="s">
        <v>1182</v>
      </c>
      <c r="D1282" s="1" t="str">
        <f>IFERROR(__xludf.DUMMYFUNCTION("CONCATENATE(GOOGLETRANSLATE(C1282, ""en"", ""zh-cn""))
"),"Gymshark Lifting Essentials 图案拉绒超大慢跑裤")</f>
        <v>Gymshark Lifting Essentials 图案拉绒超大慢跑裤</v>
      </c>
      <c r="E1282" s="1" t="str">
        <f>IFERROR(__xludf.DUMMYFUNCTION("CONCATENATE(GOOGLETRANSLATE(C1282, ""en"", ""ko""))"),"Gymshark Lifting Essentials 그래픽 브러시드 오버사이즈 조거팬츠")</f>
        <v>Gymshark Lifting Essentials 그래픽 브러시드 오버사이즈 조거팬츠</v>
      </c>
      <c r="F1282" s="1" t="str">
        <f>IFERROR(__xludf.DUMMYFUNCTION("CONCATENATE(GOOGLETRANSLATE(C1282, ""en"", ""ja""))"),"Gymshark リフティング エッセンシャル グラフィック ブラッシュド オーバーサイズ ジョガー")</f>
        <v>Gymshark リフティング エッセンシャル グラフィック ブラッシュド オーバーサイズ ジョガー</v>
      </c>
    </row>
    <row r="1283" ht="15.75" customHeight="1">
      <c r="A1283" s="1">
        <v>6487.0</v>
      </c>
      <c r="B1283" s="1" t="s">
        <v>6</v>
      </c>
      <c r="C1283" s="1" t="s">
        <v>1183</v>
      </c>
      <c r="D1283" s="1" t="str">
        <f>IFERROR(__xludf.DUMMYFUNCTION("CONCATENATE(GOOGLETRANSLATE(C1283, ""en"", ""zh-cn""))
"),"Lululemon 女式 Wunder Smoothcover 高腰紧身裤")</f>
        <v>Lululemon 女式 Wunder Smoothcover 高腰紧身裤</v>
      </c>
      <c r="E1283" s="1" t="str">
        <f>IFERROR(__xludf.DUMMYFUNCTION("CONCATENATE(GOOGLETRANSLATE(C1283, ""en"", ""ko""))"),"Lululemon 여성 Wunder 언더 스무스커버 하이라이즈 타이트")</f>
        <v>Lululemon 여성 Wunder 언더 스무스커버 하이라이즈 타이트</v>
      </c>
      <c r="F1283" s="1" t="str">
        <f>IFERROR(__xludf.DUMMYFUNCTION("CONCATENATE(GOOGLETRANSLATE(C1283, ""en"", ""ja""))"),"ルルレモン レディース ワンダー アンダー スムースカバー ハイライズ タイト")</f>
        <v>ルルレモン レディース ワンダー アンダー スムースカバー ハイライズ タイト</v>
      </c>
    </row>
    <row r="1284" ht="15.75" customHeight="1">
      <c r="A1284" s="1">
        <v>6497.0</v>
      </c>
      <c r="B1284" s="1" t="s">
        <v>6</v>
      </c>
      <c r="C1284" s="1" t="s">
        <v>1184</v>
      </c>
      <c r="D1284" s="1" t="str">
        <f>IFERROR(__xludf.DUMMYFUNCTION("CONCATENATE(GOOGLETRANSLATE(C1284, ""en"", ""zh-cn""))
"),"Lululemon 女式对齐连衣裙")</f>
        <v>Lululemon 女式对齐连衣裙</v>
      </c>
      <c r="E1284" s="1" t="str">
        <f>IFERROR(__xludf.DUMMYFUNCTION("CONCATENATE(GOOGLETRANSLATE(C1284, ""en"", ""ko""))"),"Lululemon 여성 얼라인 드레스")</f>
        <v>Lululemon 여성 얼라인 드레스</v>
      </c>
      <c r="F1284" s="1" t="str">
        <f>IFERROR(__xludf.DUMMYFUNCTION("CONCATENATE(GOOGLETRANSLATE(C1284, ""en"", ""ja""))"),"ルルレモン アラインドレス レディース")</f>
        <v>ルルレモン アラインドレス レディース</v>
      </c>
    </row>
    <row r="1285" ht="15.75" customHeight="1">
      <c r="A1285" s="1">
        <v>6503.0</v>
      </c>
      <c r="B1285" s="1" t="s">
        <v>6</v>
      </c>
      <c r="C1285" s="1" t="s">
        <v>1185</v>
      </c>
      <c r="D1285" s="1" t="str">
        <f>IFERROR(__xludf.DUMMYFUNCTION("CONCATENATE(GOOGLETRANSLATE(C1285, ""en"", ""zh-cn""))
"),"Lululemon 女式轻质支撑对齐背心")</f>
        <v>Lululemon 女式轻质支撑对齐背心</v>
      </c>
      <c r="E1285" s="1" t="str">
        <f>IFERROR(__xludf.DUMMYFUNCTION("CONCATENATE(GOOGLETRANSLATE(C1285, ""en"", ""ko""))"),"Lululemon 여성용 얼라인 탱크탑(라이트 서포트 포함)")</f>
        <v>Lululemon 여성용 얼라인 탱크탑(라이트 서포트 포함)</v>
      </c>
      <c r="F1285" s="1" t="str">
        <f>IFERROR(__xludf.DUMMYFUNCTION("CONCATENATE(GOOGLETRANSLATE(C1285, ""en"", ""ja""))"),"ルルレモン ライトサポート付きアラインタンクトップ レディース")</f>
        <v>ルルレモン ライトサポート付きアラインタンクトップ レディース</v>
      </c>
    </row>
    <row r="1286" ht="15.75" customHeight="1">
      <c r="A1286" s="1">
        <v>6511.0</v>
      </c>
      <c r="B1286" s="1" t="s">
        <v>6</v>
      </c>
      <c r="C1286" s="1" t="s">
        <v>1186</v>
      </c>
      <c r="D1286" s="1" t="str">
        <f>IFERROR(__xludf.DUMMYFUNCTION("CONCATENATE(GOOGLETRANSLATE(C1286, ""en"", ""zh-cn""))
"),"Lululemon 女式 Wunder Train 25 英寸带口袋紧身裤")</f>
        <v>Lululemon 女式 Wunder Train 25 英寸带口袋紧身裤</v>
      </c>
      <c r="E1286" s="1" t="str">
        <f>IFERROR(__xludf.DUMMYFUNCTION("CONCATENATE(GOOGLETRANSLATE(C1286, ""en"", ""ko""))"),"Lululemon 여성용 Wunder Train 25"" 주머니가 있는 타이트한 제품")</f>
        <v>Lululemon 여성용 Wunder Train 25" 주머니가 있는 타이트한 제품</v>
      </c>
      <c r="F1286" s="1" t="str">
        <f>IFERROR(__xludf.DUMMYFUNCTION("CONCATENATE(GOOGLETRANSLATE(C1286, ""en"", ""ja""))"),"ルルレモン レディース ワンダー トレイン 25 インチ タイト ポケット付き")</f>
        <v>ルルレモン レディース ワンダー トレイン 25 インチ タイト ポケット付き</v>
      </c>
    </row>
    <row r="1287" ht="15.75" customHeight="1">
      <c r="A1287" s="1">
        <v>6516.0</v>
      </c>
      <c r="B1287" s="1" t="s">
        <v>6</v>
      </c>
      <c r="C1287" s="1" t="s">
        <v>1187</v>
      </c>
      <c r="D1287" s="1" t="str">
        <f>IFERROR(__xludf.DUMMYFUNCTION("CONCATENATE(GOOGLETRANSLATE(C1287, ""en"", ""zh-cn""))
"),"耐克男士运动装俱乐部抓绒裤")</f>
        <v>耐克男士运动装俱乐部抓绒裤</v>
      </c>
      <c r="E1287" s="1" t="str">
        <f>IFERROR(__xludf.DUMMYFUNCTION("CONCATENATE(GOOGLETRANSLATE(C1287, ""en"", ""ko""))"),"나이키 남성 스포츠웨어 클럽 플리스 팬츠")</f>
        <v>나이키 남성 스포츠웨어 클럽 플리스 팬츠</v>
      </c>
      <c r="F1287" s="1" t="str">
        <f>IFERROR(__xludf.DUMMYFUNCTION("CONCATENATE(GOOGLETRANSLATE(C1287, ""en"", ""ja""))"),"ナイキ メンズ スポーツウェア クラブ フリース パンツ")</f>
        <v>ナイキ メンズ スポーツウェア クラブ フリース パンツ</v>
      </c>
    </row>
    <row r="1288" ht="15.75" customHeight="1">
      <c r="A1288" s="1">
        <v>6550.0</v>
      </c>
      <c r="B1288" s="1" t="s">
        <v>6</v>
      </c>
      <c r="C1288" s="1" t="s">
        <v>1188</v>
      </c>
      <c r="D1288" s="1" t="str">
        <f>IFERROR(__xludf.DUMMYFUNCTION("CONCATENATE(GOOGLETRANSLATE(C1288, ""en"", ""zh-cn""))
"),"耐克女式 Universa 中等支撑高腰 7/8 带口袋打底裤")</f>
        <v>耐克女式 Universa 中等支撑高腰 7/8 带口袋打底裤</v>
      </c>
      <c r="E1288" s="1" t="str">
        <f>IFERROR(__xludf.DUMMYFUNCTION("CONCATENATE(GOOGLETRANSLATE(C1288, ""en"", ""ko""))"),"나이키 여성용 유니버사 미디엄 서포트 하이웨이스트 7/8 레깅스(포켓 포함)")</f>
        <v>나이키 여성용 유니버사 미디엄 서포트 하이웨이스트 7/8 레깅스(포켓 포함)</v>
      </c>
      <c r="F1288" s="1" t="str">
        <f>IFERROR(__xludf.DUMMYFUNCTION("CONCATENATE(GOOGLETRANSLATE(C1288, ""en"", ""ja""))"),"ナイキ レディース ユニバーサ ミディアム サポート ハイウエスト 7/8 レギンス ポケット付き")</f>
        <v>ナイキ レディース ユニバーサ ミディアム サポート ハイウエスト 7/8 レギンス ポケット付き</v>
      </c>
    </row>
    <row r="1289" ht="15.75" customHeight="1">
      <c r="A1289" s="1">
        <v>6573.0</v>
      </c>
      <c r="B1289" s="1" t="s">
        <v>6</v>
      </c>
      <c r="C1289" s="1" t="s">
        <v>1189</v>
      </c>
      <c r="D1289" s="1" t="str">
        <f>IFERROR(__xludf.DUMMYFUNCTION("CONCATENATE(GOOGLETRANSLATE(C1289, ""en"", ""zh-cn""))
"),"PUMA 男士 Voltaic Evo 快速训练鞋")</f>
        <v>PUMA 男士 Voltaic Evo 快速训练鞋</v>
      </c>
      <c r="E1289" s="1" t="str">
        <f>IFERROR(__xludf.DUMMYFUNCTION("CONCATENATE(GOOGLETRANSLATE(C1289, ""en"", ""ko""))"),"푸마 남성용 볼타익 에보 패스트 트레이닝 슈즈")</f>
        <v>푸마 남성용 볼타익 에보 패스트 트레이닝 슈즈</v>
      </c>
      <c r="F1289" s="1" t="str">
        <f>IFERROR(__xludf.DUMMYFUNCTION("CONCATENATE(GOOGLETRANSLATE(C1289, ""en"", ""ja""))"),"プーマ メンズ Voltaic Evo ファスト トレーニング シューズ")</f>
        <v>プーマ メンズ Voltaic Evo ファスト トレーニング シューズ</v>
      </c>
    </row>
    <row r="1290" ht="15.75" customHeight="1">
      <c r="A1290" s="1">
        <v>6591.0</v>
      </c>
      <c r="B1290" s="1" t="s">
        <v>6</v>
      </c>
      <c r="C1290" s="1" t="s">
        <v>1190</v>
      </c>
      <c r="D1290" s="1" t="str">
        <f>IFERROR(__xludf.DUMMYFUNCTION("CONCATENATE(GOOGLETRANSLATE(C1290, ""en"", ""zh-cn""))
"),"PUMA 男士轻质运动裤")</f>
        <v>PUMA 男士轻质运动裤</v>
      </c>
      <c r="E1290" s="1" t="str">
        <f>IFERROR(__xludf.DUMMYFUNCTION("CONCATENATE(GOOGLETRANSLATE(C1290, ""en"", ""ko""))"),"PUMA 남성용 경량 트랙 팬츠")</f>
        <v>PUMA 남성용 경량 트랙 팬츠</v>
      </c>
      <c r="F1290" s="1" t="str">
        <f>IFERROR(__xludf.DUMMYFUNCTION("CONCATENATE(GOOGLETRANSLATE(C1290, ""en"", ""ja""))"),"プーマ メンズ ライトウェイト トラック パンツ")</f>
        <v>プーマ メンズ ライトウェイト トラック パンツ</v>
      </c>
    </row>
    <row r="1291" ht="15.75" customHeight="1">
      <c r="A1291" s="1">
        <v>6612.0</v>
      </c>
      <c r="B1291" s="1" t="s">
        <v>6</v>
      </c>
      <c r="C1291" s="1" t="s">
        <v>1191</v>
      </c>
      <c r="D1291" s="1" t="str">
        <f>IFERROR(__xludf.DUMMYFUNCTION("CONCATENATE(GOOGLETRANSLATE(C1291, ""en"", ""zh-cn""))
"),"Reebok 女式 Lux 轮廓打底裤")</f>
        <v>Reebok 女式 Lux 轮廓打底裤</v>
      </c>
      <c r="E1291" s="1" t="str">
        <f>IFERROR(__xludf.DUMMYFUNCTION("CONCATENATE(GOOGLETRANSLATE(C1291, ""en"", ""ko""))"),"Reebok 여성용 Lux 컨투어 레깅스")</f>
        <v>Reebok 여성용 Lux 컨투어 레깅스</v>
      </c>
      <c r="F1291" s="1" t="str">
        <f>IFERROR(__xludf.DUMMYFUNCTION("CONCATENATE(GOOGLETRANSLATE(C1291, ""en"", ""ja""))"),"リーボック レディース ラックス コンター レギンス")</f>
        <v>リーボック レディース ラックス コンター レギンス</v>
      </c>
    </row>
    <row r="1292" ht="15.75" customHeight="1">
      <c r="A1292" s="1">
        <v>6616.0</v>
      </c>
      <c r="B1292" s="1" t="s">
        <v>6</v>
      </c>
      <c r="C1292" s="1" t="s">
        <v>1192</v>
      </c>
      <c r="D1292" s="1" t="str">
        <f>IFERROR(__xludf.DUMMYFUNCTION("CONCATENATE(GOOGLETRANSLATE(C1292, ""en"", ""zh-cn""))
"),"Reebok 男士 Club C 85 复古鞋")</f>
        <v>Reebok 男士 Club C 85 复古鞋</v>
      </c>
      <c r="E1292" s="1" t="str">
        <f>IFERROR(__xludf.DUMMYFUNCTION("CONCATENATE(GOOGLETRANSLATE(C1292, ""en"", ""ko""))"),"리복 남성 클럽 C 85 빈티지 신발")</f>
        <v>리복 남성 클럽 C 85 빈티지 신발</v>
      </c>
      <c r="F1292" s="1" t="str">
        <f>IFERROR(__xludf.DUMMYFUNCTION("CONCATENATE(GOOGLETRANSLATE(C1292, ""en"", ""ja""))"),"[リーボック] メンズ クラブ C 85 ヴィンテージ シューズ")</f>
        <v>[リーボック] メンズ クラブ C 85 ヴィンテージ シューズ</v>
      </c>
    </row>
    <row r="1293" ht="15.75" customHeight="1">
      <c r="A1293" s="1">
        <v>6663.0</v>
      </c>
      <c r="B1293" s="1" t="s">
        <v>6</v>
      </c>
      <c r="C1293" s="1" t="s">
        <v>1193</v>
      </c>
      <c r="D1293" s="1" t="str">
        <f>IFERROR(__xludf.DUMMYFUNCTION("CONCATENATE(GOOGLETRANSLATE(C1293, ""en"", ""zh-cn""))
"),"Kohler Hadron 48 英寸浴室梳妆柜，带水槽和石英台面")</f>
        <v>Kohler Hadron 48 英寸浴室梳妆柜，带水槽和石英台面</v>
      </c>
      <c r="E1293" s="1" t="str">
        <f>IFERROR(__xludf.DUMMYFUNCTION("CONCATENATE(GOOGLETRANSLATE(C1293, ""en"", ""ko""))"),"Kohler Hadron 48"" 욕실 세면대 캐비닛, 싱크대 및 석영 상판 포함")</f>
        <v>Kohler Hadron 48" 욕실 세면대 캐비닛, 싱크대 및 석영 상판 포함</v>
      </c>
      <c r="F1293" s="1" t="str">
        <f>IFERROR(__xludf.DUMMYFUNCTION("CONCATENATE(GOOGLETRANSLATE(C1293, ""en"", ""ja""))"),"Kohler Hadron 48 インチ バスルーム 洗面化粧台 キャビネット シンクとクォーツトップ付き")</f>
        <v>Kohler Hadron 48 インチ バスルーム 洗面化粧台 キャビネット シンクとクォーツトップ付き</v>
      </c>
    </row>
    <row r="1294" ht="15.75" customHeight="1">
      <c r="A1294" s="1">
        <v>6664.0</v>
      </c>
      <c r="B1294" s="1" t="s">
        <v>6</v>
      </c>
      <c r="C1294" s="1" t="s">
        <v>1194</v>
      </c>
      <c r="D1294" s="1" t="str">
        <f>IFERROR(__xludf.DUMMYFUNCTION("CONCATENATE(GOOGLETRANSLATE(C1294, ""en"", ""zh-cn""))
"),"宜家汉尼斯高柜")</f>
        <v>宜家汉尼斯高柜</v>
      </c>
      <c r="E1294" s="1" t="str">
        <f>IFERROR(__xludf.DUMMYFUNCTION("CONCATENATE(GOOGLETRANSLATE(C1294, ""en"", ""ko""))"),"IKEA HEMNES 키큰장")</f>
        <v>IKEA HEMNES 키큰장</v>
      </c>
      <c r="F1294" s="1" t="str">
        <f>IFERROR(__xludf.DUMMYFUNCTION("CONCATENATE(GOOGLETRANSLATE(C1294, ""en"", ""ja""))"),"IKEA HEMNES ハイキャビネット")</f>
        <v>IKEA HEMNES ハイキャビネット</v>
      </c>
    </row>
    <row r="1295" ht="15.75" customHeight="1">
      <c r="A1295" s="1">
        <v>6667.0</v>
      </c>
      <c r="B1295" s="1" t="s">
        <v>6</v>
      </c>
      <c r="C1295" s="1" t="s">
        <v>1195</v>
      </c>
      <c r="D1295" s="1" t="str">
        <f>IFERROR(__xludf.DUMMYFUNCTION("CONCATENATE(GOOGLETRANSLATE(C1295, ""en"", ""zh-cn""))
"),"浴室独立式地柜")</f>
        <v>浴室独立式地柜</v>
      </c>
      <c r="E1295" s="1" t="str">
        <f>IFERROR(__xludf.DUMMYFUNCTION("CONCATENATE(GOOGLETRANSLATE(C1295, ""en"", ""ko""))"),"욕실 독립형 바닥 캐비닛")</f>
        <v>욕실 독립형 바닥 캐비닛</v>
      </c>
      <c r="F1295" s="1" t="str">
        <f>IFERROR(__xludf.DUMMYFUNCTION("CONCATENATE(GOOGLETRANSLATE(C1295, ""en"", ""ja""))"),"バスルーム自立型フロアキャビネット")</f>
        <v>バスルーム自立型フロアキャビネット</v>
      </c>
    </row>
    <row r="1296" ht="15.75" customHeight="1">
      <c r="A1296" s="1">
        <v>6675.0</v>
      </c>
      <c r="B1296" s="1" t="s">
        <v>6</v>
      </c>
      <c r="C1296" s="1" t="s">
        <v>1196</v>
      </c>
      <c r="D1296" s="1" t="str">
        <f>IFERROR(__xludf.DUMMYFUNCTION("CONCATENATE(GOOGLETRANSLATE(C1296, ""en"", ""zh-cn""))
"),"Ariel Hamlet 60 英寸白色浴室梳妆台底柜")</f>
        <v>Ariel Hamlet 60 英寸白色浴室梳妆台底柜</v>
      </c>
      <c r="E1296" s="1" t="str">
        <f>IFERROR(__xludf.DUMMYFUNCTION("CONCATENATE(GOOGLETRANSLATE(C1296, ""en"", ""ko""))"),"Ariel Hamlet 60인치 화이트 욕실 세면대 베이스 캐비닛")</f>
        <v>Ariel Hamlet 60인치 화이트 욕실 세면대 베이스 캐비닛</v>
      </c>
      <c r="F1296" s="1" t="str">
        <f>IFERROR(__xludf.DUMMYFUNCTION("CONCATENATE(GOOGLETRANSLATE(C1296, ""en"", ""ja""))"),"Ariel Hamlet 60 インチ ホワイト バスルーム バニティ ベース キャビネット")</f>
        <v>Ariel Hamlet 60 インチ ホワイト バスルーム バニティ ベース キャビネット</v>
      </c>
    </row>
    <row r="1297" ht="15.75" customHeight="1">
      <c r="A1297" s="1">
        <v>6689.0</v>
      </c>
      <c r="B1297" s="1" t="s">
        <v>6</v>
      </c>
      <c r="C1297" s="1" t="s">
        <v>1197</v>
      </c>
      <c r="D1297" s="1" t="str">
        <f>IFERROR(__xludf.DUMMYFUNCTION("CONCATENATE(GOOGLETRANSLATE(C1297, ""en"", ""zh-cn""))
"),"Ktaxon 马桶上方浴室储物柜")</f>
        <v>Ktaxon 马桶上方浴室储物柜</v>
      </c>
      <c r="E1297" s="1" t="str">
        <f>IFERROR(__xludf.DUMMYFUNCTION("CONCATENATE(GOOGLETRANSLATE(C1297, ""en"", ""ko""))"),"Ktaxon 화장실 욕실 보관 캐비닛 위")</f>
        <v>Ktaxon 화장실 욕실 보관 캐비닛 위</v>
      </c>
      <c r="F1297" s="1" t="str">
        <f>IFERROR(__xludf.DUMMYFUNCTION("CONCATENATE(GOOGLETRANSLATE(C1297, ""en"", ""ja""))"),"Ktaxon トイレの上のバスルーム収納キャビネット")</f>
        <v>Ktaxon トイレの上のバスルーム収納キャビネット</v>
      </c>
    </row>
    <row r="1298" ht="15.75" customHeight="1">
      <c r="A1298" s="1">
        <v>6694.0</v>
      </c>
      <c r="B1298" s="1" t="s">
        <v>6</v>
      </c>
      <c r="C1298" s="1" t="s">
        <v>1198</v>
      </c>
      <c r="D1298" s="1" t="str">
        <f>IFERROR(__xludf.DUMMYFUNCTION("CONCATENATE(GOOGLETRANSLATE(C1298, ""en"", ""zh-cn""))
"),"Ktaxon 马桶上方浴室储物空间节省器，独立式浴室柜，带双门和可调节搁板，白色饰面，尺寸：23.63")</f>
        <v>Ktaxon 马桶上方浴室储物空间节省器，独立式浴室柜，带双门和可调节搁板，白色饰面，尺寸：23.63</v>
      </c>
      <c r="E1298" s="1" t="str">
        <f>IFERROR(__xludf.DUMMYFUNCTION("CONCATENATE(GOOGLETRANSLATE(C1298, ""en"", ""ko""))"),"Ktaxon 화장실 위 욕실 보관 공간 보호기, 이중 도어와 조절 가능한 선반이 있는 독립형 욕실 캐비닛, 흰색 마감, 크기: 23.63")</f>
        <v>Ktaxon 화장실 위 욕실 보관 공간 보호기, 이중 도어와 조절 가능한 선반이 있는 독립형 욕실 캐비닛, 흰색 마감, 크기: 23.63</v>
      </c>
      <c r="F1298" s="1" t="str">
        <f>IFERROR(__xludf.DUMMYFUNCTION("CONCATENATE(GOOGLETRANSLATE(C1298, ""en"", ""ja""))"),"Ktaxon トイレの上のバスルーム収納スペースセーバー、両開きドアと調節可能な棚付き自立型バスルームキャビネット、ホワイト仕上げ、サイズ: 23.63")</f>
        <v>Ktaxon トイレの上のバスルーム収納スペースセーバー、両開きドアと調節可能な棚付き自立型バスルームキャビネット、ホワイト仕上げ、サイズ: 23.63</v>
      </c>
    </row>
    <row r="1299" ht="15.75" customHeight="1">
      <c r="A1299" s="1">
        <v>6698.0</v>
      </c>
      <c r="B1299" s="1" t="s">
        <v>6</v>
      </c>
      <c r="C1299" s="1" t="s">
        <v>1199</v>
      </c>
      <c r="D1299" s="1" t="str">
        <f>IFERROR(__xludf.DUMMYFUNCTION("CONCATENATE(GOOGLETRANSLATE(C1299, ""en"", ""zh-cn""))
"),"KTATK 36 英寸浴室柜（不带水槽）")</f>
        <v>KTATK 36 英寸浴室柜（不带水槽）</v>
      </c>
      <c r="E1299" s="1" t="str">
        <f>IFERROR(__xludf.DUMMYFUNCTION("CONCATENATE(GOOGLETRANSLATE(C1299, ""en"", ""ko""))"),"KTATK 36"" 세면대 없는 욕실 세면대")</f>
        <v>KTATK 36" 세면대 없는 욕실 세면대</v>
      </c>
      <c r="F1299" s="1" t="str">
        <f>IFERROR(__xludf.DUMMYFUNCTION("CONCATENATE(GOOGLETRANSLATE(C1299, ""en"", ""ja""))"),"KTATK 36 インチ 洗面化粧台 シンクなし")</f>
        <v>KTATK 36 インチ 洗面化粧台 シンクなし</v>
      </c>
    </row>
    <row r="1300" ht="15.75" customHeight="1">
      <c r="A1300" s="1">
        <v>6707.0</v>
      </c>
      <c r="B1300" s="1" t="s">
        <v>6</v>
      </c>
      <c r="C1300" s="1" t="s">
        <v>1200</v>
      </c>
      <c r="D1300" s="1" t="str">
        <f>IFERROR(__xludf.DUMMYFUNCTION("CONCATENATE(GOOGLETRANSLATE(C1300, ""en"", ""zh-cn""))
"),"Design House Wyndham 24 英寸单人独立式梳妆柜")</f>
        <v>Design House Wyndham 24 英寸单人独立式梳妆柜</v>
      </c>
      <c r="E1300" s="1" t="str">
        <f>IFERROR(__xludf.DUMMYFUNCTION("CONCATENATE(GOOGLETRANSLATE(C1300, ""en"", ""ko""))"),"디자인 하우스 윈덤 24인치 싱글 독립형 화장대 캐비닛")</f>
        <v>디자인 하우스 윈덤 24인치 싱글 독립형 화장대 캐비닛</v>
      </c>
      <c r="F1300" s="1" t="str">
        <f>IFERROR(__xludf.DUMMYFUNCTION("CONCATENATE(GOOGLETRANSLATE(C1300, ""en"", ""ja""))"),"Design House Wyndham 24 インチ シングル自立型洗面化粧台キャビネット")</f>
        <v>Design House Wyndham 24 インチ シングル自立型洗面化粧台キャビネット</v>
      </c>
    </row>
    <row r="1301" ht="15.75" customHeight="1">
      <c r="A1301" s="1">
        <v>6719.0</v>
      </c>
      <c r="B1301" s="1" t="s">
        <v>6</v>
      </c>
      <c r="C1301" s="1" t="s">
        <v>1201</v>
      </c>
      <c r="D1301" s="1" t="str">
        <f>IFERROR(__xludf.DUMMYFUNCTION("CONCATENATE(GOOGLETRANSLATE(C1301, ""en"", ""zh-cn""))
"),"Fluid Master 400a 美标马桶进水阀")</f>
        <v>Fluid Master 400a 美标马桶进水阀</v>
      </c>
      <c r="E1301" s="1" t="str">
        <f>IFERROR(__xludf.DUMMYFUNCTION("CONCATENATE(GOOGLETRANSLATE(C1301, ""en"", ""ko""))"),"미국 표준용 Fluid Master 400a 화장실 물 채우기 밸브")</f>
        <v>미국 표준용 Fluid Master 400a 화장실 물 채우기 밸브</v>
      </c>
      <c r="F1301" s="1" t="str">
        <f>IFERROR(__xludf.DUMMYFUNCTION("CONCATENATE(GOOGLETRANSLATE(C1301, ""en"", ""ja""))"),"アメリカ規格用流体マスター 400a トイレ水充填バルブ")</f>
        <v>アメリカ規格用流体マスター 400a トイレ水充填バルブ</v>
      </c>
    </row>
    <row r="1302" ht="15.75" customHeight="1">
      <c r="A1302" s="1">
        <v>6723.0</v>
      </c>
      <c r="B1302" s="1" t="s">
        <v>6</v>
      </c>
      <c r="C1302" s="1" t="s">
        <v>1202</v>
      </c>
      <c r="D1302" s="1" t="str">
        <f>IFERROR(__xludf.DUMMYFUNCTION("CONCATENATE(GOOGLETRANSLATE(C1302, ""en"", ""zh-cn""))
"),"Fluidmaster PerforMAX 一体化马桶维修套件 400ARHRKP10")</f>
        <v>Fluidmaster PerforMAX 一体化马桶维修套件 400ARHRKP10</v>
      </c>
      <c r="E1302" s="1" t="str">
        <f>IFERROR(__xludf.DUMMYFUNCTION("CONCATENATE(GOOGLETRANSLATE(C1302, ""en"", ""ko""))"),"Fluidmaster PerforMAX 올인원 변기 수리 키트 400ARHRKP10")</f>
        <v>Fluidmaster PerforMAX 올인원 변기 수리 키트 400ARHRKP10</v>
      </c>
      <c r="F1302" s="1" t="str">
        <f>IFERROR(__xludf.DUMMYFUNCTION("CONCATENATE(GOOGLETRANSLATE(C1302, ""en"", ""ja""))"),"Fluidmaster PerforMAX オールインワントイレ修理キット 400ARHRKP10")</f>
        <v>Fluidmaster PerforMAX オールインワントイレ修理キット 400ARHRKP10</v>
      </c>
    </row>
    <row r="1303" ht="15.75" customHeight="1">
      <c r="A1303" s="1">
        <v>6725.0</v>
      </c>
      <c r="B1303" s="1" t="s">
        <v>6</v>
      </c>
      <c r="C1303" s="1" t="s">
        <v>1203</v>
      </c>
      <c r="D1303" s="1" t="str">
        <f>IFERROR(__xludf.DUMMYFUNCTION("CONCATENATE(GOOGLETRANSLATE(C1303, ""en"", ""zh-cn""))
"),"Fluidmaster 比蜡更好 无蜡马桶垫片")</f>
        <v>Fluidmaster 比蜡更好 无蜡马桶垫片</v>
      </c>
      <c r="E1303" s="1" t="str">
        <f>IFERROR(__xludf.DUMMYFUNCTION("CONCATENATE(GOOGLETRANSLATE(C1303, ""en"", ""ko""))"),"왁스 없는 변기 개스킷보다 우수한 Fluidmaster")</f>
        <v>왁스 없는 변기 개스킷보다 우수한 Fluidmaster</v>
      </c>
      <c r="F1303" s="1" t="str">
        <f>IFERROR(__xludf.DUMMYFUNCTION("CONCATENATE(GOOGLETRANSLATE(C1303, ""en"", ""ja""))"),"Fluidmaster はワックスよりも優れています ワックスフリーのトイレ用ガスケット")</f>
        <v>Fluidmaster はワックスよりも優れています ワックスフリーのトイレ用ガスケット</v>
      </c>
    </row>
    <row r="1304" ht="15.75" customHeight="1">
      <c r="A1304" s="1">
        <v>6729.0</v>
      </c>
      <c r="B1304" s="1" t="s">
        <v>6</v>
      </c>
      <c r="C1304" s="1" t="s">
        <v>1204</v>
      </c>
      <c r="D1304" s="1" t="str">
        <f>IFERROR(__xludf.DUMMYFUNCTION("CONCATENATE(GOOGLETRANSLATE(C1304, ""en"", ""zh-cn""))
"),"Fluidmaster 防虹吸填充阀")</f>
        <v>Fluidmaster 防虹吸填充阀</v>
      </c>
      <c r="E1304" s="1" t="str">
        <f>IFERROR(__xludf.DUMMYFUNCTION("CONCATENATE(GOOGLETRANSLATE(C1304, ""en"", ""ko""))"),"Fluidmaster 사이펀 방지 충전 밸브")</f>
        <v>Fluidmaster 사이펀 방지 충전 밸브</v>
      </c>
      <c r="F1304" s="1" t="str">
        <f>IFERROR(__xludf.DUMMYFUNCTION("CONCATENATE(GOOGLETRANSLATE(C1304, ""en"", ""ja""))"),"Fluidmaster アンチサイフォン充填バルブ")</f>
        <v>Fluidmaster アンチサイフォン充填バルブ</v>
      </c>
    </row>
    <row r="1305" ht="15.75" customHeight="1">
      <c r="A1305" s="1">
        <v>6732.0</v>
      </c>
      <c r="B1305" s="1" t="s">
        <v>6</v>
      </c>
      <c r="C1305" s="1" t="s">
        <v>1205</v>
      </c>
      <c r="D1305" s="1" t="str">
        <f>IFERROR(__xludf.DUMMYFUNCTION("CONCATENATE(GOOGLETRANSLATE(C1305, ""en"", ""zh-cn""))
"),"Fluidmaster 550DFRK 双冲洗完整系统")</f>
        <v>Fluidmaster 550DFRK 双冲洗完整系统</v>
      </c>
      <c r="E1305" s="1" t="str">
        <f>IFERROR(__xludf.DUMMYFUNCTION("CONCATENATE(GOOGLETRANSLATE(C1305, ""en"", ""ko""))"),"Fluidmaster 550DFRK 이중 세척 전체 시스템")</f>
        <v>Fluidmaster 550DFRK 이중 세척 전체 시스템</v>
      </c>
      <c r="F1305" s="1" t="str">
        <f>IFERROR(__xludf.DUMMYFUNCTION("CONCATENATE(GOOGLETRANSLATE(C1305, ""en"", ""ja""))"),"Fluidmaster 550DFRK デュアルフラッシュ コンプリート システム")</f>
        <v>Fluidmaster 550DFRK デュアルフラッシュ コンプリート システム</v>
      </c>
    </row>
    <row r="1306" ht="15.75" customHeight="1">
      <c r="A1306" s="1">
        <v>6735.0</v>
      </c>
      <c r="B1306" s="1" t="s">
        <v>6</v>
      </c>
      <c r="C1306" s="1" t="s">
        <v>1206</v>
      </c>
      <c r="D1306" s="1" t="str">
        <f>IFERROR(__xludf.DUMMYFUNCTION("CONCATENATE(GOOGLETRANSLATE(C1306, ""en"", ""zh-cn""))
"),"Fluidmaster 3 英寸双冲洗阀替换件 830V-001")</f>
        <v>Fluidmaster 3 英寸双冲洗阀替换件 830V-001</v>
      </c>
      <c r="E1306" s="1" t="str">
        <f>IFERROR(__xludf.DUMMYFUNCTION("CONCATENATE(GOOGLETRANSLATE(C1306, ""en"", ""ko""))"),"Fluidmaster 3인치 이중 플러시 밸브 교체 830V-001")</f>
        <v>Fluidmaster 3인치 이중 플러시 밸브 교체 830V-001</v>
      </c>
      <c r="F1306" s="1" t="str">
        <f>IFERROR(__xludf.DUMMYFUNCTION("CONCATENATE(GOOGLETRANSLATE(C1306, ""en"", ""ja""))"),"Fluidmaster 3 インチ デュアル フラッシュ バルブ交換用 830V-001")</f>
        <v>Fluidmaster 3 インチ デュアル フラッシュ バルブ交換用 830V-001</v>
      </c>
    </row>
    <row r="1307" ht="15.75" customHeight="1">
      <c r="A1307" s="1">
        <v>6740.0</v>
      </c>
      <c r="B1307" s="1" t="s">
        <v>6</v>
      </c>
      <c r="C1307" s="1" t="s">
        <v>1207</v>
      </c>
      <c r="D1307" s="1" t="str">
        <f>IFERROR(__xludf.DUMMYFUNCTION("CONCATENATE(GOOGLETRANSLATE(C1307, ""en"", ""zh-cn""))
"),"Fluidmaster 双冲水 550DFR")</f>
        <v>Fluidmaster 双冲水 550DFR</v>
      </c>
      <c r="E1307" s="1" t="str">
        <f>IFERROR(__xludf.DUMMYFUNCTION("CONCATENATE(GOOGLETRANSLATE(C1307, ""en"", ""ko""))"),"Fluidmaster Duo 플러시 550DFR")</f>
        <v>Fluidmaster Duo 플러시 550DFR</v>
      </c>
      <c r="F1307" s="1" t="str">
        <f>IFERROR(__xludf.DUMMYFUNCTION("CONCATENATE(GOOGLETRANSLATE(C1307, ""en"", ""ja""))"),"フルイドマスター デュオ フラッシュ 550DFR")</f>
        <v>フルイドマスター デュオ フラッシュ 550DFR</v>
      </c>
    </row>
    <row r="1308" ht="15.75" customHeight="1">
      <c r="A1308" s="1">
        <v>6753.0</v>
      </c>
      <c r="B1308" s="1" t="s">
        <v>6</v>
      </c>
      <c r="C1308" s="1" t="s">
        <v>1208</v>
      </c>
      <c r="D1308" s="1" t="str">
        <f>IFERROR(__xludf.DUMMYFUNCTION("CONCATENATE(GOOGLETRANSLATE(C1308, ""en"", ""zh-cn""))
"),"Fluidmaster PRO45BW501 黄铜柄填充阀和挡板套件")</f>
        <v>Fluidmaster PRO45BW501 黄铜柄填充阀和挡板套件</v>
      </c>
      <c r="E1308" s="1" t="str">
        <f>IFERROR(__xludf.DUMMYFUNCTION("CONCATENATE(GOOGLETRANSLATE(C1308, ""en"", ""ko""))"),"Fluidmaster PRO45BW501 황동 생크 충전 밸브 및 플래퍼 키트")</f>
        <v>Fluidmaster PRO45BW501 황동 생크 충전 밸브 및 플래퍼 키트</v>
      </c>
      <c r="F1308" s="1" t="str">
        <f>IFERROR(__xludf.DUMMYFUNCTION("CONCATENATE(GOOGLETRANSLATE(C1308, ""en"", ""ja""))"),"Fluidmaster PRO45BW501 真鍮シャンクフィルバルブおよびフラッパーキット")</f>
        <v>Fluidmaster PRO45BW501 真鍮シャンクフィルバルブおよびフラッパーキット</v>
      </c>
    </row>
    <row r="1309" ht="15.75" customHeight="1">
      <c r="A1309" s="1">
        <v>6761.0</v>
      </c>
      <c r="B1309" s="1" t="s">
        <v>6</v>
      </c>
      <c r="C1309" s="1" t="s">
        <v>1209</v>
      </c>
      <c r="D1309" s="1" t="str">
        <f>IFERROR(__xludf.DUMMYFUNCTION("CONCATENATE(GOOGLETRANSLATE(C1309, ""en"", ""zh-cn""))
"),"Brita On Tap 水龙头滤水系统")</f>
        <v>Brita On Tap 水龙头滤水系统</v>
      </c>
      <c r="E1309" s="1" t="str">
        <f>IFERROR(__xludf.DUMMYFUNCTION("CONCATENATE(GOOGLETRANSLATE(C1309, ""en"", ""ko""))"),"Brita On Tap 수전 정수 필터 시스템")</f>
        <v>Brita On Tap 수전 정수 필터 시스템</v>
      </c>
      <c r="F1309" s="1" t="str">
        <f>IFERROR(__xludf.DUMMYFUNCTION("CONCATENATE(GOOGLETRANSLATE(C1309, ""en"", ""ja""))"),"Brita オンタップ蛇口水フィルターシステム")</f>
        <v>Brita オンタップ蛇口水フィルターシステム</v>
      </c>
    </row>
    <row r="1310" ht="15.75" customHeight="1">
      <c r="A1310" s="1">
        <v>6768.0</v>
      </c>
      <c r="B1310" s="1" t="s">
        <v>6</v>
      </c>
      <c r="C1310" s="1" t="s">
        <v>1210</v>
      </c>
      <c r="D1310" s="1" t="str">
        <f>IFERROR(__xludf.DUMMYFUNCTION("CONCATENATE(GOOGLETRANSLATE(C1310, ""en"", ""zh-cn""))
"),"Brita UltraMax 18 杯饮水机")</f>
        <v>Brita UltraMax 18 杯饮水机</v>
      </c>
      <c r="E1310" s="1" t="str">
        <f>IFERROR(__xludf.DUMMYFUNCTION("CONCATENATE(GOOGLETRANSLATE(C1310, ""en"", ""ko""))"),"브리타 울트라맥스 18컵 워터 디스펜서")</f>
        <v>브리타 울트라맥스 18컵 워터 디스펜서</v>
      </c>
      <c r="F1310" s="1" t="str">
        <f>IFERROR(__xludf.DUMMYFUNCTION("CONCATENATE(GOOGLETRANSLATE(C1310, ""en"", ""ja""))"),"Brita UltraMax 18カップ ウォーターディスペンサー")</f>
        <v>Brita UltraMax 18カップ ウォーターディスペンサー</v>
      </c>
    </row>
    <row r="1311" ht="15.75" customHeight="1">
      <c r="A1311" s="1">
        <v>6783.0</v>
      </c>
      <c r="B1311" s="1" t="s">
        <v>6</v>
      </c>
      <c r="C1311" s="1" t="s">
        <v>1211</v>
      </c>
      <c r="D1311" s="1" t="str">
        <f>IFERROR(__xludf.DUMMYFUNCTION("CONCATENATE(GOOGLETRANSLATE(C1311, ""en"", ""zh-cn""))
"),"Brita 基本水龙头安装水过滤系统")</f>
        <v>Brita 基本水龙头安装水过滤系统</v>
      </c>
      <c r="E1311" s="1" t="str">
        <f>IFERROR(__xludf.DUMMYFUNCTION("CONCATENATE(GOOGLETRANSLATE(C1311, ""en"", ""ko""))"),"브리타 기본 수전 장착 정수 시스템")</f>
        <v>브리타 기본 수전 장착 정수 시스템</v>
      </c>
      <c r="F1311" s="1" t="str">
        <f>IFERROR(__xludf.DUMMYFUNCTION("CONCATENATE(GOOGLETRANSLATE(C1311, ""en"", ""ja""))"),"Brita ベーシック蛇口マウント水ろ過システム")</f>
        <v>Brita ベーシック蛇口マウント水ろ過システム</v>
      </c>
    </row>
    <row r="1312" ht="15.75" customHeight="1">
      <c r="A1312" s="1">
        <v>6793.0</v>
      </c>
      <c r="B1312" s="1" t="s">
        <v>6</v>
      </c>
      <c r="C1312" s="1" t="s">
        <v>1212</v>
      </c>
      <c r="D1312" s="1" t="str">
        <f>IFERROR(__xludf.DUMMYFUNCTION("CONCATENATE(GOOGLETRANSLATE(C1312, ""en"", ""zh-cn""))
"),"Brita 完整水龙头过滤系统，带指示灯 (42201CT)")</f>
        <v>Brita 完整水龙头过滤系统，带指示灯 (42201CT)</v>
      </c>
      <c r="E1312" s="1" t="str">
        <f>IFERROR(__xludf.DUMMYFUNCTION("CONCATENATE(GOOGLETRANSLATE(C1312, ""en"", ""ko""))"),"브리타 완전한 수도꼭지 여과 시스템(표시등 포함)(42201CT)")</f>
        <v>브리타 완전한 수도꼭지 여과 시스템(표시등 포함)(42201CT)</v>
      </c>
      <c r="F1312" s="1" t="str">
        <f>IFERROR(__xludf.DUMMYFUNCTION("CONCATENATE(GOOGLETRANSLATE(C1312, ""en"", ""ja""))"),"Brita 完全水栓濾過システム ライトインジケーター付き (42201CT)")</f>
        <v>Brita 完全水栓濾過システム ライトインジケーター付き (42201CT)</v>
      </c>
    </row>
    <row r="1313" ht="15.75" customHeight="1">
      <c r="A1313" s="1">
        <v>6794.0</v>
      </c>
      <c r="B1313" s="1" t="s">
        <v>6</v>
      </c>
      <c r="C1313" s="1" t="s">
        <v>1213</v>
      </c>
      <c r="D1313" s="1" t="str">
        <f>IFERROR(__xludf.DUMMYFUNCTION("CONCATENATE(GOOGLETRANSLATE(C1313, ""en"", ""zh-cn""))
"),"Brita 日常滤水器带过滤器")</f>
        <v>Brita 日常滤水器带过滤器</v>
      </c>
      <c r="E1313" s="1" t="str">
        <f>IFERROR(__xludf.DUMMYFUNCTION("CONCATENATE(GOOGLETRANSLATE(C1313, ""en"", ""ko""))"),"브리타 에브리데이 정수기 피처(필터 포함)")</f>
        <v>브리타 에브리데이 정수기 피처(필터 포함)</v>
      </c>
      <c r="F1313" s="1" t="str">
        <f>IFERROR(__xludf.DUMMYFUNCTION("CONCATENATE(GOOGLETRANSLATE(C1313, ""en"", ""ja""))"),"ブリタ エブリデイウォーターフィルターピッチャー フィルター付き")</f>
        <v>ブリタ エブリデイウォーターフィルターピッチャー フィルター付き</v>
      </c>
    </row>
    <row r="1314" ht="15.75" customHeight="1">
      <c r="A1314" s="1">
        <v>6800.0</v>
      </c>
      <c r="B1314" s="1" t="s">
        <v>6</v>
      </c>
      <c r="C1314" s="1" t="s">
        <v>1214</v>
      </c>
      <c r="D1314" s="1" t="str">
        <f>IFERROR(__xludf.DUMMYFUNCTION("CONCATENATE(GOOGLETRANSLATE(C1314, ""en"", ""zh-cn""))
"),"PUR 终极 11 杯水壶")</f>
        <v>PUR 终极 11 杯水壶</v>
      </c>
      <c r="E1314" s="1" t="str">
        <f>IFERROR(__xludf.DUMMYFUNCTION("CONCATENATE(GOOGLETRANSLATE(C1314, ""en"", ""ko""))"),"PUR 얼티밋 11컵 피처")</f>
        <v>PUR 얼티밋 11컵 피처</v>
      </c>
      <c r="F1314" s="1" t="str">
        <f>IFERROR(__xludf.DUMMYFUNCTION("CONCATENATE(GOOGLETRANSLATE(C1314, ""en"", ""ja""))"),"PUR 究極の 11 カップ投手")</f>
        <v>PUR 究極の 11 カップ投手</v>
      </c>
    </row>
    <row r="1315" ht="15.75" customHeight="1">
      <c r="A1315" s="1">
        <v>6804.0</v>
      </c>
      <c r="B1315" s="1" t="s">
        <v>6</v>
      </c>
      <c r="C1315" s="1" t="s">
        <v>1215</v>
      </c>
      <c r="D1315" s="1" t="str">
        <f>IFERROR(__xludf.DUMMYFUNCTION("CONCATENATE(GOOGLETRANSLATE(C1315, ""en"", ""zh-cn""))
"),"PUR XL 44 杯滤水器，带 2 个正品 PUR 过滤器")</f>
        <v>PUR XL 44 杯滤水器，带 2 个正品 PUR 过滤器</v>
      </c>
      <c r="E1315" s="1" t="str">
        <f>IFERROR(__xludf.DUMMYFUNCTION("CONCATENATE(GOOGLETRANSLATE(C1315, ""en"", ""ko""))"),"PUR XL 44컵 정수 필터 디스펜서(정품 PUR 필터 2개 포함)")</f>
        <v>PUR XL 44컵 정수 필터 디스펜서(정품 PUR 필터 2개 포함)</v>
      </c>
      <c r="F1315" s="1" t="str">
        <f>IFERROR(__xludf.DUMMYFUNCTION("CONCATENATE(GOOGLETRANSLATE(C1315, ""en"", ""ja""))"),"PUR XL 44 カップ ウォーター フィルター ディスペンサー、純正 PUR フィルター 2 個付き")</f>
        <v>PUR XL 44 カップ ウォーター フィルター ディスペンサー、純正 PUR フィルター 2 個付き</v>
      </c>
    </row>
    <row r="1316" ht="15.75" customHeight="1">
      <c r="A1316" s="1">
        <v>6825.0</v>
      </c>
      <c r="B1316" s="1" t="s">
        <v>6</v>
      </c>
      <c r="C1316" s="1" t="s">
        <v>1216</v>
      </c>
      <c r="D1316" s="1" t="str">
        <f>IFERROR(__xludf.DUMMYFUNCTION("CONCATENATE(GOOGLETRANSLATE(C1316, ""en"", ""zh-cn""))
"),"PUR Plus 水罐替换过滤器 3 件装")</f>
        <v>PUR Plus 水罐替换过滤器 3 件装</v>
      </c>
      <c r="E1316" s="1" t="str">
        <f>IFERROR(__xludf.DUMMYFUNCTION("CONCATENATE(GOOGLETRANSLATE(C1316, ""en"", ""ko""))"),"PUR 플러스 물 주전자 교체 필터 3팩")</f>
        <v>PUR 플러스 물 주전자 교체 필터 3팩</v>
      </c>
      <c r="F1316" s="1" t="str">
        <f>IFERROR(__xludf.DUMMYFUNCTION("CONCATENATE(GOOGLETRANSLATE(C1316, ""en"", ""ja""))"),"PUR Plus ウォーターピッチャー交換フィルター 3本パック")</f>
        <v>PUR Plus ウォーターピッチャー交換フィルター 3本パック</v>
      </c>
    </row>
    <row r="1317" ht="15.75" customHeight="1">
      <c r="A1317" s="1">
        <v>6826.0</v>
      </c>
      <c r="B1317" s="1" t="s">
        <v>6</v>
      </c>
      <c r="C1317" s="1" t="s">
        <v>1217</v>
      </c>
      <c r="D1317" s="1" t="str">
        <f>IFERROR(__xludf.DUMMYFUNCTION("CONCATENATE(GOOGLETRANSLATE(C1317, ""en"", ""zh-cn""))
"),"6 件装水过滤器替换件，适用于 Pur 水过滤器水龙头，Pur RF-9999，与所有 Pur 水龙头安装过滤系统兼容，经 NSF 认证")</f>
        <v>6 件装水过滤器替换件，适用于 Pur 水过滤器水龙头，Pur RF-9999，与所有 Pur 水龙头安装过滤系统兼容，经 NSF 认证</v>
      </c>
      <c r="E1317" s="1" t="str">
        <f>IFERROR(__xludf.DUMMYFUNCTION("CONCATENATE(GOOGLETRANSLATE(C1317, ""en"", ""ko""))"),"Pur 정수 필터 수도꼭지용 6팩 정수 필터 교체, Pur RF-9999, 모든 Pur 수도꼭지 마운트 여과 시스템과 호환, NSF 인증")</f>
        <v>Pur 정수 필터 수도꼭지용 6팩 정수 필터 교체, Pur RF-9999, 모든 Pur 수도꼭지 마운트 여과 시스템과 호환, NSF 인증</v>
      </c>
      <c r="F1317" s="1" t="str">
        <f>IFERROR(__xludf.DUMMYFUNCTION("CONCATENATE(GOOGLETRANSLATE(C1317, ""en"", ""ja""))"),"Pur ウォーターフィルター蛇口用交換用水フィルター 6 個パック、Pur RF-9999、すべての Pur 蛇口マウント濾過システムと互換性あり、NSF 認定")</f>
        <v>Pur ウォーターフィルター蛇口用交換用水フィルター 6 個パック、Pur RF-9999、すべての Pur 蛇口マウント濾過システムと互換性あり、NSF 認定</v>
      </c>
    </row>
    <row r="1318" ht="15.75" customHeight="1">
      <c r="A1318" s="1">
        <v>6841.0</v>
      </c>
      <c r="B1318" s="1" t="s">
        <v>6</v>
      </c>
      <c r="C1318" s="1" t="s">
        <v>1218</v>
      </c>
      <c r="D1318" s="1" t="str">
        <f>IFERROR(__xludf.DUMMYFUNCTION("CONCATENATE(GOOGLETRANSLATE(C1318, ""en"", ""zh-cn""))
"),"Equate 男士毛发再生治疗")</f>
        <v>Equate 男士毛发再生治疗</v>
      </c>
      <c r="E1318" s="1" t="str">
        <f>IFERROR(__xludf.DUMMYFUNCTION("CONCATENATE(GOOGLETRANSLATE(C1318, ""en"", ""ko""))"),"남성 모발 재성장 치료 Equate")</f>
        <v>남성 모발 재성장 치료 Equate</v>
      </c>
      <c r="F1318" s="1" t="str">
        <f>IFERROR(__xludf.DUMMYFUNCTION("CONCATENATE(GOOGLETRANSLATE(C1318, ""en"", ""ja""))"),"エクエイト メンズ 育毛トリートメント")</f>
        <v>エクエイト メンズ 育毛トリートメント</v>
      </c>
    </row>
    <row r="1319" ht="15.75" customHeight="1">
      <c r="A1319" s="1">
        <v>6867.0</v>
      </c>
      <c r="B1319" s="1" t="s">
        <v>6</v>
      </c>
      <c r="C1319" s="1" t="s">
        <v>1219</v>
      </c>
      <c r="D1319" s="1" t="str">
        <f>IFERROR(__xludf.DUMMYFUNCTION("CONCATENATE(GOOGLETRANSLATE(C1319, ""en"", ""zh-cn""))
"),"Equate Vision Formula 50+ 软胶囊")</f>
        <v>Equate Vision Formula 50+ 软胶囊</v>
      </c>
      <c r="E1319" s="1" t="str">
        <f>IFERROR(__xludf.DUMMYFUNCTION("CONCATENATE(GOOGLETRANSLATE(C1319, ""en"", ""ko""))"),"Equate Vision Formula 50+ 소프트젤")</f>
        <v>Equate Vision Formula 50+ 소프트젤</v>
      </c>
      <c r="F1319" s="1" t="str">
        <f>IFERROR(__xludf.DUMMYFUNCTION("CONCATENATE(GOOGLETRANSLATE(C1319, ""en"", ""ja""))"),"エクエイト ビジョン フォーミュラ 50+ ソフトジェル")</f>
        <v>エクエイト ビジョン フォーミュラ 50+ ソフトジェル</v>
      </c>
    </row>
    <row r="1320" ht="15.75" customHeight="1">
      <c r="A1320" s="1">
        <v>6869.0</v>
      </c>
      <c r="B1320" s="1" t="s">
        <v>6</v>
      </c>
      <c r="C1320" s="1" t="s">
        <v>1220</v>
      </c>
      <c r="D1320" s="1" t="str">
        <f>IFERROR(__xludf.DUMMYFUNCTION("CONCATENATE(GOOGLETRANSLATE(C1320, ""en"", ""zh-cn""))
"),"Equate Beauty无油深层清洁水杨酸收敛水")</f>
        <v>Equate Beauty无油深层清洁水杨酸收敛水</v>
      </c>
      <c r="E1320" s="1" t="str">
        <f>IFERROR(__xludf.DUMMYFUNCTION("CONCATENATE(GOOGLETRANSLATE(C1320, ""en"", ""ko""))"),"Equate Beauty 오일프리 딥 클리닝 살리실산 수렴제")</f>
        <v>Equate Beauty 오일프리 딥 클리닝 살리실산 수렴제</v>
      </c>
      <c r="F1320" s="1" t="str">
        <f>IFERROR(__xludf.DUMMYFUNCTION("CONCATENATE(GOOGLETRANSLATE(C1320, ""en"", ""ja""))"),"Equate Beauty オイルフリーディープクリーニング サリチル酸収斂剤")</f>
        <v>Equate Beauty オイルフリーディープクリーニング サリチル酸収斂剤</v>
      </c>
    </row>
    <row r="1321" ht="15.75" customHeight="1">
      <c r="A1321" s="1">
        <v>6886.0</v>
      </c>
      <c r="B1321" s="1" t="s">
        <v>6</v>
      </c>
      <c r="C1321" s="1" t="s">
        <v>1221</v>
      </c>
      <c r="D1321" s="1" t="str">
        <f>IFERROR(__xludf.DUMMYFUNCTION("CONCATENATE(GOOGLETRANSLATE(C1321, ""en"", ""zh-cn""))
"),"Hi Pro Pac 角蛋白防毛躁头发强效蛋白质护理")</f>
        <v>Hi Pro Pac 角蛋白防毛躁头发强效蛋白质护理</v>
      </c>
      <c r="E1321" s="1" t="str">
        <f>IFERROR(__xludf.DUMMYFUNCTION("CONCATENATE(GOOGLETRANSLATE(C1321, ""en"", ""ko""))"),"하이프로팩 ​​케라틴 프로틴 곱슬거림 없는 헤어 인텐스 프로틴 트리트먼트")</f>
        <v>하이프로팩 ​​케라틴 프로틴 곱슬거림 없는 헤어 인텐스 프로틴 트리트먼트</v>
      </c>
      <c r="F1321" s="1" t="str">
        <f>IFERROR(__xludf.DUMMYFUNCTION("CONCATENATE(GOOGLETRANSLATE(C1321, ""en"", ""ja""))"),"Hi Pro Pac ケラチン プロテイン 縮れ防止ヘア インテンス プロテイン トリートメント")</f>
        <v>Hi Pro Pac ケラチン プロテイン 縮れ防止ヘア インテンス プロテイン トリートメント</v>
      </c>
    </row>
    <row r="1322" ht="15.75" customHeight="1">
      <c r="A1322" s="1">
        <v>6901.0</v>
      </c>
      <c r="B1322" s="1" t="s">
        <v>6</v>
      </c>
      <c r="C1322" s="1" t="s">
        <v>1222</v>
      </c>
      <c r="D1322" s="1" t="str">
        <f>IFERROR(__xludf.DUMMYFUNCTION("CONCATENATE(GOOGLETRANSLATE(C1322, ""en"", ""zh-cn""))
"),"Hi Pro Pac 头发抛光护理")</f>
        <v>Hi Pro Pac 头发抛光护理</v>
      </c>
      <c r="E1322" s="1" t="str">
        <f>IFERROR(__xludf.DUMMYFUNCTION("CONCATENATE(GOOGLETRANSLATE(C1322, ""en"", ""ko""))"),"하이프로팩 ​​헤어 폴리싱 트리트먼트")</f>
        <v>하이프로팩 ​​헤어 폴리싱 트리트먼트</v>
      </c>
      <c r="F1322" s="1" t="str">
        <f>IFERROR(__xludf.DUMMYFUNCTION("CONCATENATE(GOOGLETRANSLATE(C1322, ""en"", ""ja""))"),"ハイプロパック ヘアポリッシュトリートメント")</f>
        <v>ハイプロパック ヘアポリッシュトリートメント</v>
      </c>
    </row>
    <row r="1323" ht="15.75" customHeight="1">
      <c r="A1323" s="1">
        <v>6925.0</v>
      </c>
      <c r="B1323" s="1" t="s">
        <v>6</v>
      </c>
      <c r="C1323" s="1" t="s">
        <v>1223</v>
      </c>
      <c r="D1323" s="1" t="str">
        <f>IFERROR(__xludf.DUMMYFUNCTION("CONCATENATE(GOOGLETRANSLATE(C1323, ""en"", ""zh-cn""))
"),"露得清透明防御快速凝胶")</f>
        <v>露得清透明防御快速凝胶</v>
      </c>
      <c r="E1323" s="1" t="str">
        <f>IFERROR(__xludf.DUMMYFUNCTION("CONCATENATE(GOOGLETRANSLATE(C1323, ""en"", ""ko""))"),"뉴트로지나 클리어 앤 디펜드 래피드 젤")</f>
        <v>뉴트로지나 클리어 앤 디펜드 래피드 젤</v>
      </c>
      <c r="F1323" s="1" t="str">
        <f>IFERROR(__xludf.DUMMYFUNCTION("CONCATENATE(GOOGLETRANSLATE(C1323, ""en"", ""ja""))"),"ニュートロジーナ クリア＆ディフェンド ラピッドジェル")</f>
        <v>ニュートロジーナ クリア＆ディフェンド ラピッドジェル</v>
      </c>
    </row>
    <row r="1324" ht="15.75" customHeight="1">
      <c r="A1324" s="1">
        <v>6932.0</v>
      </c>
      <c r="B1324" s="1" t="s">
        <v>6</v>
      </c>
      <c r="C1324" s="1" t="s">
        <v>1224</v>
      </c>
      <c r="D1324" s="1" t="str">
        <f>IFERROR(__xludf.DUMMYFUNCTION("CONCATENATE(GOOGLETRANSLATE(C1324, ""en"", ""zh-cn""))
"),"露得清强效修复积雪草膏")</f>
        <v>露得清强效修复积雪草膏</v>
      </c>
      <c r="E1324" s="1" t="str">
        <f>IFERROR(__xludf.DUMMYFUNCTION("CONCATENATE(GOOGLETRANSLATE(C1324, ""en"", ""ko""))"),"뉴트로지나 인텐스 리페어 시카 밤")</f>
        <v>뉴트로지나 인텐스 리페어 시카 밤</v>
      </c>
      <c r="F1324" s="1" t="str">
        <f>IFERROR(__xludf.DUMMYFUNCTION("CONCATENATE(GOOGLETRANSLATE(C1324, ""en"", ""ja""))"),"ニュートロジーナ インテンスリペア シカバーム")</f>
        <v>ニュートロジーナ インテンスリペア シカバーム</v>
      </c>
    </row>
    <row r="1325" ht="15.75" customHeight="1">
      <c r="A1325" s="1">
        <v>6951.0</v>
      </c>
      <c r="B1325" s="1" t="s">
        <v>6</v>
      </c>
      <c r="C1325" s="1" t="s">
        <v>1225</v>
      </c>
      <c r="D1325" s="1" t="str">
        <f>IFERROR(__xludf.DUMMYFUNCTION("CONCATENATE(GOOGLETRANSLATE(C1325, ""en"", ""zh-cn""))
"),"露得清非常干燥和受损的脚霜")</f>
        <v>露得清非常干燥和受损的脚霜</v>
      </c>
      <c r="E1325" s="1" t="str">
        <f>IFERROR(__xludf.DUMMYFUNCTION("CONCATENATE(GOOGLETRANSLATE(C1325, ""en"", ""ko""))"),"뉴트로지나 베리 드라이 앤 데미지 피트 크림")</f>
        <v>뉴트로지나 베리 드라이 앤 데미지 피트 크림</v>
      </c>
      <c r="F1325" s="1" t="str">
        <f>IFERROR(__xludf.DUMMYFUNCTION("CONCATENATE(GOOGLETRANSLATE(C1325, ""en"", ""ja""))"),"ニュートロジーナ ベリードライ＆ダメージフィートクリーム")</f>
        <v>ニュートロジーナ ベリードライ＆ダメージフィートクリーム</v>
      </c>
    </row>
    <row r="1326" ht="15.75" customHeight="1">
      <c r="A1326" s="1">
        <v>6952.0</v>
      </c>
      <c r="B1326" s="1" t="s">
        <v>6</v>
      </c>
      <c r="C1326" s="1" t="s">
        <v>1226</v>
      </c>
      <c r="D1326" s="1" t="str">
        <f>IFERROR(__xludf.DUMMYFUNCTION("CONCATENATE(GOOGLETRANSLATE(C1326, ""en"", ""zh-cn""))
"),"露得清痤疮 AM 治疗，2 盎司 - 每箱 12 颗")</f>
        <v>露得清痤疮 AM 治疗，2 盎司 - 每箱 12 颗</v>
      </c>
      <c r="E1326" s="1" t="str">
        <f>IFERROR(__xludf.DUMMYFUNCTION("CONCATENATE(GOOGLETRANSLATE(C1326, ""en"", ""ko""))"),"뉴트로지나 아크네 AM 트리트먼트, 2온스 - 케이스당 12개")</f>
        <v>뉴트로지나 아크네 AM 트리트먼트, 2온스 - 케이스당 12개</v>
      </c>
      <c r="F1326" s="1" t="str">
        <f>IFERROR(__xludf.DUMMYFUNCTION("CONCATENATE(GOOGLETRANSLATE(C1326, ""en"", ""ja""))"),"ニュートロジーナ アクネ AM トリートメント、2 オンス -- 1 ケースあたり 12 個")</f>
        <v>ニュートロジーナ アクネ AM トリートメント、2 オンス -- 1 ケースあたり 12 個</v>
      </c>
    </row>
    <row r="1327" ht="15.75" customHeight="1">
      <c r="A1327" s="1">
        <v>6953.0</v>
      </c>
      <c r="B1327" s="1" t="s">
        <v>6</v>
      </c>
      <c r="C1327" s="1" t="s">
        <v>1227</v>
      </c>
      <c r="D1327" s="1" t="str">
        <f>IFERROR(__xludf.DUMMYFUNCTION("CONCATENATE(GOOGLETRANSLATE(C1327, ""en"", ""zh-cn""))
"),"露得清 Hydro Boost 保湿晚面膜")</f>
        <v>露得清 Hydro Boost 保湿晚面膜</v>
      </c>
      <c r="E1327" s="1" t="str">
        <f>IFERROR(__xludf.DUMMYFUNCTION("CONCATENATE(GOOGLETRANSLATE(C1327, ""en"", ""ko""))"),"뉴트로지나 하이드로 부스트 모이스처라이징 나이트 마스크")</f>
        <v>뉴트로지나 하이드로 부스트 모이스처라이징 나이트 마스크</v>
      </c>
      <c r="F1327" s="1" t="str">
        <f>IFERROR(__xludf.DUMMYFUNCTION("CONCATENATE(GOOGLETRANSLATE(C1327, ""en"", ""ja""))"),"ニュートロジーナ ハイドロ ブースト モイスチャライジング ナイト マスク")</f>
        <v>ニュートロジーナ ハイドロ ブースト モイスチャライジング ナイト マスク</v>
      </c>
    </row>
    <row r="1328" ht="15.75" customHeight="1">
      <c r="A1328" s="1">
        <v>6958.0</v>
      </c>
      <c r="B1328" s="1" t="s">
        <v>6</v>
      </c>
      <c r="C1328" s="1" t="s">
        <v>1031</v>
      </c>
      <c r="D1328" s="1" t="str">
        <f>IFERROR(__xludf.DUMMYFUNCTION("CONCATENATE(GOOGLETRANSLATE(C1328, ""en"", ""zh-cn""))
"),"Hi Pro Pac 乳木果油保湿面膜")</f>
        <v>Hi Pro Pac 乳木果油保湿面膜</v>
      </c>
      <c r="E1328" s="1" t="str">
        <f>IFERROR(__xludf.DUMMYFUNCTION("CONCATENATE(GOOGLETRANSLATE(C1328, ""en"", ""ko""))"),"하이프로팩 ​​시어버터 모이스처 마스크")</f>
        <v>하이프로팩 ​​시어버터 모이스처 마스크</v>
      </c>
      <c r="F1328" s="1" t="str">
        <f>IFERROR(__xludf.DUMMYFUNCTION("CONCATENATE(GOOGLETRANSLATE(C1328, ""en"", ""ja""))"),"ハイプロパック シアバターモイスチャーマスク")</f>
        <v>ハイプロパック シアバターモイスチャーマスク</v>
      </c>
    </row>
    <row r="1329" ht="15.75" customHeight="1">
      <c r="A1329" s="1">
        <v>3160.0</v>
      </c>
      <c r="B1329" s="1" t="s">
        <v>51</v>
      </c>
      <c r="C1329" s="1" t="s">
        <v>1228</v>
      </c>
      <c r="D1329" s="1" t="str">
        <f>IFERROR(__xludf.DUMMYFUNCTION("CONCATENATE(GOOGLETRANSLATE(C1329, ""en"", ""zh-cn""))
"),"1 件推泡泡感官玩具蝴蝶形状抗压烦躁玩具缓解器有趣的教育益智玩具成人儿童创意礼物")</f>
        <v>1 件推泡泡感官玩具蝴蝶形状抗压烦躁玩具缓解器有趣的教育益智玩具成人儿童创意礼物</v>
      </c>
      <c r="E1329" s="1" t="str">
        <f>IFERROR(__xludf.DUMMYFUNCTION("CONCATENATE(GOOGLETRANSLATE(C1329, ""en"", ""ko""))"),"1pc 푸시 버블 감각 장난감 나비 모양 안티 스트레스 Fidget 장난감 릴리버 성인을위한 재미있는 교육 퍼즐 장난감 어린이 크리 에이 티브 선물")</f>
        <v>1pc 푸시 버블 감각 장난감 나비 모양 안티 스트레스 Fidget 장난감 릴리버 성인을위한 재미있는 교육 퍼즐 장난감 어린이 크리 에이 티브 선물</v>
      </c>
      <c r="F1329" s="1" t="str">
        <f>IFERROR(__xludf.DUMMYFUNCTION("CONCATENATE(GOOGLETRANSLATE(C1329, ""en"", ""ja""))"),"1pc プッシュバブル感覚おもちゃ蝶の形の抗ストレスフィジェットおもちゃ緩和剤おかしい教育パズルのおもちゃ大人子供のためのクリエイティブギフト")</f>
        <v>1pc プッシュバブル感覚おもちゃ蝶の形の抗ストレスフィジェットおもちゃ緩和剤おかしい教育パズルのおもちゃ大人子供のためのクリエイティブギフト</v>
      </c>
    </row>
    <row r="1330" ht="15.75" customHeight="1">
      <c r="A1330" s="1">
        <v>3229.0</v>
      </c>
      <c r="B1330" s="1" t="s">
        <v>6</v>
      </c>
      <c r="C1330" s="1" t="s">
        <v>1229</v>
      </c>
      <c r="D1330" s="1" t="str">
        <f>IFERROR(__xludf.DUMMYFUNCTION("CONCATENATE(GOOGLETRANSLATE(C1330, ""en"", ""zh-cn""))
"),"Jura E8 自动咖啡机（钢琴黑）套装带玻璃奶盒（2 件）")</f>
        <v>Jura E8 自动咖啡机（钢琴黑）套装带玻璃奶盒（2 件）</v>
      </c>
      <c r="E1330" s="1" t="str">
        <f>IFERROR(__xludf.DUMMYFUNCTION("CONCATENATE(GOOGLETRANSLATE(C1330, ""en"", ""ko""))"),"Jura E8 자동 커피머신(피아노 블랙) 유리 우유 용기 번들(2개 품목)")</f>
        <v>Jura E8 자동 커피머신(피아노 블랙) 유리 우유 용기 번들(2개 품목)</v>
      </c>
      <c r="F1330" s="1" t="str">
        <f>IFERROR(__xludf.DUMMYFUNCTION("CONCATENATE(GOOGLETRANSLATE(C1330, ""en"", ""ja""))"),"Jura E8 自動コーヒーマシン (ピアノブラック) ガラスミルクコンテナ付きバンドル (2 アイテム)")</f>
        <v>Jura E8 自動コーヒーマシン (ピアノブラック) ガラスミルクコンテナ付きバンドル (2 アイテム)</v>
      </c>
    </row>
    <row r="1331" ht="15.75" customHeight="1">
      <c r="A1331" s="1">
        <v>3243.0</v>
      </c>
      <c r="B1331" s="1" t="s">
        <v>6</v>
      </c>
      <c r="C1331" s="1" t="s">
        <v>1230</v>
      </c>
      <c r="D1331" s="1" t="str">
        <f>IFERROR(__xludf.DUMMYFUNCTION("CONCATENATE(GOOGLETRANSLATE(C1331, ""en"", ""zh-cn""))
"),"Breville BES980XL Oracle 浓缩咖啡机，拉丝不锈钢")</f>
        <v>Breville BES980XL Oracle 浓缩咖啡机，拉丝不锈钢</v>
      </c>
      <c r="E1331" s="1" t="str">
        <f>IFERROR(__xludf.DUMMYFUNCTION("CONCATENATE(GOOGLETRANSLATE(C1331, ""en"", ""ko""))"),"Breville BES980XL 오라클 에스프레소 머신, 브러시드 스테인레스 스틸")</f>
        <v>Breville BES980XL 오라클 에스프레소 머신, 브러시드 스테인레스 스틸</v>
      </c>
      <c r="F1331" s="1" t="str">
        <f>IFERROR(__xludf.DUMMYFUNCTION("CONCATENATE(GOOGLETRANSLATE(C1331, ""en"", ""ja""))"),"Breville BES980XL Oracle エスプレッソ マシン、つや消しステンレス鋼")</f>
        <v>Breville BES980XL Oracle エスプレッソ マシン、つや消しステンレス鋼</v>
      </c>
    </row>
    <row r="1332" ht="15.75" customHeight="1">
      <c r="A1332" s="1">
        <v>3281.0</v>
      </c>
      <c r="B1332" s="1" t="s">
        <v>6</v>
      </c>
      <c r="C1332" s="1" t="s">
        <v>1231</v>
      </c>
      <c r="D1332" s="1" t="str">
        <f>IFERROR(__xludf.DUMMYFUNCTION("CONCATENATE(GOOGLETRANSLATE(C1332, ""en"", ""zh-cn""))
"),"Alexent 118英寸5座卧铺组合沙发（钉臂，深灰色）")</f>
        <v>Alexent 118英寸5座卧铺组合沙发（钉臂，深灰色）</v>
      </c>
      <c r="E1332" s="1" t="str">
        <f>IFERROR(__xludf.DUMMYFUNCTION("CONCATENATE(GOOGLETRANSLATE(C1332, ""en"", ""ko""))"),"Alexent 5인용 슬리퍼 단면 소파 118인치(네일암, 다크 그레이)")</f>
        <v>Alexent 5인용 슬리퍼 단면 소파 118인치(네일암, 다크 그레이)</v>
      </c>
      <c r="F1332" s="1" t="str">
        <f>IFERROR(__xludf.DUMMYFUNCTION("CONCATENATE(GOOGLETRANSLATE(C1332, ""en"", ""ja""))"),"Alexent 5 席スリーパーセクションソファ 118 インチ (ネイルアーム、ダークグレー)")</f>
        <v>Alexent 5 席スリーパーセクションソファ 118 インチ (ネイルアーム、ダークグレー)</v>
      </c>
    </row>
    <row r="1333" ht="15.75" customHeight="1">
      <c r="A1333" s="1">
        <v>3345.0</v>
      </c>
      <c r="B1333" s="1" t="s">
        <v>6</v>
      </c>
      <c r="C1333" s="1" t="s">
        <v>1232</v>
      </c>
      <c r="D1333" s="1" t="str">
        <f>IFERROR(__xludf.DUMMYFUNCTION("CONCATENATE(GOOGLETRANSLATE(C1333, ""en"", ""zh-cn""))
"),"Serta 沙发全尺寸可转换双人沙发，Java")</f>
        <v>Serta 沙发全尺寸可转换双人沙发，Java</v>
      </c>
      <c r="E1333" s="1" t="str">
        <f>IFERROR(__xludf.DUMMYFUNCTION("CONCATENATE(GOOGLETRANSLATE(C1333, ""en"", ""ko""))"),"Serta 소파 풀 사이즈 컨버터블 Loveseat, Java")</f>
        <v>Serta 소파 풀 사이즈 컨버터블 Loveseat, Java</v>
      </c>
      <c r="F1333" s="1" t="str">
        <f>IFERROR(__xludf.DUMMYFUNCTION("CONCATENATE(GOOGLETRANSLATE(C1333, ""en"", ""ja""))"),"Serta ソファ フルサイズ コンバーチブル ラブシート、Java")</f>
        <v>Serta ソファ フルサイズ コンバーチブル ラブシート、Java</v>
      </c>
    </row>
    <row r="1334" ht="15.75" customHeight="1">
      <c r="A1334" s="1">
        <v>3362.0</v>
      </c>
      <c r="B1334" s="1" t="s">
        <v>6</v>
      </c>
      <c r="C1334" s="1" t="s">
        <v>1233</v>
      </c>
      <c r="D1334" s="1" t="str">
        <f>IFERROR(__xludf.DUMMYFUNCTION("CONCATENATE(GOOGLETRANSLATE(C1334, ""en"", ""zh-cn""))
"),"亚马逊品牌 - Stone &amp; Beam Westview 超深羽绒双人沙发，75.6W，奶油色")</f>
        <v>亚马逊品牌 - Stone &amp; Beam Westview 超深羽绒双人沙发，75.6W，奶油色</v>
      </c>
      <c r="E1334" s="1" t="str">
        <f>IFERROR(__xludf.DUMMYFUNCTION("CONCATENATE(GOOGLETRANSLATE(C1334, ""en"", ""ko""))"),"아마존 브랜드 - Stone &amp; Beam Westview Extra-Deep Down-Filled Loveseat 소파 소파, 75.6W, 크림")</f>
        <v>아마존 브랜드 - Stone &amp; Beam Westview Extra-Deep Down-Filled Loveseat 소파 소파, 75.6W, 크림</v>
      </c>
      <c r="F1334" s="1" t="str">
        <f>IFERROR(__xludf.DUMMYFUNCTION("CONCATENATE(GOOGLETRANSLATE(C1334, ""en"", ""ja""))"),"Amazon ブランド - Stone &amp; Beam Westview エクストラディープダウン充填二​​人掛けソファ カウチ、75.6 W、クリーム")</f>
        <v>Amazon ブランド - Stone &amp; Beam Westview エクストラディープダウン充填二​​人掛けソファ カウチ、75.6 W、クリーム</v>
      </c>
    </row>
    <row r="1335" ht="15.75" customHeight="1">
      <c r="A1335" s="1">
        <v>3367.0</v>
      </c>
      <c r="B1335" s="1" t="s">
        <v>6</v>
      </c>
      <c r="C1335" s="1" t="s">
        <v>1234</v>
      </c>
      <c r="D1335" s="1" t="str">
        <f>IFERROR(__xludf.DUMMYFUNCTION("CONCATENATE(GOOGLETRANSLATE(C1335, ""en"", ""zh-cn""))
"),"Breville Barista Express 浓缩咖啡机，拉丝不锈钢，BES870XL")</f>
        <v>Breville Barista Express 浓缩咖啡机，拉丝不锈钢，BES870XL</v>
      </c>
      <c r="E1335" s="1" t="str">
        <f>IFERROR(__xludf.DUMMYFUNCTION("CONCATENATE(GOOGLETRANSLATE(C1335, ""en"", ""ko""))"),"브레빌 바리스타 익스프레스 에스프레소 머신, 브러시드 스테인레스 스틸, BES870XL")</f>
        <v>브레빌 바리스타 익스프레스 에스프레소 머신, 브러시드 스테인레스 스틸, BES870XL</v>
      </c>
      <c r="F1335" s="1" t="str">
        <f>IFERROR(__xludf.DUMMYFUNCTION("CONCATENATE(GOOGLETRANSLATE(C1335, ""en"", ""ja""))"),"Breville Barista Express エスプレッソマシン、つや消しステンレススチール、BES870XL")</f>
        <v>Breville Barista Express エスプレッソマシン、つや消しステンレススチール、BES870XL</v>
      </c>
    </row>
    <row r="1336" ht="15.75" customHeight="1">
      <c r="A1336" s="1">
        <v>3400.0</v>
      </c>
      <c r="B1336" s="1" t="s">
        <v>6</v>
      </c>
      <c r="C1336" s="1" t="s">
        <v>1235</v>
      </c>
      <c r="D1336" s="1" t="str">
        <f>IFERROR(__xludf.DUMMYFUNCTION("CONCATENATE(GOOGLETRANSLATE(C1336, ""en"", ""zh-cn""))
"),"Casa Andrea Milano 现代组合沙发 L 形天鹅绒沙发，带超宽躺椅，大号，黑色")</f>
        <v>Casa Andrea Milano 现代组合沙发 L 形天鹅绒沙发，带超宽躺椅，大号，黑色</v>
      </c>
      <c r="E1336" s="1" t="str">
        <f>IFERROR(__xludf.DUMMYFUNCTION("CONCATENATE(GOOGLETRANSLATE(C1336, ""en"", ""ko""))"),"Casa Andrea Milano 모던한 단면 소파 L자형 벨벳 소파, 매우 넓은 긴 의자 라운지 포함, 대형, 검정색")</f>
        <v>Casa Andrea Milano 모던한 단면 소파 L자형 벨벳 소파, 매우 넓은 긴 의자 라운지 포함, 대형, 검정색</v>
      </c>
      <c r="F1336" s="1" t="str">
        <f>IFERROR(__xludf.DUMMYFUNCTION("CONCATENATE(GOOGLETRANSLATE(C1336, ""en"", ""ja""))"),"カーサ アンドレア ミラノ モダン セクショナル ソファ L 字型ベルベット カウチ、エクストラワイド長椅子付き、ラージ、ブラック")</f>
        <v>カーサ アンドレア ミラノ モダン セクショナル ソファ L 字型ベルベット カウチ、エクストラワイド長椅子付き、ラージ、ブラック</v>
      </c>
    </row>
    <row r="1337" ht="15.75" customHeight="1">
      <c r="A1337" s="1">
        <v>3436.0</v>
      </c>
      <c r="B1337" s="1" t="s">
        <v>6</v>
      </c>
      <c r="C1337" s="1" t="s">
        <v>594</v>
      </c>
      <c r="D1337" s="1" t="str">
        <f>IFERROR(__xludf.DUMMYFUNCTION("CONCATENATE(GOOGLETRANSLATE(C1337, ""en"", ""zh-cn""))
"),"AMERLIFE 深座沙发-现代雪尼尔沙发，97 宽客厅大号 3 座沙发-超大沙发舒适沙发米色")</f>
        <v>AMERLIFE 深座沙发-现代雪尼尔沙发，97 宽客厅大号 3 座沙发-超大沙发舒适沙发米色</v>
      </c>
      <c r="E1337" s="1" t="str">
        <f>IFERROR(__xludf.DUMMYFUNCTION("CONCATENATE(GOOGLETRANSLATE(C1337, ""en"", ""ko""))"),"AMERLIFE 딥 시트 소파 - 현대식 셔닐 소파 소파, 97 와이드 거실용 대형 3인용 소파 - 대형 소파 편안한 소파 베이지")</f>
        <v>AMERLIFE 딥 시트 소파 - 현대식 셔닐 소파 소파, 97 와이드 거실용 대형 3인용 소파 - 대형 소파 편안한 소파 베이지</v>
      </c>
      <c r="F1337" s="1" t="str">
        <f>IFERROR(__xludf.DUMMYFUNCTION("CONCATENATE(GOOGLETRANSLATE(C1337, ""en"", ""ja""))"),"AMERLIFE 深座ソファ - 現代的なシェニール織ソファ カウチ、幅 97 の大型 3 人掛けソファ、リビングルーム用 - 特大ソファ 快適なソファ ベージュ")</f>
        <v>AMERLIFE 深座ソファ - 現代的なシェニール織ソファ カウチ、幅 97 の大型 3 人掛けソファ、リビングルーム用 - 特大ソファ 快適なソファ ベージュ</v>
      </c>
    </row>
    <row r="1338" ht="15.75" customHeight="1">
      <c r="A1338" s="1">
        <v>3475.0</v>
      </c>
      <c r="B1338" s="1" t="s">
        <v>6</v>
      </c>
      <c r="C1338" s="1" t="s">
        <v>1236</v>
      </c>
      <c r="D1338" s="1" t="str">
        <f>IFERROR(__xludf.DUMMYFUNCTION("CONCATENATE(GOOGLETRANSLATE(C1338, ""en"", ""zh-cn""))
"),"Roland V-60HD 高清即插即用视频切换器，带音频，适用于现场活动和流媒体")</f>
        <v>Roland V-60HD 高清即插即用视频切换器，带音频，适用于现场活动和流媒体</v>
      </c>
      <c r="E1338" s="1" t="str">
        <f>IFERROR(__xludf.DUMMYFUNCTION("CONCATENATE(GOOGLETRANSLATE(C1338, ""en"", ""ko""))"),"라이브 이벤트 및 스트리밍용 오디오가 포함된 Roland V-60HD HD 플러그 앤 플레이 비디오 스위처")</f>
        <v>라이브 이벤트 및 스트리밍용 오디오가 포함된 Roland V-60HD HD 플러그 앤 플레이 비디오 스위처</v>
      </c>
      <c r="F1338" s="1" t="str">
        <f>IFERROR(__xludf.DUMMYFUNCTION("CONCATENATE(GOOGLETRANSLATE(C1338, ""en"", ""ja""))"),"Roland V-60HD ライブイベントおよびストリーミング用オーディオ付き HD プラグアンドプレイ ビデオ スイッチャー")</f>
        <v>Roland V-60HD ライブイベントおよびストリーミング用オーディオ付き HD プラグアンドプレイ ビデオ スイッチャー</v>
      </c>
    </row>
    <row r="1339" ht="15.75" customHeight="1">
      <c r="A1339" s="1">
        <v>3479.0</v>
      </c>
      <c r="B1339" s="1" t="s">
        <v>6</v>
      </c>
      <c r="C1339" s="1" t="s">
        <v>1237</v>
      </c>
      <c r="D1339" s="1" t="str">
        <f>IFERROR(__xludf.DUMMYFUNCTION("CONCATENATE(GOOGLETRANSLATE(C1339, ""en"", ""zh-cn""))
"),"Lenovo ThinkPad P16 Intel Core i9-12900HX， 16C， 16.0 WUXGA (1920x1200) IPS 300nits 防眩光， NVIDIA RTX A2000 8GB GDDR6， 32GB DDR5 RAM， 1TB NVMe SSD， 背光 KYB， 指纹识别器， Windows Pro")</f>
        <v>Lenovo ThinkPad P16 Intel Core i9-12900HX， 16C， 16.0 WUXGA (1920x1200) IPS 300nits 防眩光， NVIDIA RTX A2000 8GB GDDR6， 32GB DDR5 RAM， 1TB NVMe SSD， 背光 KYB， 指纹识别器， Windows Pro</v>
      </c>
      <c r="E1339" s="1" t="str">
        <f>IFERROR(__xludf.DUMMYFUNCTION("CONCATENATE(GOOGLETRANSLATE(C1339, ""en"", ""ko""))"),"Lenovo ThinkPad P16 Intel Core i9-12900HX, 16C, 16.0 WUXGA(1920x1200) IPS 300nits 눈부심 방지, NVIDIA RTX A2000 8GB GDDR6, 32GB DDR5 RAM, 1TB NVMe SSD, 백라이트 KYB, 지문 판독기, Windows Pro")</f>
        <v>Lenovo ThinkPad P16 Intel Core i9-12900HX, 16C, 16.0 WUXGA(1920x1200) IPS 300nits 눈부심 방지, NVIDIA RTX A2000 8GB GDDR6, 32GB DDR5 RAM, 1TB NVMe SSD, 백라이트 KYB, 지문 판독기, Windows Pro</v>
      </c>
      <c r="F1339" s="1" t="str">
        <f>IFERROR(__xludf.DUMMYFUNCTION("CONCATENATE(GOOGLETRANSLATE(C1339, ""en"", ""ja""))"),"Lenovo ThinkPad P16 Intel Core i9-12900HX、16C、16.0 WUXGA (1920x1200) IPS 300nits アンチグレア、NVIDIA RTX A2000 8GB GDDR6、32GB DDR5 RAM、1TB NVMe SSD、バックライト付き KYB、指紋リーダー、Windows Pro")</f>
        <v>Lenovo ThinkPad P16 Intel Core i9-12900HX、16C、16.0 WUXGA (1920x1200) IPS 300nits アンチグレア、NVIDIA RTX A2000 8GB GDDR6、32GB DDR5 RAM、1TB NVMe SSD、バックライト付き KYB、指紋リーダー、Windows Pro</v>
      </c>
    </row>
    <row r="1340" ht="15.75" customHeight="1">
      <c r="A1340" s="1">
        <v>3480.0</v>
      </c>
      <c r="B1340" s="1" t="s">
        <v>6</v>
      </c>
      <c r="C1340" s="1" t="s">
        <v>1238</v>
      </c>
      <c r="D1340" s="1" t="str">
        <f>IFERROR(__xludf.DUMMYFUNCTION("CONCATENATE(GOOGLETRANSLATE(C1340, ""en"", ""zh-cn""))
"),"Lenovo ThinkPad P16 Intel Core i7-12800HX， 16C， 16.0 WQUXGA (3840x2400) IPS 600nits 防眩光， NVIDIA RTX A1000 4GB GDDR6， 64GB DDR5 RAM， 1TB NVMe SSD， 背光 KYB， 指纹识别器， Windows Pro")</f>
        <v>Lenovo ThinkPad P16 Intel Core i7-12800HX， 16C， 16.0 WQUXGA (3840x2400) IPS 600nits 防眩光， NVIDIA RTX A1000 4GB GDDR6， 64GB DDR5 RAM， 1TB NVMe SSD， 背光 KYB， 指纹识别器， Windows Pro</v>
      </c>
      <c r="E1340" s="1" t="str">
        <f>IFERROR(__xludf.DUMMYFUNCTION("CONCATENATE(GOOGLETRANSLATE(C1340, ""en"", ""ko""))"),"Lenovo ThinkPad P16 Intel Core i7-12800HX, 16C, 16.0 WQUXGA(3840x2400) IPS 600니트 눈부심 방지, NVIDIA RTX A1000 4GB GDDR6, 64GB DDR5 RAM, 1TB NVMe SSD, 백라이트 KYB, 지문 판독기, Windows Pro")</f>
        <v>Lenovo ThinkPad P16 Intel Core i7-12800HX, 16C, 16.0 WQUXGA(3840x2400) IPS 600니트 눈부심 방지, NVIDIA RTX A1000 4GB GDDR6, 64GB DDR5 RAM, 1TB NVMe SSD, 백라이트 KYB, 지문 판독기, Windows Pro</v>
      </c>
      <c r="F1340" s="1" t="str">
        <f>IFERROR(__xludf.DUMMYFUNCTION("CONCATENATE(GOOGLETRANSLATE(C1340, ""en"", ""ja""))"),"Lenovo ThinkPad P16 Intel Core i7-12800HX、16C、16.0 WQUXGA (3840x2400) IPS 600nits アンチグレア、NVIDIA RTX A1000 4GB GDDR6、64GB DDR5 RAM、1TB NVMe SSD、バックライト付き KYB、指紋リーダー、Windows Pro")</f>
        <v>Lenovo ThinkPad P16 Intel Core i7-12800HX、16C、16.0 WQUXGA (3840x2400) IPS 600nits アンチグレア、NVIDIA RTX A1000 4GB GDDR6、64GB DDR5 RAM、1TB NVMe SSD、バックライト付き KYB、指紋リーダー、Windows Pro</v>
      </c>
    </row>
    <row r="1341" ht="15.75" customHeight="1">
      <c r="A1341" s="1">
        <v>3489.0</v>
      </c>
      <c r="B1341" s="1" t="s">
        <v>6</v>
      </c>
      <c r="C1341" s="1" t="s">
        <v>1239</v>
      </c>
      <c r="D1341" s="1" t="str">
        <f>IFERROR(__xludf.DUMMYFUNCTION("CONCATENATE(GOOGLETRANSLATE(C1341, ""en"", ""zh-cn""))
"),"JYXOIHUB智能板，49英寸数字电子白板和课堂智能板，直播屏幕镜像，数字标牌显示器和广告播放器（仅板）")</f>
        <v>JYXOIHUB智能板，49英寸数字电子白板和课堂智能板，直播屏幕镜像，数字标牌显示器和广告播放器（仅板）</v>
      </c>
      <c r="E1341" s="1" t="str">
        <f>IFERROR(__xludf.DUMMYFUNCTION("CONCATENATE(GOOGLETRANSLATE(C1341, ""en"", ""ko""))"),"JYXOIHUB 스마트 보드, 49인치 디지털 전자 화이트보드 및 교실용 스마트보드, 라이브 스트리밍용 스크린 미러링, 디지털 사이니지 디스플레이 및 광고용 플레이어(보드 전용)")</f>
        <v>JYXOIHUB 스마트 보드, 49인치 디지털 전자 화이트보드 및 교실용 스마트보드, 라이브 스트리밍용 스크린 미러링, 디지털 사이니지 디스플레이 및 광고용 플레이어(보드 전용)</v>
      </c>
      <c r="F1341" s="1" t="str">
        <f>IFERROR(__xludf.DUMMYFUNCTION("CONCATENATE(GOOGLETRANSLATE(C1341, ""en"", ""ja""))"),"JYXOIHUBスマートボード、教室用49インチデジタル電子ホワイトボードおよびスマートボード、ライブストリーミング用スクリーンミラーリング、広告用デジタルサイネージディスプレイおよびプレーヤー(ボードのみ)")</f>
        <v>JYXOIHUBスマートボード、教室用49インチデジタル電子ホワイトボードおよびスマートボード、ライブストリーミング用スクリーンミラーリング、広告用デジタルサイネージディスプレイおよびプレーヤー(ボードのみ)</v>
      </c>
    </row>
    <row r="1342" ht="15.75" customHeight="1">
      <c r="A1342" s="1">
        <v>3495.0</v>
      </c>
      <c r="B1342" s="1" t="s">
        <v>6</v>
      </c>
      <c r="C1342" s="1" t="s">
        <v>1240</v>
      </c>
      <c r="D1342" s="1" t="str">
        <f>IFERROR(__xludf.DUMMYFUNCTION("CONCATENATE(GOOGLETRANSLATE(C1342, ""en"", ""zh-cn""))
"),"2022 MSI GE76 Raider 17.3 144Hz (Intel 8 核 i7-11800H，64GB RAM，2TB PCIe SSD，RTX 3060)，全高清游戏笔记本电脑，Thunderbolt 4，网络摄像头，RGB 背光，IST HDMI，Windows 10")</f>
        <v>2022 MSI GE76 Raider 17.3 144Hz (Intel 8 核 i7-11800H，64GB RAM，2TB PCIe SSD，RTX 3060)，全高清游戏笔记本电脑，Thunderbolt 4，网络摄像头，RGB 背光，IST HDMI，Windows 10</v>
      </c>
      <c r="E1342" s="1" t="str">
        <f>IFERROR(__xludf.DUMMYFUNCTION("CONCATENATE(GOOGLETRANSLATE(C1342, ""en"", ""ko""))"),"2022 MSI GE76 Raider 17.3 144Hz(Intel 8코어 i7-11800H, 64GB RAM, 2TB PCIe SSD, RTX 3060), FHD 게이밍 노트북, Thunderbolt 4, 웹캠, RGB 백라이트, IST HDMI, Windows 10")</f>
        <v>2022 MSI GE76 Raider 17.3 144Hz(Intel 8코어 i7-11800H, 64GB RAM, 2TB PCIe SSD, RTX 3060), FHD 게이밍 노트북, Thunderbolt 4, 웹캠, RGB 백라이트, IST HDMI, Windows 10</v>
      </c>
      <c r="F1342" s="1" t="str">
        <f>IFERROR(__xludf.DUMMYFUNCTION("CONCATENATE(GOOGLETRANSLATE(C1342, ""en"", ""ja""))"),"2022 MSI GE76 Raider 17.3 144Hz (Intel 8-Core i7-11800H、64GB RAM、2TB PCIe SSD、RTX 3060)、FHD ゲーミング ラップトップ、Thunderbolt 4、Web カメラ、RGB バックライト、IST HDMI、Windows 10")</f>
        <v>2022 MSI GE76 Raider 17.3 144Hz (Intel 8-Core i7-11800H、64GB RAM、2TB PCIe SSD、RTX 3060)、FHD ゲーミング ラップトップ、Thunderbolt 4、Web カメラ、RGB バックライト、IST HDMI、Windows 10</v>
      </c>
    </row>
    <row r="1343" ht="15.75" customHeight="1">
      <c r="A1343" s="1">
        <v>3536.0</v>
      </c>
      <c r="B1343" s="1" t="s">
        <v>6</v>
      </c>
      <c r="C1343" s="1" t="s">
        <v>1241</v>
      </c>
      <c r="D1343" s="1" t="str">
        <f>IFERROR(__xludf.DUMMYFUNCTION("CONCATENATE(GOOGLETRANSLATE(C1343, ""en"", ""zh-cn""))
"),"戴尔最新商用笔记本电脑 Latitude 3520，15.6 FHD 显示屏，英特尔 i7-1165G7，32GB RAM，1TB SSD，网络摄像头，USB-C，HDMI，Wi-Fi 6，Windows 11 Pro")</f>
        <v>戴尔最新商用笔记本电脑 Latitude 3520，15.6 FHD 显示屏，英特尔 i7-1165G7，32GB RAM，1TB SSD，网络摄像头，USB-C，HDMI，Wi-Fi 6，Windows 11 Pro</v>
      </c>
      <c r="E1343" s="1" t="str">
        <f>IFERROR(__xludf.DUMMYFUNCTION("CONCATENATE(GOOGLETRANSLATE(C1343, ""en"", ""ko""))"),"Dell 최신 비즈니스 노트북 Latitude 3520, 15.6 FHD 디스플레이, Intel i7-1165G7, 32GB RAM, 1TB SSD, 웹캠, USB-C, HDMI, Wi-Fi 6, Windows 11 Pro")</f>
        <v>Dell 최신 비즈니스 노트북 Latitude 3520, 15.6 FHD 디스플레이, Intel i7-1165G7, 32GB RAM, 1TB SSD, 웹캠, USB-C, HDMI, Wi-Fi 6, Windows 11 Pro</v>
      </c>
      <c r="F1343" s="1" t="str">
        <f>IFERROR(__xludf.DUMMYFUNCTION("CONCATENATE(GOOGLETRANSLATE(C1343, ""en"", ""ja""))"),"デル最新ビジネスノートパソコン Latitude 3520、15.6 FHD ディスプレイ、Intel i7-1165G7、32GB RAM、1TB SSD、ウェブカメラ、USB-C、HDMI、Wi-Fi 6、Windows 11 Pro")</f>
        <v>デル最新ビジネスノートパソコン Latitude 3520、15.6 FHD ディスプレイ、Intel i7-1165G7、32GB RAM、1TB SSD、ウェブカメラ、USB-C、HDMI、Wi-Fi 6、Windows 11 Pro</v>
      </c>
    </row>
    <row r="1344" ht="15.75" customHeight="1">
      <c r="A1344" s="1">
        <v>3538.0</v>
      </c>
      <c r="B1344" s="1" t="s">
        <v>6</v>
      </c>
      <c r="C1344" s="1" t="s">
        <v>1242</v>
      </c>
      <c r="D1344" s="1" t="str">
        <f>IFERROR(__xludf.DUMMYFUNCTION("CONCATENATE(GOOGLETRANSLATE(C1344, ""en"", ""zh-cn""))
"),"Akia Screens CLR 和 ALR 投影仪屏幕 123 英寸 16:9 吸顶光抑制和环境光抑制投影屏幕适用于 UST 投影，无边固定框架屏幕 AK-NB123H-CLR2")</f>
        <v>Akia Screens CLR 和 ALR 投影仪屏幕 123 英寸 16:9 吸顶光抑制和环境光抑制投影屏幕适用于 UST 投影，无边固定框架屏幕 AK-NB123H-CLR2</v>
      </c>
      <c r="E1344" s="1" t="str">
        <f>IFERROR(__xludf.DUMMYFUNCTION("CONCATENATE(GOOGLETRANSLATE(C1344, ""en"", ""ko""))"),"Akia 스크린 CLR 및 ALR 프로젝터 스크린 123 인치 16:9 UST 프로젝션용 천장 조명 거부 및 주변 조명 거부 프로젝션 스크린, 가장자리 없는 고정 프레임 스크린 AK-NB123H-CLR2")</f>
        <v>Akia 스크린 CLR 및 ALR 프로젝터 스크린 123 인치 16:9 UST 프로젝션용 천장 조명 거부 및 주변 조명 거부 프로젝션 스크린, 가장자리 없는 고정 프레임 스크린 AK-NB123H-CLR2</v>
      </c>
      <c r="F1344" s="1" t="str">
        <f>IFERROR(__xludf.DUMMYFUNCTION("CONCATENATE(GOOGLETRANSLATE(C1344, ""en"", ""ja""))"),"Akia Screens CLR および ALR プロジェクター スクリーン 123 インチ 16:9 天井光除去および周囲光除去投影スクリーン UST 投影用、エッジフリー固定フレーム スクリーン AK-NB123H-CLR2")</f>
        <v>Akia Screens CLR および ALR プロジェクター スクリーン 123 インチ 16:9 天井光除去および周囲光除去投影スクリーン UST 投影用、エッジフリー固定フレーム スクリーン AK-NB123H-CLR2</v>
      </c>
    </row>
    <row r="1345" ht="15.75" customHeight="1">
      <c r="A1345" s="1">
        <v>3558.0</v>
      </c>
      <c r="B1345" s="1" t="s">
        <v>6</v>
      </c>
      <c r="C1345" s="1" t="s">
        <v>1243</v>
      </c>
      <c r="D1345" s="1" t="str">
        <f>IFERROR(__xludf.DUMMYFUNCTION("CONCATENATE(GOOGLETRANSLATE(C1345, ""en"", ""zh-cn""))
"),"华硕 VivoBook 17X 笔记本电脑， 17.3 英寸 FHD 显示屏， Intel Core i7-12700H CPU， Intel Iris Xe 显卡， 16GB RAM， 1TB SSD， 指纹传感器， Windows 11 Home， 静谧蓝， K1703ZA-DS76")</f>
        <v>华硕 VivoBook 17X 笔记本电脑， 17.3 英寸 FHD 显示屏， Intel Core i7-12700H CPU， Intel Iris Xe 显卡， 16GB RAM， 1TB SSD， 指纹传感器， Windows 11 Home， 静谧蓝， K1703ZA-DS76</v>
      </c>
      <c r="E1345" s="1" t="str">
        <f>IFERROR(__xludf.DUMMYFUNCTION("CONCATENATE(GOOGLETRANSLATE(C1345, ""en"", ""ko""))"),"ASUS VivoBook 17X 노트북, 17.3인치 FHD 디스플레이, Intel Core i7-12700H CPU, Intel Iris Xe 그래픽, 16GB RAM, 1TB SSD, 지문 센서, Windows 11 Home, Quiet Blue, K1703ZA-DS76")</f>
        <v>ASUS VivoBook 17X 노트북, 17.3인치 FHD 디스플레이, Intel Core i7-12700H CPU, Intel Iris Xe 그래픽, 16GB RAM, 1TB SSD, 지문 센서, Windows 11 Home, Quiet Blue, K1703ZA-DS76</v>
      </c>
      <c r="F1345" s="1" t="str">
        <f>IFERROR(__xludf.DUMMYFUNCTION("CONCATENATE(GOOGLETRANSLATE(C1345, ""en"", ""ja""))"),"ASUS VivoBook 17X ラップトップ、17.3 インチ FHD ディスプレイ、Intel Core i7-12700H CPU、Intel Iris Xe グラフィックス、16GB RAM、1TB SSD、指紋センサー、Windows 11 Home、クワイエット ブルー、K1703ZA-DS76")</f>
        <v>ASUS VivoBook 17X ラップトップ、17.3 インチ FHD ディスプレイ、Intel Core i7-12700H CPU、Intel Iris Xe グラフィックス、16GB RAM、1TB SSD、指紋センサー、Windows 11 Home、クワイエット ブルー、K1703ZA-DS76</v>
      </c>
    </row>
    <row r="1346" ht="15.75" customHeight="1">
      <c r="A1346" s="1">
        <v>3564.0</v>
      </c>
      <c r="B1346" s="1" t="s">
        <v>6</v>
      </c>
      <c r="C1346" s="1" t="s">
        <v>1244</v>
      </c>
      <c r="D1346" s="1" t="str">
        <f>IFERROR(__xludf.DUMMYFUNCTION("CONCATENATE(GOOGLETRANSLATE(C1346, ""en"", ""zh-cn""))
"),"[ZEN] RYZEN 5 定制游戏 RGB 电脑 - 具有可定制电脑规格的 AMD 游戏台式机")</f>
        <v>[ZEN] RYZEN 5 定制游戏 RGB 电脑 - 具有可定制电脑规格的 AMD 游戏台式机</v>
      </c>
      <c r="E1346" s="1" t="str">
        <f>IFERROR(__xludf.DUMMYFUNCTION("CONCATENATE(GOOGLETRANSLATE(C1346, ""en"", ""ko""))"),"[ZEN] RYZEN 5 맞춤형 게이밍 RGB PC - 맞춤형 컴퓨터 사양을 갖춘 AMD 게이밍 데스크탑")</f>
        <v>[ZEN] RYZEN 5 맞춤형 게이밍 RGB PC - 맞춤형 컴퓨터 사양을 갖춘 AMD 게이밍 데스크탑</v>
      </c>
      <c r="F1346" s="1" t="str">
        <f>IFERROR(__xludf.DUMMYFUNCTION("CONCATENATE(GOOGLETRANSLATE(C1346, ""en"", ""ja""))"),"[ZEN] RYZEN 5 カスタム ゲーミング RGB PC - カスタマイズ可能なコンピューター仕様の AMD ゲーミング デスクトップ")</f>
        <v>[ZEN] RYZEN 5 カスタム ゲーミング RGB PC - カスタマイズ可能なコンピューター仕様の AMD ゲーミング デスクトップ</v>
      </c>
    </row>
    <row r="1347" ht="15.75" customHeight="1">
      <c r="A1347" s="1">
        <v>3572.0</v>
      </c>
      <c r="B1347" s="1" t="s">
        <v>6</v>
      </c>
      <c r="C1347" s="1" t="s">
        <v>1245</v>
      </c>
      <c r="D1347" s="1" t="str">
        <f>IFERROR(__xludf.DUMMYFUNCTION("CONCATENATE(GOOGLETRANSLATE(C1347, ""en"", ""zh-cn""))
"),"末日决战 Comet Pro 6600 定制 MATX 游戏电脑 | AMD 锐龙 | RX 6600")</f>
        <v>末日决战 Comet Pro 6600 定制 MATX 游戏电脑 | AMD 锐龙 | RX 6600</v>
      </c>
      <c r="E1347" s="1" t="str">
        <f>IFERROR(__xludf.DUMMYFUNCTION("CONCATENATE(GOOGLETRANSLATE(C1347, ""en"", ""ko""))"),"Armaggeddon Comet Pro 6600 맞춤형 MATX 게이밍 PC | AMD 라이젠 | RX 6600")</f>
        <v>Armaggeddon Comet Pro 6600 맞춤형 MATX 게이밍 PC | AMD 라이젠 | RX 6600</v>
      </c>
      <c r="F1347" s="1" t="str">
        <f>IFERROR(__xludf.DUMMYFUNCTION("CONCATENATE(GOOGLETRANSLATE(C1347, ""en"", ""ja""))"),"Armaggeddon Comet Pro 6600 カスタマイズされた MATX ゲーミング PC | AMD ライゼン | RX6600")</f>
        <v>Armaggeddon Comet Pro 6600 カスタマイズされた MATX ゲーミング PC | AMD ライゼン | RX6600</v>
      </c>
    </row>
    <row r="1348" ht="15.75" customHeight="1">
      <c r="A1348" s="1">
        <v>3577.0</v>
      </c>
      <c r="B1348" s="1" t="s">
        <v>6</v>
      </c>
      <c r="C1348" s="1" t="s">
        <v>1246</v>
      </c>
      <c r="D1348" s="1" t="str">
        <f>IFERROR(__xludf.DUMMYFUNCTION("CONCATENATE(GOOGLETRANSLATE(C1348, ""en"", ""zh-cn""))
"),"戴尔 Inspiron 灵越 16 5625 小型轻薄便携式笔记本电脑 - 16 英寸 FHD+ (1920 x 1200) 显示屏，AMD Ryzen 7 5825U，16GB DDR4 RAM，512GB SSD，Radeon Graphics，蓝牙，Windows 11 Pro - 银色")</f>
        <v>戴尔 Inspiron 灵越 16 5625 小型轻薄便携式笔记本电脑 - 16 英寸 FHD+ (1920 x 1200) 显示屏，AMD Ryzen 7 5825U，16GB DDR4 RAM，512GB SSD，Radeon Graphics，蓝牙，Windows 11 Pro - 银色</v>
      </c>
      <c r="E1348" s="1" t="str">
        <f>IFERROR(__xludf.DUMMYFUNCTION("CONCATENATE(GOOGLETRANSLATE(C1348, ""en"", ""ko""))"),"Dell Inspiron 16 5625 작고 얇고 가벼운 휴대용 노트북 - 16인치 FHD+(1920 x 1200) 디스플레이, AMD Ryzen 7 5825U, 16GB DDR4 RAM, 512GB SSD, Radeon 그래픽, Bluetooth, Windows 11 Pro - 실버")</f>
        <v>Dell Inspiron 16 5625 작고 얇고 가벼운 휴대용 노트북 - 16인치 FHD+(1920 x 1200) 디스플레이, AMD Ryzen 7 5825U, 16GB DDR4 RAM, 512GB SSD, Radeon 그래픽, Bluetooth, Windows 11 Pro - 실버</v>
      </c>
      <c r="F1348" s="1" t="str">
        <f>IFERROR(__xludf.DUMMYFUNCTION("CONCATENATE(GOOGLETRANSLATE(C1348, ""en"", ""ja""))"),"Dell Inspiron 16 5625 小型薄型軽量ポータブル ノートパソコン - 16 インチ FHD+ (1920 x 1200) ディスプレイ、AMD Ryzen 7 5825U、16GB DDR4 RAM、512GB SSD、Radeon グラフィックス、Bluetooth、Windows 11 Pro - シルバー")</f>
        <v>Dell Inspiron 16 5625 小型薄型軽量ポータブル ノートパソコン - 16 インチ FHD+ (1920 x 1200) ディスプレイ、AMD Ryzen 7 5825U、16GB DDR4 RAM、512GB SSD、Radeon グラフィックス、Bluetooth、Windows 11 Pro - シルバー</v>
      </c>
    </row>
    <row r="1349" ht="15.75" customHeight="1">
      <c r="A1349" s="1">
        <v>3586.0</v>
      </c>
      <c r="B1349" s="1" t="s">
        <v>6</v>
      </c>
      <c r="C1349" s="1" t="s">
        <v>1247</v>
      </c>
      <c r="D1349" s="1" t="str">
        <f>IFERROR(__xludf.DUMMYFUNCTION("CONCATENATE(GOOGLETRANSLATE(C1349, ""en"", ""zh-cn""))
"),"Apple 2020 MacBook Air 笔记本电脑 M1 芯片、13 视网膜显示屏、8GB RAM、256GB SSD 存储、背光键盘、FaceTime 高清摄像头、触摸 ID。适用于 iPhone/iPad；深空灰色")</f>
        <v>Apple 2020 MacBook Air 笔记本电脑 M1 芯片、13 视网膜显示屏、8GB RAM、256GB SSD 存储、背光键盘、FaceTime 高清摄像头、触摸 ID。适用于 iPhone/iPad；深空灰色</v>
      </c>
      <c r="E1349" s="1" t="str">
        <f>IFERROR(__xludf.DUMMYFUNCTION("CONCATENATE(GOOGLETRANSLATE(C1349, ""en"", ""ko""))"),"Apple 2020 MacBook Air 노트북 M1 칩, 13 Retina 디스플레이, 8GB RAM, 256GB SSD 스토리지, 백라이트 키보드, FaceTime HD 카메라, Touch ID. iPhone/iPad에서 작동합니다. 스페이스 그레이")</f>
        <v>Apple 2020 MacBook Air 노트북 M1 칩, 13 Retina 디스플레이, 8GB RAM, 256GB SSD 스토리지, 백라이트 키보드, FaceTime HD 카메라, Touch ID. iPhone/iPad에서 작동합니다. 스페이스 그레이</v>
      </c>
      <c r="F1349" s="1" t="str">
        <f>IFERROR(__xludf.DUMMYFUNCTION("CONCATENATE(GOOGLETRANSLATE(C1349, ""en"", ""ja""))"),"Apple 2020 MacBook Air ラップトップ M1 チップ、13 Retina ディスプレイ、8GB RAM、256GB SSD ストレージ、バックライト付きキーボード、FaceTime HD カメラ、Touch ID。 iPhone/iPad で動作します。スペースグレイ")</f>
        <v>Apple 2020 MacBook Air ラップトップ M1 チップ、13 Retina ディスプレイ、8GB RAM、256GB SSD ストレージ、バックライト付きキーボード、FaceTime HD カメラ、Touch ID。 iPhone/iPad で動作します。スペースグレイ</v>
      </c>
    </row>
    <row r="1350" ht="15.75" customHeight="1">
      <c r="A1350" s="1">
        <v>3604.0</v>
      </c>
      <c r="B1350" s="1" t="s">
        <v>6</v>
      </c>
      <c r="C1350" s="1" t="s">
        <v>1248</v>
      </c>
      <c r="D1350" s="1" t="str">
        <f>IFERROR(__xludf.DUMMYFUNCTION("CONCATENATE(GOOGLETRANSLATE(C1350, ""en"", ""zh-cn""))
"),"2022 HP Pavilion 17.3 英寸 IPS FHD 笔记本电脑， Intel 四核 i5-1135G7 (Beats i7-1065G7，高达 4.2GHz)， Iris Xe 显卡， 16GB RAM， 1TB PCIe SSD，背光键盘， WiFi 5，网络摄像头， Windows 11+HubxcelCables")</f>
        <v>2022 HP Pavilion 17.3 英寸 IPS FHD 笔记本电脑， Intel 四核 i5-1135G7 (Beats i7-1065G7，高达 4.2GHz)， Iris Xe 显卡， 16GB RAM， 1TB PCIe SSD，背光键盘， WiFi 5，网络摄像头， Windows 11+HubxcelCables</v>
      </c>
      <c r="E1350" s="1" t="str">
        <f>IFERROR(__xludf.DUMMYFUNCTION("CONCATENATE(GOOGLETRANSLATE(C1350, ""en"", ""ko""))"),"2022 HP Pavilion 17.3인치 IPS FHD 노트북, Intel Quad Core i5-1135G7(Beats i7-1065G7, 최대 4.2GHz), Iris Xe 그래픽, 16GB RAM, 1TB PCIe SSD, 백라이트 키보드, WiFi 5, 웹캠, Windows 11+HubxcelCables")</f>
        <v>2022 HP Pavilion 17.3인치 IPS FHD 노트북, Intel Quad Core i5-1135G7(Beats i7-1065G7, 최대 4.2GHz), Iris Xe 그래픽, 16GB RAM, 1TB PCIe SSD, 백라이트 키보드, WiFi 5, 웹캠, Windows 11+HubxcelCables</v>
      </c>
      <c r="F1350" s="1" t="str">
        <f>IFERROR(__xludf.DUMMYFUNCTION("CONCATENATE(GOOGLETRANSLATE(C1350, ""en"", ""ja""))"),"2022 HP Pavilion 17.3 インチ IPS FHD ラップトップ、Intel Quad Core i5-1135G7 (Beats i7-1065G7、最大 4.2GHz)、Iris Xe グラフィックス、16GB RAM、1TB PCIe SSD、バックライト付きキーボード、WiFi 5、Web カメラ、Windows 11+HubxcelCables")</f>
        <v>2022 HP Pavilion 17.3 インチ IPS FHD ラップトップ、Intel Quad Core i5-1135G7 (Beats i7-1065G7、最大 4.2GHz)、Iris Xe グラフィックス、16GB RAM、1TB PCIe SSD、バックライト付きキーボード、WiFi 5、Web カメラ、Windows 11+HubxcelCables</v>
      </c>
    </row>
    <row r="1351" ht="15.75" customHeight="1">
      <c r="A1351" s="1">
        <v>3633.0</v>
      </c>
      <c r="B1351" s="1" t="s">
        <v>6</v>
      </c>
      <c r="C1351" s="1" t="s">
        <v>942</v>
      </c>
      <c r="D1351" s="1" t="str">
        <f>IFERROR(__xludf.DUMMYFUNCTION("CONCATENATE(GOOGLETRANSLATE(C1351, ""en"", ""zh-cn""))
"),"Apple 2022 款 11 英寸 iPad Pro（Wi-Fi，128GB）- 深空灰色（第 4 代）")</f>
        <v>Apple 2022 款 11 英寸 iPad Pro（Wi-Fi，128GB）- 深空灰色（第 4 代）</v>
      </c>
      <c r="E1351" s="1" t="str">
        <f>IFERROR(__xludf.DUMMYFUNCTION("CONCATENATE(GOOGLETRANSLATE(C1351, ""en"", ""ko""))"),"Apple 2022 11인치 iPad Pro(Wi-Fi, 128GB) - 스페이스 그레이(4세대)")</f>
        <v>Apple 2022 11인치 iPad Pro(Wi-Fi, 128GB) - 스페이스 그레이(4세대)</v>
      </c>
      <c r="F1351" s="1" t="str">
        <f>IFERROR(__xludf.DUMMYFUNCTION("CONCATENATE(GOOGLETRANSLATE(C1351, ""en"", ""ja""))"),"Apple 2022 11 インチ iPad Pro (Wi-Fi、128GB) - スペース グレイ (第 4 世代)")</f>
        <v>Apple 2022 11 インチ iPad Pro (Wi-Fi、128GB) - スペース グレイ (第 4 世代)</v>
      </c>
    </row>
    <row r="1352" ht="15.75" customHeight="1">
      <c r="A1352" s="1">
        <v>3644.0</v>
      </c>
      <c r="B1352" s="1" t="s">
        <v>6</v>
      </c>
      <c r="C1352" s="1" t="s">
        <v>1249</v>
      </c>
      <c r="D1352" s="1" t="str">
        <f>IFERROR(__xludf.DUMMYFUNCTION("CONCATENATE(GOOGLETRANSLATE(C1352, ""en"", ""zh-cn""))
"),"2022 HP 15.6 FHD 笔记本电脑，第 11 代 Intel Core i5-1135G7（击败 Intel i7-1065G7），32GB RAM，2TGB PCIe SSD，Intel Iris X 显卡，高清网络摄像头，HDMI，蓝牙，Win10，银色，32GB USB 卡")</f>
        <v>2022 HP 15.6 FHD 笔记本电脑，第 11 代 Intel Core i5-1135G7（击败 Intel i7-1065G7），32GB RAM，2TGB PCIe SSD，Intel Iris X 显卡，高清网络摄像头，HDMI，蓝牙，Win10，银色，32GB USB 卡</v>
      </c>
      <c r="E1352" s="1" t="str">
        <f>IFERROR(__xludf.DUMMYFUNCTION("CONCATENATE(GOOGLETRANSLATE(C1352, ""en"", ""ko""))"),"2022 HP 15.6 FHD 노트북 컴퓨터, 11세대 Intel Core i5-1135G7(Intel i7-1065G7 능가), 32GB RAM, 2TGB PCIe SSD, Intel Iris X 그래픽, HD 웹캠, HDMI, Bluetooth, Win10, 실버, 32GB USB 카드")</f>
        <v>2022 HP 15.6 FHD 노트북 컴퓨터, 11세대 Intel Core i5-1135G7(Intel i7-1065G7 능가), 32GB RAM, 2TGB PCIe SSD, Intel Iris X 그래픽, HD 웹캠, HDMI, Bluetooth, Win10, 실버, 32GB USB 카드</v>
      </c>
      <c r="F1352" s="1" t="str">
        <f>IFERROR(__xludf.DUMMYFUNCTION("CONCATENATE(GOOGLETRANSLATE(C1352, ""en"", ""ja""))"),"2022 HP 15.6 FHD ラップトップ コンピューター、第 11 世代インテル Core i5-1135G7 (インテル i7-1065G7 を上回る)、32GB RAM、2TGB PCIe SSD、インテル Iris X グラフィックス、HD ウェブカメラ、HDMI、Bluetooth、Win10、シルバー、32GB USB カード")</f>
        <v>2022 HP 15.6 FHD ラップトップ コンピューター、第 11 世代インテル Core i5-1135G7 (インテル i7-1065G7 を上回る)、32GB RAM、2TGB PCIe SSD、インテル Iris X グラフィックス、HD ウェブカメラ、HDMI、Bluetooth、Win10、シルバー、32GB USB カード</v>
      </c>
    </row>
    <row r="1353" ht="15.75" customHeight="1">
      <c r="A1353" s="1">
        <v>3662.0</v>
      </c>
      <c r="B1353" s="1" t="s">
        <v>6</v>
      </c>
      <c r="C1353" s="1" t="s">
        <v>1250</v>
      </c>
      <c r="D1353" s="1" t="str">
        <f>IFERROR(__xludf.DUMMYFUNCTION("CONCATENATE(GOOGLETRANSLATE(C1353, ""en"", ""zh-cn""))
"),"戴尔 Inspiron 灵越 14 英寸 5425 小型轻薄笔记本电脑 - 16:10 FHD+ 1920 x 1200p，AMD Ryzen 5 5625U，8GB 内存，512GB SSD，AMD Radeon 显卡，MediaTek Wi-Fi 6，Windows 11 - 白金银")</f>
        <v>戴尔 Inspiron 灵越 14 英寸 5425 小型轻薄笔记本电脑 - 16:10 FHD+ 1920 x 1200p，AMD Ryzen 5 5625U，8GB 内存，512GB SSD，AMD Radeon 显卡，MediaTek Wi-Fi 6，Windows 11 - 白金银</v>
      </c>
      <c r="E1353" s="1" t="str">
        <f>IFERROR(__xludf.DUMMYFUNCTION("CONCATENATE(GOOGLETRANSLATE(C1353, ""en"", ""ko""))"),"Dell Inspiron 14인치 5425 작고 얇고 가벼운 노트북 - 16:10 FHD+ 1920 x 1200p, AMD Ryzen 5 5625U, 8GB 메모리, 512GB SSD, AMD Radeon 그래픽, MediaTek Wi-Fi 6, Windows 11 - 플래티넘 실버")</f>
        <v>Dell Inspiron 14인치 5425 작고 얇고 가벼운 노트북 - 16:10 FHD+ 1920 x 1200p, AMD Ryzen 5 5625U, 8GB 메모리, 512GB SSD, AMD Radeon 그래픽, MediaTek Wi-Fi 6, Windows 11 - 플래티넘 실버</v>
      </c>
      <c r="F1353" s="1" t="str">
        <f>IFERROR(__xludf.DUMMYFUNCTION("CONCATENATE(GOOGLETRANSLATE(C1353, ""en"", ""ja""))"),"Dell Inspiron 14 インチ 5425 小型薄型軽量ラップトップ - 16:10 FHD+ 1920 x 1200p、AMD Ryzen 5 5625U、8GB メモリ、512GB SSD、AMD Radeon グラフィックス、MediaTek Wi-Fi 6、Windows 11 - プラチナ シルバー")</f>
        <v>Dell Inspiron 14 インチ 5425 小型薄型軽量ラップトップ - 16:10 FHD+ 1920 x 1200p、AMD Ryzen 5 5625U、8GB メモリ、512GB SSD、AMD Radeon グラフィックス、MediaTek Wi-Fi 6、Windows 11 - プラチナ シルバー</v>
      </c>
    </row>
    <row r="1354" ht="15.75" customHeight="1">
      <c r="A1354" s="1">
        <v>3677.0</v>
      </c>
      <c r="B1354" s="1" t="s">
        <v>6</v>
      </c>
      <c r="C1354" s="1" t="s">
        <v>1251</v>
      </c>
      <c r="D1354" s="1" t="str">
        <f>IFERROR(__xludf.DUMMYFUNCTION("CONCATENATE(GOOGLETRANSLATE(C1354, ""en"", ""zh-cn""))
"),"戴尔最新 Inspiron 15 3511 笔记本电脑，15.6 FHD 触摸屏，Intel Core i5-1035G1，32GB RAM，1TB PCIe NVMe M.2 SSD，SD 读卡器，网络摄像头，HDMI，WiFi，Windows 11 Home，黑色")</f>
        <v>戴尔最新 Inspiron 15 3511 笔记本电脑，15.6 FHD 触摸屏，Intel Core i5-1035G1，32GB RAM，1TB PCIe NVMe M.2 SSD，SD 读卡器，网络摄像头，HDMI，WiFi，Windows 11 Home，黑色</v>
      </c>
      <c r="E1354" s="1" t="str">
        <f>IFERROR(__xludf.DUMMYFUNCTION("CONCATENATE(GOOGLETRANSLATE(C1354, ""en"", ""ko""))"),"Dell 최신 Inspiron 15 3511 노트북, 15.6 FHD 터치스크린, Intel Core i5-1035G1, 32GB RAM, 1TB PCIe NVMe M.2 SSD, SD 카드 리더기, 웹캠, HDMI, WiFi, Windows 11 Home, 블랙")</f>
        <v>Dell 최신 Inspiron 15 3511 노트북, 15.6 FHD 터치스크린, Intel Core i5-1035G1, 32GB RAM, 1TB PCIe NVMe M.2 SSD, SD 카드 리더기, 웹캠, HDMI, WiFi, Windows 11 Home, 블랙</v>
      </c>
      <c r="F1354" s="1" t="str">
        <f>IFERROR(__xludf.DUMMYFUNCTION("CONCATENATE(GOOGLETRANSLATE(C1354, ""en"", ""ja""))"),"Dell 最新の Inspiron 15 3511 ラップトップ、15.6 FHD タッチスクリーン、Intel Core i5-1035G1、32GB RAM、1TB PCIe NVMe M.2 SSD、SD カード リーダー、ウェブカメラ、HDMI、WiFi、Windows 11 Home、ブラック")</f>
        <v>Dell 最新の Inspiron 15 3511 ラップトップ、15.6 FHD タッチスクリーン、Intel Core i5-1035G1、32GB RAM、1TB PCIe NVMe M.2 SSD、SD カード リーダー、ウェブカメラ、HDMI、WiFi、Windows 11 Home、ブラック</v>
      </c>
    </row>
    <row r="1355" ht="15.75" customHeight="1">
      <c r="A1355" s="1">
        <v>3688.0</v>
      </c>
      <c r="B1355" s="1" t="s">
        <v>6</v>
      </c>
      <c r="C1355" s="1" t="s">
        <v>1252</v>
      </c>
      <c r="D1355" s="1" t="str">
        <f>IFERROR(__xludf.DUMMYFUNCTION("CONCATENATE(GOOGLETRANSLATE(C1355, ""en"", ""zh-cn""))
"),"HP 2022 最新 15.6 英寸高清触摸屏笔记本电脑，四核 Intel i5-1135G7（击败 i7-1065G7，高达 4.2GHz），Iris Xe 显卡，16GB RAM，512GB SSD，高清网络摄像头，WiFi，11+ 小时电池，Win11 S，Marxsolcables")</f>
        <v>HP 2022 最新 15.6 英寸高清触摸屏笔记本电脑，四核 Intel i5-1135G7（击败 i7-1065G7，高达 4.2GHz），Iris Xe 显卡，16GB RAM，512GB SSD，高清网络摄像头，WiFi，11+ 小时电池，Win11 S，Marxsolcables</v>
      </c>
      <c r="E1355" s="1" t="str">
        <f>IFERROR(__xludf.DUMMYFUNCTION("CONCATENATE(GOOGLETRANSLATE(C1355, ""en"", ""ko""))"),"HP 2022 최신 15.6인치 HD 터치스크린 노트북, 쿼드 코어 Intel i5-1135G7(Beat i7-1065G7, 최대 4.2GHz), Iris Xe 그래픽, 16GB RAM, 512GB SSD, HD 웹캠, WiFi, 11시간 이상의 배터리, Win11 S, Marxsolcables")</f>
        <v>HP 2022 최신 15.6인치 HD 터치스크린 노트북, 쿼드 코어 Intel i5-1135G7(Beat i7-1065G7, 최대 4.2GHz), Iris Xe 그래픽, 16GB RAM, 512GB SSD, HD 웹캠, WiFi, 11시간 이상의 배터리, Win11 S, Marxsolcables</v>
      </c>
      <c r="F1355" s="1" t="str">
        <f>IFERROR(__xludf.DUMMYFUNCTION("CONCATENATE(GOOGLETRANSLATE(C1355, ""en"", ""ja""))"),"HP 2022 最新 15.6 インチ HD タッチスクリーン ラップトップ、クアッドコア Intel i5-1135G7 (Beat i7-1065G7、最大 4.2GHz)、Iris Xe グラフィックス、16GB RAM、512GB SSD、HD ウェブカメラ、WiFi、11 時間以上のバッテリー、Win11 S、Marxsolcables")</f>
        <v>HP 2022 最新 15.6 インチ HD タッチスクリーン ラップトップ、クアッドコア Intel i5-1135G7 (Beat i7-1065G7、最大 4.2GHz)、Iris Xe グラフィックス、16GB RAM、512GB SSD、HD ウェブカメラ、WiFi、11 時間以上のバッテリー、Win11 S、Marxsolcables</v>
      </c>
    </row>
    <row r="1356" ht="15.75" customHeight="1">
      <c r="A1356" s="1">
        <v>3721.0</v>
      </c>
      <c r="B1356" s="1" t="s">
        <v>6</v>
      </c>
      <c r="C1356" s="1" t="s">
        <v>1253</v>
      </c>
      <c r="D1356" s="1" t="str">
        <f>IFERROR(__xludf.DUMMYFUNCTION("CONCATENATE(GOOGLETRANSLATE(C1356, ""en"", ""zh-cn""))
"),"HP 2022 最新 15 商务笔记本电脑，15.6 FHD，英特尔四核 i5-1135G7 高达 4.2GHz (Beat i7-1065G7)，8GB DDR4 RAM，256GB PCIe SSD，WiFi 6，蓝牙 5.2，Windows 11 Pro，64GB 闪存驱动器")</f>
        <v>HP 2022 最新 15 商务笔记本电脑，15.6 FHD，英特尔四核 i5-1135G7 高达 4.2GHz (Beat i7-1065G7)，8GB DDR4 RAM，256GB PCIe SSD，WiFi 6，蓝牙 5.2，Windows 11 Pro，64GB 闪存驱动器</v>
      </c>
      <c r="E1356" s="1" t="str">
        <f>IFERROR(__xludf.DUMMYFUNCTION("CONCATENATE(GOOGLETRANSLATE(C1356, ""en"", ""ko""))"),"HP 2022 최신 15개 비즈니스 노트북, 15.6 FHD, Intel 쿼드 코어 i5-1135G7 최대 4.2GHz(Beat i7-1065G7), 8GB DDR4 RAM, 256GB PCIe SSD, WiFi 6, Bluetooth 5.2, Windows 11 Pro, 64GB 플래시 드라이브")</f>
        <v>HP 2022 최신 15개 비즈니스 노트북, 15.6 FHD, Intel 쿼드 코어 i5-1135G7 최대 4.2GHz(Beat i7-1065G7), 8GB DDR4 RAM, 256GB PCIe SSD, WiFi 6, Bluetooth 5.2, Windows 11 Pro, 64GB 플래시 드라이브</v>
      </c>
      <c r="F1356" s="1" t="str">
        <f>IFERROR(__xludf.DUMMYFUNCTION("CONCATENATE(GOOGLETRANSLATE(C1356, ""en"", ""ja""))"),"HP 2022 最新 15 ビジネス ノートパソコン、15.6 FHD、インテル クアッドコア i5-1135G7 最大 4.2 GHz (Beat i7-1065G7)、8 GB DDR4 RAM、256 GB PCIe SSD、WiFi 6、Bluetooth 5.2、Windows 11 Pro、64 GB フラッシュ ドライブ")</f>
        <v>HP 2022 最新 15 ビジネス ノートパソコン、15.6 FHD、インテル クアッドコア i5-1135G7 最大 4.2 GHz (Beat i7-1065G7)、8 GB DDR4 RAM、256 GB PCIe SSD、WiFi 6、Bluetooth 5.2、Windows 11 Pro、64 GB フラッシュ ドライブ</v>
      </c>
    </row>
    <row r="1357" ht="15.75" customHeight="1">
      <c r="A1357" s="1">
        <v>3739.0</v>
      </c>
      <c r="B1357" s="1" t="s">
        <v>6</v>
      </c>
      <c r="C1357" s="1" t="s">
        <v>1254</v>
      </c>
      <c r="D1357" s="1" t="str">
        <f>IFERROR(__xludf.DUMMYFUNCTION("CONCATENATE(GOOGLETRANSLATE(C1357, ""en"", ""zh-cn""))
"),"Fitnessandfun 30 英尺无缝充气投影仪电影屏幕户外前后大型剧院屏幕，适合户外、派对、活动和教堂（30 英尺带鼓风机）")</f>
        <v>Fitnessandfun 30 英尺无缝充气投影仪电影屏幕户外前后大型剧院屏幕，适合户外、派对、活动和教堂（30 英尺带鼓风机）</v>
      </c>
      <c r="E1357" s="1" t="str">
        <f>IFERROR(__xludf.DUMMYFUNCTION("CONCATENATE(GOOGLETRANSLATE(C1357, ""en"", ""ko""))"),"Fitnessandfun 외부, 파티, 활동 및 교회를 위한 30피트 원활한 풍선 프로젝터 영화 스크린 야외 전면 및 후면 메가 극장 스크린(송풍기가 있는 30피트)")</f>
        <v>Fitnessandfun 외부, 파티, 활동 및 교회를 위한 30피트 원활한 풍선 프로젝터 영화 스크린 야외 전면 및 후면 메가 극장 스크린(송풍기가 있는 30피트)</v>
      </c>
      <c r="F1357" s="1" t="str">
        <f>IFERROR(__xludf.DUMMYFUNCTION("CONCATENATE(GOOGLETRANSLATE(C1357, ""en"", ""ja""))"),"Fitnessandfun 30 フィート シームレス インフレータブル プロジェクター ムービー スクリーン 屋外 フロントおよびリア メガ シアター スクリーン 屋外、パーティー、アクティビティ、教会用 (送風機付き 30 フィート)")</f>
        <v>Fitnessandfun 30 フィート シームレス インフレータブル プロジェクター ムービー スクリーン 屋外 フロントおよびリア メガ シアター スクリーン 屋外、パーティー、アクティビティ、教会用 (送風機付き 30 フィート)</v>
      </c>
    </row>
    <row r="1358" ht="15.75" customHeight="1">
      <c r="A1358" s="1">
        <v>3752.0</v>
      </c>
      <c r="B1358" s="1" t="s">
        <v>6</v>
      </c>
      <c r="C1358" s="1" t="s">
        <v>1255</v>
      </c>
      <c r="D1358" s="1" t="str">
        <f>IFERROR(__xludf.DUMMYFUNCTION("CONCATENATE(GOOGLETRANSLATE(C1358, ""en"", ""zh-cn""))
"),"联想 ThinkCentre M700z 一体机台式机 / i5-6th / 8GB RAM / 256GB SSD/ Win 10 pro / MS Office /免费 USB 有线键盘和鼠标（翻新）")</f>
        <v>联想 ThinkCentre M700z 一体机台式机 / i5-6th / 8GB RAM / 256GB SSD/ Win 10 pro / MS Office /免费 USB 有线键盘和鼠标（翻新）</v>
      </c>
      <c r="E1358" s="1" t="str">
        <f>IFERROR(__xludf.DUMMYFUNCTION("CONCATENATE(GOOGLETRANSLATE(C1358, ""en"", ""ko""))"),"Lenovo ThinkCentre M700z AIO 데스크탑 / i5-6th / 8GB RAM / 256GB SSD/ Win 10 pro / MS 오피스 /무료 USB 와이어 키보드 및 마우스(리퍼브)")</f>
        <v>Lenovo ThinkCentre M700z AIO 데스크탑 / i5-6th / 8GB RAM / 256GB SSD/ Win 10 pro / MS 오피스 /무료 USB 와이어 키보드 및 마우스(리퍼브)</v>
      </c>
      <c r="F1358" s="1" t="str">
        <f>IFERROR(__xludf.DUMMYFUNCTION("CONCATENATE(GOOGLETRANSLATE(C1358, ""en"", ""ja""))"),"Lenovo ThinkCentre M700z AIO デスクトップ / i5-6th / 8GB RAM / 256GB SSD/ Win 10 pro / MS office /無料 USB ワイヤーキーボードとマウス (整備済)")</f>
        <v>Lenovo ThinkCentre M700z AIO デスクトップ / i5-6th / 8GB RAM / 256GB SSD/ Win 10 pro / MS office /無料 USB ワイヤーキーボードとマウス (整備済)</v>
      </c>
    </row>
    <row r="1359" ht="15.75" customHeight="1">
      <c r="A1359" s="1">
        <v>3759.0</v>
      </c>
      <c r="B1359" s="1" t="s">
        <v>6</v>
      </c>
      <c r="C1359" s="1" t="s">
        <v>1256</v>
      </c>
      <c r="D1359" s="1" t="str">
        <f>IFERROR(__xludf.DUMMYFUNCTION("CONCATENATE(GOOGLETRANSLATE(C1359, ""en"", ""zh-cn""))
"),"HP 305A 黑色、青色、品红色、黄色碳粉盒（4 件装） |适用于 LaserJet Pro 300 M351， LaserJet Pro 300 MFP M375， LaserJet Pro 400 M451， LaserJet Pro 400 MFP M475 | CE305AQ1")</f>
        <v>HP 305A 黑色、青色、品红色、黄色碳粉盒（4 件装） |适用于 LaserJet Pro 300 M351， LaserJet Pro 300 MFP M375， LaserJet Pro 400 M451， LaserJet Pro 400 MFP M475 | CE305AQ1</v>
      </c>
      <c r="E1359" s="1" t="str">
        <f>IFERROR(__xludf.DUMMYFUNCTION("CONCATENATE(GOOGLETRANSLATE(C1359, ""en"", ""ko""))"),"HP 305A 검정, 시안, 마젠타, 노랑 토너 카트리지(4팩) | LaserJet Pro 300 M351, LaserJet Pro 300 MFP M375, LaserJet Pro 400 M451, LaserJet Pro 400 MFP M475와 함께 작동 | CE305AQ1")</f>
        <v>HP 305A 검정, 시안, 마젠타, 노랑 토너 카트리지(4팩) | LaserJet Pro 300 M351, LaserJet Pro 300 MFP M375, LaserJet Pro 400 M451, LaserJet Pro 400 MFP M475와 함께 작동 | CE305AQ1</v>
      </c>
      <c r="F1359" s="1" t="str">
        <f>IFERROR(__xludf.DUMMYFUNCTION("CONCATENATE(GOOGLETRANSLATE(C1359, ""en"", ""ja""))"),"HP 305A ブラック、シアン、マゼンタ、イエロー トナー カートリッジ (4 パック) | LaserJet Pro 300 M351、LaserJet Pro 300 MFP M375、LaserJet Pro 400 M451、LaserJet Pro 400 MFP M475 で動作 | CE305AQ1")</f>
        <v>HP 305A ブラック、シアン、マゼンタ、イエロー トナー カートリッジ (4 パック) | LaserJet Pro 300 M351、LaserJet Pro 300 MFP M375、LaserJet Pro 400 M451、LaserJet Pro 400 MFP M475 で動作 | CE305AQ1</v>
      </c>
    </row>
    <row r="1360" ht="15.75" customHeight="1">
      <c r="A1360" s="1">
        <v>3773.0</v>
      </c>
      <c r="B1360" s="1" t="s">
        <v>6</v>
      </c>
      <c r="C1360" s="1" t="s">
        <v>1257</v>
      </c>
      <c r="D1360" s="1" t="str">
        <f>IFERROR(__xludf.DUMMYFUNCTION("CONCATENATE(GOOGLETRANSLATE(C1360, ""en"", ""zh-cn""))
"),"Lenovo - 2022 - IdeaPad 3i - 日常笔记本电脑 - Intel Core i5 第 12 代 - 14.0 FHD 显示屏 - 8GB 内存 - 256GB 存储 - Windows 11 主页")</f>
        <v>Lenovo - 2022 - IdeaPad 3i - 日常笔记本电脑 - Intel Core i5 第 12 代 - 14.0 FHD 显示屏 - 8GB 内存 - 256GB 存储 - Windows 11 主页</v>
      </c>
      <c r="E1360" s="1" t="str">
        <f>IFERROR(__xludf.DUMMYFUNCTION("CONCATENATE(GOOGLETRANSLATE(C1360, ""en"", ""ko""))"),"Lenovo - 2022 - IdeaPad 3i - 일상용 노트북 컴퓨터 - Intel Core i5 12세대 - 14.0 FHD 디스플레이 - 8GB 메모리 - 256GB 스토리지 - Windows 11 Home")</f>
        <v>Lenovo - 2022 - IdeaPad 3i - 일상용 노트북 컴퓨터 - Intel Core i5 12세대 - 14.0 FHD 디스플레이 - 8GB 메모리 - 256GB 스토리지 - Windows 11 Home</v>
      </c>
      <c r="F1360" s="1" t="str">
        <f>IFERROR(__xludf.DUMMYFUNCTION("CONCATENATE(GOOGLETRANSLATE(C1360, ""en"", ""ja""))"),"Lenovo - 2022 - IdeaPad 3i - 普段使いのラップトップ コンピューター - Intel Core i5 第 12 世代 - 14.0 FHD ディスプレイ - 8GB メモリ - 256GB ストレージ - Windows 11 Home")</f>
        <v>Lenovo - 2022 - IdeaPad 3i - 普段使いのラップトップ コンピューター - Intel Core i5 第 12 世代 - 14.0 FHD ディスプレイ - 8GB メモリ - 256GB ストレージ - Windows 11 Home</v>
      </c>
    </row>
    <row r="1361" ht="15.75" customHeight="1">
      <c r="A1361" s="1">
        <v>3798.0</v>
      </c>
      <c r="B1361" s="1" t="s">
        <v>6</v>
      </c>
      <c r="C1361" s="1" t="s">
        <v>1258</v>
      </c>
      <c r="D1361" s="1" t="str">
        <f>IFERROR(__xludf.DUMMYFUNCTION("CONCATENATE(GOOGLETRANSLATE(C1361, ""en"", ""zh-cn""))
"),"松下专业 XLR 音频视频麦克风适配器，带 2 个 XLR 端子 - 配件兼容 LUMIX GH5、GH5S、S1 和 S1R 无反光镜数码相机 - DMW-XLR1，黑色")</f>
        <v>松下专业 XLR 音频视频麦克风适配器，带 2 个 XLR 端子 - 配件兼容 LUMIX GH5、GH5S、S1 和 S1R 无反光镜数码相机 - DMW-XLR1，黑色</v>
      </c>
      <c r="E1361" s="1" t="str">
        <f>IFERROR(__xludf.DUMMYFUNCTION("CONCATENATE(GOOGLETRANSLATE(C1361, ""en"", ""ko""))"),"Panasonic 프로페셔널 XLR 오디오 비디오 마이크 어댑터(XLR 단자 2개 포함) - LUMIX GH5, GH5S, S1 및 S1R 미러리스 디지털 카메라와 호환되는 액세서리 - DMW-XLR1, 블랙")</f>
        <v>Panasonic 프로페셔널 XLR 오디오 비디오 마이크 어댑터(XLR 단자 2개 포함) - LUMIX GH5, GH5S, S1 및 S1R 미러리스 디지털 카메라와 호환되는 액세서리 - DMW-XLR1, 블랙</v>
      </c>
      <c r="F1361" s="1" t="str">
        <f>IFERROR(__xludf.DUMMYFUNCTION("CONCATENATE(GOOGLETRANSLATE(C1361, ""en"", ""ja""))"),"パナソニック プロフェッショナル XLR オーディオ ビデオ マイク アダプター 2 つの XLR 端子付き – アクセサリー LUMIX GH5、GH5S、S1 および S1R ミラーレス デジタル カメラと互換性あり – DMW-XLR1、ブラック")</f>
        <v>パナソニック プロフェッショナル XLR オーディオ ビデオ マイク アダプター 2 つの XLR 端子付き – アクセサリー LUMIX GH5、GH5S、S1 および S1R ミラーレス デジタル カメラと互換性あり – DMW-XLR1、ブラック</v>
      </c>
    </row>
    <row r="1362" ht="15.75" customHeight="1">
      <c r="A1362" s="1">
        <v>3803.0</v>
      </c>
      <c r="B1362" s="1" t="s">
        <v>6</v>
      </c>
      <c r="C1362" s="1" t="s">
        <v>1259</v>
      </c>
      <c r="D1362" s="1" t="str">
        <f>IFERROR(__xludf.DUMMYFUNCTION("CONCATENATE(GOOGLETRANSLATE(C1362, ""en"", ""zh-cn""))
"),"宏碁 Aspire 5 A515-45-R74Z 超薄笔记本电脑 | 15.6全高清IPS | AMD Ryzen 5 5500U 六核移动处理器 | AMD Radeon 显卡 | 8GB DDR4 | 256GB NVMe 固态硬盘 |无线网络6 |背光知识库 | Windows 11 家庭版")</f>
        <v>宏碁 Aspire 5 A515-45-R74Z 超薄笔记本电脑 | 15.6全高清IPS | AMD Ryzen 5 5500U 六核移动处理器 | AMD Radeon 显卡 | 8GB DDR4 | 256GB NVMe 固态硬盘 |无线网络6 |背光知识库 | Windows 11 家庭版</v>
      </c>
      <c r="E1362" s="1" t="str">
        <f>IFERROR(__xludf.DUMMYFUNCTION("CONCATENATE(GOOGLETRANSLATE(C1362, ""en"", ""ko""))"),"Acer Aspire 5 A515-45-R74Z 슬림 노트북 | 15.6 풀 HD IPS | AMD Ryzen 5 5500U 헥사코어 모바일 프로세서 | AMD 라데온 그래픽 | 8GB DDR4 | 256GB NVMe SSD | 와이파이 6 | 백라이트 KB | 윈도우 11 홈")</f>
        <v>Acer Aspire 5 A515-45-R74Z 슬림 노트북 | 15.6 풀 HD IPS | AMD Ryzen 5 5500U 헥사코어 모바일 프로세서 | AMD 라데온 그래픽 | 8GB DDR4 | 256GB NVMe SSD | 와이파이 6 | 백라이트 KB | 윈도우 11 홈</v>
      </c>
      <c r="F1362" s="1" t="str">
        <f>IFERROR(__xludf.DUMMYFUNCTION("CONCATENATE(GOOGLETRANSLATE(C1362, ""en"", ""ja""))"),"Acer Aspire 5 A515-45-R74Z スリム ノートパソコン | 15.6 フル HD IPS | AMD Ryzen 5 5500U ヘキサコア モバイル プロセッサ | AMD Radeon グラフィックス | 8GB DDR4 | 256GB NVMe SSD | WiFi6 |バックライト付きKB | Windows 11 ホーム")</f>
        <v>Acer Aspire 5 A515-45-R74Z スリム ノートパソコン | 15.6 フル HD IPS | AMD Ryzen 5 5500U ヘキサコア モバイル プロセッサ | AMD Radeon グラフィックス | 8GB DDR4 | 256GB NVMe SSD | WiFi6 |バックライト付きKB | Windows 11 ホーム</v>
      </c>
    </row>
    <row r="1363" ht="15.75" customHeight="1">
      <c r="A1363" s="1">
        <v>3884.0</v>
      </c>
      <c r="B1363" s="1" t="s">
        <v>6</v>
      </c>
      <c r="C1363" s="1" t="s">
        <v>1260</v>
      </c>
      <c r="D1363" s="1" t="str">
        <f>IFERROR(__xludf.DUMMYFUNCTION("CONCATENATE(GOOGLETRANSLATE(C1363, ""en"", ""zh-cn""))
"),"三星 Galaxy S23 手机，工厂解锁 Android 智能手机，256GB 存储空间，50MP 摄像头，夜间模式，长电池寿命，自适应显示，美国版，2023 年，绿色")</f>
        <v>三星 Galaxy S23 手机，工厂解锁 Android 智能手机，256GB 存储空间，50MP 摄像头，夜间模式，长电池寿命，自适应显示，美国版，2023 年，绿色</v>
      </c>
      <c r="E1363" s="1" t="str">
        <f>IFERROR(__xludf.DUMMYFUNCTION("CONCATENATE(GOOGLETRANSLATE(C1363, ""en"", ""ko""))"),"SAMSUNG Galaxy S23 휴대폰, 공장 잠금 해제 Android 스마트폰, 256GB 저장 공간, 50MP 카메라, 야간 모드, 긴 배터리 수명, 적응형 디스플레이, 미국 버전, 2023, 녹색")</f>
        <v>SAMSUNG Galaxy S23 휴대폰, 공장 잠금 해제 Android 스마트폰, 256GB 저장 공간, 50MP 카메라, 야간 모드, 긴 배터리 수명, 적응형 디스플레이, 미국 버전, 2023, 녹색</v>
      </c>
      <c r="F1363" s="1" t="str">
        <f>IFERROR(__xludf.DUMMYFUNCTION("CONCATENATE(GOOGLETRANSLATE(C1363, ""en"", ""ja""))"),"SAMSUNG Galaxy S23 携帯電話、工場でロック解除された Android スマートフォン、256GB ストレージ、50MP カメラ、ナイトモード、長いバッテリー寿命、アダプティブ ディスプレイ、米国バージョン、2023、グリーン")</f>
        <v>SAMSUNG Galaxy S23 携帯電話、工場でロック解除された Android スマートフォン、256GB ストレージ、50MP カメラ、ナイトモード、長いバッテリー寿命、アダプティブ ディスプレイ、米国バージョン、2023、グリーン</v>
      </c>
    </row>
    <row r="1364" ht="15.75" customHeight="1">
      <c r="A1364" s="1">
        <v>3888.0</v>
      </c>
      <c r="B1364" s="1" t="s">
        <v>6</v>
      </c>
      <c r="C1364" s="1" t="s">
        <v>817</v>
      </c>
      <c r="D1364" s="1" t="str">
        <f>IFERROR(__xludf.DUMMYFUNCTION("CONCATENATE(GOOGLETRANSLATE(C1364, ""en"", ""zh-cn""))
"),"iPhone 13 Pro，128GB，Sierra Blue - 已解锁（续订高级版）")</f>
        <v>iPhone 13 Pro，128GB，Sierra Blue - 已解锁（续订高级版）</v>
      </c>
      <c r="E1364" s="1" t="str">
        <f>IFERROR(__xludf.DUMMYFUNCTION("CONCATENATE(GOOGLETRANSLATE(C1364, ""en"", ""ko""))"),"iPhone 13 Pro, 128GB, Sierra Blue - 공기계(리뉴얼 프리미엄)")</f>
        <v>iPhone 13 Pro, 128GB, Sierra Blue - 공기계(리뉴얼 프리미엄)</v>
      </c>
      <c r="F1364" s="1" t="str">
        <f>IFERROR(__xludf.DUMMYFUNCTION("CONCATENATE(GOOGLETRANSLATE(C1364, ""en"", ""ja""))"),"iPhone 13 Pro、128GB、シエラブルー - ロック解除済み (リニューアルプレミアム)")</f>
        <v>iPhone 13 Pro、128GB、シエラブルー - ロック解除済み (リニューアルプレミアム)</v>
      </c>
    </row>
    <row r="1365" ht="15.75" customHeight="1">
      <c r="A1365" s="1">
        <v>3893.0</v>
      </c>
      <c r="B1365" s="1" t="s">
        <v>6</v>
      </c>
      <c r="C1365" s="1" t="s">
        <v>435</v>
      </c>
      <c r="D1365" s="1" t="str">
        <f>IFERROR(__xludf.DUMMYFUNCTION("CONCATENATE(GOOGLETRANSLATE(C1365, ""en"", ""zh-cn""))
"),"Apple iPhone 14 Plus，128GB，午夜 - 解锁（续订）")</f>
        <v>Apple iPhone 14 Plus，128GB，午夜 - 解锁（续订）</v>
      </c>
      <c r="E1365" s="1" t="str">
        <f>IFERROR(__xludf.DUMMYFUNCTION("CONCATENATE(GOOGLETRANSLATE(C1365, ""en"", ""ko""))"),"Apple iPhone 14 Plus, 128GB, 미드나잇 - 공기계 (리뉴얼)")</f>
        <v>Apple iPhone 14 Plus, 128GB, 미드나잇 - 공기계 (리뉴얼)</v>
      </c>
      <c r="F1365" s="1" t="str">
        <f>IFERROR(__xludf.DUMMYFUNCTION("CONCATENATE(GOOGLETRANSLATE(C1365, ""en"", ""ja""))"),"Apple iPhone 14 Plus、128GB、ミッドナイト - ロック解除済み (更新済み)")</f>
        <v>Apple iPhone 14 Plus、128GB、ミッドナイト - ロック解除済み (更新済み)</v>
      </c>
    </row>
    <row r="1366" ht="15.75" customHeight="1">
      <c r="A1366" s="1">
        <v>3897.0</v>
      </c>
      <c r="B1366" s="1" t="s">
        <v>6</v>
      </c>
      <c r="C1366" s="1" t="s">
        <v>1261</v>
      </c>
      <c r="D1366" s="1" t="str">
        <f>IFERROR(__xludf.DUMMYFUNCTION("CONCATENATE(GOOGLETRANSLATE(C1366, ""en"", ""zh-cn""))
"),"Apple iPhone 12 Pro Max，128GB，石墨色 - 解锁（续订高级版）")</f>
        <v>Apple iPhone 12 Pro Max，128GB，石墨色 - 解锁（续订高级版）</v>
      </c>
      <c r="E1366" s="1" t="str">
        <f>IFERROR(__xludf.DUMMYFUNCTION("CONCATENATE(GOOGLETRANSLATE(C1366, ""en"", ""ko""))"),"Apple iPhone 12 Pro Max, 128GB, 그래파이트 - 공기계(리뉴얼 프리미엄)")</f>
        <v>Apple iPhone 12 Pro Max, 128GB, 그래파이트 - 공기계(리뉴얼 프리미엄)</v>
      </c>
      <c r="F1366" s="1" t="str">
        <f>IFERROR(__xludf.DUMMYFUNCTION("CONCATENATE(GOOGLETRANSLATE(C1366, ""en"", ""ja""))"),"Apple iPhone 12 Pro Max、128GB、グラファイト - ロック解除済み (リニューアルプレミアム)")</f>
        <v>Apple iPhone 12 Pro Max、128GB、グラファイト - ロック解除済み (リニューアルプレミアム)</v>
      </c>
    </row>
    <row r="1367" ht="15.75" customHeight="1">
      <c r="A1367" s="1">
        <v>3907.0</v>
      </c>
      <c r="B1367" s="1" t="s">
        <v>6</v>
      </c>
      <c r="C1367" s="1" t="s">
        <v>241</v>
      </c>
      <c r="D1367" s="1" t="str">
        <f>IFERROR(__xludf.DUMMYFUNCTION("CONCATENATE(GOOGLETRANSLATE(C1367, ""en"", ""zh-cn""))
"),"Apple iPhone 13，128GB，蓝色 - 无锁版（续订）")</f>
        <v>Apple iPhone 13，128GB，蓝色 - 无锁版（续订）</v>
      </c>
      <c r="E1367" s="1" t="str">
        <f>IFERROR(__xludf.DUMMYFUNCTION("CONCATENATE(GOOGLETRANSLATE(C1367, ""en"", ""ko""))"),"Apple iPhone 13, 128GB, 블루 - 공기계(리뉴얼)")</f>
        <v>Apple iPhone 13, 128GB, 블루 - 공기계(리뉴얼)</v>
      </c>
      <c r="F1367" s="1" t="str">
        <f>IFERROR(__xludf.DUMMYFUNCTION("CONCATENATE(GOOGLETRANSLATE(C1367, ""en"", ""ja""))"),"Apple iPhone 13、128GB、ブルー - ロック解除済み (更新済み)")</f>
        <v>Apple iPhone 13、128GB、ブルー - ロック解除済み (更新済み)</v>
      </c>
    </row>
    <row r="1368" ht="15.75" customHeight="1">
      <c r="A1368" s="1">
        <v>3908.0</v>
      </c>
      <c r="B1368" s="1" t="s">
        <v>6</v>
      </c>
      <c r="C1368" s="1" t="s">
        <v>1262</v>
      </c>
      <c r="D1368" s="1" t="str">
        <f>IFERROR(__xludf.DUMMYFUNCTION("CONCATENATE(GOOGLETRANSLATE(C1368, ""en"", ""zh-cn""))
"),"Google Pixel 7-5G Android 手机 - 解锁智能手机，配备广角镜头和 24 小时电池 - 128GB - 雪色")</f>
        <v>Google Pixel 7-5G Android 手机 - 解锁智能手机，配备广角镜头和 24 小时电池 - 128GB - 雪色</v>
      </c>
      <c r="E1368" s="1" t="str">
        <f>IFERROR(__xludf.DUMMYFUNCTION("CONCATENATE(GOOGLETRANSLATE(C1368, ""en"", ""ko""))"),"Google Pixel 7-5G 안드로이드 휴대폰 - 광각 렌즈 및 24시간 배터리를 갖춘 공기계 스마트폰 - 128GB - 스노우")</f>
        <v>Google Pixel 7-5G 안드로이드 휴대폰 - 광각 렌즈 및 24시간 배터리를 갖춘 공기계 스마트폰 - 128GB - 스노우</v>
      </c>
      <c r="F1368" s="1" t="str">
        <f>IFERROR(__xludf.DUMMYFUNCTION("CONCATENATE(GOOGLETRANSLATE(C1368, ""en"", ""ja""))"),"Google Pixel 7-5G Android Phone - 広角レンズと 24 時間持続バッテリーを備えたロック解除済みスマートフォン - 128GB - Snow")</f>
        <v>Google Pixel 7-5G Android Phone - 広角レンズと 24 時間持続バッテリーを備えたロック解除済みスマートフォン - 128GB - Snow</v>
      </c>
    </row>
    <row r="1369" ht="15.75" customHeight="1">
      <c r="A1369" s="1">
        <v>3909.0</v>
      </c>
      <c r="B1369" s="1" t="s">
        <v>6</v>
      </c>
      <c r="C1369" s="1" t="s">
        <v>1263</v>
      </c>
      <c r="D1369" s="1" t="str">
        <f>IFERROR(__xludf.DUMMYFUNCTION("CONCATENATE(GOOGLETRANSLATE(C1369, ""en"", ""zh-cn""))
"),"三星 Galaxy S20 FE 5G 手机，工厂解锁 Android 智能手机，128GB，专业级相机，30 倍变焦，夜间模式，美国版，云薄荷绿")</f>
        <v>三星 Galaxy S20 FE 5G 手机，工厂解锁 Android 智能手机，128GB，专业级相机，30 倍变焦，夜间模式，美国版，云薄荷绿</v>
      </c>
      <c r="E1369" s="1" t="str">
        <f>IFERROR(__xludf.DUMMYFUNCTION("CONCATENATE(GOOGLETRANSLATE(C1369, ""en"", ""ko""))"),"SAMSUNG Galaxy S20 FE 5G 휴대폰, 공장 잠금 해제 Android 스마트폰, 128GB, 프로 등급 카메라, 30X 스페이스 줌, 야간 모드, 미국 버전, 클라우드 민트 그린")</f>
        <v>SAMSUNG Galaxy S20 FE 5G 휴대폰, 공장 잠금 해제 Android 스마트폰, 128GB, 프로 등급 카메라, 30X 스페이스 줌, 야간 모드, 미국 버전, 클라우드 민트 그린</v>
      </c>
      <c r="F1369" s="1" t="str">
        <f>IFERROR(__xludf.DUMMYFUNCTION("CONCATENATE(GOOGLETRANSLATE(C1369, ""en"", ""ja""))"),"SAMSUNG Galaxy S20 FE 5G 携帯電話、工場でロック解除された Android スマートフォン、128GB、プログレードのカメラ、30X スペースズーム、ナイトモード、US バージョン、クラウドミントグリーン")</f>
        <v>SAMSUNG Galaxy S20 FE 5G 携帯電話、工場でロック解除された Android スマートフォン、128GB、プログレードのカメラ、30X スペースズーム、ナイトモード、US バージョン、クラウドミントグリーン</v>
      </c>
    </row>
    <row r="1370" ht="15.75" customHeight="1">
      <c r="A1370" s="1">
        <v>3918.0</v>
      </c>
      <c r="B1370" s="1" t="s">
        <v>6</v>
      </c>
      <c r="C1370" s="1" t="s">
        <v>1264</v>
      </c>
      <c r="D1370" s="1" t="str">
        <f>IFERROR(__xludf.DUMMYFUNCTION("CONCATENATE(GOOGLETRANSLATE(C1370, ""en"", ""zh-cn""))
"),"三星 Galaxy A53 5G (SM-A536E/DS) 双 SIM 卡，128 GB 6GB RAM，工厂解锁 GSM，国际版 - 无保修 -（超赞黑色）")</f>
        <v>三星 Galaxy A53 5G (SM-A536E/DS) 双 SIM 卡，128 GB 6GB RAM，工厂解锁 GSM，国际版 - 无保修 -（超赞黑色）</v>
      </c>
      <c r="E1370" s="1" t="str">
        <f>IFERROR(__xludf.DUMMYFUNCTION("CONCATENATE(GOOGLETRANSLATE(C1370, ""en"", ""ko""))"),"SAMSUNG 갤럭시 A53 5G(SM-A536E/DS) 듀얼 SIM, 128GB 6GB RAM, 공장 공기계 GSM, 국제 버전 - 보증 없음 - (멋진 블랙)")</f>
        <v>SAMSUNG 갤럭시 A53 5G(SM-A536E/DS) 듀얼 SIM, 128GB 6GB RAM, 공장 공기계 GSM, 국제 버전 - 보증 없음 - (멋진 블랙)</v>
      </c>
      <c r="F1370" s="1" t="str">
        <f>IFERROR(__xludf.DUMMYFUNCTION("CONCATENATE(GOOGLETRANSLATE(C1370, ""en"", ""ja""))"),"SAMSUNG Galaxy A53 5G (SM-A536E/DS) デュアル SIM、128 GB 6GB RAM、工場出荷時ロック解除済み GSM、インターナショナル バージョン - 保証なし - (オーサム ブラック)")</f>
        <v>SAMSUNG Galaxy A53 5G (SM-A536E/DS) デュアル SIM、128 GB 6GB RAM、工場出荷時ロック解除済み GSM、インターナショナル バージョン - 保証なし - (オーサム ブラック)</v>
      </c>
    </row>
    <row r="1371" ht="15.75" customHeight="1">
      <c r="A1371" s="1">
        <v>3931.0</v>
      </c>
      <c r="B1371" s="1" t="s">
        <v>6</v>
      </c>
      <c r="C1371" s="1" t="s">
        <v>1265</v>
      </c>
      <c r="D1371" s="1" t="str">
        <f>IFERROR(__xludf.DUMMYFUNCTION("CONCATENATE(GOOGLETRANSLATE(C1371, ""en"", ""zh-cn""))
"),"三星 Galaxy S20+ 5G 128GB 完全解锁智能手机（续订）")</f>
        <v>三星 Galaxy S20+ 5G 128GB 完全解锁智能手机（续订）</v>
      </c>
      <c r="E1371" s="1" t="str">
        <f>IFERROR(__xludf.DUMMYFUNCTION("CONCATENATE(GOOGLETRANSLATE(C1371, ""en"", ""ko""))"),"삼성 갤럭시 S20+ 5G 128GB 완전 공기계 스마트폰(리뉴얼)")</f>
        <v>삼성 갤럭시 S20+ 5G 128GB 완전 공기계 스마트폰(리뉴얼)</v>
      </c>
      <c r="F1371" s="1" t="str">
        <f>IFERROR(__xludf.DUMMYFUNCTION("CONCATENATE(GOOGLETRANSLATE(C1371, ""en"", ""ja""))"),"Samsung Galaxy S20+ 5G 128GB 完全にロック解除されたスマートフォン (リニューアル)")</f>
        <v>Samsung Galaxy S20+ 5G 128GB 完全にロック解除されたスマートフォン (リニューアル)</v>
      </c>
    </row>
    <row r="1372" ht="15.75" customHeight="1">
      <c r="A1372" s="1">
        <v>3936.0</v>
      </c>
      <c r="B1372" s="1" t="s">
        <v>6</v>
      </c>
      <c r="C1372" s="1" t="s">
        <v>1266</v>
      </c>
      <c r="D1372" s="1" t="str">
        <f>IFERROR(__xludf.DUMMYFUNCTION("CONCATENATE(GOOGLETRANSLATE(C1372, ""en"", ""zh-cn""))
"),"OnePlus Nord N200 | 5G 无锁版 Android 智能手机美国版 | 6.49全高清+液晶屏| 90Hz 流畅显示 | 5000mAh大电池|快速充电| 64GB 存储 |三摄，蓝量子")</f>
        <v>OnePlus Nord N200 | 5G 无锁版 Android 智能手机美国版 | 6.49全高清+液晶屏| 90Hz 流畅显示 | 5000mAh大电池|快速充电| 64GB 存储 |三摄，蓝量子</v>
      </c>
      <c r="E1372" s="1" t="str">
        <f>IFERROR(__xludf.DUMMYFUNCTION("CONCATENATE(GOOGLETRANSLATE(C1372, ""en"", ""ko""))"),"원플러스 노드 N200 | 5G 잠금 해제 Android 스마트폰 미국 버전 | 6.49 풀 HD+LCD 화면 | 90Hz 부드러운 디스플레이 | 대형 5000mAh 배터리 | 고속 충전 | 64GB 스토리지 | 트리플 카메라, 블루 퀀텀")</f>
        <v>원플러스 노드 N200 | 5G 잠금 해제 Android 스마트폰 미국 버전 | 6.49 풀 HD+LCD 화면 | 90Hz 부드러운 디스플레이 | 대형 5000mAh 배터리 | 고속 충전 | 64GB 스토리지 | 트리플 카메라, 블루 퀀텀</v>
      </c>
      <c r="F1372" s="1" t="str">
        <f>IFERROR(__xludf.DUMMYFUNCTION("CONCATENATE(GOOGLETRANSLATE(C1372, ""en"", ""ja""))"),"OnePlus Nord N200 | 5Gロック解除Androidスマートフォン米国版 | 6.49 フル HD+LCD スクリーン | 90Hzのスムーズなディスプレイ | 5000mAhの大容量バッテリー |急速充電 | 64GB ストレージ |トリプルカメラ、ブルーカンタム")</f>
        <v>OnePlus Nord N200 | 5Gロック解除Androidスマートフォン米国版 | 6.49 フル HD+LCD スクリーン | 90Hzのスムーズなディスプレイ | 5000mAhの大容量バッテリー |急速充電 | 64GB ストレージ |トリプルカメラ、ブルーカンタム</v>
      </c>
    </row>
    <row r="1373" ht="15.75" customHeight="1">
      <c r="A1373" s="1">
        <v>3946.0</v>
      </c>
      <c r="B1373" s="1" t="s">
        <v>6</v>
      </c>
      <c r="C1373" s="1" t="s">
        <v>1267</v>
      </c>
      <c r="D1373" s="1" t="str">
        <f>IFERROR(__xludf.DUMMYFUNCTION("CONCATENATE(GOOGLETRANSLATE(C1373, ""en"", ""zh-cn""))
"),"欧米茄超霸计时自动白色表盘男士手表 329.33.44.51.04.001")</f>
        <v>欧米茄超霸计时自动白色表盘男士手表 329.33.44.51.04.001</v>
      </c>
      <c r="E1373" s="1" t="str">
        <f>IFERROR(__xludf.DUMMYFUNCTION("CONCATENATE(GOOGLETRANSLATE(C1373, ""en"", ""ko""))"),"오메가 스피드마스터 크로노그래프 오토매틱 화이트 다이얼 남성용 시계 329.33.44.51.04.001")</f>
        <v>오메가 스피드마스터 크로노그래프 오토매틱 화이트 다이얼 남성용 시계 329.33.44.51.04.001</v>
      </c>
      <c r="F1373" s="1" t="str">
        <f>IFERROR(__xludf.DUMMYFUNCTION("CONCATENATE(GOOGLETRANSLATE(C1373, ""en"", ""ja""))"),"オメガ スピードマスター クロノグラフ 自動巻き ホワイトダイヤル メンズ腕時計 329.33.44.51.04.001")</f>
        <v>オメガ スピードマスター クロノグラフ 自動巻き ホワイトダイヤル メンズ腕時計 329.33.44.51.04.001</v>
      </c>
    </row>
    <row r="1374" ht="15.75" customHeight="1">
      <c r="A1374" s="1">
        <v>3981.0</v>
      </c>
      <c r="B1374" s="1" t="s">
        <v>6</v>
      </c>
      <c r="C1374" s="1" t="s">
        <v>1268</v>
      </c>
      <c r="D1374" s="1" t="str">
        <f>IFERROR(__xludf.DUMMYFUNCTION("CONCATENATE(GOOGLETRANSLATE(C1374, ""en"", ""zh-cn""))
"),"汉密尔顿男士 H32766513 Jazzmaster 模拟显示自动上链棕色手表")</f>
        <v>汉密尔顿男士 H32766513 Jazzmaster 模拟显示自动上链棕色手表</v>
      </c>
      <c r="E1374" s="1" t="str">
        <f>IFERROR(__xludf.DUMMYFUNCTION("CONCATENATE(GOOGLETRANSLATE(C1374, ""en"", ""ko""))"),"해밀턴 남성용 H32766513 재즈마스터 아날로그 디스플레이 오토매틱 셀프 윈드 브라운 시계")</f>
        <v>해밀턴 남성용 H32766513 재즈마스터 아날로그 디스플레이 오토매틱 셀프 윈드 브라운 시계</v>
      </c>
      <c r="F1374" s="1" t="str">
        <f>IFERROR(__xludf.DUMMYFUNCTION("CONCATENATE(GOOGLETRANSLATE(C1374, ""en"", ""ja""))"),"ハミルトン メンズ H32766513 ジャズマスター アナログ表示 自動巻き ブラウン 腕時計")</f>
        <v>ハミルトン メンズ H32766513 ジャズマスター アナログ表示 自動巻き ブラウン 腕時計</v>
      </c>
    </row>
    <row r="1375" ht="15.75" customHeight="1">
      <c r="A1375" s="1">
        <v>4009.0</v>
      </c>
      <c r="B1375" s="1" t="s">
        <v>6</v>
      </c>
      <c r="C1375" s="1" t="s">
        <v>1269</v>
      </c>
      <c r="D1375" s="1" t="str">
        <f>IFERROR(__xludf.DUMMYFUNCTION("CONCATENATE(GOOGLETRANSLATE(C1375, ""en"", ""zh-cn""))
"),"Luminox Atacama Field 自动腕表 XL.1907.NF 男士手表 44 毫米 - 军用腕表 银色/白色 日期功能 200 米防水蓝宝石玻璃")</f>
        <v>Luminox Atacama Field 自动腕表 XL.1907.NF 男士手表 44 毫米 - 军用腕表 银色/白色 日期功能 200 米防水蓝宝石玻璃</v>
      </c>
      <c r="E1375" s="1" t="str">
        <f>IFERROR(__xludf.DUMMYFUNCTION("CONCATENATE(GOOGLETRANSLATE(C1375, ""en"", ""ko""))"),"Luminox Atacama Field 오토매틱 XL.1907.NF 남성용 시계 44mm - 실버/화이트 날짜 기능 200m 방수 사파이어 글라스 군용 시계")</f>
        <v>Luminox Atacama Field 오토매틱 XL.1907.NF 남성용 시계 44mm - 실버/화이트 날짜 기능 200m 방수 사파이어 글라스 군용 시계</v>
      </c>
      <c r="F1375" s="1" t="str">
        <f>IFERROR(__xludf.DUMMYFUNCTION("CONCATENATE(GOOGLETRANSLATE(C1375, ""en"", ""ja""))"),"ルミノックス アタカマ フィールド オートマチック XL.1907.NF メンズ ウォッチ 44mm - ミリタリーウォッチ シルバー/ホワイト 日付機能 200m 防水 サファイアガラス")</f>
        <v>ルミノックス アタカマ フィールド オートマチック XL.1907.NF メンズ ウォッチ 44mm - ミリタリーウォッチ シルバー/ホワイト 日付機能 200m 防水 サファイアガラス</v>
      </c>
    </row>
    <row r="1376" ht="15.75" customHeight="1">
      <c r="A1376" s="1">
        <v>4027.0</v>
      </c>
      <c r="B1376" s="1" t="s">
        <v>6</v>
      </c>
      <c r="C1376" s="1" t="s">
        <v>1270</v>
      </c>
      <c r="D1376" s="1" t="str">
        <f>IFERROR(__xludf.DUMMYFUNCTION("CONCATENATE(GOOGLETRANSLATE(C1376, ""en"", ""zh-cn""))
"),"SEIKO SFK003 Prospex 太阳能相扑 GMT 绿色表盘自动手表")</f>
        <v>SEIKO SFK003 Prospex 太阳能相扑 GMT 绿色表盘自动手表</v>
      </c>
      <c r="E1376" s="1" t="str">
        <f>IFERROR(__xludf.DUMMYFUNCTION("CONCATENATE(GOOGLETRANSLATE(C1376, ""en"", ""ko""))"),"SEIKO SFK003 Prospex Solar Sumo GMT 그린 다이얼 오토매틱 시계")</f>
        <v>SEIKO SFK003 Prospex Solar Sumo GMT 그린 다이얼 오토매틱 시계</v>
      </c>
      <c r="F1376" s="1" t="str">
        <f>IFERROR(__xludf.DUMMYFUNCTION("CONCATENATE(GOOGLETRANSLATE(C1376, ""en"", ""ja""))"),"セイコー SFK003 プロスペックス ソーラー スモ GMT グリーン文字盤 自動巻き時計")</f>
        <v>セイコー SFK003 プロスペックス ソーラー スモ GMT グリーン文字盤 自動巻き時計</v>
      </c>
    </row>
    <row r="1377" ht="15.75" customHeight="1">
      <c r="A1377" s="1">
        <v>4048.0</v>
      </c>
      <c r="B1377" s="1" t="s">
        <v>6</v>
      </c>
      <c r="C1377" s="1" t="s">
        <v>1271</v>
      </c>
      <c r="D1377" s="1" t="str">
        <f>IFERROR(__xludf.DUMMYFUNCTION("CONCATENATE(GOOGLETRANSLATE(C1377, ""en"", ""zh-cn""))
"),"摩凡陀男士 Bold Evolution 淡黄金离子镀钢表壳和网状手链，黄金")</f>
        <v>摩凡陀男士 Bold Evolution 淡黄金离子镀钢表壳和网状手链，黄金</v>
      </c>
      <c r="E1377" s="1" t="str">
        <f>IFERROR(__xludf.DUMMYFUNCTION("CONCATENATE(GOOGLETRANSLATE(C1377, ""en"", ""ko""))"),"Movado 남성용 볼드 에볼루션 페일 옐로우 골드 이온 도금 스틸 케이스 및 메쉬 팔찌, 옐로우 골드")</f>
        <v>Movado 남성용 볼드 에볼루션 페일 옐로우 골드 이온 도금 스틸 케이스 및 메쉬 팔찌, 옐로우 골드</v>
      </c>
      <c r="F1377" s="1" t="str">
        <f>IFERROR(__xludf.DUMMYFUNCTION("CONCATENATE(GOOGLETRANSLATE(C1377, ""en"", ""ja""))"),"Movado メンズ ボールド エボリューション ペール イエロー ゴールド イオンメッキ スチール ケースとメッシュ ブレスレット、イエロー ゴールド")</f>
        <v>Movado メンズ ボールド エボリューション ペール イエロー ゴールド イオンメッキ スチール ケースとメッシュ ブレスレット、イエロー ゴールド</v>
      </c>
    </row>
    <row r="1378" ht="15.75" customHeight="1">
      <c r="A1378" s="1">
        <v>4075.0</v>
      </c>
      <c r="B1378" s="1" t="s">
        <v>6</v>
      </c>
      <c r="C1378" s="1" t="s">
        <v>1272</v>
      </c>
      <c r="D1378" s="1" t="str">
        <f>IFERROR(__xludf.DUMMYFUNCTION("CONCATENATE(GOOGLETRANSLATE(C1378, ""en"", ""zh-cn""))
"),"Seiko Prospex 特别版 SRPF79 蓝色硅胶自动潜水表")</f>
        <v>Seiko Prospex 特别版 SRPF79 蓝色硅胶自动潜水表</v>
      </c>
      <c r="E1378" s="1" t="str">
        <f>IFERROR(__xludf.DUMMYFUNCTION("CONCATENATE(GOOGLETRANSLATE(C1378, ""en"", ""ko""))"),"Seiko Prospex 스페셜 에디션 SRPF79 블루 실리콘 오토매틱 다이버 시계")</f>
        <v>Seiko Prospex 스페셜 에디션 SRPF79 블루 실리콘 오토매틱 다이버 시계</v>
      </c>
      <c r="F1378" s="1" t="str">
        <f>IFERROR(__xludf.DUMMYFUNCTION("CONCATENATE(GOOGLETRANSLATE(C1378, ""en"", ""ja""))"),"セイコー プロスペックス スペシャル エディション SRPF79 ブルー シリコン オートマティック ダイバーズ ウォッチ")</f>
        <v>セイコー プロスペックス スペシャル エディション SRPF79 ブルー シリコン オートマティック ダイバーズ ウォッチ</v>
      </c>
    </row>
    <row r="1379" ht="15.75" customHeight="1">
      <c r="A1379" s="1">
        <v>4100.0</v>
      </c>
      <c r="B1379" s="1" t="s">
        <v>6</v>
      </c>
      <c r="C1379" s="1" t="s">
        <v>1273</v>
      </c>
      <c r="D1379" s="1" t="str">
        <f>IFERROR(__xludf.DUMMYFUNCTION("CONCATENATE(GOOGLETRANSLATE(C1379, ""en"", ""zh-cn""))
"),"SEIKO SNJ029 Prospex 男士手表棕褐色 50.5 毫米不锈钢")</f>
        <v>SEIKO SNJ029 Prospex 男士手表棕褐色 50.5 毫米不锈钢</v>
      </c>
      <c r="E1379" s="1" t="str">
        <f>IFERROR(__xludf.DUMMYFUNCTION("CONCATENATE(GOOGLETRANSLATE(C1379, ""en"", ""ko""))"),"SEIKO SNJ029 Prospex 남성용 시계 탄 50.5mm 스테인리스 스틸")</f>
        <v>SEIKO SNJ029 Prospex 남성용 시계 탄 50.5mm 스테인리스 스틸</v>
      </c>
      <c r="F1379" s="1" t="str">
        <f>IFERROR(__xludf.DUMMYFUNCTION("CONCATENATE(GOOGLETRANSLATE(C1379, ""en"", ""ja""))"),"セイコー SNJ029 プロスペックス メンズ 腕時計 タン 50.5mm ステンレススチール")</f>
        <v>セイコー SNJ029 プロスペックス メンズ 腕時計 タン 50.5mm ステンレススチール</v>
      </c>
    </row>
    <row r="1380" ht="15.75" customHeight="1">
      <c r="A1380" s="1">
        <v>4112.0</v>
      </c>
      <c r="B1380" s="1" t="s">
        <v>6</v>
      </c>
      <c r="C1380" s="1" t="s">
        <v>1274</v>
      </c>
      <c r="D1380" s="1" t="str">
        <f>IFERROR(__xludf.DUMMYFUNCTION("CONCATENATE(GOOGLETRANSLATE(C1380, ""en"", ""zh-cn""))
"),"SEIKO SRPG57 Prospex 男士手表黑色 42.4 毫米不锈钢")</f>
        <v>SEIKO SRPG57 Prospex 男士手表黑色 42.4 毫米不锈钢</v>
      </c>
      <c r="E1380" s="1" t="str">
        <f>IFERROR(__xludf.DUMMYFUNCTION("CONCATENATE(GOOGLETRANSLATE(C1380, ""en"", ""ko""))"),"SEIKO SRPG57 Prospex 남성용 시계 블랙 42.4mm 스테인리스 스틸")</f>
        <v>SEIKO SRPG57 Prospex 남성용 시계 블랙 42.4mm 스테인리스 스틸</v>
      </c>
      <c r="F1380" s="1" t="str">
        <f>IFERROR(__xludf.DUMMYFUNCTION("CONCATENATE(GOOGLETRANSLATE(C1380, ""en"", ""ja""))"),"セイコー SRPG57 プロスペックス メンズ 腕時計 ブラック 42.4mm ステンレススチール")</f>
        <v>セイコー SRPG57 プロスペックス メンズ 腕時計 ブラック 42.4mm ステンレススチール</v>
      </c>
    </row>
    <row r="1381" ht="15.75" customHeight="1">
      <c r="A1381" s="1">
        <v>4118.0</v>
      </c>
      <c r="B1381" s="1" t="s">
        <v>6</v>
      </c>
      <c r="C1381" s="1" t="s">
        <v>1275</v>
      </c>
      <c r="D1381" s="1" t="str">
        <f>IFERROR(__xludf.DUMMYFUNCTION("CONCATENATE(GOOGLETRANSLATE(C1381, ""en"", ""zh-cn""))
"),"Luminox ICE-SAR Arctic XL.1001 男士手表 46 毫米 - 黑色军用手表 日期功能 200m 防水蓝宝石玻璃")</f>
        <v>Luminox ICE-SAR Arctic XL.1001 男士手表 46 毫米 - 黑色军用手表 日期功能 200m 防水蓝宝石玻璃</v>
      </c>
      <c r="E1381" s="1" t="str">
        <f>IFERROR(__xludf.DUMMYFUNCTION("CONCATENATE(GOOGLETRANSLATE(C1381, ""en"", ""ko""))"),"Luminox ICE-SAR Arctic XL.1001 남성용 시계 46mm - 블랙 날짜 기능 200m 방수 사파이어 글라스 군용 시계")</f>
        <v>Luminox ICE-SAR Arctic XL.1001 남성용 시계 46mm - 블랙 날짜 기능 200m 방수 사파이어 글라스 군용 시계</v>
      </c>
      <c r="F1381" s="1" t="str">
        <f>IFERROR(__xludf.DUMMYFUNCTION("CONCATENATE(GOOGLETRANSLATE(C1381, ""en"", ""ja""))"),"ルミノックス ICE-SAR アークティック XL.1001 メンズ ウォッチ 46mm - ミリタリーウォッチ ブラック 日付機能 200m 防水 サファイアガラス")</f>
        <v>ルミノックス ICE-SAR アークティック XL.1001 メンズ ウォッチ 46mm - ミリタリーウォッチ ブラック 日付機能 200m 防水 サファイアガラス</v>
      </c>
    </row>
    <row r="1382" ht="15.75" customHeight="1">
      <c r="A1382" s="1">
        <v>4138.0</v>
      </c>
      <c r="B1382" s="1" t="s">
        <v>6</v>
      </c>
      <c r="C1382" s="1" t="s">
        <v>1276</v>
      </c>
      <c r="D1382" s="1" t="str">
        <f>IFERROR(__xludf.DUMMYFUNCTION("CONCATENATE(GOOGLETRANSLATE(C1382, ""en"", ""zh-cn""))
"),"Luminox 男士 SEA 不锈钢瑞士石英手表带皮表带，黑色，24（型号：3251）")</f>
        <v>Luminox 男士 SEA 不锈钢瑞士石英手表带皮表带，黑色，24（型号：3251）</v>
      </c>
      <c r="E1382" s="1" t="str">
        <f>IFERROR(__xludf.DUMMYFUNCTION("CONCATENATE(GOOGLETRANSLATE(C1382, ""en"", ""ko""))"),"Luminox 남성용 SEA 스테인리스 스틸 스위스 쿼츠 시계, 가죽 스트랩, 블랙, 24(모델: 3251)")</f>
        <v>Luminox 남성용 SEA 스테인리스 스틸 스위스 쿼츠 시계, 가죽 스트랩, 블랙, 24(모델: 3251)</v>
      </c>
      <c r="F1382" s="1" t="str">
        <f>IFERROR(__xludf.DUMMYFUNCTION("CONCATENATE(GOOGLETRANSLATE(C1382, ""en"", ""ja""))"),"ルミノックス メンズ SEA ステンレススチール スイスクォーツ ウォッチ レザーストラップ付き、ブラック、24 (モデル: 3251)")</f>
        <v>ルミノックス メンズ SEA ステンレススチール スイスクォーツ ウォッチ レザーストラップ付き、ブラック、24 (モデル: 3251)</v>
      </c>
    </row>
    <row r="1383" ht="15.75" customHeight="1">
      <c r="A1383" s="1">
        <v>4143.0</v>
      </c>
      <c r="B1383" s="1" t="s">
        <v>6</v>
      </c>
      <c r="C1383" s="1" t="s">
        <v>1277</v>
      </c>
      <c r="D1383" s="1" t="str">
        <f>IFERROR(__xludf.DUMMYFUNCTION("CONCATENATE(GOOGLETRANSLATE(C1383, ""en"", ""zh-cn""))
"),"西铁城光动能 Promaster Sailhawk 男士手表，不锈钢带聚氨酯表带，潜水表")</f>
        <v>西铁城光动能 Promaster Sailhawk 男士手表，不锈钢带聚氨酯表带，潜水表</v>
      </c>
      <c r="E1383" s="1" t="str">
        <f>IFERROR(__xludf.DUMMYFUNCTION("CONCATENATE(GOOGLETRANSLATE(C1383, ""en"", ""ko""))"),"씨티즌 에코드라이브 프로마스터 세일호크 남성용 시계, 폴리우레탄 스트랩이 있는 스테인리스 스틸, 다이브 시계")</f>
        <v>씨티즌 에코드라이브 프로마스터 세일호크 남성용 시계, 폴리우레탄 스트랩이 있는 스테인리스 스틸, 다이브 시계</v>
      </c>
      <c r="F1383" s="1" t="str">
        <f>IFERROR(__xludf.DUMMYFUNCTION("CONCATENATE(GOOGLETRANSLATE(C1383, ""en"", ""ja""))"),"シチズン エコドライブ プロマスター セイルホーク メンズ ウォッチ、ステンレススチール、ポリウレタン ストラップ付き、ダイバーズウォッチ")</f>
        <v>シチズン エコドライブ プロマスター セイルホーク メンズ ウォッチ、ステンレススチール、ポリウレタン ストラップ付き、ダイバーズウォッチ</v>
      </c>
    </row>
    <row r="1384" ht="15.75" customHeight="1">
      <c r="A1384" s="1">
        <v>4146.0</v>
      </c>
      <c r="B1384" s="1" t="s">
        <v>6</v>
      </c>
      <c r="C1384" s="1" t="s">
        <v>1278</v>
      </c>
      <c r="D1384" s="1" t="str">
        <f>IFERROR(__xludf.DUMMYFUNCTION("CONCATENATE(GOOGLETRANSLATE(C1384, ""en"", ""zh-cn""))
"),"男士 Luminox Navy Seal 3500 系列手表 3508.金色")</f>
        <v>男士 Luminox Navy Seal 3500 系列手表 3508.金色</v>
      </c>
      <c r="E1384" s="1" t="str">
        <f>IFERROR(__xludf.DUMMYFUNCTION("CONCATENATE(GOOGLETRANSLATE(C1384, ""en"", ""ko""))"),"남성용 Luminox Navy Seal 3500 시리즈 시계 3508.골드")</f>
        <v>남성용 Luminox Navy Seal 3500 시리즈 시계 3508.골드</v>
      </c>
      <c r="F1384" s="1" t="str">
        <f>IFERROR(__xludf.DUMMYFUNCTION("CONCATENATE(GOOGLETRANSLATE(C1384, ""en"", ""ja""))"),"メンズ ルミノックス ネイビー シール 3500 シリーズ ウォッチ 3508.ゴールド")</f>
        <v>メンズ ルミノックス ネイビー シール 3500 シリーズ ウォッチ 3508.ゴールド</v>
      </c>
    </row>
    <row r="1385" ht="15.75" customHeight="1">
      <c r="A1385" s="1">
        <v>4156.0</v>
      </c>
      <c r="B1385" s="1" t="s">
        <v>6</v>
      </c>
      <c r="C1385" s="1" t="s">
        <v>1279</v>
      </c>
      <c r="D1385" s="1" t="str">
        <f>IFERROR(__xludf.DUMMYFUNCTION("CONCATENATE(GOOGLETRANSLATE(C1385, ""en"", ""zh-cn""))
"),"Luminox 棱皮海龟巨型遮光 XS.0321.BO.L 男士手表 44 毫米 - 黑色军用手表日期功能 100m 防水")</f>
        <v>Luminox 棱皮海龟巨型遮光 XS.0321.BO.L 男士手表 44 毫米 - 黑色军用手表日期功能 100m 防水</v>
      </c>
      <c r="E1385" s="1" t="str">
        <f>IFERROR(__xludf.DUMMYFUNCTION("CONCATENATE(GOOGLETRANSLATE(C1385, ""en"", ""ko""))"),"Luminox Leatherback SEA Turtle Giant Blackout XS.0321.BO.L 남성용 시계 44mm - 블랙 날짜 기능의 밀리터리 시계 100m 방수")</f>
        <v>Luminox Leatherback SEA Turtle Giant Blackout XS.0321.BO.L 남성용 시계 44mm - 블랙 날짜 기능의 밀리터리 시계 100m 방수</v>
      </c>
      <c r="F1385" s="1" t="str">
        <f>IFERROR(__xludf.DUMMYFUNCTION("CONCATENATE(GOOGLETRANSLATE(C1385, ""en"", ""ja""))"),"ルミノックス レザーバック SEA タートル ジャイアント ブラックアウト XS.0321.BO.L メンズ ウォッチ 44mm - ミリタリー ウォッチ ブラック 日付機能 100m 防水")</f>
        <v>ルミノックス レザーバック SEA タートル ジャイアント ブラックアウト XS.0321.BO.L メンズ ウォッチ 44mm - ミリタリー ウォッチ ブラック 日付機能 100m 防水</v>
      </c>
    </row>
    <row r="1386" ht="15.75" customHeight="1">
      <c r="A1386" s="1">
        <v>4187.0</v>
      </c>
      <c r="B1386" s="1" t="s">
        <v>6</v>
      </c>
      <c r="C1386" s="1" t="s">
        <v>1280</v>
      </c>
      <c r="D1386" s="1" t="str">
        <f>IFERROR(__xludf.DUMMYFUNCTION("CONCATENATE(GOOGLETRANSLATE(C1386, ""en"", ""zh-cn""))
"),"Invicta 男士 15827 Reserve 模拟显示瑞士石英金表")</f>
        <v>Invicta 男士 15827 Reserve 模拟显示瑞士石英金表</v>
      </c>
      <c r="E1386" s="1" t="str">
        <f>IFERROR(__xludf.DUMMYFUNCTION("CONCATENATE(GOOGLETRANSLATE(C1386, ""en"", ""ko""))"),"인빅타 남성용 15827 리저브 아날로그 디스플레이 스위스 쿼츠 골드 시계")</f>
        <v>인빅타 남성용 15827 리저브 아날로그 디스플레이 스위스 쿼츠 골드 시계</v>
      </c>
      <c r="F1386" s="1" t="str">
        <f>IFERROR(__xludf.DUMMYFUNCTION("CONCATENATE(GOOGLETRANSLATE(C1386, ""en"", ""ja""))"),"インヴィクタ メンズ 15827 リザーブ アナログ ディスプレイ スイス クォーツ ゴールド ウォッチ")</f>
        <v>インヴィクタ メンズ 15827 リザーブ アナログ ディスプレイ スイス クォーツ ゴールド ウォッチ</v>
      </c>
    </row>
    <row r="1387" ht="15.75" customHeight="1">
      <c r="A1387" s="1">
        <v>4192.0</v>
      </c>
      <c r="B1387" s="1" t="s">
        <v>6</v>
      </c>
      <c r="C1387" s="1" t="s">
        <v>1281</v>
      </c>
      <c r="D1387" s="1" t="str">
        <f>IFERROR(__xludf.DUMMYFUNCTION("CONCATENATE(GOOGLETRANSLATE(C1387, ""en"", ""zh-cn""))
"),"Timex 38 毫米 Expedition North Field Post 机械环保皮革表带手表")</f>
        <v>Timex 38 毫米 Expedition North Field Post 机械环保皮革表带手表</v>
      </c>
      <c r="E1387" s="1" t="str">
        <f>IFERROR(__xludf.DUMMYFUNCTION("CONCATENATE(GOOGLETRANSLATE(C1387, ""en"", ""ko""))"),"타이멕스 38mm Expedition North Field Post 기계식 친환경 가죽 스트랩 시계")</f>
        <v>타이멕스 38mm Expedition North Field Post 기계식 친환경 가죽 스트랩 시계</v>
      </c>
      <c r="F1387" s="1" t="str">
        <f>IFERROR(__xludf.DUMMYFUNCTION("CONCATENATE(GOOGLETRANSLATE(C1387, ""en"", ""ja""))"),"タイメックス 38 mm エクスペディション ノース フィールド ポスト メカニカル エコフレンドリー レザーストラップ ウォッチ")</f>
        <v>タイメックス 38 mm エクスペディション ノース フィールド ポスト メカニカル エコフレンドリー レザーストラップ ウォッチ</v>
      </c>
    </row>
    <row r="1388" ht="15.75" customHeight="1">
      <c r="A1388" s="1">
        <v>4216.0</v>
      </c>
      <c r="B1388" s="1" t="s">
        <v>6</v>
      </c>
      <c r="C1388" s="1" t="s">
        <v>1282</v>
      </c>
      <c r="D1388" s="1" t="str">
        <f>IFERROR(__xludf.DUMMYFUNCTION("CONCATENATE(GOOGLETRANSLATE(C1388, ""en"", ""zh-cn""))
"),"TSAR BOMBA 男士豪华 Tonneau 手表 5ATM 防水方形计时模拟男士手表工作运动时尚时尚商务简约经典腕表日本运动男士礼物")</f>
        <v>TSAR BOMBA 男士豪华 Tonneau 手表 5ATM 防水方形计时模拟男士手表工作运动时尚时尚商务简约经典腕表日本运动男士礼物</v>
      </c>
      <c r="E1388" s="1" t="str">
        <f>IFERROR(__xludf.DUMMYFUNCTION("CONCATENATE(GOOGLETRANSLATE(C1388, ""en"", ""ko""))"),"TSAR BOMBA 남성용 럭셔리 토너 시계 5ATM 방수 스퀘어 크로노 그래프 아날로그 남성용 시계 작업 스포츠 패션 세련된 비즈니스 미니멀리스트 클래식 손목 시계 남성용 일본 무브먼트 선물")</f>
        <v>TSAR BOMBA 남성용 럭셔리 토너 시계 5ATM 방수 스퀘어 크로노 그래프 아날로그 남성용 시계 작업 스포츠 패션 세련된 비즈니스 미니멀리스트 클래식 손목 시계 남성용 일본 무브먼트 선물</v>
      </c>
      <c r="F1388" s="1" t="str">
        <f>IFERROR(__xludf.DUMMYFUNCTION("CONCATENATE(GOOGLETRANSLATE(C1388, ""en"", ""ja""))"),"TSAR BOMBA 高級トノー腕時計 メンズ 5ATM 防水 スクエア クロノグラフ アナログ メンズウォッチ 仕事 スポーツ ファッション スタイリッシュ ビジネス ミニマリスト クラシック腕時計 日本製ムーブメント 男性用ギフト")</f>
        <v>TSAR BOMBA 高級トノー腕時計 メンズ 5ATM 防水 スクエア クロノグラフ アナログ メンズウォッチ 仕事 スポーツ ファッション スタイリッシュ ビジネス ミニマリスト クラシック腕時計 日本製ムーブメント 男性用ギフト</v>
      </c>
    </row>
    <row r="1389" ht="15.75" customHeight="1">
      <c r="A1389" s="1">
        <v>4218.0</v>
      </c>
      <c r="B1389" s="1" t="s">
        <v>6</v>
      </c>
      <c r="C1389" s="1" t="s">
        <v>1283</v>
      </c>
      <c r="D1389" s="1" t="str">
        <f>IFERROR(__xludf.DUMMYFUNCTION("CONCATENATE(GOOGLETRANSLATE(C1389, ""en"", ""zh-cn""))
"),"Amazfit GTS 4 男士智能手表，双频 GPS，内置 Alexa，蓝牙通话，150 多种运动模式，心率血氧饱和度监测器，1.75 英寸 AMOLED 显示屏，适用于 Android iPhone 的健康健身手表，黑色")</f>
        <v>Amazfit GTS 4 男士智能手表，双频 GPS，内置 Alexa，蓝牙通话，150 多种运动模式，心率血氧饱和度监测器，1.75 英寸 AMOLED 显示屏，适用于 Android iPhone 的健康健身手表，黑色</v>
      </c>
      <c r="E1389" s="1" t="str">
        <f>IFERROR(__xludf.DUMMYFUNCTION("CONCATENATE(GOOGLETRANSLATE(C1389, ""en"", ""ko""))"),"남성용 Amazfit GTS 4 스마트 시계, 듀얼 밴드 GPS, Alexa 내장, Bluetooth 통화, 150개 이상의 스포츠 모드, 심박수 SPO2 모니터, 1.75인치 AMOLED 디스플레이, Android iPhone용 건강 피트니스 시계, 블랙")</f>
        <v>남성용 Amazfit GTS 4 스마트 시계, 듀얼 밴드 GPS, Alexa 내장, Bluetooth 통화, 150개 이상의 스포츠 모드, 심박수 SPO2 모니터, 1.75인치 AMOLED 디스플레이, Android iPhone용 건강 피트니스 시계, 블랙</v>
      </c>
      <c r="F1389" s="1" t="str">
        <f>IFERROR(__xludf.DUMMYFUNCTION("CONCATENATE(GOOGLETRANSLATE(C1389, ""en"", ""ja""))"),"Amazfit GTS 4 スマートウォッチ男性用、デュアルバンド GPS、Alexa 内蔵、Bluetooth 通話、150 以上のスポーツモード、心拍数 SPO₂ モニター、1.75 インチ AMOLED ディスプレイ、Android iPhone 用ヘルスフィットネスウォッチ、ブラック")</f>
        <v>Amazfit GTS 4 スマートウォッチ男性用、デュアルバンド GPS、Alexa 内蔵、Bluetooth 通話、150 以上のスポーツモード、心拍数 SPO₂ モニター、1.75 インチ AMOLED ディスプレイ、Android iPhone 用ヘルスフィットネスウォッチ、ブラック</v>
      </c>
    </row>
    <row r="1390" ht="15.75" customHeight="1">
      <c r="A1390" s="1">
        <v>4246.0</v>
      </c>
      <c r="B1390" s="1" t="s">
        <v>6</v>
      </c>
      <c r="C1390" s="1" t="s">
        <v>1284</v>
      </c>
      <c r="D1390" s="1" t="str">
        <f>IFERROR(__xludf.DUMMYFUNCTION("CONCATENATE(GOOGLETRANSLATE(C1390, ""en"", ""zh-cn""))
"),"SEIKO 男士 SSB325 模拟显示日本石英黑色手表，白色")</f>
        <v>SEIKO 男士 SSB325 模拟显示日本石英黑色手表，白色</v>
      </c>
      <c r="E1390" s="1" t="str">
        <f>IFERROR(__xludf.DUMMYFUNCTION("CONCATENATE(GOOGLETRANSLATE(C1390, ""en"", ""ko""))"),"세이코 남성용 SSB325 아날로그 디스플레이 일본 쿼츠 블랙 시계, 화이트")</f>
        <v>세이코 남성용 SSB325 아날로그 디스플레이 일본 쿼츠 블랙 시계, 화이트</v>
      </c>
      <c r="F1390" s="1" t="str">
        <f>IFERROR(__xludf.DUMMYFUNCTION("CONCATENATE(GOOGLETRANSLATE(C1390, ""en"", ""ja""))"),"セイコー メンズ SSB325 アナログ表示 日本製クォーツ ブラック ウォッチ、ホワイト")</f>
        <v>セイコー メンズ SSB325 アナログ表示 日本製クォーツ ブラック ウォッチ、ホワイト</v>
      </c>
    </row>
    <row r="1391" ht="15.75" customHeight="1">
      <c r="A1391" s="1">
        <v>4259.0</v>
      </c>
      <c r="B1391" s="1" t="s">
        <v>6</v>
      </c>
      <c r="C1391" s="1" t="s">
        <v>1285</v>
      </c>
      <c r="D1391" s="1" t="str">
        <f>IFERROR(__xludf.DUMMYFUNCTION("CONCATENATE(GOOGLETRANSLATE(C1391, ""en"", ""zh-cn""))
"),"精工男士石英手表不锈钢带硅胶表带")</f>
        <v>精工男士石英手表不锈钢带硅胶表带</v>
      </c>
      <c r="E1391" s="1" t="str">
        <f>IFERROR(__xludf.DUMMYFUNCTION("CONCATENATE(GOOGLETRANSLATE(C1391, ""en"", ""ko""))"),"세이코 남성용 쿼츠 시계 스테인리스 스틸(실리콘 스트랩 포함)")</f>
        <v>세이코 남성용 쿼츠 시계 스테인리스 스틸(실리콘 스트랩 포함)</v>
      </c>
      <c r="F1391" s="1" t="str">
        <f>IFERROR(__xludf.DUMMYFUNCTION("CONCATENATE(GOOGLETRANSLATE(C1391, ""en"", ""ja""))"),"セイコー メンズ クォーツ時計 ステンレススチール シリコンストラップ付き")</f>
        <v>セイコー メンズ クォーツ時計 ステンレススチール シリコンストラップ付き</v>
      </c>
    </row>
    <row r="1392" ht="15.75" customHeight="1">
      <c r="A1392" s="1">
        <v>4279.0</v>
      </c>
      <c r="B1392" s="1" t="s">
        <v>6</v>
      </c>
      <c r="C1392" s="1" t="s">
        <v>1286</v>
      </c>
      <c r="D1392" s="1" t="str">
        <f>IFERROR(__xludf.DUMMYFUNCTION("CONCATENATE(GOOGLETRANSLATE(C1392, ""en"", ""zh-cn""))
"),"CASIO G-Shock 手表 GD-100-1AJF 日本进口")</f>
        <v>CASIO G-Shock 手表 GD-100-1AJF 日本进口</v>
      </c>
      <c r="E1392" s="1" t="str">
        <f>IFERROR(__xludf.DUMMYFUNCTION("CONCATENATE(GOOGLETRANSLATE(C1392, ""en"", ""ko""))"),"CASIO G-Shock 시계 GD-100-1AJF 일본 수입")</f>
        <v>CASIO G-Shock 시계 GD-100-1AJF 일본 수입</v>
      </c>
      <c r="F1392" s="1" t="str">
        <f>IFERROR(__xludf.DUMMYFUNCTION("CONCATENATE(GOOGLETRANSLATE(C1392, ""en"", ""ja""))"),"CASIO Gショック 腕時計 GD-100-1AJF 日本輸入")</f>
        <v>CASIO Gショック 腕時計 GD-100-1AJF 日本輸入</v>
      </c>
    </row>
    <row r="1393" ht="15.75" customHeight="1">
      <c r="A1393" s="1">
        <v>4345.0</v>
      </c>
      <c r="B1393" s="1" t="s">
        <v>6</v>
      </c>
      <c r="C1393" s="1" t="s">
        <v>1287</v>
      </c>
      <c r="D1393" s="1" t="str">
        <f>IFERROR(__xludf.DUMMYFUNCTION("CONCATENATE(GOOGLETRANSLATE(C1393, ""en"", ""zh-cn""))
"),"施华洛世奇圣诞套装，A.E. 2019 装饰品，水晶")</f>
        <v>施华洛世奇圣诞套装，A.E. 2019 装饰品，水晶</v>
      </c>
      <c r="E1393" s="1" t="str">
        <f>IFERROR(__xludf.DUMMYFUNCTION("CONCATENATE(GOOGLETRANSLATE(C1393, ""en"", ""ko""))"),"SWAROVSKI 크리스마스 세트, A.E. 2019 장식품, 크리스탈")</f>
        <v>SWAROVSKI 크리스마스 세트, A.E. 2019 장식품, 크리스탈</v>
      </c>
      <c r="F1393" s="1" t="str">
        <f>IFERROR(__xludf.DUMMYFUNCTION("CONCATENATE(GOOGLETRANSLATE(C1393, ""en"", ""ja""))"),"SWAROVSKI クリスマスセット、A.E. 2019 オーナメント、クリスタル")</f>
        <v>SWAROVSKI クリスマスセット、A.E. 2019 オーナメント、クリスタル</v>
      </c>
    </row>
    <row r="1394" ht="15.75" customHeight="1">
      <c r="A1394" s="1">
        <v>4356.0</v>
      </c>
      <c r="B1394" s="1" t="s">
        <v>6</v>
      </c>
      <c r="C1394" s="1" t="s">
        <v>1288</v>
      </c>
      <c r="D1394" s="1" t="str">
        <f>IFERROR(__xludf.DUMMYFUNCTION("CONCATENATE(GOOGLETRANSLATE(C1394, ""en"", ""zh-cn""))
"),"施华洛世奇闪闪发光的舞蹈圆形珠宝系列，镀铑饰面，蓝色水晶，透明水晶")</f>
        <v>施华洛世奇闪闪发光的舞蹈圆形珠宝系列，镀铑饰面，蓝色水晶，透明水晶</v>
      </c>
      <c r="E1394" s="1" t="str">
        <f>IFERROR(__xludf.DUMMYFUNCTION("CONCATENATE(GOOGLETRANSLATE(C1394, ""en"", ""ko""))"),"스와로브스키 스파클링 댄스 라운드 주얼리 컬렉션, 로듐 마감, 블루 크리스털, 클리어 크리스털")</f>
        <v>스와로브스키 스파클링 댄스 라운드 주얼리 컬렉션, 로듐 마감, 블루 크리스털, 클리어 크리스털</v>
      </c>
      <c r="F1394" s="1" t="str">
        <f>IFERROR(__xludf.DUMMYFUNCTION("CONCATENATE(GOOGLETRANSLATE(C1394, ""en"", ""ja""))"),"スワロフスキー スパークリング ダンス ラウンド ジュエリー コレクション、ロジウム仕上げ、ブルー クリスタル、クリア クリスタル")</f>
        <v>スワロフスキー スパークリング ダンス ラウンド ジュエリー コレクション、ロジウム仕上げ、ブルー クリスタル、クリア クリスタル</v>
      </c>
    </row>
    <row r="1395" ht="15.75" customHeight="1">
      <c r="A1395" s="1">
        <v>4358.0</v>
      </c>
      <c r="B1395" s="1" t="s">
        <v>6</v>
      </c>
      <c r="C1395" s="1" t="s">
        <v>1289</v>
      </c>
      <c r="D1395" s="1" t="str">
        <f>IFERROR(__xludf.DUMMYFUNCTION("CONCATENATE(GOOGLETRANSLATE(C1395, ""en"", ""zh-cn""))
"),"FQQWEE 旋转口音沙发桶椅，现代休闲椅 42.9 英寸桶椅带 3 个枕头天鹅绒圆椅 360° 旋转轮客厅酒店 (黑色)")</f>
        <v>FQQWEE 旋转口音沙发桶椅，现代休闲椅 42.9 英寸桶椅带 3 个枕头天鹅绒圆椅 360° 旋转轮客厅酒店 (黑色)</v>
      </c>
      <c r="E1395" s="1" t="str">
        <f>IFERROR(__xludf.DUMMYFUNCTION("CONCATENATE(GOOGLETRANSLATE(C1395, ""en"", ""ko""))"),"FQQWEE 회전 악센트 소파 배럴 의자, 현대식 레저 의자 42.9인치 배럴 의자(베개 3개 포함) 벨벳 원형 의자 360° 회전 바퀴(거실 호텔용)(검은색)")</f>
        <v>FQQWEE 회전 악센트 소파 배럴 의자, 현대식 레저 의자 42.9인치 배럴 의자(베개 3개 포함) 벨벳 원형 의자 360° 회전 바퀴(거실 호텔용)(검은색)</v>
      </c>
      <c r="F1395" s="1" t="str">
        <f>IFERROR(__xludf.DUMMYFUNCTION("CONCATENATE(GOOGLETRANSLATE(C1395, ""en"", ""ja""))"),"FQQWEE 回転アクセントソファ バレルチェア モダンレジャーチェア 42.9インチ バレルチェア 枕3個付き ベルベットラウンドチェア 360度回転ホイール リビングルーム ホテル用 (ブラック)")</f>
        <v>FQQWEE 回転アクセントソファ バレルチェア モダンレジャーチェア 42.9インチ バレルチェア 枕3個付き ベルベットラウンドチェア 360度回転ホイール リビングルーム ホテル用 (ブラック)</v>
      </c>
    </row>
    <row r="1396" ht="15.75" customHeight="1">
      <c r="A1396" s="1">
        <v>4370.0</v>
      </c>
      <c r="B1396" s="1" t="s">
        <v>6</v>
      </c>
      <c r="C1396" s="1" t="s">
        <v>1290</v>
      </c>
      <c r="D1396" s="1" t="str">
        <f>IFERROR(__xludf.DUMMYFUNCTION("CONCATENATE(GOOGLETRANSLATE(C1396, ""en"", ""zh-cn""))
"),"Best Choice Products 簇绒人造皮革 3 座 L 形组合沙发沙发套装带躺椅，奥斯曼咖啡桌长凳，黑色")</f>
        <v>Best Choice Products 簇绒人造皮革 3 座 L 形组合沙发沙发套装带躺椅，奥斯曼咖啡桌长凳，黑色</v>
      </c>
      <c r="E1396" s="1" t="str">
        <f>IFERROR(__xludf.DUMMYFUNCTION("CONCATENATE(GOOGLETRANSLATE(C1396, ""en"", ""ko""))"),"최고의 선택 제품 터프티드 인조 가죽 3인용 L자형 단면 소파 소파 세트, 긴 의자 라운지, 오토만 커피 테이블 벤치, 블랙")</f>
        <v>최고의 선택 제품 터프티드 인조 가죽 3인용 L자형 단면 소파 소파 세트, 긴 의자 라운지, 오토만 커피 테이블 벤치, 블랙</v>
      </c>
      <c r="F1396" s="1" t="str">
        <f>IFERROR(__xludf.DUMMYFUNCTION("CONCATENATE(GOOGLETRANSLATE(C1396, ""en"", ""ja""))"),"Best Choice Products タフトフェイクレザー 3 人掛け L 字型セクショナルソファ カウチセット、長椅子付き、オットマン コーヒーテーブル ベンチ、ブラック")</f>
        <v>Best Choice Products タフトフェイクレザー 3 人掛け L 字型セクショナルソファ カウチセット、長椅子付き、オットマン コーヒーテーブル ベンチ、ブラック</v>
      </c>
    </row>
    <row r="1397" ht="15.75" customHeight="1">
      <c r="A1397" s="1">
        <v>4398.0</v>
      </c>
      <c r="B1397" s="1" t="s">
        <v>6</v>
      </c>
      <c r="C1397" s="1" t="s">
        <v>1054</v>
      </c>
      <c r="D1397" s="1" t="str">
        <f>IFERROR(__xludf.DUMMYFUNCTION("CONCATENATE(GOOGLETRANSLATE(C1397, ""en"", ""zh-cn""))
"),"PaPaJet 沙发床，带储物躺椅的沙发床 - 2 合 1 客厅拉出沙发床，带拉出床的组合沙发灰色")</f>
        <v>PaPaJet 沙发床，带储物躺椅的沙发床 - 2 合 1 客厅拉出沙发床，带拉出床的组合沙发灰色</v>
      </c>
      <c r="E1397" s="1" t="str">
        <f>IFERROR(__xludf.DUMMYFUNCTION("CONCATENATE(GOOGLETRANSLATE(C1397, ""en"", ""ko""))"),"PaPaJet 슬리퍼 소파, 수납용 의자가 있는 소파 베드-거실용 풀아웃 소파 베드 1개, 풀아웃 침대가 있는 단면 소파 그레이")</f>
        <v>PaPaJet 슬리퍼 소파, 수납용 의자가 있는 소파 베드-거실용 풀아웃 소파 베드 1개, 풀아웃 침대가 있는 단면 소파 그레이</v>
      </c>
      <c r="F1397" s="1" t="str">
        <f>IFERROR(__xludf.DUMMYFUNCTION("CONCATENATE(GOOGLETRANSLATE(C1397, ""en"", ""ja""))"),"PaPaJet スリーパーソファ、収納長椅子付きソファベッド、リビングルーム用 2 in 1 引き出し式カウチベッド、引き出し式ベッド付きセクショナルソファ グレー")</f>
        <v>PaPaJet スリーパーソファ、収納長椅子付きソファベッド、リビングルーム用 2 in 1 引き出し式カウチベッド、引き出し式ベッド付きセクショナルソファ グレー</v>
      </c>
    </row>
    <row r="1398" ht="15.75" customHeight="1">
      <c r="A1398" s="1">
        <v>4438.0</v>
      </c>
      <c r="B1398" s="1" t="s">
        <v>6</v>
      </c>
      <c r="C1398" s="1" t="s">
        <v>349</v>
      </c>
      <c r="D1398" s="1" t="str">
        <f>IFERROR(__xludf.DUMMYFUNCTION("CONCATENATE(GOOGLETRANSLATE(C1398, ""en"", ""zh-cn""))
"),"ACME 凡尔赛古玩柜 - - 骨白色")</f>
        <v>ACME 凡尔赛古玩柜 - - 骨白色</v>
      </c>
      <c r="E1398" s="1" t="str">
        <f>IFERROR(__xludf.DUMMYFUNCTION("CONCATENATE(GOOGLETRANSLATE(C1398, ""en"", ""ko""))"),"ACME 베르사유 골동품 캐비닛 - - 본 화이트")</f>
        <v>ACME 베르사유 골동품 캐비닛 - - 본 화이트</v>
      </c>
      <c r="F1398" s="1" t="str">
        <f>IFERROR(__xludf.DUMMYFUNCTION("CONCATENATE(GOOGLETRANSLATE(C1398, ""en"", ""ja""))"),"ACME Versailles Curio Cabinet - - ボーン ホワイト")</f>
        <v>ACME Versailles Curio Cabinet - - ボーン ホワイト</v>
      </c>
    </row>
    <row r="1399" ht="15.75" customHeight="1">
      <c r="A1399" s="1">
        <v>4496.0</v>
      </c>
      <c r="B1399" s="1" t="s">
        <v>6</v>
      </c>
      <c r="C1399" s="1" t="s">
        <v>1291</v>
      </c>
      <c r="D1399" s="1" t="str">
        <f>IFERROR(__xludf.DUMMYFUNCTION("CONCATENATE(GOOGLETRANSLATE(C1399, ""en"", ""zh-cn""))
"),"Germaine de Capuccini - Timexpert 电梯 (IN) |极致清晰眼部轮廓乳液 - 抗衰老眼霜，打造紧致、明亮、焕发活力的妆容")</f>
        <v>Germaine de Capuccini - Timexpert 电梯 (IN) |极致清晰眼部轮廓乳液 - 抗衰老眼霜，打造紧致、明亮、焕发活力的妆容</v>
      </c>
      <c r="E1399" s="1" t="str">
        <f>IFERROR(__xludf.DUMMYFUNCTION("CONCATENATE(GOOGLETRANSLATE(C1399, ""en"", ""ko""))"),"Germaine de Capuccini - Timexpert 리프트 (IN) | 슈프림 데피니션 아이 컨투어 에멀젼 - 탄탄하고 빛나는 생기 넘치는 룩을 선사하는 안티에이징 아이 크림")</f>
        <v>Germaine de Capuccini - Timexpert 리프트 (IN) | 슈프림 데피니션 아이 컨투어 에멀젼 - 탄탄하고 빛나는 생기 넘치는 룩을 선사하는 안티에이징 아이 크림</v>
      </c>
      <c r="F1399" s="1" t="str">
        <f>IFERROR(__xludf.DUMMYFUNCTION("CONCATENATE(GOOGLETRANSLATE(C1399, ""en"", ""ja""))"),"ジャーメイン・ド・カプチーニ - Timeexpert リフト (インド) | Supreme Definition Eye Contour Emulsion - 引き締まり、明るく若返った外観を実現するアンチエイジング アイクリーム")</f>
        <v>ジャーメイン・ド・カプチーニ - Timeexpert リフト (インド) | Supreme Definition Eye Contour Emulsion - 引き締まり、明るく若返った外観を実現するアンチエイジング アイクリーム</v>
      </c>
    </row>
    <row r="1400" ht="15.75" customHeight="1">
      <c r="A1400" s="1">
        <v>4508.0</v>
      </c>
      <c r="B1400" s="1" t="s">
        <v>6</v>
      </c>
      <c r="C1400" s="1" t="s">
        <v>1292</v>
      </c>
      <c r="D1400" s="1" t="str">
        <f>IFERROR(__xludf.DUMMYFUNCTION("CONCATENATE(GOOGLETRANSLATE(C1400, ""en"", ""zh-cn""))
"),"Sisley Phyto-touche 防晒凝胶，1 盎司")</f>
        <v>Sisley Phyto-touche 防晒凝胶，1 盎司</v>
      </c>
      <c r="E1400" s="1" t="str">
        <f>IFERROR(__xludf.DUMMYFUNCTION("CONCATENATE(GOOGLETRANSLATE(C1400, ""en"", ""ko""))"),"시슬리 피토-터치 선 글로우 젤, 1온스")</f>
        <v>시슬리 피토-터치 선 글로우 젤, 1온스</v>
      </c>
      <c r="F1400" s="1" t="str">
        <f>IFERROR(__xludf.DUMMYFUNCTION("CONCATENATE(GOOGLETRANSLATE(C1400, ""en"", ""ja""))"),"シスレー フィトタッチ サン グロウ ジェル、1オンス")</f>
        <v>シスレー フィトタッチ サン グロウ ジェル、1オンス</v>
      </c>
    </row>
    <row r="1401" ht="15.75" customHeight="1">
      <c r="A1401" s="1">
        <v>4536.0</v>
      </c>
      <c r="B1401" s="1" t="s">
        <v>6</v>
      </c>
      <c r="C1401" s="1" t="s">
        <v>1293</v>
      </c>
      <c r="D1401" s="1" t="str">
        <f>IFERROR(__xludf.DUMMYFUNCTION("CONCATENATE(GOOGLETRANSLATE(C1401, ""en"", ""zh-cn""))
"),"Sisley 女士热带树脂净化再平衡乳液，4.2 盎司")</f>
        <v>Sisley 女士热带树脂净化再平衡乳液，4.2 盎司</v>
      </c>
      <c r="E1401" s="1" t="str">
        <f>IFERROR(__xludf.DUMMYFUNCTION("CONCATENATE(GOOGLETRANSLATE(C1401, ""en"", ""ko""))"),"시슬리 퓨리파잉 리밸런싱 로션 위드 트로피컬 레진 여성용, 4.2온스")</f>
        <v>시슬리 퓨리파잉 리밸런싱 로션 위드 트로피컬 레진 여성용, 4.2온스</v>
      </c>
      <c r="F1401" s="1" t="str">
        <f>IFERROR(__xludf.DUMMYFUNCTION("CONCATENATE(GOOGLETRANSLATE(C1401, ""en"", ""ja""))"),"シスレー ピュリファイング リバランシング ローション (トロピカル レジン配合) 女性用、4.2 オンス")</f>
        <v>シスレー ピュリファイング リバランシング ローション (トロピカル レジン配合) 女性用、4.2 オンス</v>
      </c>
    </row>
    <row r="1402" ht="15.75" customHeight="1">
      <c r="A1402" s="1">
        <v>4541.0</v>
      </c>
      <c r="B1402" s="1" t="s">
        <v>6</v>
      </c>
      <c r="C1402" s="1" t="s">
        <v>1294</v>
      </c>
      <c r="D1402" s="1" t="str">
        <f>IFERROR(__xludf.DUMMYFUNCTION("CONCATENATE(GOOGLETRANSLATE(C1402, ""en"", ""zh-cn""))
"),"Sisley by Sisley: PHYTOCERNES 眼部遮瑕膏 - #1 NATURAL--/0.58OZ")</f>
        <v>Sisley by Sisley: PHYTOCERNES 眼部遮瑕膏 - #1 NATURAL--/0.58OZ</v>
      </c>
      <c r="E1402" s="1" t="str">
        <f>IFERROR(__xludf.DUMMYFUNCTION("CONCATENATE(GOOGLETRANSLATE(C1402, ""en"", ""ko""))"),"시슬리 바이 시슬리: 피토세르네스 아이 컨실러 - #1 천연--/0.58OZ")</f>
        <v>시슬리 바이 시슬리: 피토세르네스 아이 컨실러 - #1 천연--/0.58OZ</v>
      </c>
      <c r="F1402" s="1" t="str">
        <f>IFERROR(__xludf.DUMMYFUNCTION("CONCATENATE(GOOGLETRANSLATE(C1402, ""en"", ""ja""))"),"シスレー by シスレー: フィトセルネス アイ コンシーラー - #1 ナチュラル--/0.58オンス")</f>
        <v>シスレー by シスレー: フィトセルネス アイ コンシーラー - #1 ナチュラル--/0.58オンス</v>
      </c>
    </row>
    <row r="1403" ht="15.75" customHeight="1">
      <c r="A1403" s="1">
        <v>4550.0</v>
      </c>
      <c r="B1403" s="1" t="s">
        <v>6</v>
      </c>
      <c r="C1403" s="1" t="s">
        <v>1295</v>
      </c>
      <c r="D1403" s="1" t="str">
        <f>IFERROR(__xludf.DUMMYFUNCTION("CONCATENATE(GOOGLETRANSLATE(C1403, ""en"", ""zh-cn""))
"),"苏格兰短裙半身裙灰兔 Sporran 搭配猖獗的狮子和流苏帽")</f>
        <v>苏格兰短裙半身裙灰兔 Sporran 搭配猖獗的狮子和流苏帽</v>
      </c>
      <c r="E1403" s="1" t="str">
        <f>IFERROR(__xludf.DUMMYFUNCTION("CONCATENATE(GOOGLETRANSLATE(C1403, ""en"", ""ko""))"),"스코틀랜드 킬트 세미 드레스 Rampant Lion &amp; Tassels 캡이 있는 회색 토끼 Sporran")</f>
        <v>스코틀랜드 킬트 세미 드레스 Rampant Lion &amp; Tassels 캡이 있는 회색 토끼 Sporran</v>
      </c>
      <c r="F1403" s="1" t="str">
        <f>IFERROR(__xludf.DUMMYFUNCTION("CONCATENATE(GOOGLETRANSLATE(C1403, ""en"", ""ja""))"),"スコットランドのキルト セミ ドレス グレー ラビット スポーラン ランパント ライオン &amp; タッセル キャップ付き")</f>
        <v>スコットランドのキルト セミ ドレス グレー ラビット スポーラン ランパント ライオン &amp; タッセル キャップ付き</v>
      </c>
    </row>
    <row r="1404" ht="15.75" customHeight="1">
      <c r="A1404" s="1">
        <v>4557.0</v>
      </c>
      <c r="B1404" s="1" t="s">
        <v>6</v>
      </c>
      <c r="C1404" s="1" t="s">
        <v>1296</v>
      </c>
      <c r="D1404" s="1" t="str">
        <f>IFERROR(__xludf.DUMMYFUNCTION("CONCATENATE(GOOGLETRANSLATE(C1404, ""en"", ""zh-cn""))
"),"Proactiv 皮肤净化痤疮面膜和痤疮斑点治疗 - 排毒面膜含 6% 硫磺 3 盎司 90 天用量")</f>
        <v>Proactiv 皮肤净化痤疮面膜和痤疮斑点治疗 - 排毒面膜含 6% 硫磺 3 盎司 90 天用量</v>
      </c>
      <c r="E1404" s="1" t="str">
        <f>IFERROR(__xludf.DUMMYFUNCTION("CONCATENATE(GOOGLETRANSLATE(C1404, ""en"", ""ko""))"),"Proactiv 스킨 퓨리파잉 여드름 페이스 마스크 및 여드름 스팟 트리트먼트 - 유황 6% 3온스 90일분을 함유한 디톡스 페이셜 마스크")</f>
        <v>Proactiv 스킨 퓨리파잉 여드름 페이스 마스크 및 여드름 스팟 트리트먼트 - 유황 6% 3온스 90일분을 함유한 디톡스 페이셜 마스크</v>
      </c>
      <c r="F1404" s="1" t="str">
        <f>IFERROR(__xludf.DUMMYFUNCTION("CONCATENATE(GOOGLETRANSLATE(C1404, ""en"", ""ja""))"),"プロアクティブ スキン ピュリファイング アクネ フェイス マスクとアクネ スポット トリートメント - 6% 硫黄を含む解毒フェイシャル マスク 3 オンス 90 日分")</f>
        <v>プロアクティブ スキン ピュリファイング アクネ フェイス マスクとアクネ スポット トリートメント - 6% 硫黄を含む解毒フェイシャル マスク 3 オンス 90 日分</v>
      </c>
    </row>
    <row r="1405" ht="15.75" customHeight="1">
      <c r="A1405" s="1">
        <v>4645.0</v>
      </c>
      <c r="B1405" s="1" t="s">
        <v>6</v>
      </c>
      <c r="C1405" s="1" t="s">
        <v>1297</v>
      </c>
      <c r="D1405" s="1" t="str">
        <f>IFERROR(__xludf.DUMMYFUNCTION("CONCATENATE(GOOGLETRANSLATE(C1405, ""en"", ""zh-cn""))
"),"Rawlings Heart of the Hide 行李袋，大号，黑色")</f>
        <v>Rawlings Heart of the Hide 行李袋，大号，黑色</v>
      </c>
      <c r="E1405" s="1" t="str">
        <f>IFERROR(__xludf.DUMMYFUNCTION("CONCATENATE(GOOGLETRANSLATE(C1405, ""en"", ""ko""))"),"롤링스 하트 오브 더 하이드 더플 백, 라지, 블랙")</f>
        <v>롤링스 하트 오브 더 하이드 더플 백, 라지, 블랙</v>
      </c>
      <c r="F1405" s="1" t="str">
        <f>IFERROR(__xludf.DUMMYFUNCTION("CONCATENATE(GOOGLETRANSLATE(C1405, ""en"", ""ja""))"),"ローリングス ハート オブ ザ ハイド ダッフル バッグ、ラージ、ブラック")</f>
        <v>ローリングス ハート オブ ザ ハイド ダッフル バッグ、ラージ、ブラック</v>
      </c>
    </row>
    <row r="1406" ht="15.75" customHeight="1">
      <c r="A1406" s="1">
        <v>4646.0</v>
      </c>
      <c r="B1406" s="1" t="s">
        <v>6</v>
      </c>
      <c r="C1406" s="1" t="s">
        <v>1298</v>
      </c>
      <c r="D1406" s="1" t="str">
        <f>IFERROR(__xludf.DUMMYFUNCTION("CONCATENATE(GOOGLETRANSLATE(C1406, ""en"", ""zh-cn""))
"),"CyclingDeal 自行车旅行箱 - 700c 自行车 - 自行车航空航班旅行硬箱箱包 EVA 材料轻便耐用，带 TSA 锁 - 非常适合公路自行车 - 运输设备专业")</f>
        <v>CyclingDeal 自行车旅行箱 - 700c 自行车 - 自行车航空航班旅行硬箱箱包 EVA 材料轻便耐用，带 TSA 锁 - 非常适合公路自行车 - 运输设备专业</v>
      </c>
      <c r="E1406" s="1" t="str">
        <f>IFERROR(__xludf.DUMMYFUNCTION("CONCATENATE(GOOGLETRANSLATE(C1406, ""en"", ""ko""))"),"CyclingDeal 자전거 여행용 케이스 - 700c 자전거 - 자전거 항공 항공편 여행용 하드 케이스 박스 백 EVA 소재 TSA 잠금 장치가 포함된 경량 및 내구성 - 도로 자전거에 적합 - 운송 장비 프로")</f>
        <v>CyclingDeal 자전거 여행용 케이스 - 700c 자전거 - 자전거 항공 항공편 여행용 하드 케이스 박스 백 EVA 소재 TSA 잠금 장치가 포함된 경량 및 내구성 - 도로 자전거에 적합 - 운송 장비 프로</v>
      </c>
      <c r="F1406" s="1" t="str">
        <f>IFERROR(__xludf.DUMMYFUNCTION("CONCATENATE(GOOGLETRANSLATE(C1406, ""en"", ""ja""))"),"CyclingDeal バイクトラベルケース - 700c バイク - 自転車航空便旅行ハードケースボックスバッグ EVA 素材 軽量&amp;耐久性 TSA ロック付き - ロードバイクに最適 - 輸送機器プロ")</f>
        <v>CyclingDeal バイクトラベルケース - 700c バイク - 自転車航空便旅行ハードケースボックスバッグ EVA 素材 軽量&amp;耐久性 TSA ロック付き - ロードバイクに最適 - 輸送機器プロ</v>
      </c>
    </row>
    <row r="1407" ht="15.75" customHeight="1">
      <c r="A1407" s="1">
        <v>4649.0</v>
      </c>
      <c r="B1407" s="1" t="s">
        <v>6</v>
      </c>
      <c r="C1407" s="1" t="s">
        <v>626</v>
      </c>
      <c r="D1407" s="1" t="str">
        <f>IFERROR(__xludf.DUMMYFUNCTION("CONCATENATE(GOOGLETRANSLATE(C1407, ""en"", ""zh-cn""))
"),"YOGABODY 瑜伽吊架，室内外使用")</f>
        <v>YOGABODY 瑜伽吊架，室内外使用</v>
      </c>
      <c r="E1407" s="1" t="str">
        <f>IFERROR(__xludf.DUMMYFUNCTION("CONCATENATE(GOOGLETRANSLATE(C1407, ""en"", ""ko""))"),"YOGABODY 요가 공중 그네 스탠드, 실내 및 실외 사용")</f>
        <v>YOGABODY 요가 공중 그네 스탠드, 실내 및 실외 사용</v>
      </c>
      <c r="F1407" s="1" t="str">
        <f>IFERROR(__xludf.DUMMYFUNCTION("CONCATENATE(GOOGLETRANSLATE(C1407, ""en"", ""ja""))"),"YOGABODY ヨガ空中ブランコスタンド、屋内および屋外で使用可能")</f>
        <v>YOGABODY ヨガ空中ブランコスタンド、屋内および屋外で使用可能</v>
      </c>
    </row>
    <row r="1408" ht="15.75" customHeight="1">
      <c r="A1408" s="1">
        <v>4666.0</v>
      </c>
      <c r="B1408" s="1" t="s">
        <v>6</v>
      </c>
      <c r="C1408" s="1" t="s">
        <v>1299</v>
      </c>
      <c r="D1408" s="1" t="str">
        <f>IFERROR(__xludf.DUMMYFUNCTION("CONCATENATE(GOOGLETRANSLATE(C1408, ""en"", ""zh-cn""))
"),"Alexia冥想座椅（浅灰色，纯素皮革）")</f>
        <v>Alexia冥想座椅（浅灰色，纯素皮革）</v>
      </c>
      <c r="E1408" s="1" t="str">
        <f>IFERROR(__xludf.DUMMYFUNCTION("CONCATENATE(GOOGLETRANSLATE(C1408, ""en"", ""ko""))"),"알렉시아 명상좌 (라이트 그레이, 비건 가죽)")</f>
        <v>알렉시아 명상좌 (라이트 그레이, 비건 가죽)</v>
      </c>
      <c r="F1408" s="1" t="str">
        <f>IFERROR(__xludf.DUMMYFUNCTION("CONCATENATE(GOOGLETRANSLATE(C1408, ""en"", ""ja""))"),"Alexia 瞑想シート (ライトグレー、ビーガンレザー)")</f>
        <v>Alexia 瞑想シート (ライトグレー、ビーガンレザー)</v>
      </c>
    </row>
    <row r="1409" ht="15.75" customHeight="1">
      <c r="A1409" s="1">
        <v>4667.0</v>
      </c>
      <c r="B1409" s="1" t="s">
        <v>6</v>
      </c>
      <c r="C1409" s="1" t="s">
        <v>1300</v>
      </c>
      <c r="D1409" s="1" t="str">
        <f>IFERROR(__xludf.DUMMYFUNCTION("CONCATENATE(GOOGLETRANSLATE(C1409, ""en"", ""zh-cn""))
"),"Lake 男鞋 Cx238")</f>
        <v>Lake 男鞋 Cx238</v>
      </c>
      <c r="E1409" s="1" t="str">
        <f>IFERROR(__xludf.DUMMYFUNCTION("CONCATENATE(GOOGLETRANSLATE(C1409, ""en"", ""ko""))"),"레이크 남성 신발 Cx238")</f>
        <v>레이크 남성 신발 Cx238</v>
      </c>
      <c r="F1409" s="1" t="str">
        <f>IFERROR(__xludf.DUMMYFUNCTION("CONCATENATE(GOOGLETRANSLATE(C1409, ""en"", ""ja""))"),"レイク メンズ シューズ CX238")</f>
        <v>レイク メンズ シューズ CX238</v>
      </c>
    </row>
    <row r="1410" ht="15.75" customHeight="1">
      <c r="A1410" s="1">
        <v>4686.0</v>
      </c>
      <c r="B1410" s="1" t="s">
        <v>6</v>
      </c>
      <c r="C1410" s="1" t="s">
        <v>1301</v>
      </c>
      <c r="D1410" s="1" t="str">
        <f>IFERROR(__xludf.DUMMYFUNCTION("CONCATENATE(GOOGLETRANSLATE(C1410, ""en"", ""zh-cn""))
"),"Lake CX241 骑行鞋 - 男士")</f>
        <v>Lake CX241 骑行鞋 - 男士</v>
      </c>
      <c r="E1410" s="1" t="str">
        <f>IFERROR(__xludf.DUMMYFUNCTION("CONCATENATE(GOOGLETRANSLATE(C1410, ""en"", ""ko""))"),"Lake CX241 사이클링 신발 - 남성용")</f>
        <v>Lake CX241 사이클링 신발 - 남성용</v>
      </c>
      <c r="F1410" s="1" t="str">
        <f>IFERROR(__xludf.DUMMYFUNCTION("CONCATENATE(GOOGLETRANSLATE(C1410, ""en"", ""ja""))"),"Lake CX241 サイクリング シューズ - メンズ")</f>
        <v>Lake CX241 サイクリング シューズ - メンズ</v>
      </c>
    </row>
    <row r="1411" ht="15.75" customHeight="1">
      <c r="A1411" s="1">
        <v>4690.0</v>
      </c>
      <c r="B1411" s="1" t="s">
        <v>6</v>
      </c>
      <c r="C1411" s="1" t="s">
        <v>437</v>
      </c>
      <c r="D1411" s="1" t="str">
        <f>IFERROR(__xludf.DUMMYFUNCTION("CONCATENATE(GOOGLETRANSLATE(C1411, ""en"", ""zh-cn""))
"),"西迪鞋天才 10")</f>
        <v>西迪鞋天才 10</v>
      </c>
      <c r="E1411" s="1" t="str">
        <f>IFERROR(__xludf.DUMMYFUNCTION("CONCATENATE(GOOGLETRANSLATE(C1411, ""en"", ""ko""))"),"시디 신발 천재 10")</f>
        <v>시디 신발 천재 10</v>
      </c>
      <c r="F1411" s="1" t="str">
        <f>IFERROR(__xludf.DUMMYFUNCTION("CONCATENATE(GOOGLETRANSLATE(C1411, ""en"", ""ja""))"),"シディ シューズ ジーニアス 10")</f>
        <v>シディ シューズ ジーニアス 10</v>
      </c>
    </row>
    <row r="1412" ht="15.75" customHeight="1">
      <c r="A1412" s="1">
        <v>4691.0</v>
      </c>
      <c r="B1412" s="1" t="s">
        <v>6</v>
      </c>
      <c r="C1412" s="1" t="s">
        <v>1302</v>
      </c>
      <c r="D1412" s="1" t="str">
        <f>IFERROR(__xludf.DUMMYFUNCTION("CONCATENATE(GOOGLETRANSLATE(C1412, ""en"", ""zh-cn""))
"),"马西磁力椭圆训练机有氧运动机")</f>
        <v>马西磁力椭圆训练机有氧运动机</v>
      </c>
      <c r="E1412" s="1" t="str">
        <f>IFERROR(__xludf.DUMMYFUNCTION("CONCATENATE(GOOGLETRANSLATE(C1412, ""en"", ""ko""))"),"Marcy 자기 타원형 트레이너 심장 운동 기계")</f>
        <v>Marcy 자기 타원형 트레이너 심장 운동 기계</v>
      </c>
      <c r="F1412" s="1" t="str">
        <f>IFERROR(__xludf.DUMMYFUNCTION("CONCATENATE(GOOGLETRANSLATE(C1412, ""en"", ""ja""))"),"マーシー マグネティックエリプティカル トレーナー カーディオ トレーニング マシン")</f>
        <v>マーシー マグネティックエリプティカル トレーナー カーディオ トレーニング マシン</v>
      </c>
    </row>
    <row r="1413" ht="15.75" customHeight="1">
      <c r="A1413" s="1">
        <v>4699.0</v>
      </c>
      <c r="B1413" s="1" t="s">
        <v>6</v>
      </c>
      <c r="C1413" s="1" t="s">
        <v>1303</v>
      </c>
      <c r="D1413" s="1" t="str">
        <f>IFERROR(__xludf.DUMMYFUNCTION("CONCATENATE(GOOGLETRANSLATE(C1413, ""en"", ""zh-cn""))
"),"环意计划，男鞋")</f>
        <v>环意计划，男鞋</v>
      </c>
      <c r="E1413" s="1" t="str">
        <f>IFERROR(__xludf.DUMMYFUNCTION("CONCATENATE(GOOGLETRANSLATE(C1413, ""en"", ""ko""))"),"Giro Scheme, 남성 신발")</f>
        <v>Giro Scheme, 남성 신발</v>
      </c>
      <c r="F1413" s="1" t="str">
        <f>IFERROR(__xludf.DUMMYFUNCTION("CONCATENATE(GOOGLETRANSLATE(C1413, ""en"", ""ja""))"),"ジロスキーム、メンズシューズ")</f>
        <v>ジロスキーム、メンズシューズ</v>
      </c>
    </row>
    <row r="1414" ht="15.75" customHeight="1">
      <c r="A1414" s="1">
        <v>4702.0</v>
      </c>
      <c r="B1414" s="1" t="s">
        <v>6</v>
      </c>
      <c r="C1414" s="1" t="s">
        <v>1304</v>
      </c>
      <c r="D1414" s="1" t="str">
        <f>IFERROR(__xludf.DUMMYFUNCTION("CONCATENATE(GOOGLETRANSLATE(C1414, ""en"", ""zh-cn""))
"),"EF ECOFLOW 便携式发电站 RIVER 2，256Wh LiFePO4 电池/ 1 小时快速充电，2 个高达 600W 的交流电源插座，太阳能发电机（太阳能电池板可选）适合户外露营/房车/家用")</f>
        <v>EF ECOFLOW 便携式发电站 RIVER 2，256Wh LiFePO4 电池/ 1 小时快速充电，2 个高达 600W 的交流电源插座，太阳能发电机（太阳能电池板可选）适合户外露营/房车/家用</v>
      </c>
      <c r="E1414" s="1" t="str">
        <f>IFERROR(__xludf.DUMMYFUNCTION("CONCATENATE(GOOGLETRANSLATE(C1414, ""en"", ""ko""))"),"EF ECOFLOW 휴대용 발전소 RIVER 2, 256Wh LiFePO4 배터리/1시간 고속 충전, 최대 600W AC 콘센트 2개, 야외 캠핑/RV/가정용 태양광 발전기(태양광 패널 옵션)")</f>
        <v>EF ECOFLOW 휴대용 발전소 RIVER 2, 256Wh LiFePO4 배터리/1시간 고속 충전, 최대 600W AC 콘센트 2개, 야외 캠핑/RV/가정용 태양광 발전기(태양광 패널 옵션)</v>
      </c>
      <c r="F1414" s="1" t="str">
        <f>IFERROR(__xludf.DUMMYFUNCTION("CONCATENATE(GOOGLETRANSLATE(C1414, ""en"", ""ja""))"),"EF ECOFLOW ポータブルパワーステーション RIVER 2、256Wh LiFePO4 バッテリー/1 時間の急速充電、最大 600W AC コンセント 2 個、屋外キャンプ/RV/家庭用太陽光発電機 (ソーラーパネルはオプション)")</f>
        <v>EF ECOFLOW ポータブルパワーステーション RIVER 2、256Wh LiFePO4 バッテリー/1 時間の急速充電、最大 600W AC コンセント 2 個、屋外キャンプ/RV/家庭用太陽光発電機 (ソーラーパネルはオプション)</v>
      </c>
    </row>
    <row r="1415" ht="15.75" customHeight="1">
      <c r="A1415" s="1">
        <v>4807.0</v>
      </c>
      <c r="B1415" s="1" t="s">
        <v>6</v>
      </c>
      <c r="C1415" s="1" t="s">
        <v>1305</v>
      </c>
      <c r="D1415" s="1" t="str">
        <f>IFERROR(__xludf.DUMMYFUNCTION("CONCATENATE(GOOGLETRANSLATE(C1415, ""en"", ""zh-cn""))
"),"戴尔 2023 款最新 Inspiron 笔记本电脑，15.6 英寸全高清触摸屏，英特尔酷睿 i7 1355U 处理器（高达 5GHz，10 核），64GB RAM，1TB 固态硬盘，英特尔 Iris Xe 显卡，Wi-Fi 6，蓝牙，Windows 11 家庭版")</f>
        <v>戴尔 2023 款最新 Inspiron 笔记本电脑，15.6 英寸全高清触摸屏，英特尔酷睿 i7 1355U 处理器（高达 5GHz，10 核），64GB RAM，1TB 固态硬盘，英特尔 Iris Xe 显卡，Wi-Fi 6，蓝牙，Windows 11 家庭版</v>
      </c>
      <c r="E1415" s="1" t="str">
        <f>IFERROR(__xludf.DUMMYFUNCTION("CONCATENATE(GOOGLETRANSLATE(C1415, ""en"", ""ko""))"),"Dell 2023 최신 Inspiron 노트북, 15.6인치 FHD 터치스크린, Intel Core i7 1355U 프로세서(최대 5GHz, 10코어), 64GB RAM, 1TB SSD, Intel Iris Xe 그래픽, Wi-Fi 6, Bluetooth, Windows 11 Home")</f>
        <v>Dell 2023 최신 Inspiron 노트북, 15.6인치 FHD 터치스크린, Intel Core i7 1355U 프로세서(최대 5GHz, 10코어), 64GB RAM, 1TB SSD, Intel Iris Xe 그래픽, Wi-Fi 6, Bluetooth, Windows 11 Home</v>
      </c>
      <c r="F1415" s="1" t="str">
        <f>IFERROR(__xludf.DUMMYFUNCTION("CONCATENATE(GOOGLETRANSLATE(C1415, ""en"", ""ja""))"),"Dell 2023 最新 Inspiron ノートパソコン、15.6 インチ FHD タッチスクリーン、Intel Core i7 1355U プロセッサー (最大 5GHz、10 コア)、64GB RAM、1TB SSD、Intel Iris Xe グラフィックス、Wi-Fi 6、Bluetooth、Windows 11 Home")</f>
        <v>Dell 2023 最新 Inspiron ノートパソコン、15.6 インチ FHD タッチスクリーン、Intel Core i7 1355U プロセッサー (最大 5GHz、10 コア)、64GB RAM、1TB SSD、Intel Iris Xe グラフィックス、Wi-Fi 6、Bluetooth、Windows 11 Home</v>
      </c>
    </row>
    <row r="1416" ht="15.75" customHeight="1">
      <c r="A1416" s="1">
        <v>4833.0</v>
      </c>
      <c r="B1416" s="1" t="s">
        <v>6</v>
      </c>
      <c r="C1416" s="1" t="s">
        <v>1306</v>
      </c>
      <c r="D1416" s="1" t="str">
        <f>IFERROR(__xludf.DUMMYFUNCTION("CONCATENATE(GOOGLETRANSLATE(C1416, ""en"", ""zh-cn""))
"),"Apple 2023 款 MacBook Pro 笔记本电脑 M3 Pro 芯片，配备 12 核 CPU、18 核 GPU：16.2 英寸 Liquid Retina XDR 显示屏、18GB 统一内存、512GB SSD 存储。适用于 iPhone/iPad；银")</f>
        <v>Apple 2023 款 MacBook Pro 笔记本电脑 M3 Pro 芯片，配备 12 核 CPU、18 核 GPU：16.2 英寸 Liquid Retina XDR 显示屏、18GB 统一内存、512GB SSD 存储。适用于 iPhone/iPad；银</v>
      </c>
      <c r="E1416" s="1" t="str">
        <f>IFERROR(__xludf.DUMMYFUNCTION("CONCATENATE(GOOGLETRANSLATE(C1416, ""en"", ""ko""))"),"Apple 2023 MacBook Pro 노트북 M3 Pro 칩, 12코어 CPU, 18코어 GPU: 16.2인치 Liquid Retina XDR 디스플레이, 18GB 통합 메모리, 512GB SSD 스토리지. iPhone/iPad에서 작동합니다. 은")</f>
        <v>Apple 2023 MacBook Pro 노트북 M3 Pro 칩, 12코어 CPU, 18코어 GPU: 16.2인치 Liquid Retina XDR 디스플레이, 18GB 통합 메모리, 512GB SSD 스토리지. iPhone/iPad에서 작동합니다. 은</v>
      </c>
      <c r="F1416" s="1" t="str">
        <f>IFERROR(__xludf.DUMMYFUNCTION("CONCATENATE(GOOGLETRANSLATE(C1416, ""en"", ""ja""))"),"12 コア CPU、18 コア GPU を搭載した Apple 2023 MacBook Pro ラップトップ M3 Pro チップ: 16.2 インチ Liquid Retina XDR ディスプレイ、18 GB ユニファイド メモリ、512 GB SSD ストレージ。 iPhone/iPad で動作します。銀")</f>
        <v>12 コア CPU、18 コア GPU を搭載した Apple 2023 MacBook Pro ラップトップ M3 Pro チップ: 16.2 インチ Liquid Retina XDR ディスプレイ、18 GB ユニファイド メモリ、512 GB SSD ストレージ。 iPhone/iPad で動作します。銀</v>
      </c>
    </row>
    <row r="1417" ht="15.75" customHeight="1">
      <c r="A1417" s="1">
        <v>5060.0</v>
      </c>
      <c r="B1417" s="1" t="s">
        <v>51</v>
      </c>
      <c r="C1417" s="1" t="s">
        <v>54</v>
      </c>
      <c r="D1417" s="1" t="str">
        <f>IFERROR(__xludf.DUMMYFUNCTION("CONCATENATE(GOOGLETRANSLATE(C1417, ""en"", ""zh-cn""))
"),"男式佩斯利围巾日式印花开襟和服两件套")</f>
        <v>男式佩斯利围巾日式印花开襟和服两件套</v>
      </c>
      <c r="E1417" s="1" t="str">
        <f>IFERROR(__xludf.DUMMYFUNCTION("CONCATENATE(GOOGLETRANSLATE(C1417, ""en"", ""ko""))"),"남성 페이즐리 스카프 일본식 프린트 오픈 프론트 기모노 2피스 수트")</f>
        <v>남성 페이즐리 스카프 일본식 프린트 오픈 프론트 기모노 2피스 수트</v>
      </c>
      <c r="F1417" s="1" t="str">
        <f>IFERROR(__xludf.DUMMYFUNCTION("CONCATENATE(GOOGLETRANSLATE(C1417, ""en"", ""ja""))"),"メンズペイズリースカーフ日本のプリントオープンフロント着物ツーピーススーツ")</f>
        <v>メンズペイズリースカーフ日本のプリントオープンフロント着物ツーピーススーツ</v>
      </c>
    </row>
    <row r="1418" ht="15.75" customHeight="1">
      <c r="A1418" s="1">
        <v>5151.0</v>
      </c>
      <c r="B1418" s="1" t="s">
        <v>6</v>
      </c>
      <c r="C1418" s="1" t="s">
        <v>1307</v>
      </c>
      <c r="D1418" s="1" t="str">
        <f>IFERROR(__xludf.DUMMYFUNCTION("CONCATENATE(GOOGLETRANSLATE(C1418, ""en"", ""zh-cn""))
"),"FNNEMGE 300W便携式充电站（峰值350W），266Wh太阳能户外发电机，72000mAh 60W PD移动电源，双110V交流插座12V/10A直流输出，纯正弦波，野营电池供电")</f>
        <v>FNNEMGE 300W便携式充电站（峰值350W），266Wh太阳能户外发电机，72000mAh 60W PD移动电源，双110V交流插座12V/10A直流输出，纯正弦波，野营电池供电</v>
      </c>
      <c r="E1418" s="1" t="str">
        <f>IFERROR(__xludf.DUMMYFUNCTION("CONCATENATE(GOOGLETRANSLATE(C1418, ""en"", ""ko""))"),"FNNEMGE 300W 휴대용 발전소(350W 피크), 266Wh 태양광 실외 발전기, 듀얼 110V AC 콘센트 12V/10A DC 출력, 순수 사인파, 캠핑용 배터리 전원 공급 장치가 포함된 72000mAh 60W PD 전원 은행")</f>
        <v>FNNEMGE 300W 휴대용 발전소(350W 피크), 266Wh 태양광 실외 발전기, 듀얼 110V AC 콘센트 12V/10A DC 출력, 순수 사인파, 캠핑용 배터리 전원 공급 장치가 포함된 72000mAh 60W PD 전원 은행</v>
      </c>
      <c r="F1418" s="1" t="str">
        <f>IFERROR(__xludf.DUMMYFUNCTION("CONCATENATE(GOOGLETRANSLATE(C1418, ""en"", ""ja""))"),"FNNEMGE 300W ポータブルパワーステーション (350W ピーク)、266Wh ソーラー屋外発電機、デュアル 110V AC コンセント付き 72000mAh 60W PD パワーバンク 12V/10A DC 出力、純粋な正弦波、キャンプ用バッテリー電源")</f>
        <v>FNNEMGE 300W ポータブルパワーステーション (350W ピーク)、266Wh ソーラー屋外発電機、デュアル 110V AC コンセント付き 72000mAh 60W PD パワーバンク 12V/10A DC 出力、純粋な正弦波、キャンプ用バッテリー電源</v>
      </c>
    </row>
    <row r="1419" ht="15.75" customHeight="1">
      <c r="A1419" s="1">
        <v>5152.0</v>
      </c>
      <c r="B1419" s="1" t="s">
        <v>6</v>
      </c>
      <c r="C1419" s="1" t="s">
        <v>1308</v>
      </c>
      <c r="D1419" s="1" t="str">
        <f>IFERROR(__xludf.DUMMYFUNCTION("CONCATENATE(GOOGLETRANSLATE(C1419, ""en"", ""zh-cn""))
"),"Sunny Health &amp; Fitness 磁性椭圆训练机带平板电脑支架、液晶显示器、最大 220 磅体重和脉搏监视器 - SF-E3810，灰色")</f>
        <v>Sunny Health &amp; Fitness 磁性椭圆训练机带平板电脑支架、液晶显示器、最大 220 磅体重和脉搏监视器 - SF-E3810，灰色</v>
      </c>
      <c r="E1419" s="1" t="str">
        <f>IFERROR(__xludf.DUMMYFUNCTION("CONCATENATE(GOOGLETRANSLATE(C1419, ""en"", ""ko""))"),"Sunny 건강 및 피트니스 자기 타원형 트레이너 기계, 태블릿 홀더, LCD 모니터, 220LB 최대 중량 및 맥박 모니터 포함 - SF-E3810, 회색")</f>
        <v>Sunny 건강 및 피트니스 자기 타원형 트레이너 기계, 태블릿 홀더, LCD 모니터, 220LB 최대 중량 및 맥박 모니터 포함 - SF-E3810, 회색</v>
      </c>
      <c r="F1419" s="1" t="str">
        <f>IFERROR(__xludf.DUMMYFUNCTION("CONCATENATE(GOOGLETRANSLATE(C1419, ""en"", ""ja""))"),"Sunny Health &amp; Fitness 磁気エリプティカル トレーナー マシン、タブレット ホルダー、LCD モニター、最大 220 ポンドの体重および脈拍モニター付き - SF-E3810、グレー")</f>
        <v>Sunny Health &amp; Fitness 磁気エリプティカル トレーナー マシン、タブレット ホルダー、LCD モニター、最大 220 ポンドの体重および脈拍モニター付き - SF-E3810、グレー</v>
      </c>
    </row>
    <row r="1420" ht="15.75" customHeight="1">
      <c r="A1420" s="1">
        <v>5189.0</v>
      </c>
      <c r="B1420" s="1" t="s">
        <v>51</v>
      </c>
      <c r="C1420" s="1" t="s">
        <v>1309</v>
      </c>
      <c r="D1420" s="1" t="str">
        <f>IFERROR(__xludf.DUMMYFUNCTION("CONCATENATE(GOOGLETRANSLATE(C1420, ""en"", ""zh-cn""))
"),"男式拼色翻领前拉链抓绒夹克")</f>
        <v>男式拼色翻领前拉链抓绒夹克</v>
      </c>
      <c r="E1420" s="1" t="str">
        <f>IFERROR(__xludf.DUMMYFUNCTION("CONCATENATE(GOOGLETRANSLATE(C1420, ""en"", ""ko""))"),"남성용 컬러 블록 패치워크 라펠 지퍼 프론트 플리스 재킷")</f>
        <v>남성용 컬러 블록 패치워크 라펠 지퍼 프론트 플리스 재킷</v>
      </c>
      <c r="F1420" s="1" t="str">
        <f>IFERROR(__xludf.DUMMYFUNCTION("CONCATENATE(GOOGLETRANSLATE(C1420, ""en"", ""ja""))"),"メンズ カラーブロック パッチワーク ラペル ジップ フロント フリース ジャケット")</f>
        <v>メンズ カラーブロック パッチワーク ラペル ジップ フロント フリース ジャケット</v>
      </c>
    </row>
    <row r="1421" ht="15.75" customHeight="1">
      <c r="A1421" s="1">
        <v>5195.0</v>
      </c>
      <c r="B1421" s="1" t="s">
        <v>51</v>
      </c>
      <c r="C1421" s="1" t="s">
        <v>1310</v>
      </c>
      <c r="D1421" s="1" t="str">
        <f>IFERROR(__xludf.DUMMYFUNCTION("CONCATENATE(GOOGLETRANSLATE(C1421, ""en"", ""zh-cn""))
"),"男士纯色立领前拉链抓绒休闲夹克")</f>
        <v>男士纯色立领前拉链抓绒休闲夹克</v>
      </c>
      <c r="E1421" s="1" t="str">
        <f>IFERROR(__xludf.DUMMYFUNCTION("CONCATENATE(GOOGLETRANSLATE(C1421, ""en"", ""ko""))"),"남성용 솔리드 스탠드 칼라 지퍼 프론트 플리스 캐주얼 재킷")</f>
        <v>남성용 솔리드 스탠드 칼라 지퍼 프론트 플리스 캐주얼 재킷</v>
      </c>
      <c r="F1421" s="1" t="str">
        <f>IFERROR(__xludf.DUMMYFUNCTION("CONCATENATE(GOOGLETRANSLATE(C1421, ""en"", ""ja""))"),"メンズソリッドスタンドカラージップフロントフリースカジュアルジャケット")</f>
        <v>メンズソリッドスタンドカラージップフロントフリースカジュアルジャケット</v>
      </c>
    </row>
    <row r="1422" ht="15.75" customHeight="1">
      <c r="A1422" s="1">
        <v>5203.0</v>
      </c>
      <c r="B1422" s="1" t="s">
        <v>51</v>
      </c>
      <c r="C1422" s="1" t="s">
        <v>1311</v>
      </c>
      <c r="D1422" s="1" t="str">
        <f>IFERROR(__xludf.DUMMYFUNCTION("CONCATENATE(GOOGLETRANSLATE(C1422, ""en"", ""zh-cn""))
"),"男式不规则几何印花弧形下摆纹理长袖 T 恤")</f>
        <v>男式不规则几何印花弧形下摆纹理长袖 T 恤</v>
      </c>
      <c r="E1422" s="1" t="str">
        <f>IFERROR(__xludf.DUMMYFUNCTION("CONCATENATE(GOOGLETRANSLATE(C1422, ""en"", ""ko""))"),"남성용 불규칙한 기하학적 프린트 곡선 밑단 텍스처 긴소매 티셔츠")</f>
        <v>남성용 불규칙한 기하학적 프린트 곡선 밑단 텍스처 긴소매 티셔츠</v>
      </c>
      <c r="F1422" s="1" t="str">
        <f>IFERROR(__xludf.DUMMYFUNCTION("CONCATENATE(GOOGLETRANSLATE(C1422, ""en"", ""ja""))"),"メンズ不規則な幾何学模様のプリント湾曲した裾のテクスチャ長袖 T シャツ")</f>
        <v>メンズ不規則な幾何学模様のプリント湾曲した裾のテクスチャ長袖 T シャツ</v>
      </c>
    </row>
    <row r="1423" ht="15.75" customHeight="1">
      <c r="A1423" s="1">
        <v>5280.0</v>
      </c>
      <c r="B1423" s="1" t="s">
        <v>51</v>
      </c>
      <c r="C1423" s="1" t="s">
        <v>1312</v>
      </c>
      <c r="D1423" s="1" t="str">
        <f>IFERROR(__xludf.DUMMYFUNCTION("CONCATENATE(GOOGLETRANSLATE(C1423, ""en"", ""zh-cn""))
"),"男士时尚花卉印花圆领透气短袖休闲 T 恤")</f>
        <v>男士时尚花卉印花圆领透气短袖休闲 T 恤</v>
      </c>
      <c r="E1423" s="1" t="str">
        <f>IFERROR(__xludf.DUMMYFUNCTION("CONCATENATE(GOOGLETRANSLATE(C1423, ""en"", ""ko""))"),"남성 패션 꽃무늬 크루넥 통기성 짧은 소매 캐주얼 티셔츠")</f>
        <v>남성 패션 꽃무늬 크루넥 통기성 짧은 소매 캐주얼 티셔츠</v>
      </c>
      <c r="F1423" s="1" t="str">
        <f>IFERROR(__xludf.DUMMYFUNCTION("CONCATENATE(GOOGLETRANSLATE(C1423, ""en"", ""ja""))"),"メンズファッション花柄プリントクルーネック通気性半袖カジュアル Tシャツ")</f>
        <v>メンズファッション花柄プリントクルーネック通気性半袖カジュアル Tシャツ</v>
      </c>
    </row>
    <row r="1424" ht="15.75" customHeight="1">
      <c r="A1424" s="1">
        <v>5289.0</v>
      </c>
      <c r="B1424" s="1" t="s">
        <v>6</v>
      </c>
      <c r="C1424" s="1" t="s">
        <v>63</v>
      </c>
      <c r="D1424" s="1" t="str">
        <f>IFERROR(__xludf.DUMMYFUNCTION("CONCATENATE(GOOGLETRANSLATE(C1424, ""en"", ""zh-cn""))
"),"带盖拼图板，大型倾斜 1500 块拼图桌，ENGRTALENT 35 英寸 x 26 英寸带抽屉便携式拼图桌，带彩色拼图分类托盘、指南、毛毡板和手柄。")</f>
        <v>带盖拼图板，大型倾斜 1500 块拼图桌，ENGRTALENT 35 英寸 x 26 英寸带抽屉便携式拼图桌，带彩色拼图分类托盘、指南、毛毡板和手柄。</v>
      </c>
      <c r="E1424" s="1" t="str">
        <f>IFERROR(__xludf.DUMMYFUNCTION("CONCATENATE(GOOGLETRANSLATE(C1424, ""en"", ""ko""))"),"덮개가 있는 퍼즐 보드, 대형 기울어진 1500피스 직소 퍼즐 테이블, 다채로운 퍼즐 정렬 트레이가 있는 서랍이 있는 ENGRTALENT 35""x 26"" 휴대용 퍼즐 테이블, 지침, 펠트 보드 및 손잡이.")</f>
        <v>덮개가 있는 퍼즐 보드, 대형 기울어진 1500피스 직소 퍼즐 테이블, 다채로운 퍼즐 정렬 트레이가 있는 서랍이 있는 ENGRTALENT 35"x 26" 휴대용 퍼즐 테이블, 지침, 펠트 보드 및 손잡이.</v>
      </c>
      <c r="F1424" s="1" t="str">
        <f>IFERROR(__xludf.DUMMYFUNCTION("CONCATENATE(GOOGLETRANSLATE(C1424, ""en"", ""ja""))"),"カバー付きパズルボード、大型傾斜1500ピースジグソーパズルテーブル、ENGRTALENT 35インチ x 26インチの引き出し付きポータブルパズルテーブル、カラフルなパズル並べ替えトレイ、ガイドライン、フェルトボード、ハンドル付き。")</f>
        <v>カバー付きパズルボード、大型傾斜1500ピースジグソーパズルテーブル、ENGRTALENT 35インチ x 26インチの引き出し付きポータブルパズルテーブル、カラフルなパズル並べ替えトレイ、ガイドライン、フェルトボード、ハンドル付き。</v>
      </c>
    </row>
    <row r="1425" ht="15.75" customHeight="1">
      <c r="A1425" s="1">
        <v>5292.0</v>
      </c>
      <c r="B1425" s="1" t="s">
        <v>6</v>
      </c>
      <c r="C1425" s="1" t="s">
        <v>61</v>
      </c>
      <c r="D1425" s="1" t="str">
        <f>IFERROR(__xludf.DUMMYFUNCTION("CONCATENATE(GOOGLETRANSLATE(C1425, ""en"", ""zh-cn""))
"),"GAN 机器人，魔方解谜机自动解谜器和解谜器，兼容 GAN 356i2 i3 iplay iCarry Speed Cubes（不含魔方）和最新版本 APP")</f>
        <v>GAN 机器人，魔方解谜机自动解谜器和解谜器，兼容 GAN 356i2 i3 iplay iCarry Speed Cubes（不含魔方）和最新版本 APP</v>
      </c>
      <c r="E1425" s="1" t="str">
        <f>IFERROR(__xludf.DUMMYFUNCTION("CONCATENATE(GOOGLETRANSLATE(C1425, ""en"", ""ko""))"),"GAN 로봇, 큐브 ​​해결 기계 자동 퍼즐 스크램블러 및 솔버, GAN 356i2 i3 iplay iCarry 스피드 큐브(큐브는 포함되지 않음) 및 최신 버전 앱과 호환 가능")</f>
        <v>GAN 로봇, 큐브 ​​해결 기계 자동 퍼즐 스크램블러 및 솔버, GAN 356i2 i3 iplay iCarry 스피드 큐브(큐브는 포함되지 않음) 및 최신 버전 앱과 호환 가능</v>
      </c>
      <c r="F1425" s="1" t="str">
        <f>IFERROR(__xludf.DUMMYFUNCTION("CONCATENATE(GOOGLETRANSLATE(C1425, ""en"", ""ja""))"),"GAN ロボット、キューブ解決マシン自動パズル スクランブラー &amp; ソルバー、GAN 356i2 i3 iplay iCarry Speed Cubes と互換性あり (キューブは含まれません) &amp; 最新バージョンのアプリ付き")</f>
        <v>GAN ロボット、キューブ解決マシン自動パズル スクランブラー &amp; ソルバー、GAN 356i2 i3 iplay iCarry Speed Cubes と互換性あり (キューブは含まれません) &amp; 最新バージョンのアプリ付き</v>
      </c>
    </row>
    <row r="1426" ht="15.75" customHeight="1">
      <c r="A1426" s="1">
        <v>5293.0</v>
      </c>
      <c r="B1426" s="1" t="s">
        <v>6</v>
      </c>
      <c r="C1426" s="1" t="s">
        <v>254</v>
      </c>
      <c r="D1426" s="1" t="str">
        <f>IFERROR(__xludf.DUMMYFUNCTION("CONCATENATE(GOOGLETRANSLATE(C1426, ""en"", ""zh-cn""))
"),"CuberShop GAN 12 MagLev UV 涂层， GAN 12 M MagLev 2021 旗舰 3x3 磁力速度立方体无贴纸， GAN 12 M Pro 3x3 （GAN12 MagLev UV 速度立方体，UV 涂层光面和初级内部）")</f>
        <v>CuberShop GAN 12 MagLev UV 涂层， GAN 12 M MagLev 2021 旗舰 3x3 磁力速度立方体无贴纸， GAN 12 M Pro 3x3 （GAN12 MagLev UV 速度立方体，UV 涂层光面和初级内部）</v>
      </c>
      <c r="E1426" s="1" t="str">
        <f>IFERROR(__xludf.DUMMYFUNCTION("CONCATENATE(GOOGLETRANSLATE(C1426, ""en"", ""ko""))"),"CuberShop GAN 12 MagLev UV 코팅, GAN 12 M MagLev 2021 플래그십 3x3 자기 속도 큐브 스티커 없음, GAN 12 M Pro 3x3(GAN12 MagLev UV 속도 큐브, UV 코팅 광택 및 기본 내부)")</f>
        <v>CuberShop GAN 12 MagLev UV 코팅, GAN 12 M MagLev 2021 플래그십 3x3 자기 속도 큐브 스티커 없음, GAN 12 M Pro 3x3(GAN12 MagLev UV 속도 큐브, UV 코팅 광택 및 기본 내부)</v>
      </c>
      <c r="F1426" s="1" t="str">
        <f>IFERROR(__xludf.DUMMYFUNCTION("CONCATENATE(GOOGLETRANSLATE(C1426, ""en"", ""ja""))"),"CuberShop GAN 12 MagLev UV コーティング、GAN 12 M MagLev 2021 フラッグシップ 3x3 磁気スピード キューブ ステッカーレス、GAN 12 M Pro 3x3 (GAN12 MagLev UV スピード キューブ、UV コーティング光沢 &amp; プライマリ内部)")</f>
        <v>CuberShop GAN 12 MagLev UV コーティング、GAN 12 M MagLev 2021 フラッグシップ 3x3 磁気スピード キューブ ステッカーレス、GAN 12 M Pro 3x3 (GAN12 MagLev UV スピード キューブ、UV コーティング光沢 &amp; プライマリ内部)</v>
      </c>
    </row>
    <row r="1427" ht="15.75" customHeight="1">
      <c r="A1427" s="1">
        <v>5308.0</v>
      </c>
      <c r="B1427" s="1" t="s">
        <v>6</v>
      </c>
      <c r="C1427" s="1" t="s">
        <v>820</v>
      </c>
      <c r="D1427" s="1" t="str">
        <f>IFERROR(__xludf.DUMMYFUNCTION("CONCATENATE(GOOGLETRANSLATE(C1427, ""en"", ""zh-cn""))
"),"JOROTO 室内自行车健身车带 35 磅飞轮和 10.2 英寸大型 Ipad 支架（链条驱动）")</f>
        <v>JOROTO 室内自行车健身车带 35 磅飞轮和 10.2 英寸大型 Ipad 支架（链条驱动）</v>
      </c>
      <c r="E1427" s="1" t="str">
        <f>IFERROR(__xludf.DUMMYFUNCTION("CONCATENATE(GOOGLETRANSLATE(C1427, ""en"", ""ko""))"),"JOROTO 실내 사이클링 자전거 운동용 자전거 35파운드 플라이휠 및 10.2인치 대형 Ipad 홀더(체인 드라이브) 포함")</f>
        <v>JOROTO 실내 사이클링 자전거 운동용 자전거 35파운드 플라이휠 및 10.2인치 대형 Ipad 홀더(체인 드라이브) 포함</v>
      </c>
      <c r="F1427" s="1" t="str">
        <f>IFERROR(__xludf.DUMMYFUNCTION("CONCATENATE(GOOGLETRANSLATE(C1427, ""en"", ""ja""))"),"JOROTO インドアサイクリングバイクエクササイズバイク、35ポンドのフライホイールと10.2インチの大型iPadホルダー（チェーンドライブ）付き")</f>
        <v>JOROTO インドアサイクリングバイクエクササイズバイク、35ポンドのフライホイールと10.2インチの大型iPadホルダー（チェーンドライブ）付き</v>
      </c>
    </row>
    <row r="1428" ht="15.75" customHeight="1">
      <c r="A1428" s="1">
        <v>5315.0</v>
      </c>
      <c r="B1428" s="1" t="s">
        <v>6</v>
      </c>
      <c r="C1428" s="1" t="s">
        <v>612</v>
      </c>
      <c r="D1428" s="1" t="str">
        <f>IFERROR(__xludf.DUMMYFUNCTION("CONCATENATE(GOOGLETRANSLATE(C1428, ""en"", ""zh-cn""))
"),"Devoko 5 件套露台家具套装全天候户外组合沙发手动编织柳条藤条露台谈话套装带垫子和玻璃桌（米色）")</f>
        <v>Devoko 5 件套露台家具套装全天候户外组合沙发手动编织柳条藤条露台谈话套装带垫子和玻璃桌（米色）</v>
      </c>
      <c r="E1428" s="1" t="str">
        <f>IFERROR(__xludf.DUMMYFUNCTION("CONCATENATE(GOOGLETRANSLATE(C1428, ""en"", ""ko""))"),"Devoko 5 조각 파티오 가구 세트 전천후 야외 단면 소파 수동 직조 고리 버들 등나무 파티오 대화 세트 쿠션과 유리 테이블 (베이지 색)")</f>
        <v>Devoko 5 조각 파티오 가구 세트 전천후 야외 단면 소파 수동 직조 고리 버들 등나무 파티오 대화 세트 쿠션과 유리 테이블 (베이지 색)</v>
      </c>
      <c r="F1428" s="1" t="str">
        <f>IFERROR(__xludf.DUMMYFUNCTION("CONCATENATE(GOOGLETRANSLATE(C1428, ""en"", ""ja""))"),"Devoko パティオ家具 5 点セット 全天候型 屋外 セクショナルソファ 手動織り 籐ラタン パティオ会話セット クッションとガラステーブル付き (ベージュ)")</f>
        <v>Devoko パティオ家具 5 点セット 全天候型 屋外 セクショナルソファ 手動織り 籐ラタン パティオ会話セット クッションとガラステーブル付き (ベージュ)</v>
      </c>
    </row>
    <row r="1429" ht="15.75" customHeight="1">
      <c r="A1429" s="1">
        <v>5324.0</v>
      </c>
      <c r="B1429" s="1" t="s">
        <v>6</v>
      </c>
      <c r="C1429" s="1" t="s">
        <v>551</v>
      </c>
      <c r="D1429" s="1" t="str">
        <f>IFERROR(__xludf.DUMMYFUNCTION("CONCATENATE(GOOGLETRANSLATE(C1429, ""en"", ""zh-cn""))
"),"2020 Apple iPad Pro 第二代（11 英寸，Wi-Fi + 蜂窝网络，256GB）深空灰色（续订）")</f>
        <v>2020 Apple iPad Pro 第二代（11 英寸，Wi-Fi + 蜂窝网络，256GB）深空灰色（续订）</v>
      </c>
      <c r="E1429" s="1" t="str">
        <f>IFERROR(__xludf.DUMMYFUNCTION("CONCATENATE(GOOGLETRANSLATE(C1429, ""en"", ""ko""))"),"2020 애플 아이패드 프로 2세대(11인치, Wi-Fi + Cellular, 256GB) 스페이스 그레이(리뉴얼)")</f>
        <v>2020 애플 아이패드 프로 2세대(11인치, Wi-Fi + Cellular, 256GB) 스페이스 그레이(리뉴얼)</v>
      </c>
      <c r="F1429" s="1" t="str">
        <f>IFERROR(__xludf.DUMMYFUNCTION("CONCATENATE(GOOGLETRANSLATE(C1429, ""en"", ""ja""))"),"2020 Apple iPad Pro 第 2 世代 (11 インチ、Wi-Fi + Cellular、256GB) スペース グレイ (リニューアル)")</f>
        <v>2020 Apple iPad Pro 第 2 世代 (11 インチ、Wi-Fi + Cellular、256GB) スペース グレイ (リニューアル)</v>
      </c>
    </row>
    <row r="1430" ht="15.75" customHeight="1">
      <c r="A1430" s="1">
        <v>5348.0</v>
      </c>
      <c r="B1430" s="1" t="s">
        <v>6</v>
      </c>
      <c r="C1430" s="1" t="s">
        <v>65</v>
      </c>
      <c r="D1430" s="1" t="str">
        <f>IFERROR(__xludf.DUMMYFUNCTION("CONCATENATE(GOOGLETRANSLATE(C1430, ""en"", ""zh-cn""))
"),"LiangCuber GAN 13磁悬浮旗舰磁力3x3无贴纸GAN13 M速度魔方（磨砂版）")</f>
        <v>LiangCuber GAN 13磁悬浮旗舰磁力3x3无贴纸GAN13 M速度魔方（磨砂版）</v>
      </c>
      <c r="E1430" s="1" t="str">
        <f>IFERROR(__xludf.DUMMYFUNCTION("CONCATENATE(GOOGLETRANSLATE(C1430, ""en"", ""ko""))"),"LiangCuber GAN 13 자기 부상 플래그십 마그네틱 3x3 스티커 없는 GAN13 M 스피드 큐브(반투명 버전)")</f>
        <v>LiangCuber GAN 13 자기 부상 플래그십 마그네틱 3x3 스티커 없는 GAN13 M 스피드 큐브(반투명 버전)</v>
      </c>
      <c r="F1430" s="1" t="str">
        <f>IFERROR(__xludf.DUMMYFUNCTION("CONCATENATE(GOOGLETRANSLATE(C1430, ""en"", ""ja""))"),"LiangCuber GAN 13 マグレブ旗艦 磁気 3x3 ステッカーレス GAN13 M スピード キューブ (つや消しバージョン)")</f>
        <v>LiangCuber GAN 13 マグレブ旗艦 磁気 3x3 ステッカーレス GAN13 M スピード キューブ (つや消しバージョン)</v>
      </c>
    </row>
    <row r="1431" ht="15.75" customHeight="1">
      <c r="A1431" s="1">
        <v>5371.0</v>
      </c>
      <c r="B1431" s="1" t="s">
        <v>6</v>
      </c>
      <c r="C1431" s="1" t="s">
        <v>58</v>
      </c>
      <c r="D1431" s="1" t="str">
        <f>IFERROR(__xludf.DUMMYFUNCTION("CONCATENATE(GOOGLETRANSLATE(C1431, ""en"", ""zh-cn""))
"),"GAN 13 磁悬浮磨砂涂层，磁性速度魔方 3x3 无贴纸 56 毫米磁铁魔方拼图玩具，GAN 2022 旗舰")</f>
        <v>GAN 13 磁悬浮磨砂涂层，磁性速度魔方 3x3 无贴纸 56 毫米磁铁魔方拼图玩具，GAN 2022 旗舰</v>
      </c>
      <c r="E1431" s="1" t="str">
        <f>IFERROR(__xludf.DUMMYFUNCTION("CONCATENATE(GOOGLETRANSLATE(C1431, ""en"", ""ko""))"),"GAN 13 자기 부상 프로스트 코팅, 자기 속도 큐브 3x3 스티커 없는 56mm 자석 매직 큐브 퍼즐 장난감, GAN 2022 플래그십")</f>
        <v>GAN 13 자기 부상 프로스트 코팅, 자기 속도 큐브 3x3 스티커 없는 56mm 자석 매직 큐브 퍼즐 장난감, GAN 2022 플래그십</v>
      </c>
      <c r="F1431" s="1" t="str">
        <f>IFERROR(__xludf.DUMMYFUNCTION("CONCATENATE(GOOGLETRANSLATE(C1431, ""en"", ""ja""))"),"GAN 13 リニアモーターカー フロストコーティング、磁気スピードキューブ 3x3 ステッカーレス 56mm マグネット マジックキューブ パズルおもちゃ、GAN 2022 フラッグシップ")</f>
        <v>GAN 13 リニアモーターカー フロストコーティング、磁気スピードキューブ 3x3 ステッカーレス 56mm マグネット マジックキューブ パズルおもちゃ、GAN 2022 フラッグシップ</v>
      </c>
    </row>
    <row r="1432" ht="15.75" customHeight="1">
      <c r="A1432" s="1">
        <v>5379.0</v>
      </c>
      <c r="B1432" s="1" t="s">
        <v>6</v>
      </c>
      <c r="C1432" s="1" t="s">
        <v>82</v>
      </c>
      <c r="D1432" s="1" t="str">
        <f>IFERROR(__xludf.DUMMYFUNCTION("CONCATENATE(GOOGLETRANSLATE(C1432, ""en"", ""zh-cn""))
"),"带金属腿和盖子的拼图桌 - 拼图桌 36 英寸 x 27 英寸 - 1500 块可拆卸拼图板，带彩色抽屉 - 拼图存储分类托盘")</f>
        <v>带金属腿和盖子的拼图桌 - 拼图桌 36 英寸 x 27 英寸 - 1500 块可拆卸拼图板，带彩色抽屉 - 拼图存储分类托盘</v>
      </c>
      <c r="E1432" s="1" t="str">
        <f>IFERROR(__xludf.DUMMYFUNCTION("CONCATENATE(GOOGLETRANSLATE(C1432, ""en"", ""ko""))"),"금속 다리와 커버가 있는 퍼즐 테이블 - 직소 퍼즐 테이블 36"" x 27"" - 다채로운 서랍이 있는 탈착식 퍼즐 보드 1500개 - 퍼즐 보관함 정렬 트레이")</f>
        <v>금속 다리와 커버가 있는 퍼즐 테이블 - 직소 퍼즐 테이블 36" x 27" - 다채로운 서랍이 있는 탈착식 퍼즐 보드 1500개 - 퍼즐 보관함 정렬 트레이</v>
      </c>
      <c r="F1432" s="1" t="str">
        <f>IFERROR(__xludf.DUMMYFUNCTION("CONCATENATE(GOOGLETRANSLATE(C1432, ""en"", ""ja""))"),"金属製の脚とカバー付きパズルテーブル - ジグソーパズルテーブル 36インチ x 27インチ - 1500ピースの取り外し可能なパズルボード、カラフルな引き出し付き - パズル収納仕分けトレイ")</f>
        <v>金属製の脚とカバー付きパズルテーブル - ジグソーパズルテーブル 36インチ x 27インチ - 1500ピースの取り外し可能なパズルボード、カラフルな引き出し付き - パズル収納仕分けトレイ</v>
      </c>
    </row>
    <row r="1433" ht="15.75" customHeight="1">
      <c r="A1433" s="1">
        <v>5397.0</v>
      </c>
      <c r="B1433" s="1" t="s">
        <v>51</v>
      </c>
      <c r="C1433" s="1" t="s">
        <v>1313</v>
      </c>
      <c r="D1433" s="1" t="str">
        <f>IFERROR(__xludf.DUMMYFUNCTION("CONCATENATE(GOOGLETRANSLATE(C1433, ""en"", ""zh-cn""))
"),"圆点纽扣口袋短袖中长连衣裙")</f>
        <v>圆点纽扣口袋短袖中长连衣裙</v>
      </c>
      <c r="E1433" s="1" t="str">
        <f>IFERROR(__xludf.DUMMYFUNCTION("CONCATENATE(GOOGLETRANSLATE(C1433, ""en"", ""ko""))"),"폴카 도트 버튼 포켓 반팔 미디 드레스")</f>
        <v>폴카 도트 버튼 포켓 반팔 미디 드레스</v>
      </c>
      <c r="F1433" s="1" t="str">
        <f>IFERROR(__xludf.DUMMYFUNCTION("CONCATENATE(GOOGLETRANSLATE(C1433, ""en"", ""ja""))"),"ポルカドットボタンポケット半袖ミディドレス")</f>
        <v>ポルカドットボタンポケット半袖ミディドレス</v>
      </c>
    </row>
    <row r="1434" ht="15.75" customHeight="1">
      <c r="A1434" s="1">
        <v>5400.0</v>
      </c>
      <c r="B1434" s="1" t="s">
        <v>51</v>
      </c>
      <c r="C1434" s="1" t="s">
        <v>1314</v>
      </c>
      <c r="D1434" s="1" t="str">
        <f>IFERROR(__xludf.DUMMYFUNCTION("CONCATENATE(GOOGLETRANSLATE(C1434, ""en"", ""zh-cn""))
"),"女式纯色翻领时尚大摆休闲无袖超长连衣裙")</f>
        <v>女式纯色翻领时尚大摆休闲无袖超长连衣裙</v>
      </c>
      <c r="E1434" s="1" t="str">
        <f>IFERROR(__xludf.DUMMYFUNCTION("CONCATENATE(GOOGLETRANSLATE(C1434, ""en"", ""ko""))"),"여성 퓨어 컬러 옷깃 세련된 빅 스윙 캐주얼 민소매 맥시 드레스")</f>
        <v>여성 퓨어 컬러 옷깃 세련된 빅 스윙 캐주얼 민소매 맥시 드레스</v>
      </c>
      <c r="F1434" s="1" t="str">
        <f>IFERROR(__xludf.DUMMYFUNCTION("CONCATENATE(GOOGLETRANSLATE(C1434, ""en"", ""ja""))"),"女性ピュアカラーラペルスタイリッシュなビッグスイングカジュアルノースリーブマキシドレス")</f>
        <v>女性ピュアカラーラペルスタイリッシュなビッグスイングカジュアルノースリーブマキシドレス</v>
      </c>
    </row>
    <row r="1435" ht="15.75" customHeight="1">
      <c r="A1435" s="1">
        <v>5407.0</v>
      </c>
      <c r="B1435" s="1" t="s">
        <v>6</v>
      </c>
      <c r="C1435" s="1" t="s">
        <v>443</v>
      </c>
      <c r="D1435" s="1" t="str">
        <f>IFERROR(__xludf.DUMMYFUNCTION("CONCATENATE(GOOGLETRANSLATE(C1435, ""en"", ""zh-cn""))
"),"LiangCuber GAN 12 M 3x3 速度魔方 磁力无贴 GAN 12 MagLev UV 旗舰 3x3x3 魔方（UV 涂层光面和初级内部）")</f>
        <v>LiangCuber GAN 12 M 3x3 速度魔方 磁力无贴 GAN 12 MagLev UV 旗舰 3x3x3 魔方（UV 涂层光面和初级内部）</v>
      </c>
      <c r="E1435" s="1" t="str">
        <f>IFERROR(__xludf.DUMMYFUNCTION("CONCATENATE(GOOGLETRANSLATE(C1435, ""en"", ""ko""))"),"LiangCuber GAN 12 M 3x3 스피드 큐브 자기 스티커가 없는 GAN 12 MagLev UV 플래그십 3x3x3 매직 큐브(UV 코팅 광택 및 기본 내부)")</f>
        <v>LiangCuber GAN 12 M 3x3 스피드 큐브 자기 스티커가 없는 GAN 12 MagLev UV 플래그십 3x3x3 매직 큐브(UV 코팅 광택 및 기본 내부)</v>
      </c>
      <c r="F1435" s="1" t="str">
        <f>IFERROR(__xludf.DUMMYFUNCTION("CONCATENATE(GOOGLETRANSLATE(C1435, ""en"", ""ja""))"),"LiangCuber GAN 12 M 3x3 スピード キューブ 磁気ステッカーレス GAN 12 MagLev UV フラッグシップ 3x3x3 マジック キューブ (UV コーティング光沢 &amp; プライマリ内部)")</f>
        <v>LiangCuber GAN 12 M 3x3 スピード キューブ 磁気ステッカーレス GAN 12 MagLev UV フラッグシップ 3x3x3 マジック キューブ (UV コーティング光沢 &amp; プライマリ内部)</v>
      </c>
    </row>
    <row r="1436" ht="15.75" customHeight="1">
      <c r="A1436" s="1">
        <v>5424.0</v>
      </c>
      <c r="B1436" s="1" t="s">
        <v>6</v>
      </c>
      <c r="C1436" s="1" t="s">
        <v>43</v>
      </c>
      <c r="D1436" s="1" t="str">
        <f>IFERROR(__xludf.DUMMYFUNCTION("CONCATENATE(GOOGLETRANSLATE(C1436, ""en"", ""zh-cn""))
"),"波克芬诺 GAN Megaminx M 3x3 速度魔方 Gan 五角形磁性无贴纸魔法拼图魔方玩具")</f>
        <v>波克芬诺 GAN Megaminx M 3x3 速度魔方 Gan 五角形磁性无贴纸魔法拼图魔方玩具</v>
      </c>
      <c r="E1436" s="1" t="str">
        <f>IFERROR(__xludf.DUMMYFUNCTION("CONCATENATE(GOOGLETRANSLATE(C1436, ""en"", ""ko""))"),"Bokefenuo GAN Megaminx M 3x3 스피드 큐브 Gan 오각형 자기 스티커가없는 매직 퍼즐 큐브 장난감")</f>
        <v>Bokefenuo GAN Megaminx M 3x3 스피드 큐브 Gan 오각형 자기 스티커가없는 매직 퍼즐 큐브 장난감</v>
      </c>
      <c r="F1436" s="1" t="str">
        <f>IFERROR(__xludf.DUMMYFUNCTION("CONCATENATE(GOOGLETRANSLATE(C1436, ""en"", ""ja""))"),"Bokefenuo GAN Megaminx M 3x3 スピード キューブ Gan 五角形磁気ステッカーレス マジック パズル キューブ おもちゃ")</f>
        <v>Bokefenuo GAN Megaminx M 3x3 スピード キューブ Gan 五角形磁気ステッカーレス マジック パズル キューブ おもちゃ</v>
      </c>
    </row>
    <row r="1437" ht="15.75" customHeight="1">
      <c r="A1437" s="1">
        <v>5430.0</v>
      </c>
      <c r="B1437" s="1" t="s">
        <v>6</v>
      </c>
      <c r="C1437" s="1" t="s">
        <v>800</v>
      </c>
      <c r="D1437" s="1" t="str">
        <f>IFERROR(__xludf.DUMMYFUNCTION("CONCATENATE(GOOGLETRANSLATE(C1437, ""en"", ""zh-cn""))
"),"BroMocube 的 GAN 11M Pro 3x3 速度魔方 GAN 11 磁性拼图魔方 Gan11M 魔方（GAN 11 M Pro 磨砂无贴纸（黑色））")</f>
        <v>BroMocube 的 GAN 11M Pro 3x3 速度魔方 GAN 11 磁性拼图魔方 Gan11M 魔方（GAN 11 M Pro 磨砂无贴纸（黑色））</v>
      </c>
      <c r="E1437" s="1" t="str">
        <f>IFERROR(__xludf.DUMMYFUNCTION("CONCATENATE(GOOGLETRANSLATE(C1437, ""en"", ""ko""))"),"GAN 11M Pro 3x3 스피드 큐브 by BroMocube GAN 11 마그네틱 퍼즐 큐브 Gan11M 매직 큐브 (GAN 11 M Pro Frosted 스티커리스(검은색))")</f>
        <v>GAN 11M Pro 3x3 스피드 큐브 by BroMocube GAN 11 마그네틱 퍼즐 큐브 Gan11M 매직 큐브 (GAN 11 M Pro Frosted 스티커리스(검은색))</v>
      </c>
      <c r="F1437" s="1" t="str">
        <f>IFERROR(__xludf.DUMMYFUNCTION("CONCATENATE(GOOGLETRANSLATE(C1437, ""en"", ""ja""))"),"GAN 11M Pro 3x3 スピード キューブ by BroMocube GAN 11 磁気パズル キューブ Gan11M マジック キューブ (GAN 11 M Pro つや消しステッカーなし (ブラック))")</f>
        <v>GAN 11M Pro 3x3 スピード キューブ by BroMocube GAN 11 磁気パズル キューブ Gan11M マジック キューブ (GAN 11 M Pro つや消しステッカーなし (ブラック))</v>
      </c>
    </row>
    <row r="1438" ht="15.75" customHeight="1">
      <c r="A1438" s="1">
        <v>5433.0</v>
      </c>
      <c r="B1438" s="1" t="s">
        <v>6</v>
      </c>
      <c r="C1438" s="1" t="s">
        <v>62</v>
      </c>
      <c r="D1438" s="1" t="str">
        <f>IFERROR(__xludf.DUMMYFUNCTION("CONCATENATE(GOOGLETRANSLATE(C1438, ""en"", ""zh-cn""))
"),"ALL4JIG 1500 件便携式带腿拼图桌，可调节拼图板，带 4 个抽屉和盖子，3 倾斜角度成人拼图桌")</f>
        <v>ALL4JIG 1500 件便携式带腿拼图桌，可调节拼图板，带 4 个抽屉和盖子，3 倾斜角度成人拼图桌</v>
      </c>
      <c r="E1438" s="1" t="str">
        <f>IFERROR(__xludf.DUMMYFUNCTION("CONCATENATE(GOOGLETRANSLATE(C1438, ""en"", ""ko""))"),"ALL4JIG 1500PCS 다리가 있는 휴대용 퍼즐 테이블, 4개의 서랍과 커버가 있는 조정 가능한 직소 퍼즐 보드, 성인을 위한 3-틸팅 각도 직소 퍼즐 테이블")</f>
        <v>ALL4JIG 1500PCS 다리가 있는 휴대용 퍼즐 테이블, 4개의 서랍과 커버가 있는 조정 가능한 직소 퍼즐 보드, 성인을 위한 3-틸팅 각도 직소 퍼즐 테이블</v>
      </c>
      <c r="F1438" s="1" t="str">
        <f>IFERROR(__xludf.DUMMYFUNCTION("CONCATENATE(GOOGLETRANSLATE(C1438, ""en"", ""ja""))"),"ALL4JIG 1500PCS 脚付きポータブルパズルテーブル、引き出し4つとカバー付き調節可能なジグソーパズルボード、大人用3傾斜角度ジグソーパズルテーブル")</f>
        <v>ALL4JIG 1500PCS 脚付きポータブルパズルテーブル、引き出し4つとカバー付き調節可能なジグソーパズルボード、大人用3傾斜角度ジグソーパズルテーブル</v>
      </c>
    </row>
    <row r="1439" ht="15.75" customHeight="1">
      <c r="A1439" s="1">
        <v>5445.0</v>
      </c>
      <c r="B1439" s="1" t="s">
        <v>6</v>
      </c>
      <c r="C1439" s="1" t="s">
        <v>610</v>
      </c>
      <c r="D1439" s="1" t="str">
        <f>IFERROR(__xludf.DUMMYFUNCTION("CONCATENATE(GOOGLETRANSLATE(C1439, ""en"", ""zh-cn""))
"),"BFSB5 链传动室内自行车")</f>
        <v>BFSB5 链传动室内自行车</v>
      </c>
      <c r="E1439" s="1" t="str">
        <f>IFERROR(__xludf.DUMMYFUNCTION("CONCATENATE(GOOGLETRANSLATE(C1439, ""en"", ""ko""))"),"BFSB5 체인 드라이브 실내 사이클링 자전거")</f>
        <v>BFSB5 체인 드라이브 실내 사이클링 자전거</v>
      </c>
      <c r="F1439" s="1" t="str">
        <f>IFERROR(__xludf.DUMMYFUNCTION("CONCATENATE(GOOGLETRANSLATE(C1439, ""en"", ""ja""))"),"BFSB5 チェーンドライブインドアサイクリングバイク")</f>
        <v>BFSB5 チェーンドライブインドアサイクリングバイク</v>
      </c>
    </row>
    <row r="1440" ht="15.75" customHeight="1">
      <c r="A1440" s="1">
        <v>5480.0</v>
      </c>
      <c r="B1440" s="1" t="s">
        <v>6</v>
      </c>
      <c r="C1440" s="1" t="s">
        <v>1315</v>
      </c>
      <c r="D1440" s="1" t="str">
        <f>IFERROR(__xludf.DUMMYFUNCTION("CONCATENATE(GOOGLETRANSLATE(C1440, ""en"", ""zh-cn""))
"),"多合一户外运动套装")</f>
        <v>多合一户外运动套装</v>
      </c>
      <c r="E1440" s="1" t="str">
        <f>IFERROR(__xludf.DUMMYFUNCTION("CONCATENATE(GOOGLETRANSLATE(C1440, ""en"", ""ko""))"),"올인원 야외 스포츠 세트")</f>
        <v>올인원 야외 스포츠 세트</v>
      </c>
      <c r="F1440" s="1" t="str">
        <f>IFERROR(__xludf.DUMMYFUNCTION("CONCATENATE(GOOGLETRANSLATE(C1440, ""en"", ""ja""))"),"オールインワン アウトドア スポーツ セット")</f>
        <v>オールインワン アウトドア スポーツ セット</v>
      </c>
    </row>
    <row r="1441" ht="15.75" customHeight="1">
      <c r="A1441" s="1">
        <v>5483.0</v>
      </c>
      <c r="B1441" s="1" t="s">
        <v>6</v>
      </c>
      <c r="C1441" s="1" t="s">
        <v>1316</v>
      </c>
      <c r="D1441" s="1" t="str">
        <f>IFERROR(__xludf.DUMMYFUNCTION("CONCATENATE(GOOGLETRANSLATE(C1441, ""en"", ""zh-cn""))
"),"YardGames Giant Tumbling Timbers Stacking &amp; Giant 4 in A Row 户外游戏套装")</f>
        <v>YardGames Giant Tumbling Timbers Stacking &amp; Giant 4 in A Row 户外游戏套装</v>
      </c>
      <c r="E1441" s="1" t="str">
        <f>IFERROR(__xludf.DUMMYFUNCTION("CONCATENATE(GOOGLETRANSLATE(C1441, ""en"", ""ko""))"),"YardGames Giant Tumbling Timbers Stacking &amp; Giant 4 in A Row 야외 게임 번들")</f>
        <v>YardGames Giant Tumbling Timbers Stacking &amp; Giant 4 in A Row 야외 게임 번들</v>
      </c>
      <c r="F1441" s="1" t="str">
        <f>IFERROR(__xludf.DUMMYFUNCTION("CONCATENATE(GOOGLETRANSLATE(C1441, ""en"", ""ja""))"),"YardGames ジャイアント タンブリング ティンバー スタッキング &amp; ジャイアント 4 列連続屋外ゲーム バンドル")</f>
        <v>YardGames ジャイアント タンブリング ティンバー スタッキング &amp; ジャイアント 4 列連続屋外ゲーム バンドル</v>
      </c>
    </row>
    <row r="1442" ht="15.75" customHeight="1">
      <c r="A1442" s="1">
        <v>5495.0</v>
      </c>
      <c r="B1442" s="1" t="s">
        <v>6</v>
      </c>
      <c r="C1442" s="1" t="s">
        <v>1317</v>
      </c>
      <c r="D1442" s="1" t="str">
        <f>IFERROR(__xludf.DUMMYFUNCTION("CONCATENATE(GOOGLETRANSLATE(C1442, ""en"", ""zh-cn""))
"),"KidKraft 多合一运动冒险玩具套装")</f>
        <v>KidKraft 多合一运动冒险玩具套装</v>
      </c>
      <c r="E1442" s="1" t="str">
        <f>IFERROR(__xludf.DUMMYFUNCTION("CONCATENATE(GOOGLETRANSLATE(C1442, ""en"", ""ko""))"),"KidKraft 올인원 스포츠 어드벤처 플레이 세트")</f>
        <v>KidKraft 올인원 스포츠 어드벤처 플레이 세트</v>
      </c>
      <c r="F1442" s="1" t="str">
        <f>IFERROR(__xludf.DUMMYFUNCTION("CONCATENATE(GOOGLETRANSLATE(C1442, ""en"", ""ja""))"),"KidKraft オールインワン スポーツ アドベンチャー プレイセット")</f>
        <v>KidKraft オールインワン スポーツ アドベンチャー プレイセット</v>
      </c>
    </row>
    <row r="1443" ht="15.75" customHeight="1">
      <c r="A1443" s="1">
        <v>5534.0</v>
      </c>
      <c r="B1443" s="1" t="s">
        <v>6</v>
      </c>
      <c r="C1443" s="1" t="s">
        <v>1318</v>
      </c>
      <c r="D1443" s="1" t="str">
        <f>IFERROR(__xludf.DUMMYFUNCTION("CONCATENATE(GOOGLETRANSLATE(C1443, ""en"", ""zh-cn""))
"),"Besign LS03 铝制笔记本电脑支架")</f>
        <v>Besign LS03 铝制笔记本电脑支架</v>
      </c>
      <c r="E1443" s="1" t="str">
        <f>IFERROR(__xludf.DUMMYFUNCTION("CONCATENATE(GOOGLETRANSLATE(C1443, ""en"", ""ko""))"),"Besign LS03 알루미늄 노트북 스탠드")</f>
        <v>Besign LS03 알루미늄 노트북 스탠드</v>
      </c>
      <c r="F1443" s="1" t="str">
        <f>IFERROR(__xludf.DUMMYFUNCTION("CONCATENATE(GOOGLETRANSLATE(C1443, ""en"", ""ja""))"),"Besign LS03 アルミニウム ラップトップ スタンド")</f>
        <v>Besign LS03 アルミニウム ラップトップ スタンド</v>
      </c>
    </row>
    <row r="1444" ht="15.75" customHeight="1">
      <c r="A1444" s="1">
        <v>5558.0</v>
      </c>
      <c r="B1444" s="1" t="s">
        <v>6</v>
      </c>
      <c r="C1444" s="1" t="s">
        <v>1319</v>
      </c>
      <c r="D1444" s="1" t="str">
        <f>IFERROR(__xludf.DUMMYFUNCTION("CONCATENATE(GOOGLETRANSLATE(C1444, ""en"", ""zh-cn""))
"),"HP Envy 台式机 TE01-5000t")</f>
        <v>HP Envy 台式机 TE01-5000t</v>
      </c>
      <c r="E1444" s="1" t="str">
        <f>IFERROR(__xludf.DUMMYFUNCTION("CONCATENATE(GOOGLETRANSLATE(C1444, ""en"", ""ko""))"),"HP Envy 데스크탑 TE01-5000t")</f>
        <v>HP Envy 데스크탑 TE01-5000t</v>
      </c>
      <c r="F1444" s="1" t="str">
        <f>IFERROR(__xludf.DUMMYFUNCTION("CONCATENATE(GOOGLETRANSLATE(C1444, ""en"", ""ja""))"),"HP Envy デスクトップ TE01-5000t")</f>
        <v>HP Envy デスクトップ TE01-5000t</v>
      </c>
    </row>
    <row r="1445" ht="15.75" customHeight="1">
      <c r="A1445" s="1">
        <v>5583.0</v>
      </c>
      <c r="B1445" s="1" t="s">
        <v>6</v>
      </c>
      <c r="C1445" s="1" t="s">
        <v>1320</v>
      </c>
      <c r="D1445" s="1" t="str">
        <f>IFERROR(__xludf.DUMMYFUNCTION("CONCATENATE(GOOGLETRANSLATE(C1445, ""en"", ""zh-cn""))
"),"Connected Apparel 女式喇叭袖仿裹身连衣裙")</f>
        <v>Connected Apparel 女式喇叭袖仿裹身连衣裙</v>
      </c>
      <c r="E1445" s="1" t="str">
        <f>IFERROR(__xludf.DUMMYFUNCTION("CONCATENATE(GOOGLETRANSLATE(C1445, ""en"", ""ko""))"),"커넥티드 어패럴 벨 슬리브 인조 랩 드레스 여성")</f>
        <v>커넥티드 어패럴 벨 슬리브 인조 랩 드레스 여성</v>
      </c>
      <c r="F1445" s="1" t="str">
        <f>IFERROR(__xludf.DUMMYFUNCTION("CONCATENATE(GOOGLETRANSLATE(C1445, ""en"", ""ja""))"),"コネクテッド アパレル ベル スリーブ フェイク ラップ ドレス Women's")</f>
        <v>コネクテッド アパレル ベル スリーブ フェイク ラップ ドレス Women's</v>
      </c>
    </row>
    <row r="1446" ht="15.75" customHeight="1">
      <c r="A1446" s="1">
        <v>5621.0</v>
      </c>
      <c r="B1446" s="1" t="s">
        <v>6</v>
      </c>
      <c r="C1446" s="1" t="s">
        <v>1321</v>
      </c>
      <c r="D1446" s="1" t="str">
        <f>IFERROR(__xludf.DUMMYFUNCTION("CONCATENATE(GOOGLETRANSLATE(C1446, ""en"", ""zh-cn""))
"),"尼克松报时手表")</f>
        <v>尼克松报时手表</v>
      </c>
      <c r="E1446" s="1" t="str">
        <f>IFERROR(__xludf.DUMMYFUNCTION("CONCATENATE(GOOGLETRANSLATE(C1446, ""en"", ""ko""))"),"닉슨 타임 텔러 시계")</f>
        <v>닉슨 타임 텔러 시계</v>
      </c>
      <c r="F1446" s="1" t="str">
        <f>IFERROR(__xludf.DUMMYFUNCTION("CONCATENATE(GOOGLETRANSLATE(C1446, ""en"", ""ja""))"),"ニクソン タイム テラー ウォッチ")</f>
        <v>ニクソン タイム テラー ウォッチ</v>
      </c>
    </row>
    <row r="1447" ht="15.75" customHeight="1">
      <c r="A1447" s="1">
        <v>5632.0</v>
      </c>
      <c r="B1447" s="1" t="s">
        <v>6</v>
      </c>
      <c r="C1447" s="1" t="s">
        <v>1322</v>
      </c>
      <c r="D1447" s="1" t="str">
        <f>IFERROR(__xludf.DUMMYFUNCTION("CONCATENATE(GOOGLETRANSLATE(C1447, ""en"", ""zh-cn""))
"),"劳力士男士 1.50 克拉圆形钻石表爪")</f>
        <v>劳力士男士 1.50 克拉圆形钻石表爪</v>
      </c>
      <c r="E1447" s="1" t="str">
        <f>IFERROR(__xludf.DUMMYFUNCTION("CONCATENATE(GOOGLETRANSLATE(C1447, ""en"", ""ko""))"),"롤렉스 남성용 1.50ct 라운드 다이아몬드 시계 프롱")</f>
        <v>롤렉스 남성용 1.50ct 라운드 다이아몬드 시계 프롱</v>
      </c>
      <c r="F1447" s="1" t="str">
        <f>IFERROR(__xludf.DUMMYFUNCTION("CONCATENATE(GOOGLETRANSLATE(C1447, ""en"", ""ja""))"),"ロレックス メンズ 1.50ct ラウンド ダイヤモンド ウォッチ プロング")</f>
        <v>ロレックス メンズ 1.50ct ラウンド ダイヤモンド ウォッチ プロング</v>
      </c>
    </row>
    <row r="1448" ht="15.75" customHeight="1">
      <c r="A1448" s="1">
        <v>5639.0</v>
      </c>
      <c r="B1448" s="1" t="s">
        <v>6</v>
      </c>
      <c r="C1448" s="1" t="s">
        <v>1323</v>
      </c>
      <c r="D1448" s="1" t="str">
        <f>IFERROR(__xludf.DUMMYFUNCTION("CONCATENATE(GOOGLETRANSLATE(C1448, ""en"", ""zh-cn""))
"),"Van Cleef &amp; Arpels 甜蜜阿罕布拉玫瑰金腕表")</f>
        <v>Van Cleef &amp; Arpels 甜蜜阿罕布拉玫瑰金腕表</v>
      </c>
      <c r="E1448" s="1" t="str">
        <f>IFERROR(__xludf.DUMMYFUNCTION("CONCATENATE(GOOGLETRANSLATE(C1448, ""en"", ""ko""))"),"반클리프 앤 아펠 스위트 알함브라 핑크 골드 시계")</f>
        <v>반클리프 앤 아펠 스위트 알함브라 핑크 골드 시계</v>
      </c>
      <c r="F1448" s="1" t="str">
        <f>IFERROR(__xludf.DUMMYFUNCTION("CONCATENATE(GOOGLETRANSLATE(C1448, ""en"", ""ja""))"),"ヴァン クリーフ＆アーペル スイート アルハンブラ ピンクゴールド ウォッチ")</f>
        <v>ヴァン クリーフ＆アーペル スイート アルハンブラ ピンクゴールド ウォッチ</v>
      </c>
    </row>
    <row r="1449" ht="15.75" customHeight="1">
      <c r="A1449" s="1">
        <v>5670.0</v>
      </c>
      <c r="B1449" s="1" t="s">
        <v>6</v>
      </c>
      <c r="C1449" s="1" t="s">
        <v>68</v>
      </c>
      <c r="D1449" s="1" t="str">
        <f>IFERROR(__xludf.DUMMYFUNCTION("CONCATENATE(GOOGLETRANSLATE(C1449, ""en"", ""zh-cn""))
"),"Cuberspeed GAN 13 uv 涂层 MagLev 无贴纸 3x3 速度立方拼图 gan13 maglev uv 涂层旗舰拼图")</f>
        <v>Cuberspeed GAN 13 uv 涂层 MagLev 无贴纸 3x3 速度立方拼图 gan13 maglev uv 涂层旗舰拼图</v>
      </c>
      <c r="E1449" s="1" t="str">
        <f>IFERROR(__xludf.DUMMYFUNCTION("CONCATENATE(GOOGLETRANSLATE(C1449, ""en"", ""ko""))"),"Cuberspeed GAN 13 uv 코팅 MagLev 스티커가 없는 3x3 스피드 큐브 퍼즐 gan13 maglev uv 코팅 플래그십 퍼즐")</f>
        <v>Cuberspeed GAN 13 uv 코팅 MagLev 스티커가 없는 3x3 스피드 큐브 퍼즐 gan13 maglev uv 코팅 플래그십 퍼즐</v>
      </c>
      <c r="F1449" s="1" t="str">
        <f>IFERROR(__xludf.DUMMYFUNCTION("CONCATENATE(GOOGLETRANSLATE(C1449, ""en"", ""ja""))"),"Cuberspeed GAN 13 uv コーティングされた MagLev ステッカーレス 3x3 スピード キューブ パズル gan13 maglev uv コーティングされたフラッグシップ パズル")</f>
        <v>Cuberspeed GAN 13 uv コーティングされた MagLev ステッカーレス 3x3 スピード キューブ パズル gan13 maglev uv コーティングされたフラッグシップ パズル</v>
      </c>
    </row>
    <row r="1450" ht="15.75" customHeight="1">
      <c r="A1450" s="1">
        <v>5712.0</v>
      </c>
      <c r="B1450" s="1" t="s">
        <v>6</v>
      </c>
      <c r="C1450" s="1" t="s">
        <v>1324</v>
      </c>
      <c r="D1450" s="1" t="str">
        <f>IFERROR(__xludf.DUMMYFUNCTION("CONCATENATE(GOOGLETRANSLATE(C1450, ""en"", ""zh-cn""))
"),"女式休闲宽松长袖衬衫")</f>
        <v>女式休闲宽松长袖衬衫</v>
      </c>
      <c r="E1450" s="1" t="str">
        <f>IFERROR(__xludf.DUMMYFUNCTION("CONCATENATE(GOOGLETRANSLATE(C1450, ""en"", ""ko""))"),"여성 캐주얼 루즈핏 긴팔 셔츠")</f>
        <v>여성 캐주얼 루즈핏 긴팔 셔츠</v>
      </c>
      <c r="F1450" s="1" t="str">
        <f>IFERROR(__xludf.DUMMYFUNCTION("CONCATENATE(GOOGLETRANSLATE(C1450, ""en"", ""ja""))"),"レディースカジュアルルーズフィット長袖シャツ")</f>
        <v>レディースカジュアルルーズフィット長袖シャツ</v>
      </c>
    </row>
    <row r="1451" ht="15.75" customHeight="1">
      <c r="A1451" s="1">
        <v>5719.0</v>
      </c>
      <c r="B1451" s="1" t="s">
        <v>6</v>
      </c>
      <c r="C1451" s="1" t="s">
        <v>1325</v>
      </c>
      <c r="D1451" s="1" t="str">
        <f>IFERROR(__xludf.DUMMYFUNCTION("CONCATENATE(GOOGLETRANSLATE(C1451, ""en"", ""zh-cn""))
"),"时尚 Nova Tali 高开衩毛衣领迷你连衣裙")</f>
        <v>时尚 Nova Tali 高开衩毛衣领迷你连衣裙</v>
      </c>
      <c r="E1451" s="1" t="str">
        <f>IFERROR(__xludf.DUMMYFUNCTION("CONCATENATE(GOOGLETRANSLATE(C1451, ""en"", ""ko""))"),"패션 Nova Tali 하이 슬릿 스웨터 칼라 미니 드레스")</f>
        <v>패션 Nova Tali 하이 슬릿 스웨터 칼라 미니 드레스</v>
      </c>
      <c r="F1451" s="1" t="str">
        <f>IFERROR(__xludf.DUMMYFUNCTION("CONCATENATE(GOOGLETRANSLATE(C1451, ""en"", ""ja""))"),"ファッション Nova Tali ハイ スリット セーターカラー ミニ ドレス")</f>
        <v>ファッション Nova Tali ハイ スリット セーターカラー ミニ ドレス</v>
      </c>
    </row>
    <row r="1452" ht="15.75" customHeight="1">
      <c r="A1452" s="1">
        <v>5723.0</v>
      </c>
      <c r="B1452" s="1" t="s">
        <v>6</v>
      </c>
      <c r="C1452" s="1" t="s">
        <v>1326</v>
      </c>
      <c r="D1452" s="1" t="str">
        <f>IFERROR(__xludf.DUMMYFUNCTION("CONCATENATE(GOOGLETRANSLATE(C1452, ""en"", ""zh-cn""))
"),"Lynwitkui 女式 V 领雪纺衬衫盖袖衬衫休闲宽松工作办公室纯色上衣")</f>
        <v>Lynwitkui 女式 V 领雪纺衬衫盖袖衬衫休闲宽松工作办公室纯色上衣</v>
      </c>
      <c r="E1452" s="1" t="str">
        <f>IFERROR(__xludf.DUMMYFUNCTION("CONCATENATE(GOOGLETRANSLATE(C1452, ""en"", ""ko""))"),"Lynwitkui 여성용 V 넥 시폰 블라우스 캡 슬리브 셔츠 캐주얼 루즈 워크 오피스 솔리드 탑")</f>
        <v>Lynwitkui 여성용 V 넥 시폰 블라우스 캡 슬리브 셔츠 캐주얼 루즈 워크 오피스 솔리드 탑</v>
      </c>
      <c r="F1452" s="1" t="str">
        <f>IFERROR(__xludf.DUMMYFUNCTION("CONCATENATE(GOOGLETRANSLATE(C1452, ""en"", ""ja""))"),"Lynwitkui レディース V ネック シフォン ブラウス キャップ スリーブ シャツ カジュアル ルーズ ワーク オフィス ソリッド トップス")</f>
        <v>Lynwitkui レディース V ネック シフォン ブラウス キャップ スリーブ シャツ カジュアル ルーズ ワーク オフィス ソリッド トップス</v>
      </c>
    </row>
    <row r="1453" ht="15.75" customHeight="1">
      <c r="A1453" s="1">
        <v>5742.0</v>
      </c>
      <c r="B1453" s="1" t="s">
        <v>6</v>
      </c>
      <c r="C1453" s="1" t="s">
        <v>1327</v>
      </c>
      <c r="D1453" s="1" t="str">
        <f>IFERROR(__xludf.DUMMYFUNCTION("CONCATENATE(GOOGLETRANSLATE(C1453, ""en"", ""zh-cn""))
"),"女式真丝纽扣 V 领长袖衬衫")</f>
        <v>女式真丝纽扣 V 领长袖衬衫</v>
      </c>
      <c r="E1453" s="1" t="str">
        <f>IFERROR(__xludf.DUMMYFUNCTION("CONCATENATE(GOOGLETRANSLATE(C1453, ""en"", ""ko""))"),"여성용 실크 버튼 다운 V 넥 긴팔 셔츠")</f>
        <v>여성용 실크 버튼 다운 V 넥 긴팔 셔츠</v>
      </c>
      <c r="F1453" s="1" t="str">
        <f>IFERROR(__xludf.DUMMYFUNCTION("CONCATENATE(GOOGLETRANSLATE(C1453, ""en"", ""ja""))"),"レディース シルク ボタンダウン V ネック 長袖シャツ")</f>
        <v>レディース シルク ボタンダウン V ネック 長袖シャツ</v>
      </c>
    </row>
    <row r="1454" ht="15.75" customHeight="1">
      <c r="A1454" s="1">
        <v>5744.0</v>
      </c>
      <c r="B1454" s="1" t="s">
        <v>6</v>
      </c>
      <c r="C1454" s="1" t="s">
        <v>1328</v>
      </c>
      <c r="D1454" s="1" t="str">
        <f>IFERROR(__xludf.DUMMYFUNCTION("CONCATENATE(GOOGLETRANSLATE(C1454, ""en"", ""zh-cn""))
"),"Michael Kors 女式 Michael 单排扣外套")</f>
        <v>Michael Kors 女式 Michael 单排扣外套</v>
      </c>
      <c r="E1454" s="1" t="str">
        <f>IFERROR(__xludf.DUMMYFUNCTION("CONCATENATE(GOOGLETRANSLATE(C1454, ""en"", ""ko""))"),"Michael Kors 여성용 마이클 싱글 브레스티드 코트")</f>
        <v>Michael Kors 여성용 마이클 싱글 브레스티드 코트</v>
      </c>
      <c r="F1454" s="1" t="str">
        <f>IFERROR(__xludf.DUMMYFUNCTION("CONCATENATE(GOOGLETRANSLATE(C1454, ""en"", ""ja""))"),"Michael Kors レディース Michael シングルブレスト コート")</f>
        <v>Michael Kors レディース Michael シングルブレスト コート</v>
      </c>
    </row>
    <row r="1455" ht="15.75" customHeight="1">
      <c r="A1455" s="1">
        <v>5748.0</v>
      </c>
      <c r="B1455" s="1" t="s">
        <v>6</v>
      </c>
      <c r="C1455" s="1" t="s">
        <v>1329</v>
      </c>
      <c r="D1455" s="1" t="str">
        <f>IFERROR(__xludf.DUMMYFUNCTION("CONCATENATE(GOOGLETRANSLATE(C1455, ""en"", ""zh-cn""))
"),"女式休闲圆领长袖针织衬衫")</f>
        <v>女式休闲圆领长袖针织衬衫</v>
      </c>
      <c r="E1455" s="1" t="str">
        <f>IFERROR(__xludf.DUMMYFUNCTION("CONCATENATE(GOOGLETRANSLATE(C1455, ""en"", ""ko""))"),"여성 캐주얼 크루넥 긴팔 니트 셔츠")</f>
        <v>여성 캐주얼 크루넥 긴팔 니트 셔츠</v>
      </c>
      <c r="F1455" s="1" t="str">
        <f>IFERROR(__xludf.DUMMYFUNCTION("CONCATENATE(GOOGLETRANSLATE(C1455, ""en"", ""ja""))"),"レディースカジュアルクルーネック長袖ニットシャツ")</f>
        <v>レディースカジュアルクルーネック長袖ニットシャツ</v>
      </c>
    </row>
    <row r="1456" ht="15.75" customHeight="1">
      <c r="A1456" s="1">
        <v>5768.0</v>
      </c>
      <c r="B1456" s="1" t="s">
        <v>6</v>
      </c>
      <c r="C1456" s="1" t="s">
        <v>1330</v>
      </c>
      <c r="D1456" s="1" t="str">
        <f>IFERROR(__xludf.DUMMYFUNCTION("CONCATENATE(GOOGLETRANSLATE(C1456, ""en"", ""zh-cn""))
"),"Fashion Nova 男式 Ethel 纹理针织休闲 T 恤")</f>
        <v>Fashion Nova 男式 Ethel 纹理针织休闲 T 恤</v>
      </c>
      <c r="E1456" s="1" t="str">
        <f>IFERROR(__xludf.DUMMYFUNCTION("CONCATENATE(GOOGLETRANSLATE(C1456, ""en"", ""ko""))"),"패션 노바 남성 에델 텍스처드 니트 릴렉스 티셔츠")</f>
        <v>패션 노바 남성 에델 텍스처드 니트 릴렉스 티셔츠</v>
      </c>
      <c r="F1456" s="1" t="str">
        <f>IFERROR(__xludf.DUMMYFUNCTION("CONCATENATE(GOOGLETRANSLATE(C1456, ""en"", ""ja""))"),"Fashion Nova メンズ エセル テクスチャード ニット リラックス ティー シャツ")</f>
        <v>Fashion Nova メンズ エセル テクスチャード ニット リラックス ティー シャツ</v>
      </c>
    </row>
    <row r="1457" ht="15.75" customHeight="1">
      <c r="A1457" s="1">
        <v>5789.0</v>
      </c>
      <c r="B1457" s="1" t="s">
        <v>6</v>
      </c>
      <c r="C1457" s="1" t="s">
        <v>1331</v>
      </c>
      <c r="D1457" s="1" t="str">
        <f>IFERROR(__xludf.DUMMYFUNCTION("CONCATENATE(GOOGLETRANSLATE(C1457, ""en"", ""zh-cn""))
"),"Boss 男士修身绗缝全拉链连帽羽绒夹克")</f>
        <v>Boss 男士修身绗缝全拉链连帽羽绒夹克</v>
      </c>
      <c r="E1457" s="1" t="str">
        <f>IFERROR(__xludf.DUMMYFUNCTION("CONCATENATE(GOOGLETRANSLATE(C1457, ""en"", ""ko""))"),"보스 남성 슬림핏 퀼팅 풀집 후드 퍼퍼 재킷")</f>
        <v>보스 남성 슬림핏 퀼팅 풀집 후드 퍼퍼 재킷</v>
      </c>
      <c r="F1457" s="1" t="str">
        <f>IFERROR(__xludf.DUMMYFUNCTION("CONCATENATE(GOOGLETRANSLATE(C1457, ""en"", ""ja""))"),"Boss メンズ スリムフィット キルティング フルジップ フード付き パファー ジャケット")</f>
        <v>Boss メンズ スリムフィット キルティング フルジップ フード付き パファー ジャケット</v>
      </c>
    </row>
    <row r="1458" ht="15.75" customHeight="1">
      <c r="A1458" s="1">
        <v>5811.0</v>
      </c>
      <c r="B1458" s="1" t="s">
        <v>6</v>
      </c>
      <c r="C1458" s="1" t="s">
        <v>1332</v>
      </c>
      <c r="D1458" s="1" t="str">
        <f>IFERROR(__xludf.DUMMYFUNCTION("CONCATENATE(GOOGLETRANSLATE(C1458, ""en"", ""zh-cn""))
"),"闪迪 Ultra PLUS SDXC 存储卡")</f>
        <v>闪迪 Ultra PLUS SDXC 存储卡</v>
      </c>
      <c r="E1458" s="1" t="str">
        <f>IFERROR(__xludf.DUMMYFUNCTION("CONCATENATE(GOOGLETRANSLATE(C1458, ""en"", ""ko""))"),"SanDisk Ultra PLUS SDXC 메모리 카드")</f>
        <v>SanDisk Ultra PLUS SDXC 메모리 카드</v>
      </c>
      <c r="F1458" s="1" t="str">
        <f>IFERROR(__xludf.DUMMYFUNCTION("CONCATENATE(GOOGLETRANSLATE(C1458, ""en"", ""ja""))"),"サンディスク ウルトラ プラス SDXC メモリーカード")</f>
        <v>サンディスク ウルトラ プラス SDXC メモリーカード</v>
      </c>
    </row>
    <row r="1459" ht="15.75" customHeight="1">
      <c r="A1459" s="1">
        <v>5827.0</v>
      </c>
      <c r="B1459" s="1" t="s">
        <v>6</v>
      </c>
      <c r="C1459" s="1" t="s">
        <v>1333</v>
      </c>
      <c r="D1459" s="1" t="str">
        <f>IFERROR(__xludf.DUMMYFUNCTION("CONCATENATE(GOOGLETRANSLATE(C1459, ""en"", ""zh-cn""))
"),"罗技 M185 无线鼠标")</f>
        <v>罗技 M185 无线鼠标</v>
      </c>
      <c r="E1459" s="1" t="str">
        <f>IFERROR(__xludf.DUMMYFUNCTION("CONCATENATE(GOOGLETRANSLATE(C1459, ""en"", ""ko""))"),"로지텍 M185 무선 마우스")</f>
        <v>로지텍 M185 무선 마우스</v>
      </c>
      <c r="F1459" s="1" t="str">
        <f>IFERROR(__xludf.DUMMYFUNCTION("CONCATENATE(GOOGLETRANSLATE(C1459, ""en"", ""ja""))"),"ロジクール M185 ワイヤレス マウス")</f>
        <v>ロジクール M185 ワイヤレス マウス</v>
      </c>
    </row>
    <row r="1460" ht="15.75" customHeight="1">
      <c r="A1460" s="1">
        <v>5828.0</v>
      </c>
      <c r="B1460" s="1" t="s">
        <v>6</v>
      </c>
      <c r="C1460" s="1" t="s">
        <v>1334</v>
      </c>
      <c r="D1460" s="1" t="str">
        <f>IFERROR(__xludf.DUMMYFUNCTION("CONCATENATE(GOOGLETRANSLATE(C1460, ""en"", ""zh-cn""))
"),"Thermaltake Tower 300 微型 ATX 游戏机箱")</f>
        <v>Thermaltake Tower 300 微型 ATX 游戏机箱</v>
      </c>
      <c r="E1460" s="1" t="str">
        <f>IFERROR(__xludf.DUMMYFUNCTION("CONCATENATE(GOOGLETRANSLATE(C1460, ""en"", ""ko""))"),"Thermaltake Tower 300 마이크로 ATX 게이밍 케이스")</f>
        <v>Thermaltake Tower 300 마이크로 ATX 게이밍 케이스</v>
      </c>
      <c r="F1460" s="1" t="str">
        <f>IFERROR(__xludf.DUMMYFUNCTION("CONCATENATE(GOOGLETRANSLATE(C1460, ""en"", ""ja""))"),"Thermaltake Tower 300 Micro ATX ゲーミング ケース")</f>
        <v>Thermaltake Tower 300 Micro ATX ゲーミング ケース</v>
      </c>
    </row>
    <row r="1461" ht="15.75" customHeight="1">
      <c r="A1461" s="1">
        <v>5834.0</v>
      </c>
      <c r="B1461" s="1" t="s">
        <v>6</v>
      </c>
      <c r="C1461" s="1" t="s">
        <v>1335</v>
      </c>
      <c r="D1461" s="1" t="str">
        <f>IFERROR(__xludf.DUMMYFUNCTION("CONCATENATE(GOOGLETRANSLATE(C1461, ""en"", ""zh-cn""))
"),"惠普外置硬盘 F2B56AA")</f>
        <v>惠普外置硬盘 F2B56AA</v>
      </c>
      <c r="E1461" s="1" t="str">
        <f>IFERROR(__xludf.DUMMYFUNCTION("CONCATENATE(GOOGLETRANSLATE(C1461, ""en"", ""ko""))"),"HP 외장 드라이브 F2B56AA")</f>
        <v>HP 외장 드라이브 F2B56AA</v>
      </c>
      <c r="F1461" s="1" t="str">
        <f>IFERROR(__xludf.DUMMYFUNCTION("CONCATENATE(GOOGLETRANSLATE(C1461, ""en"", ""ja""))"),"HP 外付けドライブ F2B56AA")</f>
        <v>HP 外付けドライブ F2B56AA</v>
      </c>
    </row>
    <row r="1462" ht="15.75" customHeight="1">
      <c r="A1462" s="1">
        <v>5856.0</v>
      </c>
      <c r="B1462" s="1" t="s">
        <v>6</v>
      </c>
      <c r="C1462" s="1" t="s">
        <v>1336</v>
      </c>
      <c r="D1462" s="1" t="str">
        <f>IFERROR(__xludf.DUMMYFUNCTION("CONCATENATE(GOOGLETRANSLATE(C1462, ""en"", ""zh-cn""))
"),"Corsair K55 RGB PRO 游戏键盘")</f>
        <v>Corsair K55 RGB PRO 游戏键盘</v>
      </c>
      <c r="E1462" s="1" t="str">
        <f>IFERROR(__xludf.DUMMYFUNCTION("CONCATENATE(GOOGLETRANSLATE(C1462, ""en"", ""ko""))"),"Corsair K55 RGB PRO 게이밍 키보드")</f>
        <v>Corsair K55 RGB PRO 게이밍 키보드</v>
      </c>
      <c r="F1462" s="1" t="str">
        <f>IFERROR(__xludf.DUMMYFUNCTION("CONCATENATE(GOOGLETRANSLATE(C1462, ""en"", ""ja""))"),"Corsair K55 RGB PRO ゲーミング キーボード")</f>
        <v>Corsair K55 RGB PRO ゲーミング キーボード</v>
      </c>
    </row>
    <row r="1463" ht="15.75" customHeight="1">
      <c r="A1463" s="1">
        <v>5885.0</v>
      </c>
      <c r="B1463" s="1" t="s">
        <v>6</v>
      </c>
      <c r="C1463" s="1" t="s">
        <v>1337</v>
      </c>
      <c r="D1463" s="1" t="str">
        <f>IFERROR(__xludf.DUMMYFUNCTION("CONCATENATE(GOOGLETRANSLATE(C1463, ""en"", ""zh-cn""))
"),"FKATEEN 儿童智能手机")</f>
        <v>FKATEEN 儿童智能手机</v>
      </c>
      <c r="E1463" s="1" t="str">
        <f>IFERROR(__xludf.DUMMYFUNCTION("CONCATENATE(GOOGLETRANSLATE(C1463, ""en"", ""ko""))"),"FKATEEN 키즈 스마트폰")</f>
        <v>FKATEEN 키즈 스마트폰</v>
      </c>
      <c r="F1463" s="1" t="str">
        <f>IFERROR(__xludf.DUMMYFUNCTION("CONCATENATE(GOOGLETRANSLATE(C1463, ""en"", ""ja""))"),"FKATEEN キッズスマートフォン")</f>
        <v>FKATEEN キッズスマートフォン</v>
      </c>
    </row>
    <row r="1464" ht="15.75" customHeight="1">
      <c r="A1464" s="1">
        <v>5890.0</v>
      </c>
      <c r="B1464" s="1" t="s">
        <v>6</v>
      </c>
      <c r="C1464" s="1" t="s">
        <v>1338</v>
      </c>
      <c r="D1464" s="1" t="str">
        <f>IFERROR(__xludf.DUMMYFUNCTION("CONCATENATE(GOOGLETRANSLATE(C1464, ""en"", ""zh-cn""))
"),"Ivtivfu 飞行球球 将魔法变为现实 飞行球玩具")</f>
        <v>Ivtivfu 飞行球球 将魔法变为现实 飞行球玩具</v>
      </c>
      <c r="E1464" s="1" t="str">
        <f>IFERROR(__xludf.DUMMYFUNCTION("CONCATENATE(GOOGLETRANSLATE(C1464, ""en"", ""ko""))"),"Ivtivfu Flying Orb Ball은 마법을 현실로 가져옵니다. 플라잉 볼 장난감")</f>
        <v>Ivtivfu Flying Orb Ball은 마법을 현실로 가져옵니다. 플라잉 볼 장난감</v>
      </c>
      <c r="F1464" s="1" t="str">
        <f>IFERROR(__xludf.DUMMYFUNCTION("CONCATENATE(GOOGLETRANSLATE(C1464, ""en"", ""ja""))"),"Ivtivfu フライング オーブ ボール 魔法を現実に フライング ボール おもちゃ")</f>
        <v>Ivtivfu フライング オーブ ボール 魔法を現実に フライング ボール おもちゃ</v>
      </c>
    </row>
    <row r="1465" ht="15.75" customHeight="1">
      <c r="A1465" s="1">
        <v>5915.0</v>
      </c>
      <c r="B1465" s="1" t="s">
        <v>6</v>
      </c>
      <c r="C1465" s="1" t="s">
        <v>1339</v>
      </c>
      <c r="D1465" s="1" t="str">
        <f>IFERROR(__xludf.DUMMYFUNCTION("CONCATENATE(GOOGLETRANSLATE(C1465, ""en"", ""zh-cn""))
"),"极限竞速边界柱")</f>
        <v>极限竞速边界柱</v>
      </c>
      <c r="E1465" s="1" t="str">
        <f>IFERROR(__xludf.DUMMYFUNCTION("CONCATENATE(GOOGLETRANSLATE(C1465, ""en"", ""ko""))"),"Forza 경계 기둥")</f>
        <v>Forza 경계 기둥</v>
      </c>
      <c r="F1465" s="1" t="str">
        <f>IFERROR(__xludf.DUMMYFUNCTION("CONCATENATE(GOOGLETRANSLATE(C1465, ""en"", ""ja""))"),"Forza 境界極")</f>
        <v>Forza 境界極</v>
      </c>
    </row>
    <row r="1466" ht="15.75" customHeight="1">
      <c r="A1466" s="1">
        <v>5932.0</v>
      </c>
      <c r="B1466" s="1" t="s">
        <v>6</v>
      </c>
      <c r="C1466" s="1" t="s">
        <v>1340</v>
      </c>
      <c r="D1466" s="1" t="str">
        <f>IFERROR(__xludf.DUMMYFUNCTION("CONCATENATE(GOOGLETRANSLATE(C1466, ""en"", ""zh-cn""))
"),"All in Motion 基本手部重量套装")</f>
        <v>All in Motion 基本手部重量套装</v>
      </c>
      <c r="E1466" s="1" t="str">
        <f>IFERROR(__xludf.DUMMYFUNCTION("CONCATENATE(GOOGLETRANSLATE(C1466, ""en"", ""ko""))"),"올인모션 기본 핸드 웨이트 세트")</f>
        <v>올인모션 기본 핸드 웨이트 세트</v>
      </c>
      <c r="F1466" s="1" t="str">
        <f>IFERROR(__xludf.DUMMYFUNCTION("CONCATENATE(GOOGLETRANSLATE(C1466, ""en"", ""ja""))"),"オールインモーションベーシックハンドウェイトセット")</f>
        <v>オールインモーションベーシックハンドウェイトセット</v>
      </c>
    </row>
    <row r="1467" ht="15.75" customHeight="1">
      <c r="A1467" s="1">
        <v>5943.0</v>
      </c>
      <c r="B1467" s="1" t="s">
        <v>6</v>
      </c>
      <c r="C1467" s="1" t="s">
        <v>1341</v>
      </c>
      <c r="D1467" s="1" t="str">
        <f>IFERROR(__xludf.DUMMYFUNCTION("CONCATENATE(GOOGLETRANSLATE(C1467, ""en"", ""zh-cn""))
"),"AGame精英排球套装")</f>
        <v>AGame精英排球套装</v>
      </c>
      <c r="E1467" s="1" t="str">
        <f>IFERROR(__xludf.DUMMYFUNCTION("CONCATENATE(GOOGLETRANSLATE(C1467, ""en"", ""ko""))"),"AGame 엘리트 배구 세트")</f>
        <v>AGame 엘리트 배구 세트</v>
      </c>
      <c r="F1467" s="1" t="str">
        <f>IFERROR(__xludf.DUMMYFUNCTION("CONCATENATE(GOOGLETRANSLATE(C1467, ""en"", ""ja""))"),"AGame エリートバレーボールセット")</f>
        <v>AGame エリートバレーボールセット</v>
      </c>
    </row>
    <row r="1468" ht="15.75" customHeight="1">
      <c r="A1468" s="1">
        <v>5974.0</v>
      </c>
      <c r="B1468" s="1" t="s">
        <v>6</v>
      </c>
      <c r="C1468" s="1" t="s">
        <v>1342</v>
      </c>
      <c r="D1468" s="1" t="str">
        <f>IFERROR(__xludf.DUMMYFUNCTION("CONCATENATE(GOOGLETRANSLATE(C1468, ""en"", ""zh-cn""))
"),"Fossil 女式 Carlie 玫瑰金表盘手表")</f>
        <v>Fossil 女式 Carlie 玫瑰金表盘手表</v>
      </c>
      <c r="E1468" s="1" t="str">
        <f>IFERROR(__xludf.DUMMYFUNCTION("CONCATENATE(GOOGLETRANSLATE(C1468, ""en"", ""ko""))"),"화석 여성용 칼리 로즈 골드 다이얼 시계")</f>
        <v>화석 여성용 칼리 로즈 골드 다이얼 시계</v>
      </c>
      <c r="F1468" s="1" t="str">
        <f>IFERROR(__xludf.DUMMYFUNCTION("CONCATENATE(GOOGLETRANSLATE(C1468, ""en"", ""ja""))"),"Fossil レディース Carlie ローズゴールド ダイヤル ウォッチ")</f>
        <v>Fossil レディース Carlie ローズゴールド ダイヤル ウォッチ</v>
      </c>
    </row>
    <row r="1469" ht="15.75" customHeight="1">
      <c r="A1469" s="1">
        <v>5991.0</v>
      </c>
      <c r="B1469" s="1" t="s">
        <v>6</v>
      </c>
      <c r="C1469" s="1" t="s">
        <v>1343</v>
      </c>
      <c r="D1469" s="1" t="str">
        <f>IFERROR(__xludf.DUMMYFUNCTION("CONCATENATE(GOOGLETRANSLATE(C1469, ""en"", ""zh-cn""))
"),"西铁城男士 BN0200-56E Promaster 潜水员钛金属手表")</f>
        <v>西铁城男士 BN0200-56E Promaster 潜水员钛金属手表</v>
      </c>
      <c r="E1469" s="1" t="str">
        <f>IFERROR(__xludf.DUMMYFUNCTION("CONCATENATE(GOOGLETRANSLATE(C1469, ""en"", ""ko""))"),"Citizen 남성용 BN0200-56E Promaster 다이버 티타늄 시계")</f>
        <v>Citizen 남성용 BN0200-56E Promaster 다이버 티타늄 시계</v>
      </c>
      <c r="F1469" s="1" t="str">
        <f>IFERROR(__xludf.DUMMYFUNCTION("CONCATENATE(GOOGLETRANSLATE(C1469, ""en"", ""ja""))"),"シチズン メンズ BN0200-56E プロマスター ダイバー チタン腕時計")</f>
        <v>シチズン メンズ BN0200-56E プロマスター ダイバー チタン腕時計</v>
      </c>
    </row>
    <row r="1470" ht="15.75" customHeight="1">
      <c r="A1470" s="1">
        <v>6016.0</v>
      </c>
      <c r="B1470" s="1" t="s">
        <v>6</v>
      </c>
      <c r="C1470" s="1" t="s">
        <v>1344</v>
      </c>
      <c r="D1470" s="1" t="str">
        <f>IFERROR(__xludf.DUMMYFUNCTION("CONCATENATE(GOOGLETRANSLATE(C1470, ""en"", ""zh-cn""))
"),"CASETiFY 卵石纹手机带 - 灰色")</f>
        <v>CASETiFY 卵石纹手机带 - 灰色</v>
      </c>
      <c r="E1470" s="1" t="str">
        <f>IFERROR(__xludf.DUMMYFUNCTION("CONCATENATE(GOOGLETRANSLATE(C1470, ""en"", ""ko""))"),"CASETiFY 페블 휴대폰 스트랩 - 그레이지")</f>
        <v>CASETiFY 페블 휴대폰 스트랩 - 그레이지</v>
      </c>
      <c r="F1470" s="1" t="str">
        <f>IFERROR(__xludf.DUMMYFUNCTION("CONCATENATE(GOOGLETRANSLATE(C1470, ""en"", ""ja""))"),"CASETiFY ペブルド フォン ストラップ - グレージュ")</f>
        <v>CASETiFY ペブルド フォン ストラップ - グレージュ</v>
      </c>
    </row>
    <row r="1471" ht="15.75" customHeight="1">
      <c r="A1471" s="1">
        <v>6018.0</v>
      </c>
      <c r="B1471" s="1" t="s">
        <v>6</v>
      </c>
      <c r="C1471" s="1" t="s">
        <v>1345</v>
      </c>
      <c r="D1471" s="1" t="str">
        <f>IFERROR(__xludf.DUMMYFUNCTION("CONCATENATE(GOOGLETRANSLATE(C1471, ""en"", ""zh-cn""))
"),"PopSockets MagSafe 你能不能 PopGrip")</f>
        <v>PopSockets MagSafe 你能不能 PopGrip</v>
      </c>
      <c r="E1471" s="1" t="str">
        <f>IFERROR(__xludf.DUMMYFUNCTION("CONCATENATE(GOOGLETRANSLATE(C1471, ""en"", ""ko""))"),"PopSockets MagSafe PopGrip을 사용할 수 없나요?")</f>
        <v>PopSockets MagSafe PopGrip을 사용할 수 없나요?</v>
      </c>
      <c r="F1471" s="1" t="str">
        <f>IFERROR(__xludf.DUMMYFUNCTION("CONCATENATE(GOOGLETRANSLATE(C1471, ""en"", ""ja""))"),"PopSockets MagSafe PopGrip は使えないの？")</f>
        <v>PopSockets MagSafe PopGrip は使えないの？</v>
      </c>
    </row>
    <row r="1472" ht="15.75" customHeight="1">
      <c r="A1472" s="1">
        <v>6030.0</v>
      </c>
      <c r="B1472" s="1" t="s">
        <v>6</v>
      </c>
      <c r="C1472" s="1" t="s">
        <v>1346</v>
      </c>
      <c r="D1472" s="1" t="str">
        <f>IFERROR(__xludf.DUMMYFUNCTION("CONCATENATE(GOOGLETRANSLATE(C1472, ""en"", ""zh-cn""))
"),"PopSockets PopWallet+ 手机钱包")</f>
        <v>PopSockets PopWallet+ 手机钱包</v>
      </c>
      <c r="E1472" s="1" t="str">
        <f>IFERROR(__xludf.DUMMYFUNCTION("CONCATENATE(GOOGLETRANSLATE(C1472, ""en"", ""ko""))"),"PopSockets PopWallet+ 휴대폰 지갑")</f>
        <v>PopSockets PopWallet+ 휴대폰 지갑</v>
      </c>
      <c r="F1472" s="1" t="str">
        <f>IFERROR(__xludf.DUMMYFUNCTION("CONCATENATE(GOOGLETRANSLATE(C1472, ""en"", ""ja""))"),"PopSockets PopWallet+ 電話ウォレット")</f>
        <v>PopSockets PopWallet+ 電話ウォレット</v>
      </c>
    </row>
    <row r="1473" ht="15.75" customHeight="1">
      <c r="A1473" s="1">
        <v>6040.0</v>
      </c>
      <c r="B1473" s="1" t="s">
        <v>6</v>
      </c>
      <c r="C1473" s="1" t="s">
        <v>1347</v>
      </c>
      <c r="D1473" s="1" t="str">
        <f>IFERROR(__xludf.DUMMYFUNCTION("CONCATENATE(GOOGLETRANSLATE(C1473, ""en"", ""zh-cn""))
"),"roomwell E-Star 3.3 立方英尺迷你冰箱，不带冷冻室 - 自动除霜，可逆单门，玻璃搁架冰箱 - 节省空间的奇迹")</f>
        <v>roomwell E-Star 3.3 立方英尺迷你冰箱，不带冷冻室 - 自动除霜，可逆单门，玻璃搁架冰箱 - 节省空间的奇迹</v>
      </c>
      <c r="E1473" s="1" t="str">
        <f>IFERROR(__xludf.DUMMYFUNCTION("CONCATENATE(GOOGLETRANSLATE(C1473, ""en"", ""ko""))"),"roomwell E-Star 3.3 Cu Ft 미니 냉장고(냉동고 없음) - 자동 해동, 양면 단일 도어, 유리 선반 냉장고 - 놀라운 공간 절약형 냉장고")</f>
        <v>roomwell E-Star 3.3 Cu Ft 미니 냉장고(냉동고 없음) - 자동 해동, 양면 단일 도어, 유리 선반 냉장고 - 놀라운 공간 절약형 냉장고</v>
      </c>
      <c r="F1473" s="1" t="str">
        <f>IFERROR(__xludf.DUMMYFUNCTION("CONCATENATE(GOOGLETRANSLATE(C1473, ""en"", ""ja""))"),"roomwell E-Star 3.3 立方フィート ミニ冷蔵庫 冷凍庫なし - 自動霜取り、リバーシブル シングルドア、ガラス棚冷蔵庫 - 省スペースの驚異")</f>
        <v>roomwell E-Star 3.3 立方フィート ミニ冷蔵庫 冷凍庫なし - 自動霜取り、リバーシブル シングルドア、ガラス棚冷蔵庫 - 省スペースの驚異</v>
      </c>
    </row>
    <row r="1474" ht="15.75" customHeight="1">
      <c r="A1474" s="1">
        <v>6064.0</v>
      </c>
      <c r="B1474" s="1" t="s">
        <v>6</v>
      </c>
      <c r="C1474" s="1" t="s">
        <v>1348</v>
      </c>
      <c r="D1474" s="1" t="str">
        <f>IFERROR(__xludf.DUMMYFUNCTION("CONCATENATE(GOOGLETRANSLATE(C1474, ""en"", ""zh-cn""))
"),"热点 4.0 立方米英尺容量清洗机，带不锈钢篮、冷加和水位控制")</f>
        <v>热点 4.0 立方米英尺容量清洗机，带不锈钢篮、冷加和水位控制</v>
      </c>
      <c r="E1474" s="1" t="str">
        <f>IFERROR(__xludf.DUMMYFUNCTION("CONCATENATE(GOOGLETRANSLATE(C1474, ""en"", ""ko""))"),"핫포인트 4.0cu. ft. 스테인레스 스틸 바구니, 콜드 ​​플러스 및 수위 조절 기능이 있는 용량 세탁기")</f>
        <v>핫포인트 4.0cu. ft. 스테인레스 스틸 바구니, 콜드 ​​플러스 및 수위 조절 기능이 있는 용량 세탁기</v>
      </c>
      <c r="F1474" s="1" t="str">
        <f>IFERROR(__xludf.DUMMYFUNCTION("CONCATENATE(GOOGLETRANSLATE(C1474, ""en"", ""ja""))"),"ホットポイント4.0立方メートル。ステンレススチールバスケット、Cold Plus、水位制御付き容量フィート洗濯機")</f>
        <v>ホットポイント4.0立方メートル。ステンレススチールバスケット、Cold Plus、水位制御付き容量フィート洗濯機</v>
      </c>
    </row>
    <row r="1475" ht="15.75" customHeight="1">
      <c r="A1475" s="1">
        <v>6066.0</v>
      </c>
      <c r="B1475" s="1" t="s">
        <v>6</v>
      </c>
      <c r="C1475" s="1" t="s">
        <v>1349</v>
      </c>
      <c r="D1475" s="1" t="str">
        <f>IFERROR(__xludf.DUMMYFUNCTION("CONCATENATE(GOOGLETRANSLATE(C1475, ""en"", ""zh-cn""))
"),"格兰仕 3.1 立方英尺复古迷你冰箱连冰柜")</f>
        <v>格兰仕 3.1 立方英尺复古迷你冰箱连冰柜</v>
      </c>
      <c r="E1475" s="1" t="str">
        <f>IFERROR(__xludf.DUMMYFUNCTION("CONCATENATE(GOOGLETRANSLATE(C1475, ""en"", ""ko""))"),"Galanz 3.1 Cu ft 레트로 미니 냉장고(냉동고 포함)")</f>
        <v>Galanz 3.1 Cu ft 레트로 미니 냉장고(냉동고 포함)</v>
      </c>
      <c r="F1475" s="1" t="str">
        <f>IFERROR(__xludf.DUMMYFUNCTION("CONCATENATE(GOOGLETRANSLATE(C1475, ""en"", ""ja""))"),"Galanz 3.1 立方フィート レトロ ミニ冷蔵庫 冷凍庫付き")</f>
        <v>Galanz 3.1 立方フィート レトロ ミニ冷蔵庫 冷凍庫付き</v>
      </c>
    </row>
    <row r="1476" ht="15.75" customHeight="1">
      <c r="A1476" s="1">
        <v>6091.0</v>
      </c>
      <c r="B1476" s="1" t="s">
        <v>6</v>
      </c>
      <c r="C1476" s="1" t="s">
        <v>1350</v>
      </c>
      <c r="D1476" s="1" t="str">
        <f>IFERROR(__xludf.DUMMYFUNCTION("CONCATENATE(GOOGLETRANSLATE(C1476, ""en"", ""zh-cn""))
"),"角蛋白头发生长补充剂可让头发更长、更强韧 - 富含生物素、叶酸、锯棕榈，可促进浓密、健康的头发生长（3")</f>
        <v>角蛋白头发生长补充剂可让头发更长、更强韧 - 富含生物素、叶酸、锯棕榈，可促进浓密、健康的头发生长（3</v>
      </c>
      <c r="E1476" s="1" t="str">
        <f>IFERROR(__xludf.DUMMYFUNCTION("CONCATENATE(GOOGLETRANSLATE(C1476, ""en"", ""ko""))"),"더 길고 강한 모발을 위한 케로틴 모발 성장 보조제 - 비오틴, 엽산, 쏘팔메토가 풍부하여 두껍고 건강한 모발 성장을 촉진합니다(3)")</f>
        <v>더 길고 강한 모발을 위한 케로틴 모발 성장 보조제 - 비오틴, 엽산, 쏘팔메토가 풍부하여 두껍고 건강한 모발 성장을 촉진합니다(3)</v>
      </c>
      <c r="F1476" s="1" t="str">
        <f>IFERROR(__xludf.DUMMYFUNCTION("CONCATENATE(GOOGLETRANSLATE(C1476, ""en"", ""ja""))"),"より長く強い髪のためのケロチン育毛サプリメント - ビオチン、葉酸、ノコギリヤシが豊富で、太くて健康な髪の成長を促進します (3")</f>
        <v>より長く強い髪のためのケロチン育毛サプリメント - ビオチン、葉酸、ノコギリヤシが豊富で、太くて健康な髪の成長を促進します (3</v>
      </c>
    </row>
    <row r="1477" ht="15.75" customHeight="1">
      <c r="A1477" s="1">
        <v>6093.0</v>
      </c>
      <c r="B1477" s="1" t="s">
        <v>6</v>
      </c>
      <c r="C1477" s="1" t="s">
        <v>1351</v>
      </c>
      <c r="D1477" s="1" t="str">
        <f>IFERROR(__xludf.DUMMYFUNCTION("CONCATENATE(GOOGLETRANSLATE(C1477, ""en"", ""zh-cn""))
"),"日常健康椰子香草洗发水")</f>
        <v>日常健康椰子香草洗发水</v>
      </c>
      <c r="E1477" s="1" t="str">
        <f>IFERROR(__xludf.DUMMYFUNCTION("CONCATENATE(GOOGLETRANSLATE(C1477, ""en"", ""ko""))"),"루틴 웰니스 코코넛 &amp; 바닐라 샴푸")</f>
        <v>루틴 웰니스 코코넛 &amp; 바닐라 샴푸</v>
      </c>
      <c r="F1477" s="1" t="str">
        <f>IFERROR(__xludf.DUMMYFUNCTION("CONCATENATE(GOOGLETRANSLATE(C1477, ""en"", ""ja""))"),"ルーティン ウェルネス ココナッツ &amp; バニラ シャンプー")</f>
        <v>ルーティン ウェルネス ココナッツ &amp; バニラ シャンプー</v>
      </c>
    </row>
    <row r="1478" ht="15.75" customHeight="1">
      <c r="A1478" s="1">
        <v>6102.0</v>
      </c>
      <c r="B1478" s="1" t="s">
        <v>6</v>
      </c>
      <c r="C1478" s="1" t="s">
        <v>1352</v>
      </c>
      <c r="D1478" s="1" t="str">
        <f>IFERROR(__xludf.DUMMYFUNCTION("CONCATENATE(GOOGLETRANSLATE(C1478, ""en"", ""zh-cn""))
"),"澳洲奇迹保湿洗发水和护发素套装")</f>
        <v>澳洲奇迹保湿洗发水和护发素套装</v>
      </c>
      <c r="E1478" s="1" t="str">
        <f>IFERROR(__xludf.DUMMYFUNCTION("CONCATENATE(GOOGLETRANSLATE(C1478, ""en"", ""ko""))"),"오지 미라클 모이스트 샴푸 및 컨디셔너 헤어 세트")</f>
        <v>오지 미라클 모이스트 샴푸 및 컨디셔너 헤어 세트</v>
      </c>
      <c r="F1478" s="1" t="str">
        <f>IFERROR(__xludf.DUMMYFUNCTION("CONCATENATE(GOOGLETRANSLATE(C1478, ""en"", ""ja""))"),"オージー ミラクル モイスト シャンプー＆コンディショナー ヘアセット")</f>
        <v>オージー ミラクル モイスト シャンプー＆コンディショナー ヘアセット</v>
      </c>
    </row>
    <row r="1479" ht="15.75" customHeight="1">
      <c r="A1479" s="1">
        <v>6118.0</v>
      </c>
      <c r="B1479" s="1" t="s">
        <v>6</v>
      </c>
      <c r="C1479" s="1" t="s">
        <v>1353</v>
      </c>
      <c r="D1479" s="1" t="str">
        <f>IFERROR(__xludf.DUMMYFUNCTION("CONCATENATE(GOOGLETRANSLATE(C1479, ""en"", ""zh-cn""))
"),"按美容功能定制共洗")</f>
        <v>按美容功能定制共洗</v>
      </c>
      <c r="E1479" s="1" t="str">
        <f>IFERROR(__xludf.DUMMYFUNCTION("CONCATENATE(GOOGLETRANSLATE(C1479, ""en"", ""ko""))"),"미용 기능별 맞춤형 코워시")</f>
        <v>미용 기능별 맞춤형 코워시</v>
      </c>
      <c r="F1479" s="1" t="str">
        <f>IFERROR(__xludf.DUMMYFUNCTION("CONCATENATE(GOOGLETRANSLATE(C1479, ""en"", ""ja""))"),"美容機能によるカスタムコウォッシュ")</f>
        <v>美容機能によるカスタムコウォッシュ</v>
      </c>
    </row>
    <row r="1480" ht="15.75" customHeight="1">
      <c r="A1480" s="1">
        <v>6128.0</v>
      </c>
      <c r="B1480" s="1" t="s">
        <v>6</v>
      </c>
      <c r="C1480" s="1" t="s">
        <v>1354</v>
      </c>
      <c r="D1480" s="1" t="str">
        <f>IFERROR(__xludf.DUMMYFUNCTION("CONCATENATE(GOOGLETRANSLATE(C1480, ""en"", ""zh-cn""))
"),"Maple Holistics 生物素护发素")</f>
        <v>Maple Holistics 生物素护发素</v>
      </c>
      <c r="E1480" s="1" t="str">
        <f>IFERROR(__xludf.DUMMYFUNCTION("CONCATENATE(GOOGLETRANSLATE(C1480, ""en"", ""ko""))"),"메이플 홀리스틱스 비오틴 컨디셔너")</f>
        <v>메이플 홀리스틱스 비오틴 컨디셔너</v>
      </c>
      <c r="F1480" s="1" t="str">
        <f>IFERROR(__xludf.DUMMYFUNCTION("CONCATENATE(GOOGLETRANSLATE(C1480, ""en"", ""ja""))"),"メープル ホリスティック ビオチン コンディショナー")</f>
        <v>メープル ホリスティック ビオチン コンディショナー</v>
      </c>
    </row>
    <row r="1481" ht="15.75" customHeight="1">
      <c r="A1481" s="1">
        <v>6129.0</v>
      </c>
      <c r="B1481" s="1" t="s">
        <v>6</v>
      </c>
      <c r="C1481" s="1" t="s">
        <v>1355</v>
      </c>
      <c r="D1481" s="1" t="str">
        <f>IFERROR(__xludf.DUMMYFUNCTION("CONCATENATE(GOOGLETRANSLATE(C1481, ""en"", ""zh-cn""))
"),"阿加迪尔迷迭香米水洗发水")</f>
        <v>阿加迪尔迷迭香米水洗发水</v>
      </c>
      <c r="E1481" s="1" t="str">
        <f>IFERROR(__xludf.DUMMYFUNCTION("CONCATENATE(GOOGLETRANSLATE(C1481, ""en"", ""ko""))"),"아가디르 로즈마리 앤 라이스 워터 샴푸")</f>
        <v>아가디르 로즈마리 앤 라이스 워터 샴푸</v>
      </c>
      <c r="F1481" s="1" t="str">
        <f>IFERROR(__xludf.DUMMYFUNCTION("CONCATENATE(GOOGLETRANSLATE(C1481, ""en"", ""ja""))"),"アガディール ローズマリー &amp; ライスウォーター シャンプー")</f>
        <v>アガディール ローズマリー &amp; ライスウォーター シャンプー</v>
      </c>
    </row>
    <row r="1482" ht="15.75" customHeight="1">
      <c r="A1482" s="1">
        <v>6132.0</v>
      </c>
      <c r="B1482" s="1" t="s">
        <v>6</v>
      </c>
      <c r="C1482" s="1" t="s">
        <v>1356</v>
      </c>
      <c r="D1482" s="1" t="str">
        <f>IFERROR(__xludf.DUMMYFUNCTION("CONCATENATE(GOOGLETRANSLATE(C1482, ""en"", ""zh-cn""))
"),"Equate 生物素和胶原蛋白洗发水")</f>
        <v>Equate 生物素和胶原蛋白洗发水</v>
      </c>
      <c r="E1482" s="1" t="str">
        <f>IFERROR(__xludf.DUMMYFUNCTION("CONCATENATE(GOOGLETRANSLATE(C1482, ""en"", ""ko""))"),"비오틴 &amp; 콜라겐 샴푸를 동일시하세요")</f>
        <v>비오틴 &amp; 콜라겐 샴푸를 동일시하세요</v>
      </c>
      <c r="F1482" s="1" t="str">
        <f>IFERROR(__xludf.DUMMYFUNCTION("CONCATENATE(GOOGLETRANSLATE(C1482, ""en"", ""ja""))"),"エクエイト ビオチン＆コラーゲン シャンプー")</f>
        <v>エクエイト ビオチン＆コラーゲン シャンプー</v>
      </c>
    </row>
    <row r="1483" ht="15.75" customHeight="1">
      <c r="A1483" s="1">
        <v>6144.0</v>
      </c>
      <c r="B1483" s="1" t="s">
        <v>6</v>
      </c>
      <c r="C1483" s="1" t="s">
        <v>1357</v>
      </c>
      <c r="D1483" s="1" t="str">
        <f>IFERROR(__xludf.DUMMYFUNCTION("CONCATENATE(GOOGLETRANSLATE(C1483, ""en"", ""zh-cn""))
"),"更多含有透明质酸和生物素的美容专业护发精华")</f>
        <v>更多含有透明质酸和生物素的美容专业护发精华</v>
      </c>
      <c r="E1483" s="1" t="str">
        <f>IFERROR(__xludf.DUMMYFUNCTION("CONCATENATE(GOOGLETRANSLATE(C1483, ""en"", ""ko""))"),"히알루론산과 비오틴이 함유된 뷰티 프로페셔널 헤어 세럼")</f>
        <v>히알루론산과 비오틴이 함유된 뷰티 프로페셔널 헤어 세럼</v>
      </c>
      <c r="F1483" s="1" t="str">
        <f>IFERROR(__xludf.DUMMYFUNCTION("CONCATENATE(GOOGLETRANSLATE(C1483, ""en"", ""ja""))"),"ヒアルロン酸とビオチンを配合した美容専門ヘアセラム")</f>
        <v>ヒアルロン酸とビオチンを配合した美容専門ヘアセラム</v>
      </c>
    </row>
    <row r="1484" ht="15.75" customHeight="1">
      <c r="A1484" s="1">
        <v>6145.0</v>
      </c>
      <c r="B1484" s="1" t="s">
        <v>6</v>
      </c>
      <c r="C1484" s="1" t="s">
        <v>1358</v>
      </c>
      <c r="D1484" s="1" t="str">
        <f>IFERROR(__xludf.DUMMYFUNCTION("CONCATENATE(GOOGLETRANSLATE(C1484, ""en"", ""zh-cn""))
"),"Maple Holistics 生物素洗发水和护发素套装")</f>
        <v>Maple Holistics 生物素洗发水和护发素套装</v>
      </c>
      <c r="E1484" s="1" t="str">
        <f>IFERROR(__xludf.DUMMYFUNCTION("CONCATENATE(GOOGLETRANSLATE(C1484, ""en"", ""ko""))"),"메이플 홀리스틱스 비오틴 샴푸 및 컨디셔너 세트")</f>
        <v>메이플 홀리스틱스 비오틴 샴푸 및 컨디셔너 세트</v>
      </c>
      <c r="F1484" s="1" t="str">
        <f>IFERROR(__xludf.DUMMYFUNCTION("CONCATENATE(GOOGLETRANSLATE(C1484, ""en"", ""ja""))"),"メープル ホリスティックス ビオチン シャンプーとコンディショナー セット")</f>
        <v>メープル ホリスティックス ビオチン シャンプーとコンディショナー セット</v>
      </c>
    </row>
    <row r="1485" ht="15.75" customHeight="1">
      <c r="A1485" s="1">
        <v>6148.0</v>
      </c>
      <c r="B1485" s="1" t="s">
        <v>6</v>
      </c>
      <c r="C1485" s="1" t="s">
        <v>1359</v>
      </c>
      <c r="D1485" s="1" t="str">
        <f>IFERROR(__xludf.DUMMYFUNCTION("CONCATENATE(GOOGLETRANSLATE(C1485, ""en"", ""zh-cn""))
"),"不适用生发洗发水和护发素套装")</f>
        <v>不适用生发洗发水和护发素套装</v>
      </c>
      <c r="E1485" s="1" t="str">
        <f>IFERROR(__xludf.DUMMYFUNCTION("CONCATENATE(GOOGLETRANSLATE(C1485, ""en"", ""ko""))"),"모발 성장 샴푸 및 컨디셔너 세트를 사용하지 않습니다.")</f>
        <v>모발 성장 샴푸 및 컨디셔너 세트를 사용하지 않습니다.</v>
      </c>
      <c r="F1485" s="1" t="str">
        <f>IFERROR(__xludf.DUMMYFUNCTION("CONCATENATE(GOOGLETRANSLATE(C1485, ""en"", ""ja""))"),"育毛シャンプーとコンディショナーのセットは適用されません")</f>
        <v>育毛シャンプーとコンディショナーのセットは適用されません</v>
      </c>
    </row>
    <row r="1486" ht="15.75" customHeight="1">
      <c r="A1486" s="1">
        <v>6179.0</v>
      </c>
      <c r="B1486" s="1" t="s">
        <v>6</v>
      </c>
      <c r="C1486" s="1" t="s">
        <v>1360</v>
      </c>
      <c r="D1486" s="1" t="str">
        <f>IFERROR(__xludf.DUMMYFUNCTION("CONCATENATE(GOOGLETRANSLATE(C1486, ""en"", ""zh-cn""))
"),"你还记得出生吗？")</f>
        <v>你还记得出生吗？</v>
      </c>
      <c r="E1486" s="1" t="str">
        <f>IFERROR(__xludf.DUMMYFUNCTION("CONCATENATE(GOOGLETRANSLATE(C1486, ""en"", ""ko""))"),"당신은 태어난 것을 기억하나요?")</f>
        <v>당신은 태어난 것을 기억하나요?</v>
      </c>
      <c r="F1486" s="1" t="str">
        <f>IFERROR(__xludf.DUMMYFUNCTION("CONCATENATE(GOOGLETRANSLATE(C1486, ""en"", ""ja""))"),"生まれたことを覚えていますか?")</f>
        <v>生まれたことを覚えていますか?</v>
      </c>
    </row>
    <row r="1487" ht="15.75" customHeight="1">
      <c r="A1487" s="1">
        <v>6204.0</v>
      </c>
      <c r="B1487" s="1" t="s">
        <v>6</v>
      </c>
      <c r="C1487" s="1" t="s">
        <v>1361</v>
      </c>
      <c r="D1487" s="1" t="str">
        <f>IFERROR(__xludf.DUMMYFUNCTION("CONCATENATE(GOOGLETRANSLATE(C1487, ""en"", ""zh-cn""))
"),"弹球盘（国家图书奖决赛入围者）")</f>
        <v>弹球盘（国家图书奖决赛入围者）</v>
      </c>
      <c r="E1487" s="1" t="str">
        <f>IFERROR(__xludf.DUMMYFUNCTION("CONCATENATE(GOOGLETRANSLATE(C1487, ""en"", ""ko""))"),"파친코(전미도서상 최종 후보)")</f>
        <v>파친코(전미도서상 최종 후보)</v>
      </c>
      <c r="F1487" s="1" t="str">
        <f>IFERROR(__xludf.DUMMYFUNCTION("CONCATENATE(GOOGLETRANSLATE(C1487, ""en"", ""ja""))"),"パチンコ (全米図書賞最終候補)")</f>
        <v>パチンコ (全米図書賞最終候補)</v>
      </c>
    </row>
    <row r="1488" ht="15.75" customHeight="1">
      <c r="A1488" s="1">
        <v>6208.0</v>
      </c>
      <c r="B1488" s="1" t="s">
        <v>6</v>
      </c>
      <c r="C1488" s="1" t="s">
        <v>1362</v>
      </c>
      <c r="D1488" s="1" t="str">
        <f>IFERROR(__xludf.DUMMYFUNCTION("CONCATENATE(GOOGLETRANSLATE(C1488, ""en"", ""zh-cn""))
"),"金钱心理学：关于财富、贪婪和幸福的永恒教训")</f>
        <v>金钱心理学：关于财富、贪婪和幸福的永恒教训</v>
      </c>
      <c r="E1488" s="1" t="str">
        <f>IFERROR(__xludf.DUMMYFUNCTION("CONCATENATE(GOOGLETRANSLATE(C1488, ""en"", ""ko""))"),"돈의 심리학: 부, 탐욕, 행복에 대한 시대를 초월한 교훈")</f>
        <v>돈의 심리학: 부, 탐욕, 행복에 대한 시대를 초월한 교훈</v>
      </c>
      <c r="F1488" s="1" t="str">
        <f>IFERROR(__xludf.DUMMYFUNCTION("CONCATENATE(GOOGLETRANSLATE(C1488, ""en"", ""ja""))"),"お金の心理学: 富、貪欲、幸福に関する時代を超えた教訓")</f>
        <v>お金の心理学: 富、貪欲、幸福に関する時代を超えた教訓</v>
      </c>
    </row>
    <row r="1489" ht="15.75" customHeight="1">
      <c r="A1489" s="1">
        <v>6211.0</v>
      </c>
      <c r="B1489" s="1" t="s">
        <v>6</v>
      </c>
      <c r="C1489" s="1" t="s">
        <v>1363</v>
      </c>
      <c r="D1489" s="1" t="str">
        <f>IFERROR(__xludf.DUMMYFUNCTION("CONCATENATE(GOOGLETRANSLATE(C1489, ""en"", ""zh-cn""))
"),"阿喀琉斯之歌，电子书")</f>
        <v>阿喀琉斯之歌，电子书</v>
      </c>
      <c r="E1489" s="1" t="str">
        <f>IFERROR(__xludf.DUMMYFUNCTION("CONCATENATE(GOOGLETRANSLATE(C1489, ""en"", ""ko""))"),"아킬레스의 노래, 전자책")</f>
        <v>아킬레스의 노래, 전자책</v>
      </c>
      <c r="F1489" s="1" t="str">
        <f>IFERROR(__xludf.DUMMYFUNCTION("CONCATENATE(GOOGLETRANSLATE(C1489, ""en"", ""ja""))"),"アキレスの歌、電子書籍")</f>
        <v>アキレスの歌、電子書籍</v>
      </c>
    </row>
    <row r="1490" ht="15.75" customHeight="1">
      <c r="A1490" s="1">
        <v>6219.0</v>
      </c>
      <c r="B1490" s="1" t="s">
        <v>6</v>
      </c>
      <c r="C1490" s="1" t="s">
        <v>1364</v>
      </c>
      <c r="D1490" s="1" t="str">
        <f>IFERROR(__xludf.DUMMYFUNCTION("CONCATENATE(GOOGLETRANSLATE(C1490, ""en"", ""zh-cn""))
"),"冰冻的河流：GMA 读书俱乐部精选：一本小说")</f>
        <v>冰冻的河流：GMA 读书俱乐部精选：一本小说</v>
      </c>
      <c r="E1490" s="1" t="str">
        <f>IFERROR(__xludf.DUMMYFUNCTION("CONCATENATE(GOOGLETRANSLATE(C1490, ""en"", ""ko""))"),"얼어붙은 강: GMA 북클럽 추천: 소설")</f>
        <v>얼어붙은 강: GMA 북클럽 추천: 소설</v>
      </c>
      <c r="F1490" s="1" t="str">
        <f>IFERROR(__xludf.DUMMYFUNCTION("CONCATENATE(GOOGLETRANSLATE(C1490, ""en"", ""ja""))"),"凍った川: GMA ブッククラブのおすすめ: 小説")</f>
        <v>凍った川: GMA ブッククラブのおすすめ: 小説</v>
      </c>
    </row>
    <row r="1491" ht="15.75" customHeight="1">
      <c r="A1491" s="1">
        <v>6234.0</v>
      </c>
      <c r="B1491" s="1" t="s">
        <v>6</v>
      </c>
      <c r="C1491" s="1" t="s">
        <v>1365</v>
      </c>
      <c r="D1491" s="1" t="str">
        <f>IFERROR(__xludf.DUMMYFUNCTION("CONCATENATE(GOOGLETRANSLATE(C1491, ""en"", ""zh-cn""))
"),"苹果礼品卡")</f>
        <v>苹果礼品卡</v>
      </c>
      <c r="E1491" s="1" t="str">
        <f>IFERROR(__xludf.DUMMYFUNCTION("CONCATENATE(GOOGLETRANSLATE(C1491, ""en"", ""ko""))"),"애플 기프트 카드")</f>
        <v>애플 기프트 카드</v>
      </c>
      <c r="F1491" s="1" t="str">
        <f>IFERROR(__xludf.DUMMYFUNCTION("CONCATENATE(GOOGLETRANSLATE(C1491, ""en"", ""ja""))"),"アップルギフトカード")</f>
        <v>アップルギフトカード</v>
      </c>
    </row>
    <row r="1492" ht="15.75" customHeight="1">
      <c r="A1492" s="1">
        <v>6235.0</v>
      </c>
      <c r="B1492" s="1" t="s">
        <v>6</v>
      </c>
      <c r="C1492" s="1" t="s">
        <v>1366</v>
      </c>
      <c r="D1492" s="1" t="str">
        <f>IFERROR(__xludf.DUMMYFUNCTION("CONCATENATE(GOOGLETRANSLATE(C1492, ""en"", ""zh-cn""))
"),"100 美元 Apple 礼品卡 - App Store、Apple Music、iTunes、iPhone、iPad、AirPods、配件等 [数字]")</f>
        <v>100 美元 Apple 礼品卡 - App Store、Apple Music、iTunes、iPhone、iPad、AirPods、配件等 [数字]</v>
      </c>
      <c r="E1492" s="1" t="str">
        <f>IFERROR(__xludf.DUMMYFUNCTION("CONCATENATE(GOOGLETRANSLATE(C1492, ""en"", ""ko""))"),"$100 Apple 기프트 카드 - App Store, Apple Music, iTunes, iPhone, iPad, AirPods, 액세서리 등 [디지털]")</f>
        <v>$100 Apple 기프트 카드 - App Store, Apple Music, iTunes, iPhone, iPad, AirPods, 액세서리 등 [디지털]</v>
      </c>
      <c r="F1492" s="1" t="str">
        <f>IFERROR(__xludf.DUMMYFUNCTION("CONCATENATE(GOOGLETRANSLATE(C1492, ""en"", ""ja""))"),"$100 Apple ギフト カード - App Store、Apple Music、iTunes、iPhone、iPad、AirPods、アクセサリなど [デジタル]")</f>
        <v>$100 Apple ギフト カード - App Store、Apple Music、iTunes、iPhone、iPad、AirPods、アクセサリなど [デジタル]</v>
      </c>
    </row>
    <row r="1493" ht="15.75" customHeight="1">
      <c r="A1493" s="1">
        <v>6272.0</v>
      </c>
      <c r="B1493" s="1" t="s">
        <v>6</v>
      </c>
      <c r="C1493" s="1" t="s">
        <v>1367</v>
      </c>
      <c r="D1493" s="1" t="str">
        <f>IFERROR(__xludf.DUMMYFUNCTION("CONCATENATE(GOOGLETRANSLATE(C1493, ""en"", ""zh-cn""))
"),"Apple 礼品卡 - 100 美元 - 美国")</f>
        <v>Apple 礼品卡 - 100 美元 - 美国</v>
      </c>
      <c r="E1493" s="1" t="str">
        <f>IFERROR(__xludf.DUMMYFUNCTION("CONCATENATE(GOOGLETRANSLATE(C1493, ""en"", ""ko""))"),"Apple 기프트 카드 - 100 USD - 미국")</f>
        <v>Apple 기프트 카드 - 100 USD - 미국</v>
      </c>
      <c r="F1493" s="1" t="str">
        <f>IFERROR(__xludf.DUMMYFUNCTION("CONCATENATE(GOOGLETRANSLATE(C1493, ""en"", ""ja""))"),"Apple ギフトカード - 100 USD - 米国")</f>
        <v>Apple ギフトカード - 100 USD - 米国</v>
      </c>
    </row>
    <row r="1494" ht="15.75" customHeight="1">
      <c r="A1494" s="1">
        <v>6293.0</v>
      </c>
      <c r="B1494" s="1" t="s">
        <v>6</v>
      </c>
      <c r="C1494" s="1" t="s">
        <v>1368</v>
      </c>
      <c r="D1494" s="1" t="str">
        <f>IFERROR(__xludf.DUMMYFUNCTION("CONCATENATE(GOOGLETRANSLATE(C1494, ""en"", ""zh-cn""))
"),"血源 PlayStation")</f>
        <v>血源 PlayStation</v>
      </c>
      <c r="E1494" s="1" t="str">
        <f>IFERROR(__xludf.DUMMYFUNCTION("CONCATENATE(GOOGLETRANSLATE(C1494, ""en"", ""ko""))"),"블러드본 플레이스테이션")</f>
        <v>블러드본 플레이스테이션</v>
      </c>
      <c r="F1494" s="1" t="str">
        <f>IFERROR(__xludf.DUMMYFUNCTION("CONCATENATE(GOOGLETRANSLATE(C1494, ""en"", ""ja""))"),"ブラッドボーン プレイステーション")</f>
        <v>ブラッドボーン プレイステーション</v>
      </c>
    </row>
    <row r="1495" ht="15.75" customHeight="1">
      <c r="A1495" s="1">
        <v>6333.0</v>
      </c>
      <c r="B1495" s="1" t="s">
        <v>6</v>
      </c>
      <c r="C1495" s="1" t="s">
        <v>1369</v>
      </c>
      <c r="D1495" s="1" t="str">
        <f>IFERROR(__xludf.DUMMYFUNCTION("CONCATENATE(GOOGLETRANSLATE(C1495, ""en"", ""zh-cn""))
"),"无题鹅游戏 (Nintendo Switch) - Nintendo eShop 帐户 - 全球")</f>
        <v>无题鹅游戏 (Nintendo Switch) - Nintendo eShop 帐户 - 全球</v>
      </c>
      <c r="E1495" s="1" t="str">
        <f>IFERROR(__xludf.DUMMYFUNCTION("CONCATENATE(GOOGLETRANSLATE(C1495, ""en"", ""ko""))"),"Untitled Goose Game(Nintendo Switch) - Nintendo eShop 계정 - GLOBAL")</f>
        <v>Untitled Goose Game(Nintendo Switch) - Nintendo eShop 계정 - GLOBAL</v>
      </c>
      <c r="F1495" s="1" t="str">
        <f>IFERROR(__xludf.DUMMYFUNCTION("CONCATENATE(GOOGLETRANSLATE(C1495, ""en"", ""ja""))"),"Untitled Goose Game (Nintendo Switch) - ニンテンドー eショップ アカウント - GLOBAL")</f>
        <v>Untitled Goose Game (Nintendo Switch) - ニンテンドー eショップ アカウント - GLOBAL</v>
      </c>
    </row>
    <row r="1496" ht="15.75" customHeight="1">
      <c r="A1496" s="1">
        <v>6349.0</v>
      </c>
      <c r="B1496" s="1" t="s">
        <v>6</v>
      </c>
      <c r="C1496" s="1" t="s">
        <v>1370</v>
      </c>
      <c r="D1496" s="1" t="str">
        <f>IFERROR(__xludf.DUMMYFUNCTION("CONCATENATE(GOOGLETRANSLATE(C1496, ""en"", ""zh-cn""))
"),"FAIRY TAIL (Nintendo Switch) - Nintendo eShop 帐户 - 全球")</f>
        <v>FAIRY TAIL (Nintendo Switch) - Nintendo eShop 帐户 - 全球</v>
      </c>
      <c r="E1496" s="1" t="str">
        <f>IFERROR(__xludf.DUMMYFUNCTION("CONCATENATE(GOOGLETRANSLATE(C1496, ""en"", ""ko""))"),"FAIRY TAIL(Nintendo Switch) - Nintendo eShop 계정 - GLOBAL")</f>
        <v>FAIRY TAIL(Nintendo Switch) - Nintendo eShop 계정 - GLOBAL</v>
      </c>
      <c r="F1496" s="1" t="str">
        <f>IFERROR(__xludf.DUMMYFUNCTION("CONCATENATE(GOOGLETRANSLATE(C1496, ""en"", ""ja""))"),"FAIRY TAIL (Nintendo Switch) - ニンテンドーeショップアカウント - GLOBAL")</f>
        <v>FAIRY TAIL (Nintendo Switch) - ニンテンドーeショップアカウント - GLOBAL</v>
      </c>
    </row>
    <row r="1497" ht="15.75" customHeight="1">
      <c r="A1497" s="1">
        <v>6350.0</v>
      </c>
      <c r="B1497" s="1" t="s">
        <v>6</v>
      </c>
      <c r="C1497" s="1" t="s">
        <v>1371</v>
      </c>
      <c r="D1497" s="1" t="str">
        <f>IFERROR(__xludf.DUMMYFUNCTION("CONCATENATE(GOOGLETRANSLATE(C1497, ""en"", ""zh-cn""))
"),"女神异闻录 5 皇家")</f>
        <v>女神异闻录 5 皇家</v>
      </c>
      <c r="E1497" s="1" t="str">
        <f>IFERROR(__xludf.DUMMYFUNCTION("CONCATENATE(GOOGLETRANSLATE(C1497, ""en"", ""ko""))"),"페르소나 5 로얄")</f>
        <v>페르소나 5 로얄</v>
      </c>
      <c r="F1497" s="1" t="str">
        <f>IFERROR(__xludf.DUMMYFUNCTION("CONCATENATE(GOOGLETRANSLATE(C1497, ""en"", ""ja""))"),"ペルソナ5 ザ・ロイヤル")</f>
        <v>ペルソナ5 ザ・ロイヤル</v>
      </c>
    </row>
    <row r="1498" ht="15.75" customHeight="1">
      <c r="A1498" s="1">
        <v>6385.0</v>
      </c>
      <c r="B1498" s="1" t="s">
        <v>6</v>
      </c>
      <c r="C1498" s="1" t="s">
        <v>1372</v>
      </c>
      <c r="D1498" s="1" t="str">
        <f>IFERROR(__xludf.DUMMYFUNCTION("CONCATENATE(GOOGLETRANSLATE(C1498, ""en"", ""zh-cn""))
"),"阿迪达斯 (adidas) 女式 All Me Essentials 全长打底裤")</f>
        <v>阿迪达斯 (adidas) 女式 All Me Essentials 全长打底裤</v>
      </c>
      <c r="E1498" s="1" t="str">
        <f>IFERROR(__xludf.DUMMYFUNCTION("CONCATENATE(GOOGLETRANSLATE(C1498, ""en"", ""ko""))"),"adidas 여성용 All Me Essentials 전장 레깅스")</f>
        <v>adidas 여성용 All Me Essentials 전장 레깅스</v>
      </c>
      <c r="F1498" s="1" t="str">
        <f>IFERROR(__xludf.DUMMYFUNCTION("CONCATENATE(GOOGLETRANSLATE(C1498, ""en"", ""ja""))"),"adidas レディース オール ミー エッセンシャル フルレングス レギンス")</f>
        <v>adidas レディース オール ミー エッセンシャル フルレングス レギンス</v>
      </c>
    </row>
    <row r="1499" ht="15.75" customHeight="1">
      <c r="A1499" s="1">
        <v>6396.0</v>
      </c>
      <c r="B1499" s="1" t="s">
        <v>6</v>
      </c>
      <c r="C1499" s="1" t="s">
        <v>1373</v>
      </c>
      <c r="D1499" s="1" t="str">
        <f>IFERROR(__xludf.DUMMYFUNCTION("CONCATENATE(GOOGLETRANSLATE(C1499, ""en"", ""zh-cn""))
"),"ASICS 男士弹力针织慢跑裤")</f>
        <v>ASICS 男士弹力针织慢跑裤</v>
      </c>
      <c r="E1499" s="1" t="str">
        <f>IFERROR(__xludf.DUMMYFUNCTION("CONCATENATE(GOOGLETRANSLATE(C1499, ""en"", ""ko""))"),"아식스 남성 스트레치 니트 조거 팬츠")</f>
        <v>아식스 남성 스트레치 니트 조거 팬츠</v>
      </c>
      <c r="F1499" s="1" t="str">
        <f>IFERROR(__xludf.DUMMYFUNCTION("CONCATENATE(GOOGLETRANSLATE(C1499, ""en"", ""ja""))"),"[アシックス] ストレッチニットジョガーパンツ メンズ")</f>
        <v>[アシックス] ストレッチニットジョガーパンツ メンズ</v>
      </c>
    </row>
    <row r="1500" ht="15.75" customHeight="1">
      <c r="A1500" s="1">
        <v>6417.0</v>
      </c>
      <c r="B1500" s="1" t="s">
        <v>6</v>
      </c>
      <c r="C1500" s="1" t="s">
        <v>1374</v>
      </c>
      <c r="D1500" s="1" t="str">
        <f>IFERROR(__xludf.DUMMYFUNCTION("CONCATENATE(GOOGLETRANSLATE(C1500, ""en"", ""zh-cn""))
"),"ASICS GEL-NYC 运动风格运动鞋")</f>
        <v>ASICS GEL-NYC 运动风格运动鞋</v>
      </c>
      <c r="E1500" s="1" t="str">
        <f>IFERROR(__xludf.DUMMYFUNCTION("CONCATENATE(GOOGLETRANSLATE(C1500, ""en"", ""ko""))"),"ASICS GEL-NYC 스포츠스타일 스니커즈")</f>
        <v>ASICS GEL-NYC 스포츠스타일 스니커즈</v>
      </c>
      <c r="F1500" s="1" t="str">
        <f>IFERROR(__xludf.DUMMYFUNCTION("CONCATENATE(GOOGLETRANSLATE(C1500, ""en"", ""ja""))"),"アシックス GEL-NYC スポーツスタイル スニーカー")</f>
        <v>アシックス GEL-NYC スポーツスタイル スニーカー</v>
      </c>
    </row>
    <row r="1501" ht="15.75" customHeight="1">
      <c r="A1501" s="1">
        <v>6419.0</v>
      </c>
      <c r="B1501" s="1" t="s">
        <v>6</v>
      </c>
      <c r="C1501" s="1" t="s">
        <v>1375</v>
      </c>
      <c r="D1501" s="1" t="str">
        <f>IFERROR(__xludf.DUMMYFUNCTION("CONCATENATE(GOOGLETRANSLATE(C1501, ""en"", ""zh-cn""))
"),"ASICS 女式 Gel-Excite 10 跑步鞋")</f>
        <v>ASICS 女式 Gel-Excite 10 跑步鞋</v>
      </c>
      <c r="E1501" s="1" t="str">
        <f>IFERROR(__xludf.DUMMYFUNCTION("CONCATENATE(GOOGLETRANSLATE(C1501, ""en"", ""ko""))"),"아식스 여성용 젤 익사이트 10 런닝")</f>
        <v>아식스 여성용 젤 익사이트 10 런닝</v>
      </c>
      <c r="F1501" s="1" t="str">
        <f>IFERROR(__xludf.DUMMYFUNCTION("CONCATENATE(GOOGLETRANSLATE(C1501, ""en"", ""ja""))"),"アシックス ウィメンズ Gel-Excite 10 ランニング")</f>
        <v>アシックス ウィメンズ Gel-Excite 10 ランニング</v>
      </c>
    </row>
    <row r="1502" ht="15.75" customHeight="1">
      <c r="A1502" s="1">
        <v>6421.0</v>
      </c>
      <c r="B1502" s="1" t="s">
        <v>6</v>
      </c>
      <c r="C1502" s="1" t="s">
        <v>1376</v>
      </c>
      <c r="D1502" s="1" t="str">
        <f>IFERROR(__xludf.DUMMYFUNCTION("CONCATENATE(GOOGLETRANSLATE(C1502, ""en"", ""zh-cn""))
"),"ASICS 男士 EX89")</f>
        <v>ASICS 男士 EX89</v>
      </c>
      <c r="E1502" s="1" t="str">
        <f>IFERROR(__xludf.DUMMYFUNCTION("CONCATENATE(GOOGLETRANSLATE(C1502, ""en"", ""ko""))"),"아식스 남성 EX89")</f>
        <v>아식스 남성 EX89</v>
      </c>
      <c r="F1502" s="1" t="str">
        <f>IFERROR(__xludf.DUMMYFUNCTION("CONCATENATE(GOOGLETRANSLATE(C1502, ""en"", ""ja""))"),"アシックス メンズ EX89")</f>
        <v>アシックス メンズ EX89</v>
      </c>
    </row>
    <row r="1503" ht="15.75" customHeight="1">
      <c r="A1503" s="1">
        <v>6433.0</v>
      </c>
      <c r="B1503" s="1" t="s">
        <v>6</v>
      </c>
      <c r="C1503" s="1" t="s">
        <v>1377</v>
      </c>
      <c r="D1503" s="1" t="str">
        <f>IFERROR(__xludf.DUMMYFUNCTION("CONCATENATE(GOOGLETRANSLATE(C1503, ""en"", ""zh-cn""))
"),"ASICS 女式 Flex 弹力短袖上衣")</f>
        <v>ASICS 女式 Flex 弹力短袖上衣</v>
      </c>
      <c r="E1503" s="1" t="str">
        <f>IFERROR(__xludf.DUMMYFUNCTION("CONCATENATE(GOOGLETRANSLATE(C1503, ""en"", ""ko""))"),"아식스 여성용 플렉스 스트레치 반소매 탑")</f>
        <v>아식스 여성용 플렉스 스트레치 반소매 탑</v>
      </c>
      <c r="F1503" s="1" t="str">
        <f>IFERROR(__xludf.DUMMYFUNCTION("CONCATENATE(GOOGLETRANSLATE(C1503, ""en"", ""ja""))"),"[アシックス] フレックスストレッチ半袖トップ レディース")</f>
        <v>[アシックス] フレックスストレッチ半袖トップ レディース</v>
      </c>
    </row>
    <row r="1504" ht="15.75" customHeight="1">
      <c r="A1504" s="1">
        <v>6472.0</v>
      </c>
      <c r="B1504" s="1" t="s">
        <v>6</v>
      </c>
      <c r="C1504" s="1" t="s">
        <v>1378</v>
      </c>
      <c r="D1504" s="1" t="str">
        <f>IFERROR(__xludf.DUMMYFUNCTION("CONCATENATE(GOOGLETRANSLATE(C1504, ""en"", ""zh-cn""))
"),"Gymshark Sweat 无缝打底裤")</f>
        <v>Gymshark Sweat 无缝打底裤</v>
      </c>
      <c r="E1504" s="1" t="str">
        <f>IFERROR(__xludf.DUMMYFUNCTION("CONCATENATE(GOOGLETRANSLATE(C1504, ""en"", ""ko""))"),"Gymshark 스웨트 심리스 레깅스")</f>
        <v>Gymshark 스웨트 심리스 레깅스</v>
      </c>
      <c r="F1504" s="1" t="str">
        <f>IFERROR(__xludf.DUMMYFUNCTION("CONCATENATE(GOOGLETRANSLATE(C1504, ""en"", ""ja""))"),"ジムシャーク スウェット シームレス レギンス")</f>
        <v>ジムシャーク スウェット シームレス レギンス</v>
      </c>
    </row>
    <row r="1505" ht="15.75" customHeight="1">
      <c r="A1505" s="1">
        <v>6474.0</v>
      </c>
      <c r="B1505" s="1" t="s">
        <v>6</v>
      </c>
      <c r="C1505" s="1" t="s">
        <v>1379</v>
      </c>
      <c r="D1505" s="1" t="str">
        <f>IFERROR(__xludf.DUMMYFUNCTION("CONCATENATE(GOOGLETRANSLATE(C1505, ""en"", ""zh-cn""))
"),"Lululemon Run Adapted State 高腰全长慢跑裤")</f>
        <v>Lululemon Run Adapted State 高腰全长慢跑裤</v>
      </c>
      <c r="E1505" s="1" t="str">
        <f>IFERROR(__xludf.DUMMYFUNCTION("CONCATENATE(GOOGLETRANSLATE(C1505, ""en"", ""ko""))"),"Lululemon Run 어댑티드 스테이트 하이라이즈 전장 조거 팬츠")</f>
        <v>Lululemon Run 어댑티드 스테이트 하이라이즈 전장 조거 팬츠</v>
      </c>
      <c r="F1505" s="1" t="str">
        <f>IFERROR(__xludf.DUMMYFUNCTION("CONCATENATE(GOOGLETRANSLATE(C1505, ""en"", ""ja""))"),"ルルレモン ラン アダプト ステート ハイライズ フルレングス ジョガー パンツ")</f>
        <v>ルルレモン ラン アダプト ステート ハイライズ フルレングス ジョガー パンツ</v>
      </c>
    </row>
    <row r="1506" ht="15.75" customHeight="1">
      <c r="A1506" s="1">
        <v>6490.0</v>
      </c>
      <c r="B1506" s="1" t="s">
        <v>6</v>
      </c>
      <c r="C1506" s="1" t="s">
        <v>1380</v>
      </c>
      <c r="D1506" s="1" t="str">
        <f>IFERROR(__xludf.DUMMYFUNCTION("CONCATENATE(GOOGLETRANSLATE(C1506, ""en"", ""zh-cn""))
"),"Lululemon 女式 Cross Chill 高性能夹克")</f>
        <v>Lululemon 女式 Cross Chill 高性能夹克</v>
      </c>
      <c r="E1506" s="1" t="str">
        <f>IFERROR(__xludf.DUMMYFUNCTION("CONCATENATE(GOOGLETRANSLATE(C1506, ""en"", ""ko""))"),"Lululemon 여성용 크로스 칠 퍼포먼스 재킷")</f>
        <v>Lululemon 여성용 크로스 칠 퍼포먼스 재킷</v>
      </c>
      <c r="F1506" s="1" t="str">
        <f>IFERROR(__xludf.DUMMYFUNCTION("CONCATENATE(GOOGLETRANSLATE(C1506, ""en"", ""ja""))"),"ルルレモン レディース クロスチル パフォーマンス ジャケット")</f>
        <v>ルルレモン レディース クロスチル パフォーマンス ジャケット</v>
      </c>
    </row>
    <row r="1507" ht="15.75" customHeight="1">
      <c r="A1507" s="1">
        <v>6505.0</v>
      </c>
      <c r="B1507" s="1" t="s">
        <v>6</v>
      </c>
      <c r="C1507" s="1" t="s">
        <v>1381</v>
      </c>
      <c r="D1507" s="1" t="str">
        <f>IFERROR(__xludf.DUMMYFUNCTION("CONCATENATE(GOOGLETRANSLATE(C1507, ""en"", ""zh-cn""))
"),"Lululemon 女式高腰全长慢跑裤")</f>
        <v>Lululemon 女式高腰全长慢跑裤</v>
      </c>
      <c r="E1507" s="1" t="str">
        <f>IFERROR(__xludf.DUMMYFUNCTION("CONCATENATE(GOOGLETRANSLATE(C1507, ""en"", ""ko""))"),"Lululemon 여성용 하이라이즈 전장 런닝 조거")</f>
        <v>Lululemon 여성용 하이라이즈 전장 런닝 조거</v>
      </c>
      <c r="F1507" s="1" t="str">
        <f>IFERROR(__xludf.DUMMYFUNCTION("CONCATENATE(GOOGLETRANSLATE(C1507, ""en"", ""ja""))"),"ルルレモン レディース ハイライズ フルレングス ランニング ジョガー")</f>
        <v>ルルレモン レディース ハイライズ フルレングス ランニング ジョガー</v>
      </c>
    </row>
    <row r="1508" ht="15.75" customHeight="1">
      <c r="A1508" s="1">
        <v>6507.0</v>
      </c>
      <c r="B1508" s="1" t="s">
        <v>6</v>
      </c>
      <c r="C1508" s="1" t="s">
        <v>1382</v>
      </c>
      <c r="D1508" s="1" t="str">
        <f>IFERROR(__xludf.DUMMYFUNCTION("CONCATENATE(GOOGLETRANSLATE(C1508, ""en"", ""zh-cn""))
"),"Lululemon 女式改编 State 高腰全长抓绒慢跑裤")</f>
        <v>Lululemon 女式改编 State 高腰全长抓绒慢跑裤</v>
      </c>
      <c r="E1508" s="1" t="str">
        <f>IFERROR(__xludf.DUMMYFUNCTION("CONCATENATE(GOOGLETRANSLATE(C1508, ""en"", ""ko""))"),"Lululemon 여성용 어댑티드 스테이트 하이라이즈 전체 길이 플리스 조거")</f>
        <v>Lululemon 여성용 어댑티드 스테이트 하이라이즈 전체 길이 플리스 조거</v>
      </c>
      <c r="F1508" s="1" t="str">
        <f>IFERROR(__xludf.DUMMYFUNCTION("CONCATENATE(GOOGLETRANSLATE(C1508, ""en"", ""ja""))"),"ルルレモン レディース アダプテッド ステート ハイライズ フルレングス フリース ジョガー")</f>
        <v>ルルレモン レディース アダプテッド ステート ハイライズ フルレングス フリース ジョガー</v>
      </c>
    </row>
    <row r="1509" ht="15.75" customHeight="1">
      <c r="A1509" s="1">
        <v>6524.0</v>
      </c>
      <c r="B1509" s="1" t="s">
        <v>6</v>
      </c>
      <c r="C1509" s="1" t="s">
        <v>1383</v>
      </c>
      <c r="D1509" s="1" t="str">
        <f>IFERROR(__xludf.DUMMYFUNCTION("CONCATENATE(GOOGLETRANSLATE(C1509, ""en"", ""zh-cn""))
"),"耐克男式 Tech Fleece 全拉链 Windrunner 连帽衫")</f>
        <v>耐克男式 Tech Fleece 全拉链 Windrunner 连帽衫</v>
      </c>
      <c r="E1509" s="1" t="str">
        <f>IFERROR(__xludf.DUMMYFUNCTION("CONCATENATE(GOOGLETRANSLATE(C1509, ""en"", ""ko""))"),"나이키 남성 테크 플리스 풀집 윈드러너 후디")</f>
        <v>나이키 남성 테크 플리스 풀집 윈드러너 후디</v>
      </c>
      <c r="F1509" s="1" t="str">
        <f>IFERROR(__xludf.DUMMYFUNCTION("CONCATENATE(GOOGLETRANSLATE(C1509, ""en"", ""ja""))"),"ナイキ メンズ テック フリース フルジップ ウィンドランナー パーカー")</f>
        <v>ナイキ メンズ テック フリース フルジップ ウィンドランナー パーカー</v>
      </c>
    </row>
    <row r="1510" ht="15.75" customHeight="1">
      <c r="A1510" s="1">
        <v>6543.0</v>
      </c>
      <c r="B1510" s="1" t="s">
        <v>6</v>
      </c>
      <c r="C1510" s="1" t="s">
        <v>1384</v>
      </c>
      <c r="D1510" s="1" t="str">
        <f>IFERROR(__xludf.DUMMYFUNCTION("CONCATENATE(GOOGLETRANSLATE(C1510, ""en"", ""zh-cn""))
"),"耐克女式运动装必备高腰梭织长裤")</f>
        <v>耐克女式运动装必备高腰梭织长裤</v>
      </c>
      <c r="E1510" s="1" t="str">
        <f>IFERROR(__xludf.DUMMYFUNCTION("CONCATENATE(GOOGLETRANSLATE(C1510, ""en"", ""ko""))"),"나이키 여성 스포츠웨어 에센셜 하이라이즈 우븐 팬츠")</f>
        <v>나이키 여성 스포츠웨어 에센셜 하이라이즈 우븐 팬츠</v>
      </c>
      <c r="F1510" s="1" t="str">
        <f>IFERROR(__xludf.DUMMYFUNCTION("CONCATENATE(GOOGLETRANSLATE(C1510, ""en"", ""ja""))"),"ナイキ レディース スポーツウェア エッセンシャル ハイライズ ウーブン パンツ")</f>
        <v>ナイキ レディース スポーツウェア エッセンシャル ハイライズ ウーブン パンツ</v>
      </c>
    </row>
    <row r="1511" ht="15.75" customHeight="1">
      <c r="A1511" s="1">
        <v>6555.0</v>
      </c>
      <c r="B1511" s="1" t="s">
        <v>6</v>
      </c>
      <c r="C1511" s="1" t="s">
        <v>1385</v>
      </c>
      <c r="D1511" s="1" t="str">
        <f>IFERROR(__xludf.DUMMYFUNCTION("CONCATENATE(GOOGLETRANSLATE(C1511, ""en"", ""zh-cn""))
"),"Puma MagMax Nitro 男式")</f>
        <v>Puma MagMax Nitro 男式</v>
      </c>
      <c r="E1511" s="1" t="str">
        <f>IFERROR(__xludf.DUMMYFUNCTION("CONCATENATE(GOOGLETRANSLATE(C1511, ""en"", ""ko""))"),"푸마 MagMax 니트로 남성용")</f>
        <v>푸마 MagMax 니트로 남성용</v>
      </c>
      <c r="F1511" s="1" t="str">
        <f>IFERROR(__xludf.DUMMYFUNCTION("CONCATENATE(GOOGLETRANSLATE(C1511, ""en"", ""ja""))"),"プーマ マグマックス ニトロ メンズ")</f>
        <v>プーマ マグマックス ニトロ メンズ</v>
      </c>
    </row>
    <row r="1512" ht="15.75" customHeight="1">
      <c r="A1512" s="1">
        <v>6564.0</v>
      </c>
      <c r="B1512" s="1" t="s">
        <v>6</v>
      </c>
      <c r="C1512" s="1" t="s">
        <v>1386</v>
      </c>
      <c r="D1512" s="1" t="str">
        <f>IFERROR(__xludf.DUMMYFUNCTION("CONCATENATE(GOOGLETRANSLATE(C1512, ""en"", ""zh-cn""))
"),"PUMA 男士休闲圆领运动衫")</f>
        <v>PUMA 男士休闲圆领运动衫</v>
      </c>
      <c r="E1512" s="1" t="str">
        <f>IFERROR(__xludf.DUMMYFUNCTION("CONCATENATE(GOOGLETRANSLATE(C1512, ""en"", ""ko""))"),"PUMA 남성용 릴랙스 크루 스웨트셔츠")</f>
        <v>PUMA 남성용 릴랙스 크루 스웨트셔츠</v>
      </c>
      <c r="F1512" s="1" t="str">
        <f>IFERROR(__xludf.DUMMYFUNCTION("CONCATENATE(GOOGLETRANSLATE(C1512, ""en"", ""ja""))"),"PUMA メンズ リラックス クルー スウェットシャツ")</f>
        <v>PUMA メンズ リラックス クルー スウェットシャツ</v>
      </c>
    </row>
    <row r="1513" ht="15.75" customHeight="1">
      <c r="A1513" s="1">
        <v>6594.0</v>
      </c>
      <c r="B1513" s="1" t="s">
        <v>6</v>
      </c>
      <c r="C1513" s="1" t="s">
        <v>1387</v>
      </c>
      <c r="D1513" s="1" t="str">
        <f>IFERROR(__xludf.DUMMYFUNCTION("CONCATENATE(GOOGLETRANSLATE(C1513, ""en"", ""zh-cn""))
"),"Reebok Classics Vector 运动夹克")</f>
        <v>Reebok Classics Vector 运动夹克</v>
      </c>
      <c r="E1513" s="1" t="str">
        <f>IFERROR(__xludf.DUMMYFUNCTION("CONCATENATE(GOOGLETRANSLATE(C1513, ""en"", ""ko""))"),"Reebok Classics 벡터 트랙 재킷")</f>
        <v>Reebok Classics 벡터 트랙 재킷</v>
      </c>
      <c r="F1513" s="1" t="str">
        <f>IFERROR(__xludf.DUMMYFUNCTION("CONCATENATE(GOOGLETRANSLATE(C1513, ""en"", ""ja""))"),"リーボック クラシック ベクター トラック ジャケット")</f>
        <v>リーボック クラシック ベクター トラック ジャケット</v>
      </c>
    </row>
    <row r="1514" ht="15.75" customHeight="1">
      <c r="A1514" s="1">
        <v>6606.0</v>
      </c>
      <c r="B1514" s="1" t="s">
        <v>6</v>
      </c>
      <c r="C1514" s="1" t="s">
        <v>1388</v>
      </c>
      <c r="D1514" s="1" t="str">
        <f>IFERROR(__xludf.DUMMYFUNCTION("CONCATENATE(GOOGLETRANSLATE(C1514, ""en"", ""zh-cn""))
"),"Reebok 男士 Identity 小号徽标抓绒慢跑裤")</f>
        <v>Reebok 男士 Identity 小号徽标抓绒慢跑裤</v>
      </c>
      <c r="E1514" s="1" t="str">
        <f>IFERROR(__xludf.DUMMYFUNCTION("CONCATENATE(GOOGLETRANSLATE(C1514, ""en"", ""ko""))"),"Reebok 남성 아이덴티티 스몰 로고 플리스 조거팬츠")</f>
        <v>Reebok 남성 아이덴티티 스몰 로고 플리스 조거팬츠</v>
      </c>
      <c r="F1514" s="1" t="str">
        <f>IFERROR(__xludf.DUMMYFUNCTION("CONCATENATE(GOOGLETRANSLATE(C1514, ""en"", ""ja""))"),"Reebok メンズ アイデンティティ スモール ロゴ フリース ジョガー")</f>
        <v>Reebok メンズ アイデンティティ スモール ロゴ フリース ジョガー</v>
      </c>
    </row>
    <row r="1515" ht="15.75" customHeight="1">
      <c r="A1515" s="1">
        <v>6654.0</v>
      </c>
      <c r="B1515" s="1" t="s">
        <v>6</v>
      </c>
      <c r="C1515" s="1" t="s">
        <v>1389</v>
      </c>
      <c r="D1515" s="1" t="str">
        <f>IFERROR(__xludf.DUMMYFUNCTION("CONCATENATE(GOOGLETRANSLATE(C1515, ""en"", ""zh-cn""))
"),"Hivago 壁挂式浴室储物医药柜带毛巾杆")</f>
        <v>Hivago 壁挂式浴室储物医药柜带毛巾杆</v>
      </c>
      <c r="E1515" s="1" t="str">
        <f>IFERROR(__xludf.DUMMYFUNCTION("CONCATENATE(GOOGLETRANSLATE(C1515, ""en"", ""ko""))"),"수건 걸이가 있는 Hivago 벽걸이형 욕실 보관 약장")</f>
        <v>수건 걸이가 있는 Hivago 벽걸이형 욕실 보관 약장</v>
      </c>
      <c r="F1515" s="1" t="str">
        <f>IFERROR(__xludf.DUMMYFUNCTION("CONCATENATE(GOOGLETRANSLATE(C1515, ""en"", ""ja""))"),"Hivago 壁掛けバスルーム収納薬キャビネット タオルバー付き")</f>
        <v>Hivago 壁掛けバスルーム収納薬キャビネット タオルバー付き</v>
      </c>
    </row>
    <row r="1516" ht="15.75" customHeight="1">
      <c r="A1516" s="1">
        <v>6679.0</v>
      </c>
      <c r="B1516" s="1" t="s">
        <v>6</v>
      </c>
      <c r="C1516" s="1" t="s">
        <v>1390</v>
      </c>
      <c r="D1516" s="1" t="str">
        <f>IFERROR(__xludf.DUMMYFUNCTION("CONCATENATE(GOOGLETRANSLATE(C1516, ""en"", ""zh-cn""))
"),"Ktaxon 木质浴室地柜")</f>
        <v>Ktaxon 木质浴室地柜</v>
      </c>
      <c r="E1516" s="1" t="str">
        <f>IFERROR(__xludf.DUMMYFUNCTION("CONCATENATE(GOOGLETRANSLATE(C1516, ""en"", ""ko""))"),"Ktaxon 나무 욕실 바닥 캐비닛")</f>
        <v>Ktaxon 나무 욕실 바닥 캐비닛</v>
      </c>
      <c r="F1516" s="1" t="str">
        <f>IFERROR(__xludf.DUMMYFUNCTION("CONCATENATE(GOOGLETRANSLATE(C1516, ""en"", ""ja""))"),"Ktaxon 木製バスルームフロアキャビネット")</f>
        <v>Ktaxon 木製バスルームフロアキャビネット</v>
      </c>
    </row>
    <row r="1517" ht="15.75" customHeight="1">
      <c r="A1517" s="1">
        <v>6696.0</v>
      </c>
      <c r="B1517" s="1" t="s">
        <v>6</v>
      </c>
      <c r="C1517" s="1" t="s">
        <v>1391</v>
      </c>
      <c r="D1517" s="1" t="str">
        <f>IFERROR(__xludf.DUMMYFUNCTION("CONCATENATE(GOOGLETRANSLATE(C1517, ""en"", ""zh-cn""))
"),"Ktaxon 壁挂式镜面药柜")</f>
        <v>Ktaxon 壁挂式镜面药柜</v>
      </c>
      <c r="E1517" s="1" t="str">
        <f>IFERROR(__xludf.DUMMYFUNCTION("CONCATENATE(GOOGLETRANSLATE(C1517, ""en"", ""ko""))"),"Ktaxon 벽걸이 형 거울 약장")</f>
        <v>Ktaxon 벽걸이 형 거울 약장</v>
      </c>
      <c r="F1517" s="1" t="str">
        <f>IFERROR(__xludf.DUMMYFUNCTION("CONCATENATE(GOOGLETRANSLATE(C1517, ""en"", ""ja""))"),"Ktaxon 壁掛けミラー薬品キャビネット")</f>
        <v>Ktaxon 壁掛けミラー薬品キャビネット</v>
      </c>
    </row>
    <row r="1518" ht="15.75" customHeight="1">
      <c r="A1518" s="1">
        <v>6717.0</v>
      </c>
      <c r="B1518" s="1" t="s">
        <v>6</v>
      </c>
      <c r="C1518" s="1" t="s">
        <v>1392</v>
      </c>
      <c r="D1518" s="1" t="str">
        <f>IFERROR(__xludf.DUMMYFUNCTION("CONCATENATE(GOOGLETRANSLATE(C1518, ""en"", ""zh-cn""))
"),"Fluidmaster 马桶进水阀 400A")</f>
        <v>Fluidmaster 马桶进水阀 400A</v>
      </c>
      <c r="E1518" s="1" t="str">
        <f>IFERROR(__xludf.DUMMYFUNCTION("CONCATENATE(GOOGLETRANSLATE(C1518, ""en"", ""ko""))"),"Fluidmaster 화장실 채우기 밸브 400A")</f>
        <v>Fluidmaster 화장실 채우기 밸브 400A</v>
      </c>
      <c r="F1518" s="1" t="str">
        <f>IFERROR(__xludf.DUMMYFUNCTION("CONCATENATE(GOOGLETRANSLATE(C1518, ""en"", ""ja""))"),"Fluidmaster トイレ充填バルブ 400A")</f>
        <v>Fluidmaster トイレ充填バルブ 400A</v>
      </c>
    </row>
    <row r="1519" ht="15.75" customHeight="1">
      <c r="A1519" s="1">
        <v>6718.0</v>
      </c>
      <c r="B1519" s="1" t="s">
        <v>6</v>
      </c>
      <c r="C1519" s="1" t="s">
        <v>1393</v>
      </c>
      <c r="D1519" s="1" t="str">
        <f>IFERROR(__xludf.DUMMYFUNCTION("CONCATENATE(GOOGLETRANSLATE(C1519, ""en"", ""zh-cn""))
"),"Fluidmaster PRO45 马桶进水阀")</f>
        <v>Fluidmaster PRO45 马桶进水阀</v>
      </c>
      <c r="E1519" s="1" t="str">
        <f>IFERROR(__xludf.DUMMYFUNCTION("CONCATENATE(GOOGLETRANSLATE(C1519, ""en"", ""ko""))"),"Fluidmaster PRO45 변기 채우기 밸브")</f>
        <v>Fluidmaster PRO45 변기 채우기 밸브</v>
      </c>
      <c r="F1519" s="1" t="str">
        <f>IFERROR(__xludf.DUMMYFUNCTION("CONCATENATE(GOOGLETRANSLATE(C1519, ""en"", ""ja""))"),"Fluidmaster PRO45 トイレ充填バルブ")</f>
        <v>Fluidmaster PRO45 トイレ充填バルブ</v>
      </c>
    </row>
    <row r="1520" ht="15.75" customHeight="1">
      <c r="A1520" s="1">
        <v>6758.0</v>
      </c>
      <c r="B1520" s="1" t="s">
        <v>6</v>
      </c>
      <c r="C1520" s="1" t="s">
        <v>1394</v>
      </c>
      <c r="D1520" s="1" t="str">
        <f>IFERROR(__xludf.DUMMYFUNCTION("CONCATENATE(GOOGLETRANSLATE(C1520, ""en"", ""zh-cn""))
"),"Brita Hub 紧凑型台面滤水装置")</f>
        <v>Brita Hub 紧凑型台面滤水装置</v>
      </c>
      <c r="E1520" s="1" t="str">
        <f>IFERROR(__xludf.DUMMYFUNCTION("CONCATENATE(GOOGLETRANSLATE(C1520, ""en"", ""ko""))"),"브리타 허브 컴팩트 수조 정수 장치")</f>
        <v>브리타 허브 컴팩트 수조 정수 장치</v>
      </c>
      <c r="F1520" s="1" t="str">
        <f>IFERROR(__xludf.DUMMYFUNCTION("CONCATENATE(GOOGLETRANSLATE(C1520, ""en"", ""ja""))"),"Brita Hub コンパクトなカウンタートップ水ろ過装置")</f>
        <v>Brita Hub コンパクトなカウンタートップ水ろ過装置</v>
      </c>
    </row>
    <row r="1521" ht="15.75" customHeight="1">
      <c r="A1521" s="1">
        <v>6831.0</v>
      </c>
      <c r="B1521" s="1" t="s">
        <v>6</v>
      </c>
      <c r="C1521" s="1" t="s">
        <v>1395</v>
      </c>
      <c r="D1521" s="1" t="str">
        <f>IFERROR(__xludf.DUMMYFUNCTION("CONCATENATE(GOOGLETRANSLATE(C1521, ""en"", ""zh-cn""))
"),"PUR MineralClear 替换水龙头过滤器 4 件装")</f>
        <v>PUR MineralClear 替换水龙头过滤器 4 件装</v>
      </c>
      <c r="E1521" s="1" t="str">
        <f>IFERROR(__xludf.DUMMYFUNCTION("CONCATENATE(GOOGLETRANSLATE(C1521, ""en"", ""ko""))"),"PUR MineralClear 교체용 수전 필터 4팩")</f>
        <v>PUR MineralClear 교체용 수전 필터 4팩</v>
      </c>
      <c r="F1521" s="1" t="str">
        <f>IFERROR(__xludf.DUMMYFUNCTION("CONCATENATE(GOOGLETRANSLATE(C1521, ""en"", ""ja""))"),"PUR MineralClear 交換用蛇口フィルター 4 個パック")</f>
        <v>PUR MineralClear 交換用蛇口フィルター 4 個パック</v>
      </c>
    </row>
    <row r="1522" ht="15.75" customHeight="1">
      <c r="A1522" s="1">
        <v>6837.0</v>
      </c>
      <c r="B1522" s="1" t="s">
        <v>6</v>
      </c>
      <c r="C1522" s="1" t="s">
        <v>1396</v>
      </c>
      <c r="D1522" s="1" t="str">
        <f>IFERROR(__xludf.DUMMYFUNCTION("CONCATENATE(GOOGLETRANSLATE(C1522, ""en"", ""zh-cn""))
"),"Equate 女性头发再生治疗 3 个月供应量，美国，2 盎司")</f>
        <v>Equate 女性头发再生治疗 3 个月供应量，美国，2 盎司</v>
      </c>
      <c r="E1522" s="1" t="str">
        <f>IFERROR(__xludf.DUMMYFUNCTION("CONCATENATE(GOOGLETRANSLATE(C1522, ""en"", ""ko""))"),"여성용 Equate 모발 재성장 치료 3개월분 미국, 2온스")</f>
        <v>여성용 Equate 모발 재성장 치료 3개월분 미국, 2온스</v>
      </c>
      <c r="F1522" s="1" t="str">
        <f>IFERROR(__xludf.DUMMYFUNCTION("CONCATENATE(GOOGLETRANSLATE(C1522, ""en"", ""ja""))"),"Equate 発毛トリートメント 女性用 3 か月分 米国、2 オンス")</f>
        <v>Equate 発毛トリートメント 女性用 3 か月分 米国、2 オンス</v>
      </c>
    </row>
    <row r="1523" ht="15.75" customHeight="1">
      <c r="A1523" s="1">
        <v>6852.0</v>
      </c>
      <c r="B1523" s="1" t="s">
        <v>6</v>
      </c>
      <c r="C1523" s="1" t="s">
        <v>1397</v>
      </c>
      <c r="D1523" s="1" t="str">
        <f>IFERROR(__xludf.DUMMYFUNCTION("CONCATENATE(GOOGLETRANSLATE(C1523, ""en"", ""zh-cn""))
"),"3 包最大强度 Vagicaine 止痒霜，1 盎司，By Equate（3 包）")</f>
        <v>3 包最大强度 Vagicaine 止痒霜，1 盎司，By Equate（3 包）</v>
      </c>
      <c r="E1523" s="1" t="str">
        <f>IFERROR(__xludf.DUMMYFUNCTION("CONCATENATE(GOOGLETRANSLATE(C1523, ""en"", ""ko""))"),"최대 강도 질케인 가려움증 크림 3팩, 1온스, By Equate(3팩)")</f>
        <v>최대 강도 질케인 가려움증 크림 3팩, 1온스, By Equate(3팩)</v>
      </c>
      <c r="F1523" s="1" t="str">
        <f>IFERROR(__xludf.DUMMYFUNCTION("CONCATENATE(GOOGLETRANSLATE(C1523, ""en"", ""ja""))"),"マキシマム ストレングス ヴァジカイン かゆみ止めクリーム 3 パック、1 オンス、Equate 製 (3 パック)")</f>
        <v>マキシマム ストレングス ヴァジカイン かゆみ止めクリーム 3 パック、1 オンス、Equate 製 (3 パック)</v>
      </c>
    </row>
    <row r="1524" ht="15.75" customHeight="1">
      <c r="A1524" s="1">
        <v>6856.0</v>
      </c>
      <c r="B1524" s="1" t="s">
        <v>6</v>
      </c>
      <c r="C1524" s="1" t="s">
        <v>1398</v>
      </c>
      <c r="D1524" s="1" t="str">
        <f>IFERROR(__xludf.DUMMYFUNCTION("CONCATENATE(GOOGLETRANSLATE(C1524, ""en"", ""zh-cn""))
"),"Equate 女性米诺地尔外用溶液促进头发再生")</f>
        <v>Equate 女性米诺地尔外用溶液促进头发再生</v>
      </c>
      <c r="E1524" s="1" t="str">
        <f>IFERROR(__xludf.DUMMYFUNCTION("CONCATENATE(GOOGLETRANSLATE(C1524, ""en"", ""ko""))"),"모발 재성장을 위한 여성용 미녹시딜 국소 솔루션")</f>
        <v>모발 재성장을 위한 여성용 미녹시딜 국소 솔루션</v>
      </c>
      <c r="F1524" s="1" t="str">
        <f>IFERROR(__xludf.DUMMYFUNCTION("CONCATENATE(GOOGLETRANSLATE(C1524, ""en"", ""ja""))"),"女性用ミノキシジル局所ソリューションを発毛に同等とみなす")</f>
        <v>女性用ミノキシジル局所ソリューションを発毛に同等とみなす</v>
      </c>
    </row>
    <row r="1525" ht="15.75" customHeight="1">
      <c r="A1525" s="1">
        <v>6884.0</v>
      </c>
      <c r="B1525" s="1" t="s">
        <v>6</v>
      </c>
      <c r="C1525" s="1" t="s">
        <v>1399</v>
      </c>
      <c r="D1525" s="1" t="str">
        <f>IFERROR(__xludf.DUMMYFUNCTION("CONCATENATE(GOOGLETRANSLATE(C1525, ""en"", ""zh-cn""))
"),"Hi-Pro-Pac 极度受损头发强效蛋白质护理")</f>
        <v>Hi-Pro-Pac 极度受损头发强效蛋白质护理</v>
      </c>
      <c r="E1525" s="1" t="str">
        <f>IFERROR(__xludf.DUMMYFUNCTION("CONCATENATE(GOOGLETRANSLATE(C1525, ""en"", ""ko""))"),"하이프로팩 ​​극손상 모발 인텐스 프로틴 트리트먼트")</f>
        <v>하이프로팩 ​​극손상 모발 인텐스 프로틴 트리트먼트</v>
      </c>
      <c r="F1525" s="1" t="str">
        <f>IFERROR(__xludf.DUMMYFUNCTION("CONCATENATE(GOOGLETRANSLATE(C1525, ""en"", ""ja""))"),"Hi-Pro-Pac 極度ダメージヘア インテンス プロテイン トリートメント")</f>
        <v>Hi-Pro-Pac 極度ダメージヘア インテンス プロテイン トリートメント</v>
      </c>
    </row>
    <row r="1526" ht="15.75" customHeight="1">
      <c r="A1526" s="1">
        <v>6895.0</v>
      </c>
      <c r="B1526" s="1" t="s">
        <v>6</v>
      </c>
      <c r="C1526" s="1" t="s">
        <v>1400</v>
      </c>
      <c r="D1526" s="1" t="str">
        <f>IFERROR(__xludf.DUMMYFUNCTION("CONCATENATE(GOOGLETRANSLATE(C1526, ""en"", ""zh-cn""))
"),"Demert Hi Pro Pac 角蛋白保养补充发膜")</f>
        <v>Demert Hi Pro Pac 角蛋白保养补充发膜</v>
      </c>
      <c r="E1526" s="1" t="str">
        <f>IFERROR(__xludf.DUMMYFUNCTION("CONCATENATE(GOOGLETRANSLATE(C1526, ""en"", ""ko""))"),"데메르트 하이 프로 팩 케라틴 유지 보수 헤어 마스크")</f>
        <v>데메르트 하이 프로 팩 케라틴 유지 보수 헤어 마스크</v>
      </c>
      <c r="F1526" s="1" t="str">
        <f>IFERROR(__xludf.DUMMYFUNCTION("CONCATENATE(GOOGLETRANSLATE(C1526, ""en"", ""ja""))"),"Demert Hi Pro Pac ケラチン メンテナンス リプレニシング ヘア マスク")</f>
        <v>Demert Hi Pro Pac ケラチン メンテナンス リプレニシング ヘア マスク</v>
      </c>
    </row>
    <row r="1527" ht="15.75" customHeight="1">
      <c r="A1527" s="1">
        <v>6907.0</v>
      </c>
      <c r="B1527" s="1" t="s">
        <v>6</v>
      </c>
      <c r="C1527" s="1" t="s">
        <v>1401</v>
      </c>
      <c r="D1527" s="1" t="str">
        <f>IFERROR(__xludf.DUMMYFUNCTION("CONCATENATE(GOOGLETRANSLATE(C1527, ""en"", ""zh-cn""))
"),"Hi-pro-pac Treat 极度受损 Hari 修复强效蛋白质管 8 盎司 6 件装")</f>
        <v>Hi-pro-pac Treat 极度受损 Hari 修复强效蛋白质管 8 盎司 6 件装</v>
      </c>
      <c r="E1527" s="1" t="str">
        <f>IFERROR(__xludf.DUMMYFUNCTION("CONCATENATE(GOOGLETRANSLATE(C1527, ""en"", ""ko""))"),"Hi-pro-pac 극도로 손상된 하리 복구 강화 단백질 튜브 8온스 6팩 치료")</f>
        <v>Hi-pro-pac 극도로 손상된 하리 복구 강화 단백질 튜브 8온스 6팩 치료</v>
      </c>
      <c r="F1527" s="1" t="str">
        <f>IFERROR(__xludf.DUMMYFUNCTION("CONCATENATE(GOOGLETRANSLATE(C1527, ""en"", ""ja""))"),"Hi-pro-pac トリート 極度にダメージを受けたハリ リペア インテンス プロテイン チューブ 8 オンス 6 パック")</f>
        <v>Hi-pro-pac トリート 極度にダメージを受けたハリ リペア インテンス プロテイン チューブ 8 オンス 6 パック</v>
      </c>
    </row>
    <row r="1528" ht="15.75" customHeight="1">
      <c r="A1528" s="1">
        <v>6912.0</v>
      </c>
      <c r="B1528" s="1" t="s">
        <v>6</v>
      </c>
      <c r="C1528" s="1" t="s">
        <v>1402</v>
      </c>
      <c r="D1528" s="1" t="str">
        <f>IFERROR(__xludf.DUMMYFUNCTION("CONCATENATE(GOOGLETRANSLATE(C1528, ""en"", ""zh-cn""))
"),"Hi-pro Packette 极度蛋白质处理")</f>
        <v>Hi-pro Packette 极度蛋白质处理</v>
      </c>
      <c r="E1528" s="1" t="str">
        <f>IFERROR(__xludf.DUMMYFUNCTION("CONCATENATE(GOOGLETRANSLATE(C1528, ""en"", ""ko""))"),"하이프로패킷 익스트림 프로틴 트리트먼트")</f>
        <v>하이프로패킷 익스트림 프로틴 트리트먼트</v>
      </c>
      <c r="F1528" s="1" t="str">
        <f>IFERROR(__xludf.DUMMYFUNCTION("CONCATENATE(GOOGLETRANSLATE(C1528, ""en"", ""ja""))"),"ハイプロパケットエクストリームプロテイントリートメント")</f>
        <v>ハイプロパケットエクストリームプロテイントリートメント</v>
      </c>
    </row>
    <row r="1529" ht="15.75" customHeight="1">
      <c r="A1529" s="1">
        <v>6916.0</v>
      </c>
      <c r="B1529" s="1" t="s">
        <v>6</v>
      </c>
      <c r="C1529" s="1" t="s">
        <v>1403</v>
      </c>
      <c r="D1529" s="1" t="str">
        <f>IFERROR(__xludf.DUMMYFUNCTION("CONCATENATE(GOOGLETRANSLATE(C1529, ""en"", ""zh-cn""))
"),"露得清现场痤疮治疗")</f>
        <v>露得清现场痤疮治疗</v>
      </c>
      <c r="E1529" s="1" t="str">
        <f>IFERROR(__xludf.DUMMYFUNCTION("CONCATENATE(GOOGLETRANSLATE(C1529, ""en"", ""ko""))"),"뉴트로지나 온 더 스팟 여드름 치료")</f>
        <v>뉴트로지나 온 더 스팟 여드름 치료</v>
      </c>
      <c r="F1529" s="1" t="str">
        <f>IFERROR(__xludf.DUMMYFUNCTION("CONCATENATE(GOOGLETRANSLATE(C1529, ""en"", ""ja""))"),"ニュートロジーナのオンザスポットニキビ治療")</f>
        <v>ニュートロジーナのオンザスポットニキビ治療</v>
      </c>
    </row>
    <row r="1530" ht="15.75" customHeight="1">
      <c r="A1530" s="1">
        <v>6919.0</v>
      </c>
      <c r="B1530" s="1" t="s">
        <v>6</v>
      </c>
      <c r="C1530" s="1" t="s">
        <v>1404</v>
      </c>
      <c r="D1530" s="1" t="str">
        <f>IFERROR(__xludf.DUMMYFUNCTION("CONCATENATE(GOOGLETRANSLATE(C1530, ""en"", ""zh-cn""))
"),"露得清快速清除顽固痤疮斑凝胶")</f>
        <v>露得清快速清除顽固痤疮斑凝胶</v>
      </c>
      <c r="E1530" s="1" t="str">
        <f>IFERROR(__xludf.DUMMYFUNCTION("CONCATENATE(GOOGLETRANSLATE(C1530, ""en"", ""ko""))"),"뉴트로지나 래피드 클리어 스터번 아크네 스팟 젤")</f>
        <v>뉴트로지나 래피드 클리어 스터번 아크네 스팟 젤</v>
      </c>
      <c r="F1530" s="1" t="str">
        <f>IFERROR(__xludf.DUMMYFUNCTION("CONCATENATE(GOOGLETRANSLATE(C1530, ""en"", ""ja""))"),"ニュートロジーナ ラピッド クリア 頑固なニキビスポット ジェル")</f>
        <v>ニュートロジーナ ラピッド クリア 頑固なニキビスポット ジェル</v>
      </c>
    </row>
    <row r="1531" ht="15.75" customHeight="1">
      <c r="A1531" s="1">
        <v>3152.0</v>
      </c>
      <c r="B1531" s="1" t="s">
        <v>51</v>
      </c>
      <c r="C1531" s="1" t="s">
        <v>1405</v>
      </c>
      <c r="D1531" s="1" t="str">
        <f>IFERROR(__xludf.DUMMYFUNCTION("CONCATENATE(GOOGLETRANSLATE(C1531, ""en"", ""zh-cn""))
"),"TWO TREES® 修剪刮刀，带 10 片刀片 用于 3D 打印机的材料模型修剪修剪装置")</f>
        <v>TWO TREES® 修剪刮刀，带 10 片刀片 用于 3D 打印机的材料模型修剪修剪装置</v>
      </c>
      <c r="E1531" s="1" t="str">
        <f>IFERROR(__xludf.DUMMYFUNCTION("CONCATENATE(GOOGLETRANSLATE(C1531, ""en"", ""ko""))"),"10개 블레이드가 포함된 TWO TREES® 트리밍 스크레이퍼 재료 모델 3D 프린터용 가지치기 트리밍 장치")</f>
        <v>10개 블레이드가 포함된 TWO TREES® 트리밍 스크레이퍼 재료 모델 3D 프린터용 가지치기 트리밍 장치</v>
      </c>
      <c r="F1531" s="1" t="str">
        <f>IFERROR(__xludf.DUMMYFUNCTION("CONCATENATE(GOOGLETRANSLATE(C1531, ""en"", ""ja""))"),"TWO TREES® トリミング スクレーパー 10 枚ブレード付き 3D プリンター用材料モデル剪定トリミング装置")</f>
        <v>TWO TREES® トリミング スクレーパー 10 枚ブレード付き 3D プリンター用材料モデル剪定トリミング装置</v>
      </c>
    </row>
    <row r="1532" ht="15.75" customHeight="1">
      <c r="A1532" s="1">
        <v>3170.0</v>
      </c>
      <c r="B1532" s="1" t="s">
        <v>51</v>
      </c>
      <c r="C1532" s="1" t="s">
        <v>1406</v>
      </c>
      <c r="D1532" s="1" t="str">
        <f>IFERROR(__xludf.DUMMYFUNCTION("CONCATENATE(GOOGLETRANSLATE(C1532, ""en"", ""zh-cn""))
"),"男式植物印花拼布翻领宽松夹克")</f>
        <v>男式植物印花拼布翻领宽松夹克</v>
      </c>
      <c r="E1532" s="1" t="str">
        <f>IFERROR(__xludf.DUMMYFUNCTION("CONCATENATE(GOOGLETRANSLATE(C1532, ""en"", ""ko""))"),"남성 플랜트 프린트 패치워크 플랩 포켓 라펠 루즈 재킷")</f>
        <v>남성 플랜트 프린트 패치워크 플랩 포켓 라펠 루즈 재킷</v>
      </c>
      <c r="F1532" s="1" t="str">
        <f>IFERROR(__xludf.DUMMYFUNCTION("CONCATENATE(GOOGLETRANSLATE(C1532, ""en"", ""ja""))"),"メンズ植物プリント パッチワーク フラップ ポケット ラペル ルーズ ジャケット")</f>
        <v>メンズ植物プリント パッチワーク フラップ ポケット ラペル ルーズ ジャケット</v>
      </c>
    </row>
    <row r="1533" ht="15.75" customHeight="1">
      <c r="A1533" s="1">
        <v>3199.0</v>
      </c>
      <c r="B1533" s="1" t="s">
        <v>6</v>
      </c>
      <c r="C1533" s="1" t="s">
        <v>1407</v>
      </c>
      <c r="D1533" s="1" t="str">
        <f>IFERROR(__xludf.DUMMYFUNCTION("CONCATENATE(GOOGLETRANSLATE(C1533, ""en"", ""zh-cn""))
"),"ACME Dresden 床具四件套，樱桃木饰面")</f>
        <v>ACME Dresden 床具四件套，樱桃木饰面</v>
      </c>
      <c r="E1533" s="1" t="str">
        <f>IFERROR(__xludf.DUMMYFUNCTION("CONCATENATE(GOOGLETRANSLATE(C1533, ""en"", ""ko""))"),"ACME 드레스덴 4피스 침대 세트, 체리 오크 마감")</f>
        <v>ACME 드레스덴 4피스 침대 세트, 체리 오크 마감</v>
      </c>
      <c r="F1533" s="1" t="str">
        <f>IFERROR(__xludf.DUMMYFUNCTION("CONCATENATE(GOOGLETRANSLATE(C1533, ""en"", ""ja""))"),"ACME ドレスデン ベッド 4 点セット、チェリーオーク仕上げ")</f>
        <v>ACME ドレスデン ベッド 4 点セット、チェリーオーク仕上げ</v>
      </c>
    </row>
    <row r="1534" ht="15.75" customHeight="1">
      <c r="A1534" s="1">
        <v>3220.0</v>
      </c>
      <c r="B1534" s="1" t="s">
        <v>6</v>
      </c>
      <c r="C1534" s="1" t="s">
        <v>1408</v>
      </c>
      <c r="D1534" s="1" t="str">
        <f>IFERROR(__xludf.DUMMYFUNCTION("CONCATENATE(GOOGLETRANSLATE(C1534, ""en"", ""zh-cn""))
"),"Jura E8 浓缩咖啡机，64 盎司（白色）")</f>
        <v>Jura E8 浓缩咖啡机，64 盎司（白色）</v>
      </c>
      <c r="E1534" s="1" t="str">
        <f>IFERROR(__xludf.DUMMYFUNCTION("CONCATENATE(GOOGLETRANSLATE(C1534, ""en"", ""ko""))"),"Jura E8 에스프레소 커피 머신, 64온스(화이트)")</f>
        <v>Jura E8 에스프레소 커피 머신, 64온스(화이트)</v>
      </c>
      <c r="F1534" s="1" t="str">
        <f>IFERROR(__xludf.DUMMYFUNCTION("CONCATENATE(GOOGLETRANSLATE(C1534, ""en"", ""ja""))"),"Jura E8 エスプレッソコーヒーマシン、64オンス (ホワイト)")</f>
        <v>Jura E8 エスプレッソコーヒーマシン、64オンス (ホワイト)</v>
      </c>
    </row>
    <row r="1535" ht="15.75" customHeight="1">
      <c r="A1535" s="1">
        <v>3238.0</v>
      </c>
      <c r="B1535" s="1" t="s">
        <v>6</v>
      </c>
      <c r="C1535" s="1" t="s">
        <v>1409</v>
      </c>
      <c r="D1535" s="1" t="str">
        <f>IFERROR(__xludf.DUMMYFUNCTION("CONCATENATE(GOOGLETRANSLATE(C1535, ""en"", ""zh-cn""))
"),"Acanva 现代 L 形组合沙发，3 座软垫沙发，带实木腿，适用于客厅、卧室和休息室，左向躺椅，白色")</f>
        <v>Acanva 现代 L 形组合沙发，3 座软垫沙发，带实木腿，适用于客厅、卧室和休息室，左向躺椅，白色</v>
      </c>
      <c r="E1535" s="1" t="str">
        <f>IFERROR(__xludf.DUMMYFUNCTION("CONCATENATE(GOOGLETRANSLATE(C1535, ""en"", ""ko""))"),"Acanva 모던한 L자형 단면 소파, 거실, 침실 및 라운지용 단단한 나무 다리가 있는 3인용 겉천을 씌운 소파, 왼손용 긴 의자, 흰색")</f>
        <v>Acanva 모던한 L자형 단면 소파, 거실, 침실 및 라운지용 단단한 나무 다리가 있는 3인용 겉천을 씌운 소파, 왼손용 긴 의자, 흰색</v>
      </c>
      <c r="F1535" s="1" t="str">
        <f>IFERROR(__xludf.DUMMYFUNCTION("CONCATENATE(GOOGLETRANSLATE(C1535, ""en"", ""ja""))"),"Acanva モダンな L 字型セクショナルソファ、無垢材の脚付き 3 人掛け布張りソファ、リビングルーム、ベッドルーム、ラウンジ用、左手向き長椅子、ホワイト")</f>
        <v>Acanva モダンな L 字型セクショナルソファ、無垢材の脚付き 3 人掛け布張りソファ、リビングルーム、ベッドルーム、ラウンジ用、左手向き長椅子、ホワイト</v>
      </c>
    </row>
    <row r="1536" ht="15.75" customHeight="1">
      <c r="A1536" s="1">
        <v>3241.0</v>
      </c>
      <c r="B1536" s="1" t="s">
        <v>6</v>
      </c>
      <c r="C1536" s="1" t="s">
        <v>1410</v>
      </c>
      <c r="D1536" s="1" t="str">
        <f>IFERROR(__xludf.DUMMYFUNCTION("CONCATENATE(GOOGLETRANSLATE(C1536, ""en"", ""zh-cn""))
"),"Belffin 组合沙发 带双面躺椅 天鹅绒 L 形组合沙发 可转换组合沙发 带储物 灰色")</f>
        <v>Belffin 组合沙发 带双面躺椅 天鹅绒 L 形组合沙发 可转换组合沙发 带储物 灰色</v>
      </c>
      <c r="E1536" s="1" t="str">
        <f>IFERROR(__xludf.DUMMYFUNCTION("CONCATENATE(GOOGLETRANSLATE(C1536, ""en"", ""ko""))"),"양면 더블 의자가 있는 Belffin 모듈식 단면 소파 소파 벨벳 L자형 단면 소파 수납 공간이 있는 컨버터블 단면 소파 그레이")</f>
        <v>양면 더블 의자가 있는 Belffin 모듈식 단면 소파 소파 벨벳 L자형 단면 소파 수납 공간이 있는 컨버터블 단면 소파 그레이</v>
      </c>
      <c r="F1536" s="1" t="str">
        <f>IFERROR(__xludf.DUMMYFUNCTION("CONCATENATE(GOOGLETRANSLATE(C1536, ""en"", ""ja""))"),"Belffin モジュール式セクショナルソファ カウチ リバーシブルダブル寝椅子付き ベルベット L 字型セクショナルソファ コンバーチブルセクショナルソファ 収納付き グレー")</f>
        <v>Belffin モジュール式セクショナルソファ カウチ リバーシブルダブル寝椅子付き ベルベット L 字型セクショナルソファ コンバーチブルセクショナルソファ 収納付き グレー</v>
      </c>
    </row>
    <row r="1537" ht="15.75" customHeight="1">
      <c r="A1537" s="1">
        <v>3250.0</v>
      </c>
      <c r="B1537" s="1" t="s">
        <v>6</v>
      </c>
      <c r="C1537" s="1" t="s">
        <v>1411</v>
      </c>
      <c r="D1537" s="1" t="str">
        <f>IFERROR(__xludf.DUMMYFUNCTION("CONCATENATE(GOOGLETRANSLATE(C1537, ""en"", ""zh-cn""))
"),"美国埃斯顿家具象牙色传统雪尼尔软垫沙发")</f>
        <v>美国埃斯顿家具象牙色传统雪尼尔软垫沙发</v>
      </c>
      <c r="E1537" s="1" t="str">
        <f>IFERROR(__xludf.DUMMYFUNCTION("CONCATENATE(GOOGLETRANSLATE(C1537, ""en"", ""ko""))"),"가구 오브 아메리카 에스톤 전통 셔닐 커버 소파(아이보리 색상)")</f>
        <v>가구 오브 아메리카 에스톤 전통 셔닐 커버 소파(아이보리 색상)</v>
      </c>
      <c r="F1537" s="1" t="str">
        <f>IFERROR(__xludf.DUMMYFUNCTION("CONCATENATE(GOOGLETRANSLATE(C1537, ""en"", ""ja""))"),"Furniture of America Eston 伝統的なシェニール織のソファ、アイボリー")</f>
        <v>Furniture of America Eston 伝統的なシェニール織のソファ、アイボリー</v>
      </c>
    </row>
    <row r="1538" ht="15.75" customHeight="1">
      <c r="A1538" s="1">
        <v>3255.0</v>
      </c>
      <c r="B1538" s="1" t="s">
        <v>6</v>
      </c>
      <c r="C1538" s="1" t="s">
        <v>1412</v>
      </c>
      <c r="D1538" s="1" t="str">
        <f>IFERROR(__xludf.DUMMYFUNCTION("CONCATENATE(GOOGLETRANSLATE(C1538, ""en"", ""zh-cn""))
"),"HONBAY 超大组合沙发带贵妃现代卧铺组合沙发沙发 U 型客厅组合沙发，灰色")</f>
        <v>HONBAY 超大组合沙发带贵妃现代卧铺组合沙发沙发 U 型客厅组合沙发，灰色</v>
      </c>
      <c r="E1538" s="1" t="str">
        <f>IFERROR(__xludf.DUMMYFUNCTION("CONCATENATE(GOOGLETRANSLATE(C1538, ""en"", ""ko""))"),"HONBAY 대형 단면 소파(긴 의자 포함) 현대 슬리퍼 모듈형 소파 소파 U자형 소파 거실용 단면(회색)")</f>
        <v>HONBAY 대형 단면 소파(긴 의자 포함) 현대 슬리퍼 모듈형 소파 소파 U자형 소파 거실용 단면(회색)</v>
      </c>
      <c r="F1538" s="1" t="str">
        <f>IFERROR(__xludf.DUMMYFUNCTION("CONCATENATE(GOOGLETRANSLATE(C1538, ""en"", ""ja""))"),"HONBAY 特大セクショナルソファ 長椅子付き モダンスリーパー モジュラーソファ カウチ U字型ソファ リビングルーム用 セクショナルソファ グレー")</f>
        <v>HONBAY 特大セクショナルソファ 長椅子付き モダンスリーパー モジュラーソファ カウチ U字型ソファ リビングルーム用 セクショナルソファ グレー</v>
      </c>
    </row>
    <row r="1539" ht="15.75" customHeight="1">
      <c r="A1539" s="1">
        <v>3260.0</v>
      </c>
      <c r="B1539" s="1" t="s">
        <v>6</v>
      </c>
      <c r="C1539" s="1" t="s">
        <v>1413</v>
      </c>
      <c r="D1539" s="1" t="str">
        <f>IFERROR(__xludf.DUMMYFUNCTION("CONCATENATE(GOOGLETRANSLATE(C1539, ""en"", ""zh-cn""))
"),"Acme 卧室 5 件套床、梳妆台、衣柜和 2 个床头柜（黑色，大床）")</f>
        <v>Acme 卧室 5 件套床、梳妆台、衣柜和 2 个床头柜（黑色，大床）</v>
      </c>
      <c r="E1539" s="1" t="str">
        <f>IFERROR(__xludf.DUMMYFUNCTION("CONCATENATE(GOOGLETRANSLATE(C1539, ""en"", ""ko""))"),"Acme 5피스 침실 세트 침대, 옷장, 서랍장 및 나이트스탠드 2개(블랙, 퀸)")</f>
        <v>Acme 5피스 침실 세트 침대, 옷장, 서랍장 및 나이트스탠드 2개(블랙, 퀸)</v>
      </c>
      <c r="F1539" s="1" t="str">
        <f>IFERROR(__xludf.DUMMYFUNCTION("CONCATENATE(GOOGLETRANSLATE(C1539, ""en"", ""ja""))"),"Acme ベッドルーム 5 点セット ベッド、ドレッサー、チェスト、ナイトスタンド 2 個 (ブラック、クイーン)")</f>
        <v>Acme ベッドルーム 5 点セット ベッド、ドレッサー、チェスト、ナイトスタンド 2 個 (ブラック、クイーン)</v>
      </c>
    </row>
    <row r="1540" ht="15.75" customHeight="1">
      <c r="A1540" s="1">
        <v>3282.0</v>
      </c>
      <c r="B1540" s="1" t="s">
        <v>6</v>
      </c>
      <c r="C1540" s="1" t="s">
        <v>1414</v>
      </c>
      <c r="D1540" s="1" t="str">
        <f>IFERROR(__xludf.DUMMYFUNCTION("CONCATENATE(GOOGLETRANSLATE(C1540, ""en"", ""zh-cn""))
"),"POLY &amp; BARK 纳帕皮革沙发 – 88.5 英寸簇绒靠背皮革沙发 – 全粒面皮革沙发，座椅表面配有羽毛羽绒顶饰 – 纯苯胺意大利皮革 – 干邑棕褐色")</f>
        <v>POLY &amp; BARK 纳帕皮革沙发 – 88.5 英寸簇绒靠背皮革沙发 – 全粒面皮革沙发，座椅表面配有羽毛羽绒顶饰 – 纯苯胺意大利皮革 – 干邑棕褐色</v>
      </c>
      <c r="E1540" s="1" t="str">
        <f>IFERROR(__xludf.DUMMYFUNCTION("CONCATENATE(GOOGLETRANSLATE(C1540, ""en"", ""ko""))"),"POLY &amp; BARK 나파 가죽 소파 – 등받이가 터프트된 88.5인치 가죽 소파 - 좌석 표면에 깃털 다운 토퍼가 있는 풀 그레인 가죽 소파 – 순수 아닐린 이탈리아 가죽 – 코냑 탄")</f>
        <v>POLY &amp; BARK 나파 가죽 소파 – 등받이가 터프트된 88.5인치 가죽 소파 - 좌석 표면에 깃털 다운 토퍼가 있는 풀 그레인 가죽 소파 – 순수 아닐린 이탈리아 가죽 – 코냑 탄</v>
      </c>
      <c r="F1540" s="1" t="str">
        <f>IFERROR(__xludf.DUMMYFUNCTION("CONCATENATE(GOOGLETRANSLATE(C1540, ""en"", ""ja""))"),"POLY &amp; BARK ナパレザーソファ – 88.5 インチのレザーソファ、房状の背もたれ付き – フルグレインレザーソファ、座面にフェザーダウントッパー付き – ピュアアニリンイタリアンレザー – コニャックタン")</f>
        <v>POLY &amp; BARK ナパレザーソファ – 88.5 インチのレザーソファ、房状の背もたれ付き – フルグレインレザーソファ、座面にフェザーダウントッパー付き – ピュアアニリンイタリアンレザー – コニャックタン</v>
      </c>
    </row>
    <row r="1541" ht="15.75" customHeight="1">
      <c r="A1541" s="1">
        <v>3294.0</v>
      </c>
      <c r="B1541" s="1" t="s">
        <v>6</v>
      </c>
      <c r="C1541" s="1" t="s">
        <v>1415</v>
      </c>
      <c r="D1541" s="1" t="str">
        <f>IFERROR(__xludf.DUMMYFUNCTION("CONCATENATE(GOOGLETRANSLATE(C1541, ""en"", ""zh-cn""))
"),"ACME FURNITURE Denton Curio 橱柜，樱桃木")</f>
        <v>ACME FURNITURE Denton Curio 橱柜，樱桃木</v>
      </c>
      <c r="E1541" s="1" t="str">
        <f>IFERROR(__xludf.DUMMYFUNCTION("CONCATENATE(GOOGLETRANSLATE(C1541, ""en"", ""ko""))"),"ACME FURNITURE Denton 큐리오 캐비닛, 체리")</f>
        <v>ACME FURNITURE Denton 큐리오 캐비닛, 체리</v>
      </c>
      <c r="F1541" s="1" t="str">
        <f>IFERROR(__xludf.DUMMYFUNCTION("CONCATENATE(GOOGLETRANSLATE(C1541, ""en"", ""ja""))"),"ACME FURNITURE デントン キュリオ キャビネット チェリー")</f>
        <v>ACME FURNITURE デントン キュリオ キャビネット チェリー</v>
      </c>
    </row>
    <row r="1542" ht="15.75" customHeight="1">
      <c r="A1542" s="1">
        <v>3296.0</v>
      </c>
      <c r="B1542" s="1" t="s">
        <v>6</v>
      </c>
      <c r="C1542" s="1" t="s">
        <v>1416</v>
      </c>
      <c r="D1542" s="1" t="str">
        <f>IFERROR(__xludf.DUMMYFUNCTION("CONCATENATE(GOOGLETRANSLATE(C1542, ""en"", ""zh-cn""))
"),"ACME 凡尔赛箱 - 21136 - 骨白色")</f>
        <v>ACME 凡尔赛箱 - 21136 - 骨白色</v>
      </c>
      <c r="E1542" s="1" t="str">
        <f>IFERROR(__xludf.DUMMYFUNCTION("CONCATENATE(GOOGLETRANSLATE(C1542, ""en"", ""ko""))"),"ACME 베르사유 상자 - 21136 - 본 화이트")</f>
        <v>ACME 베르사유 상자 - 21136 - 본 화이트</v>
      </c>
      <c r="F1542" s="1" t="str">
        <f>IFERROR(__xludf.DUMMYFUNCTION("CONCATENATE(GOOGLETRANSLATE(C1542, ""en"", ""ja""))"),"ACME ベルサイユ チェスト - 21136 - ボーン ホワイト")</f>
        <v>ACME ベルサイユ チェスト - 21136 - ボーン ホワイト</v>
      </c>
    </row>
    <row r="1543" ht="15.75" customHeight="1">
      <c r="A1543" s="1">
        <v>3310.0</v>
      </c>
      <c r="B1543" s="1" t="s">
        <v>6</v>
      </c>
      <c r="C1543" s="1" t="s">
        <v>1417</v>
      </c>
      <c r="D1543" s="1" t="str">
        <f>IFERROR(__xludf.DUMMYFUNCTION("CONCATENATE(GOOGLETRANSLATE(C1543, ""en"", ""zh-cn""))
"),"ACME Versailles 柜台高度桌 - 61155 - 樱桃橡木")</f>
        <v>ACME Versailles 柜台高度桌 - 61155 - 樱桃橡木</v>
      </c>
      <c r="E1543" s="1" t="str">
        <f>IFERROR(__xludf.DUMMYFUNCTION("CONCATENATE(GOOGLETRANSLATE(C1543, ""en"", ""ko""))"),"ACME Versailles 카운터 높이 테이블 - 61155 - 체리 오크")</f>
        <v>ACME Versailles 카운터 높이 테이블 - 61155 - 체리 오크</v>
      </c>
      <c r="F1543" s="1" t="str">
        <f>IFERROR(__xludf.DUMMYFUNCTION("CONCATENATE(GOOGLETRANSLATE(C1543, ""en"", ""ja""))"),"ACME Versailles カウンターハイトテーブル - 61155 - チェリーオーク")</f>
        <v>ACME Versailles カウンターハイトテーブル - 61155 - チェリーオーク</v>
      </c>
    </row>
    <row r="1544" ht="15.75" customHeight="1">
      <c r="A1544" s="1">
        <v>3315.0</v>
      </c>
      <c r="B1544" s="1" t="s">
        <v>6</v>
      </c>
      <c r="C1544" s="1" t="s">
        <v>1418</v>
      </c>
      <c r="D1544" s="1" t="str">
        <f>IFERROR(__xludf.DUMMYFUNCTION("CONCATENATE(GOOGLETRANSLATE(C1544, ""en"", ""zh-cn""))
"),"HONBAY 双面组合沙发 L 形沙发带储物可转换组合沙发带贵妃椅，水蓝色")</f>
        <v>HONBAY 双面组合沙发 L 形沙发带储物可转换组合沙发带贵妃椅，水蓝色</v>
      </c>
      <c r="E1544" s="1" t="str">
        <f>IFERROR(__xludf.DUMMYFUNCTION("CONCATENATE(GOOGLETRANSLATE(C1544, ""en"", ""ko""))"),"HONBAY 양면 단면 소파 L자형 소파(수납형 소파 포함), 긴 의자, 아쿠아 블루")</f>
        <v>HONBAY 양면 단면 소파 L자형 소파(수납형 소파 포함), 긴 의자, 아쿠아 블루</v>
      </c>
      <c r="F1544" s="1" t="str">
        <f>IFERROR(__xludf.DUMMYFUNCTION("CONCATENATE(GOOGLETRANSLATE(C1544, ""en"", ""ja""))"),"HONBAY リバーシブルセクショナルソファ L 字型ソファ 収納付き コンバーチブルモジュラーソファ 長椅子付き アクアブルー")</f>
        <v>HONBAY リバーシブルセクショナルソファ L 字型ソファ 収納付き コンバーチブルモジュラーソファ 長椅子付き アクアブルー</v>
      </c>
    </row>
    <row r="1545" ht="15.75" customHeight="1">
      <c r="A1545" s="1">
        <v>3326.0</v>
      </c>
      <c r="B1545" s="1" t="s">
        <v>6</v>
      </c>
      <c r="C1545" s="1" t="s">
        <v>1419</v>
      </c>
      <c r="D1545" s="1" t="str">
        <f>IFERROR(__xludf.DUMMYFUNCTION("CONCATENATE(GOOGLETRANSLATE(C1545, ""en"", ""zh-cn""))
"),"Casa Andrea Milano 现代 3 件套超细纤维和人造皮革 L 形组合沙发，带双面躺椅和脚凳，大号，灰色")</f>
        <v>Casa Andrea Milano 现代 3 件套超细纤维和人造皮革 L 形组合沙发，带双面躺椅和脚凳，大号，灰色</v>
      </c>
      <c r="E1545" s="1" t="str">
        <f>IFERROR(__xludf.DUMMYFUNCTION("CONCATENATE(GOOGLETRANSLATE(C1545, ""en"", ""ko""))"),"Casa Andrea Milano 모던한 3피스 마이크로파이버 및 인조 가죽 L자형 단면 소파(양방향 긴 의자 및 오토만 포함), 대형, 회색")</f>
        <v>Casa Andrea Milano 모던한 3피스 마이크로파이버 및 인조 가죽 L자형 단면 소파(양방향 긴 의자 및 오토만 포함), 대형, 회색</v>
      </c>
      <c r="F1545" s="1" t="str">
        <f>IFERROR(__xludf.DUMMYFUNCTION("CONCATENATE(GOOGLETRANSLATE(C1545, ""en"", ""ja""))"),"Casa Andrea Milano モダン 3 ピース マイクロファイバーと合成皮革 L 字型セクショナルソファ リバーシブル長椅子 &amp; オットマン付き、L、グレー")</f>
        <v>Casa Andrea Milano モダン 3 ピース マイクロファイバーと合成皮革 L 字型セクショナルソファ リバーシブル長椅子 &amp; オットマン付き、L、グレー</v>
      </c>
    </row>
    <row r="1546" ht="15.75" customHeight="1">
      <c r="A1546" s="1">
        <v>3336.0</v>
      </c>
      <c r="B1546" s="1" t="s">
        <v>6</v>
      </c>
      <c r="C1546" s="1" t="s">
        <v>1420</v>
      </c>
      <c r="D1546" s="1" t="str">
        <f>IFERROR(__xludf.DUMMYFUNCTION("CONCATENATE(GOOGLETRANSLATE(C1546, ""en"", ""zh-cn""))
"),"Modway Engage 米色中世纪现代软垫织物双人沙发")</f>
        <v>Modway Engage 米色中世纪现代软垫织物双人沙发</v>
      </c>
      <c r="E1546" s="1" t="str">
        <f>IFERROR(__xludf.DUMMYFUNCTION("CONCATENATE(GOOGLETRANSLATE(C1546, ""en"", ""ko""))"),"Modway Engage Mid-Century Modern 덮개를 씌운 패브릭 러브시트(베이지색)")</f>
        <v>Modway Engage Mid-Century Modern 덮개를 씌운 패브릭 러브시트(베이지색)</v>
      </c>
      <c r="F1546" s="1" t="str">
        <f>IFERROR(__xludf.DUMMYFUNCTION("CONCATENATE(GOOGLETRANSLATE(C1546, ""en"", ""ja""))"),"Modway Engage ミッドセンチュリー モダンな布張りのファブリック ラブシート ベージュ")</f>
        <v>Modway Engage ミッドセンチュリー モダンな布張りのファブリック ラブシート ベージュ</v>
      </c>
    </row>
    <row r="1547" ht="15.75" customHeight="1">
      <c r="A1547" s="1">
        <v>3351.0</v>
      </c>
      <c r="B1547" s="1" t="s">
        <v>6</v>
      </c>
      <c r="C1547" s="1" t="s">
        <v>1421</v>
      </c>
      <c r="D1547" s="1" t="str">
        <f>IFERROR(__xludf.DUMMYFUNCTION("CONCATENATE(GOOGLETRANSLATE(C1547, ""en"", ""zh-cn""))
"),"Legend Vansen 82.7 英寸天鹅绒双人沙发带储物可转换沙发床床适用于客厅和卧室沙发床，蓝色")</f>
        <v>Legend Vansen 82.7 英寸天鹅绒双人沙发带储物可转换沙发床床适用于客厅和卧室沙发床，蓝色</v>
      </c>
      <c r="E1547" s="1" t="str">
        <f>IFERROR(__xludf.DUMMYFUNCTION("CONCATENATE(GOOGLETRANSLATE(C1547, ""en"", ""ko""))"),"Legend Vansen 82.7인치 벨벳 러브시트(거실 및 침실 소파베드용 수납형 컨버터블 소파 베드 슬리퍼 포함), 블루")</f>
        <v>Legend Vansen 82.7인치 벨벳 러브시트(거실 및 침실 소파베드용 수납형 컨버터블 소파 베드 슬리퍼 포함), 블루</v>
      </c>
      <c r="F1547" s="1" t="str">
        <f>IFERROR(__xludf.DUMMYFUNCTION("CONCATENATE(GOOGLETRANSLATE(C1547, ""en"", ""ja""))"),"Legend Vansen 82.7 インチ ベルベット ラブシート 収納付き コンバーチブル ソファベッド スリーパー リビングルームとベッドルームソファベッド用 ブルー")</f>
        <v>Legend Vansen 82.7 インチ ベルベット ラブシート 収納付き コンバーチブル ソファベッド スリーパー リビングルームとベッドルームソファベッド用 ブルー</v>
      </c>
    </row>
    <row r="1548" ht="15.75" customHeight="1">
      <c r="A1548" s="1">
        <v>3373.0</v>
      </c>
      <c r="B1548" s="1" t="s">
        <v>6</v>
      </c>
      <c r="C1548" s="1" t="s">
        <v>1422</v>
      </c>
      <c r="D1548" s="1" t="str">
        <f>IFERROR(__xludf.DUMMYFUNCTION("CONCATENATE(GOOGLETRANSLATE(C1548, ""en"", ""zh-cn""))
"),"Ashley Bolzano 签名设计仿皮双人手动躺椅沙发，棕色")</f>
        <v>Ashley Bolzano 签名设计仿皮双人手动躺椅沙发，棕色</v>
      </c>
      <c r="E1548" s="1" t="str">
        <f>IFERROR(__xludf.DUMMYFUNCTION("CONCATENATE(GOOGLETRANSLATE(C1548, ""en"", ""ko""))"),"Ashley Bolzano의 시그니처 디자인 인조 가죽 더블 시트 수동 리클라이닝 소파, 브라운")</f>
        <v>Ashley Bolzano의 시그니처 디자인 인조 가죽 더블 시트 수동 리클라이닝 소파, 브라운</v>
      </c>
      <c r="F1548" s="1" t="str">
        <f>IFERROR(__xludf.DUMMYFUNCTION("CONCATENATE(GOOGLETRANSLATE(C1548, ""en"", ""ja""))"),"Ashley Bolzano による署名デザイン フェイクレザー ダブルシート手動リクライニングソファ、ブラウン")</f>
        <v>Ashley Bolzano による署名デザイン フェイクレザー ダブルシート手動リクライニングソファ、ブラウン</v>
      </c>
    </row>
    <row r="1549" ht="15.75" customHeight="1">
      <c r="A1549" s="1">
        <v>3385.0</v>
      </c>
      <c r="B1549" s="1" t="s">
        <v>6</v>
      </c>
      <c r="C1549" s="1" t="s">
        <v>1423</v>
      </c>
      <c r="D1549" s="1" t="str">
        <f>IFERROR(__xludf.DUMMYFUNCTION("CONCATENATE(GOOGLETRANSLATE(C1549, ""en"", ""zh-cn""))
"),"JACH 104 敞篷组合沙发，简约中世纪天鹅绒沙发，豪华现代 3 座宽沙发组合客厅卧室办公公寓（绿色）")</f>
        <v>JACH 104 敞篷组合沙发，简约中世纪天鹅绒沙发，豪华现代 3 座宽沙发组合客厅卧室办公公寓（绿色）</v>
      </c>
      <c r="E1549" s="1" t="str">
        <f>IFERROR(__xludf.DUMMYFUNCTION("CONCATENATE(GOOGLETRANSLATE(C1549, ""en"", ""ko""))"),"JACH 104 컨버터블 모듈식 단면 소파, 미니멀리스트 세기 중반 벨벳 소파 소파, 거실 침실 사무실 아파트용 럭셔리 모던 3인용 와이드 소파 단면(녹색)")</f>
        <v>JACH 104 컨버터블 모듈식 단면 소파, 미니멀리스트 세기 중반 벨벳 소파 소파, 거실 침실 사무실 아파트용 럭셔리 모던 3인용 와이드 소파 단면(녹색)</v>
      </c>
      <c r="F1549" s="1" t="str">
        <f>IFERROR(__xludf.DUMMYFUNCTION("CONCATENATE(GOOGLETRANSLATE(C1549, ""en"", ""ja""))"),"JACH 104 コンバーチブルモジュール式セクショナルソファ、ミニマリストミッドセンチュリーベルベットソファカウチ、豪華でモダンな3人掛けワイドソファセクショナルリビングルームベッドルームオフィスアパートメント用 (グリーン)")</f>
        <v>JACH 104 コンバーチブルモジュール式セクショナルソファ、ミニマリストミッドセンチュリーベルベットソファカウチ、豪華でモダンな3人掛けワイドソファセクショナルリビングルームベッドルームオフィスアパートメント用 (グリーン)</v>
      </c>
    </row>
    <row r="1550" ht="15.75" customHeight="1">
      <c r="A1550" s="1">
        <v>3410.0</v>
      </c>
      <c r="B1550" s="1" t="s">
        <v>6</v>
      </c>
      <c r="C1550" s="1" t="s">
        <v>1424</v>
      </c>
      <c r="D1550" s="1" t="str">
        <f>IFERROR(__xludf.DUMMYFUNCTION("CONCATENATE(GOOGLETRANSLATE(C1550, ""en"", ""zh-cn""))
"),"Ashley Darcy 签名设计休闲毛绒 L 形双面沙发躺椅 Chofa，灰棕色")</f>
        <v>Ashley Darcy 签名设计休闲毛绒 L 形双面沙发躺椅 Chofa，灰棕色</v>
      </c>
      <c r="E1550" s="1" t="str">
        <f>IFERROR(__xludf.DUMMYFUNCTION("CONCATENATE(GOOGLETRANSLATE(C1550, ""en"", ""ko""))"),"Ashley Darcy의 시그니처 디자인 캐주얼 플러시 L자형 양면 소파 Chaise Chofa, 회갈색")</f>
        <v>Ashley Darcy의 시그니처 디자인 캐주얼 플러시 L자형 양면 소파 Chaise Chofa, 회갈색</v>
      </c>
      <c r="F1550" s="1" t="str">
        <f>IFERROR(__xludf.DUMMYFUNCTION("CONCATENATE(GOOGLETRANSLATE(C1550, ""en"", ""ja""))"),"アシュリー・ダーシーによるシグネチャーデザイン カジュアル プラッシュ L 字型 リバーシブル ソファ 長椅子 チョファ グレイッシュ ブラウン")</f>
        <v>アシュリー・ダーシーによるシグネチャーデザイン カジュアル プラッシュ L 字型 リバーシブル ソファ 長椅子 チョファ グレイッシュ ブラウン</v>
      </c>
    </row>
    <row r="1551" ht="15.75" customHeight="1">
      <c r="A1551" s="1">
        <v>3424.0</v>
      </c>
      <c r="B1551" s="1" t="s">
        <v>6</v>
      </c>
      <c r="C1551" s="1" t="s">
        <v>1425</v>
      </c>
      <c r="D1551" s="1" t="str">
        <f>IFERROR(__xludf.DUMMYFUNCTION("CONCATENATE(GOOGLETRANSLATE(C1551, ""en"", ""zh-cn""))
"),"Devion Furniture 83 宽双面布艺沙发床和储物躺椅 - 深灰色")</f>
        <v>Devion Furniture 83 宽双面布艺沙发床和储物躺椅 - 深灰色</v>
      </c>
      <c r="E1551" s="1" t="str">
        <f>IFERROR(__xludf.DUMMYFUNCTION("CONCATENATE(GOOGLETRANSLATE(C1551, ""en"", ""ko""))"),"Devion Furniture 83 와이드 양면 패브릭 슬리퍼 소파 베드 및 수납 의자 - 다크 그레이")</f>
        <v>Devion Furniture 83 와이드 양면 패브릭 슬리퍼 소파 베드 및 수납 의자 - 다크 그레이</v>
      </c>
      <c r="F1551" s="1" t="str">
        <f>IFERROR(__xludf.DUMMYFUNCTION("CONCATENATE(GOOGLETRANSLATE(C1551, ""en"", ""ja""))"),"Devion Furniture 83 幅 リバーシブル ファブリック スリーパー ソファベッド &amp; 収納長椅子 - ダークグレー")</f>
        <v>Devion Furniture 83 幅 リバーシブル ファブリック スリーパー ソファベッド &amp; 収納長椅子 - ダークグレー</v>
      </c>
    </row>
    <row r="1552" ht="15.75" customHeight="1">
      <c r="A1552" s="1">
        <v>3456.0</v>
      </c>
      <c r="B1552" s="1" t="s">
        <v>6</v>
      </c>
      <c r="C1552" s="1" t="s">
        <v>1426</v>
      </c>
      <c r="D1552" s="1" t="str">
        <f>IFERROR(__xludf.DUMMYFUNCTION("CONCATENATE(GOOGLETRANSLATE(C1552, ""en"", ""zh-cn""))
"),"Breville Duo Temp Pro 浓缩咖啡机，61 液量盎司，不锈钢，BES810BSS")</f>
        <v>Breville Duo Temp Pro 浓缩咖啡机，61 液量盎司，不锈钢，BES810BSS</v>
      </c>
      <c r="E1552" s="1" t="str">
        <f>IFERROR(__xludf.DUMMYFUNCTION("CONCATENATE(GOOGLETRANSLATE(C1552, ""en"", ""ko""))"),"브레빌 듀오 템프 프로 에스프레소 머신, 61액량 온스, 스테인리스 스틸, BES810BSS")</f>
        <v>브레빌 듀오 템프 프로 에스프레소 머신, 61액량 온스, 스테인리스 스틸, BES810BSS</v>
      </c>
      <c r="F1552" s="1" t="str">
        <f>IFERROR(__xludf.DUMMYFUNCTION("CONCATENATE(GOOGLETRANSLATE(C1552, ""en"", ""ja""))"),"Breville Duo Temp Pro エスプレッソマシン、61 液量オンス、ステンレススチール、BES810BSS")</f>
        <v>Breville Duo Temp Pro エスプレッソマシン、61 液量オンス、ステンレススチール、BES810BSS</v>
      </c>
    </row>
    <row r="1553" ht="15.75" customHeight="1">
      <c r="A1553" s="1">
        <v>3459.0</v>
      </c>
      <c r="B1553" s="1" t="s">
        <v>6</v>
      </c>
      <c r="C1553" s="1" t="s">
        <v>1427</v>
      </c>
      <c r="D1553" s="1" t="str">
        <f>IFERROR(__xludf.DUMMYFUNCTION("CONCATENATE(GOOGLETRANSLATE(C1553, ""en"", ""zh-cn""))
"),"GDFStudio Waldo 簇绒翼背躺椅（暖石）。")</f>
        <v>GDFStudio Waldo 簇绒翼背躺椅（暖石）。</v>
      </c>
      <c r="E1553" s="1" t="str">
        <f>IFERROR(__xludf.DUMMYFUNCTION("CONCATENATE(GOOGLETRANSLATE(C1553, ""en"", ""ko""))"),"GDFStudio Waldo 터프티드 윙백 리클라이너 의자(웜스톤).")</f>
        <v>GDFStudio Waldo 터프티드 윙백 리클라이너 의자(웜스톤).</v>
      </c>
      <c r="F1553" s="1" t="str">
        <f>IFERROR(__xludf.DUMMYFUNCTION("CONCATENATE(GOOGLETRANSLATE(C1553, ""en"", ""ja""))"),"GDFStudio Waldo タフテッド ウィングバック リクライニング チェア (ウォーム ストーン)。")</f>
        <v>GDFStudio Waldo タフテッド ウィングバック リクライニング チェア (ウォーム ストーン)。</v>
      </c>
    </row>
    <row r="1554" ht="15.75" customHeight="1">
      <c r="A1554" s="1">
        <v>3463.0</v>
      </c>
      <c r="B1554" s="1" t="s">
        <v>6</v>
      </c>
      <c r="C1554" s="1" t="s">
        <v>1428</v>
      </c>
      <c r="D1554" s="1" t="str">
        <f>IFERROR(__xludf.DUMMYFUNCTION("CONCATENATE(GOOGLETRANSLATE(C1554, ""en"", ""zh-cn""))
"),"MCombo 现代旋转椅，纽扣簇绒拖鞋椅，雪尼尔软垫翼背休闲沙发椅，适合客厅卧室 LW753（奶油白色）")</f>
        <v>MCombo 现代旋转椅，纽扣簇绒拖鞋椅，雪尼尔软垫翼背休闲沙发椅，适合客厅卧室 LW753（奶油白色）</v>
      </c>
      <c r="E1554" s="1" t="str">
        <f>IFERROR(__xludf.DUMMYFUNCTION("CONCATENATE(GOOGLETRANSLATE(C1554, ""en"", ""ko""))"),"MCombo 현대 회전 악센트 의자, 단추 술 슬리퍼 의자, 거실 침실 LW753(크림 화이트)을 위한 셔닐 덮개를 씌운 윙백 레저 소파 의자")</f>
        <v>MCombo 현대 회전 악센트 의자, 단추 술 슬리퍼 의자, 거실 침실 LW753(크림 화이트)을 위한 셔닐 덮개를 씌운 윙백 레저 소파 의자</v>
      </c>
      <c r="F1554" s="1" t="str">
        <f>IFERROR(__xludf.DUMMYFUNCTION("CONCATENATE(GOOGLETRANSLATE(C1554, ""en"", ""ja""))"),"MCombo モダンな回転アクセントチェア、ボタン房付きスリッパチェア、シェニール織張りのウィングバックレジャーソファチェア、リビングルームベッドルーム用 LW753 (クリームホワイト)")</f>
        <v>MCombo モダンな回転アクセントチェア、ボタン房付きスリッパチェア、シェニール織張りのウィングバックレジャーソファチェア、リビングルームベッドルーム用 LW753 (クリームホワイト)</v>
      </c>
    </row>
    <row r="1555" ht="15.75" customHeight="1">
      <c r="A1555" s="1">
        <v>3469.0</v>
      </c>
      <c r="B1555" s="1" t="s">
        <v>6</v>
      </c>
      <c r="C1555" s="1" t="s">
        <v>1429</v>
      </c>
      <c r="D1555" s="1" t="str">
        <f>IFERROR(__xludf.DUMMYFUNCTION("CONCATENATE(GOOGLETRANSLATE(C1555, ""en"", ""zh-cn""))
"),"Breville Sous Chef Pro 16 杯食品加工机，拉丝不锈钢，BFP800XL")</f>
        <v>Breville Sous Chef Pro 16 杯食品加工机，拉丝不锈钢，BFP800XL</v>
      </c>
      <c r="E1555" s="1" t="str">
        <f>IFERROR(__xludf.DUMMYFUNCTION("CONCATENATE(GOOGLETRANSLATE(C1555, ""en"", ""ko""))"),"브레빌 수셰프 프로 16컵 푸드 프로세서, 브러시드 스테인레스 스틸, BFP800XL")</f>
        <v>브레빌 수셰프 프로 16컵 푸드 프로세서, 브러시드 스테인레스 스틸, BFP800XL</v>
      </c>
      <c r="F1555" s="1" t="str">
        <f>IFERROR(__xludf.DUMMYFUNCTION("CONCATENATE(GOOGLETRANSLATE(C1555, ""en"", ""ja""))"),"Breville スーシェフ プロ 16 カップ フードプロセッサー、つや消しステンレススチール、BFP800XL")</f>
        <v>Breville スーシェフ プロ 16 カップ フードプロセッサー、つや消しステンレススチール、BFP800XL</v>
      </c>
    </row>
    <row r="1556" ht="15.75" customHeight="1">
      <c r="A1556" s="1">
        <v>3497.0</v>
      </c>
      <c r="B1556" s="1" t="s">
        <v>6</v>
      </c>
      <c r="C1556" s="1" t="s">
        <v>1430</v>
      </c>
      <c r="D1556" s="1" t="str">
        <f>IFERROR(__xludf.DUMMYFUNCTION("CONCATENATE(GOOGLETRANSLATE(C1556, ""en"", ""zh-cn""))
"),"Tripp Lite SMART3000NET 3000VA 2400W UPS 智能塔式 AVR 120V XL DB9 服务器，8 个插座")</f>
        <v>Tripp Lite SMART3000NET 3000VA 2400W UPS 智能塔式 AVR 120V XL DB9 服务器，8 个插座</v>
      </c>
      <c r="E1556" s="1" t="str">
        <f>IFERROR(__xludf.DUMMYFUNCTION("CONCATENATE(GOOGLETRANSLATE(C1556, ""en"", ""ko""))"),"Tripp Lite SMART3000NET 3000VA 2400W UPS 스마트 타워 AVR 120V XL DB9 서버용, 콘센트 8개")</f>
        <v>Tripp Lite SMART3000NET 3000VA 2400W UPS 스마트 타워 AVR 120V XL DB9 서버용, 콘센트 8개</v>
      </c>
      <c r="F1556" s="1" t="str">
        <f>IFERROR(__xludf.DUMMYFUNCTION("CONCATENATE(GOOGLETRANSLATE(C1556, ""en"", ""ja""))"),"Tripp Lite SMART3000NET 3000VA 2400W UPS スマートタワー AVR 120V XL DB9 サーバー用、8 コンセント")</f>
        <v>Tripp Lite SMART3000NET 3000VA 2400W UPS スマートタワー AVR 120V XL DB9 サーバー用、8 コンセント</v>
      </c>
    </row>
    <row r="1557" ht="15.75" customHeight="1">
      <c r="A1557" s="1">
        <v>3503.0</v>
      </c>
      <c r="B1557" s="1" t="s">
        <v>6</v>
      </c>
      <c r="C1557" s="1" t="s">
        <v>1431</v>
      </c>
      <c r="D1557" s="1" t="str">
        <f>IFERROR(__xludf.DUMMYFUNCTION("CONCATENATE(GOOGLETRANSLATE(C1557, ""en"", ""zh-cn""))
"),"Microsoft Surface Laptop 5 (2022)，15 触摸屏，轻薄，电池寿命长，用于多任务的快速 Intel i7 处理器，512GB 存储，支持 Windows 11，黑色")</f>
        <v>Microsoft Surface Laptop 5 (2022)，15 触摸屏，轻薄，电池寿命长，用于多任务的快速 Intel i7 处理器，512GB 存储，支持 Windows 11，黑色</v>
      </c>
      <c r="E1557" s="1" t="str">
        <f>IFERROR(__xludf.DUMMYFUNCTION("CONCATENATE(GOOGLETRANSLATE(C1557, ""en"", ""ko""))"),"Microsoft Surface Laptop 5(2022), 15개의 터치 스크린, 얇고 가벼운 제품, 긴 배터리 수명, 멀티 태스킹을 위한 빠른 Intel i7 프로세서, Windows 11 탑재 512GB 스토리지, 블랙")</f>
        <v>Microsoft Surface Laptop 5(2022), 15개의 터치 스크린, 얇고 가벼운 제품, 긴 배터리 수명, 멀티 태스킹을 위한 빠른 Intel i7 프로세서, Windows 11 탑재 512GB 스토리지, 블랙</v>
      </c>
      <c r="F1557" s="1" t="str">
        <f>IFERROR(__xludf.DUMMYFUNCTION("CONCATENATE(GOOGLETRANSLATE(C1557, ""en"", ""ja""))"),"Microsoft Surface Laptop 5 (2022)、15 タッチ スクリーン、薄型軽量、長いバッテリー寿命、マルチタスク用の高速 Intel i7 プロセッサー、Windows 11 搭載 512GB ストレージ、ブラック")</f>
        <v>Microsoft Surface Laptop 5 (2022)、15 タッチ スクリーン、薄型軽量、長いバッテリー寿命、マルチタスク用の高速 Intel i7 プロセッサー、Windows 11 搭載 512GB ストレージ、ブラック</v>
      </c>
    </row>
    <row r="1558" ht="15.75" customHeight="1">
      <c r="A1558" s="1">
        <v>3507.0</v>
      </c>
      <c r="B1558" s="1" t="s">
        <v>6</v>
      </c>
      <c r="C1558" s="1" t="s">
        <v>1432</v>
      </c>
      <c r="D1558" s="1" t="str">
        <f>IFERROR(__xludf.DUMMYFUNCTION("CONCATENATE(GOOGLETRANSLATE(C1558, ""en"", ""zh-cn""))
"),"戴尔 XPS 8940 台式电脑塔式电脑 - Intel Core i7-11700，32GB DDR4 RAM，512GB SSD + 1TB HDD，有线键盘和鼠标组合，Intel UHD Graphics 750，Wi-Fi 6，USB，蓝牙，Windows 11 Pro - 黑色")</f>
        <v>戴尔 XPS 8940 台式电脑塔式电脑 - Intel Core i7-11700，32GB DDR4 RAM，512GB SSD + 1TB HDD，有线键盘和鼠标组合，Intel UHD Graphics 750，Wi-Fi 6，USB，蓝牙，Windows 11 Pro - 黑色</v>
      </c>
      <c r="E1558" s="1" t="str">
        <f>IFERROR(__xludf.DUMMYFUNCTION("CONCATENATE(GOOGLETRANSLATE(C1558, ""en"", ""ko""))"),"Dell XPS 8940 데스크탑 컴퓨터 타워 - Intel Core i7-11700, 32GB DDR4 RAM, 512GB SSD + 1TB HDD, 유선 키보드 및 마우스 콤보, Intel UHD 그래픽 750, Wi-Fi 6, USB, Bluetooth, Windows 11 Pro – 블랙")</f>
        <v>Dell XPS 8940 데스크탑 컴퓨터 타워 - Intel Core i7-11700, 32GB DDR4 RAM, 512GB SSD + 1TB HDD, 유선 키보드 및 마우스 콤보, Intel UHD 그래픽 750, Wi-Fi 6, USB, Bluetooth, Windows 11 Pro – 블랙</v>
      </c>
      <c r="F1558" s="1" t="str">
        <f>IFERROR(__xludf.DUMMYFUNCTION("CONCATENATE(GOOGLETRANSLATE(C1558, ""en"", ""ja""))"),"Dell XPS 8940 デスクトップ コンピュータ タワー - Intel Core i7-11700、32GB DDR4 RAM、512GB SSD + 1TB HDD、有線キーボードとマウスのコンボ、Intel UHD グラフィックス 750、Wi-Fi 6、USB、Bluetooth、Windows 11 Pro – ブラック")</f>
        <v>Dell XPS 8940 デスクトップ コンピュータ タワー - Intel Core i7-11700、32GB DDR4 RAM、512GB SSD + 1TB HDD、有線キーボードとマウスのコンボ、Intel UHD グラフィックス 750、Wi-Fi 6、USB、Bluetooth、Windows 11 Pro – ブラック</v>
      </c>
    </row>
    <row r="1559" ht="15.75" customHeight="1">
      <c r="A1559" s="1">
        <v>3524.0</v>
      </c>
      <c r="B1559" s="1" t="s">
        <v>6</v>
      </c>
      <c r="C1559" s="1" t="s">
        <v>1433</v>
      </c>
      <c r="D1559" s="1" t="str">
        <f>IFERROR(__xludf.DUMMYFUNCTION("CONCATENATE(GOOGLETRANSLATE(C1559, ""en"", ""zh-cn""))
"),"华硕 TUF Dash 15 (2022) 游戏笔记本电脑， 15.6 144Hz FHD 显示屏， Intel Core i7-12650H， GeForce RTX 3060， 16GB DDR5， 512GB SSD， Thunderbolt 4， Windows 11 Home， 黑色， FX517ZM-AS73")</f>
        <v>华硕 TUF Dash 15 (2022) 游戏笔记本电脑， 15.6 144Hz FHD 显示屏， Intel Core i7-12650H， GeForce RTX 3060， 16GB DDR5， 512GB SSD， Thunderbolt 4， Windows 11 Home， 黑色， FX517ZM-AS73</v>
      </c>
      <c r="E1559" s="1" t="str">
        <f>IFERROR(__xludf.DUMMYFUNCTION("CONCATENATE(GOOGLETRANSLATE(C1559, ""en"", ""ko""))"),"ASUS TUF Dash 15(2022) 게이밍 노트북, 15.6 144Hz FHD 디스플레이, Intel Core i7-12650H, GeForce RTX 3060, 16GB DDR5, 512GB SSD, Thunderbolt 4, Windows 11 Home, Off Black, FX517ZM-AS73")</f>
        <v>ASUS TUF Dash 15(2022) 게이밍 노트북, 15.6 144Hz FHD 디스플레이, Intel Core i7-12650H, GeForce RTX 3060, 16GB DDR5, 512GB SSD, Thunderbolt 4, Windows 11 Home, Off Black, FX517ZM-AS73</v>
      </c>
      <c r="F1559" s="1" t="str">
        <f>IFERROR(__xludf.DUMMYFUNCTION("CONCATENATE(GOOGLETRANSLATE(C1559, ""en"", ""ja""))"),"ASUS TUF Dash 15 (2022) ゲーミング ラップトップ、15.6 144Hz FHD ディスプレイ、Intel Core i7-12650H、GeForce RTX 3060、16GB DDR5、512GB SSD、Thunderbolt 4、Windows 11 Home、オフ ブラック、FX517ZM-AS73")</f>
        <v>ASUS TUF Dash 15 (2022) ゲーミング ラップトップ、15.6 144Hz FHD ディスプレイ、Intel Core i7-12650H、GeForce RTX 3060、16GB DDR5、512GB SSD、Thunderbolt 4、Windows 11 Home、オフ ブラック、FX517ZM-AS73</v>
      </c>
    </row>
    <row r="1560" ht="15.75" customHeight="1">
      <c r="A1560" s="1">
        <v>3534.0</v>
      </c>
      <c r="B1560" s="1" t="s">
        <v>6</v>
      </c>
      <c r="C1560" s="1" t="s">
        <v>1434</v>
      </c>
      <c r="D1560" s="1" t="str">
        <f>IFERROR(__xludf.DUMMYFUNCTION("CONCATENATE(GOOGLETRANSLATE(C1560, ""en"", ""zh-cn""))
"),"华硕 ZenBook Flip S13 超薄笔记本电脑，13.3 英寸 4K OLED 触控，Intel Evo 平台酷睿 i7-1165G7，16GB RAM，1TB SSD，Thunderbolt 4，TPM，Windows 11 Pro，AI 降噪，翡翠黑 UX371EA-XH76T")</f>
        <v>华硕 ZenBook Flip S13 超薄笔记本电脑，13.3 英寸 4K OLED 触控，Intel Evo 平台酷睿 i7-1165G7，16GB RAM，1TB SSD，Thunderbolt 4，TPM，Windows 11 Pro，AI 降噪，翡翠黑 UX371EA-XH76T</v>
      </c>
      <c r="E1560" s="1" t="str">
        <f>IFERROR(__xludf.DUMMYFUNCTION("CONCATENATE(GOOGLETRANSLATE(C1560, ""en"", ""ko""))"),"ASUS ZenBook Flip S13 슬림 노트북, 13.3인치 4K OLED 터치, Intel Evo 플랫폼 코어 i7-1165G7, 16GB RAM, 1TB SSD, Thunderbolt 4, TPM, Windows 11 Pro, AI 소음 제거, Jade Black UX371EA-XH76T")</f>
        <v>ASUS ZenBook Flip S13 슬림 노트북, 13.3인치 4K OLED 터치, Intel Evo 플랫폼 코어 i7-1165G7, 16GB RAM, 1TB SSD, Thunderbolt 4, TPM, Windows 11 Pro, AI 소음 제거, Jade Black UX371EA-XH76T</v>
      </c>
      <c r="F1560" s="1" t="str">
        <f>IFERROR(__xludf.DUMMYFUNCTION("CONCATENATE(GOOGLETRANSLATE(C1560, ""en"", ""ja""))"),"ASUS ZenBook Flip S13 スリム ラップトップ、13.3 インチ 4K OLED タッチ、Intel Evo Platform Core i7-1165G7、16GB RAM、1TB SSD、Thunderbolt 4、TPM、Windows 11 Pro、AI ノイズキャンセリング、ジェイド ブラック UX371EA-XH76T")</f>
        <v>ASUS ZenBook Flip S13 スリム ラップトップ、13.3 インチ 4K OLED タッチ、Intel Evo Platform Core i7-1165G7、16GB RAM、1TB SSD、Thunderbolt 4、TPM、Windows 11 Pro、AI ノイズキャンセリング、ジェイド ブラック UX371EA-XH76T</v>
      </c>
    </row>
    <row r="1561" ht="15.75" customHeight="1">
      <c r="A1561" s="1">
        <v>3537.0</v>
      </c>
      <c r="B1561" s="1" t="s">
        <v>6</v>
      </c>
      <c r="C1561" s="1" t="s">
        <v>1435</v>
      </c>
      <c r="D1561" s="1" t="str">
        <f>IFERROR(__xludf.DUMMYFUNCTION("CONCATENATE(GOOGLETRANSLATE(C1561, ""en"", ""zh-cn""))
"),"LG HU70LA 4K 超高清智能家庭影院 CineBeam 投影仪，内置 Alexa、LG ThinQ AI、Google Assistant 和 LG webOS Lite 智能电视（Netflix 和 VUDU）（续订）")</f>
        <v>LG HU70LA 4K 超高清智能家庭影院 CineBeam 投影仪，内置 Alexa、LG ThinQ AI、Google Assistant 和 LG webOS Lite 智能电视（Netflix 和 VUDU）（续订）</v>
      </c>
      <c r="E1561" s="1" t="str">
        <f>IFERROR(__xludf.DUMMYFUNCTION("CONCATENATE(GOOGLETRANSLATE(C1561, ""en"", ""ko""))"),"Alexa 내장, LG ThinQ AI, Google Assistant 및 LG webOS Lite 스마트 TV(Netflix 및 VUDU)가 내장된 LG HU70LA 4K UHD 스마트 홈 시어터 CineBeam 프로젝터(리뉴얼)")</f>
        <v>Alexa 내장, LG ThinQ AI, Google Assistant 및 LG webOS Lite 스마트 TV(Netflix 및 VUDU)가 내장된 LG HU70LA 4K UHD 스마트 홈 시어터 CineBeam 프로젝터(리뉴얼)</v>
      </c>
      <c r="F1561" s="1" t="str">
        <f>IFERROR(__xludf.DUMMYFUNCTION("CONCATENATE(GOOGLETRANSLATE(C1561, ""en"", ""ja""))"),"LG HU70LA 4K UHD スマート ホーム シアター CineBeam プロジェクター、Alexa 内蔵、LG ThinQ AI、Google アシスタント、LG webOS Lite スマート TV (Netflix、および VUDU) (リニューアル)")</f>
        <v>LG HU70LA 4K UHD スマート ホーム シアター CineBeam プロジェクター、Alexa 内蔵、LG ThinQ AI、Google アシスタント、LG webOS Lite スマート TV (Netflix、および VUDU) (リニューアル)</v>
      </c>
    </row>
    <row r="1562" ht="15.75" customHeight="1">
      <c r="A1562" s="1">
        <v>3568.0</v>
      </c>
      <c r="B1562" s="1" t="s">
        <v>6</v>
      </c>
      <c r="C1562" s="1" t="s">
        <v>1436</v>
      </c>
      <c r="D1562" s="1" t="str">
        <f>IFERROR(__xludf.DUMMYFUNCTION("CONCATENATE(GOOGLETRANSLATE(C1562, ""en"", ""zh-cn""))
"),"Microsoft Surface Pro 9 (2022)，13 二合一平板电脑和笔记本电脑，轻薄，适用于多任务处理的英特尔第 12 代 i5 快速处理器，8GB RAM，256GB 存储，支持 Windows 11，白金级")</f>
        <v>Microsoft Surface Pro 9 (2022)，13 二合一平板电脑和笔记本电脑，轻薄，适用于多任务处理的英特尔第 12 代 i5 快速处理器，8GB RAM，256GB 存储，支持 Windows 11，白金级</v>
      </c>
      <c r="E1562" s="1" t="str">
        <f>IFERROR(__xludf.DUMMYFUNCTION("CONCATENATE(GOOGLETRANSLATE(C1562, ""en"", ""ko""))"),"Microsoft Surface Pro 9(2022), 13 2-in-1 태블릿 및 노트북, 얇고 가벼운 멀티태스킹용 Intel 12세대 i5 고속 프로세서, 8GB RAM, 256GB 스토리지(Windows 11 포함), 플래티넘")</f>
        <v>Microsoft Surface Pro 9(2022), 13 2-in-1 태블릿 및 노트북, 얇고 가벼운 멀티태스킹용 Intel 12세대 i5 고속 프로세서, 8GB RAM, 256GB 스토리지(Windows 11 포함), 플래티넘</v>
      </c>
      <c r="F1562" s="1" t="str">
        <f>IFERROR(__xludf.DUMMYFUNCTION("CONCATENATE(GOOGLETRANSLATE(C1562, ""en"", ""ja""))"),"Microsoft Surface Pro 9 (2022)、13 2-in-1 タブレット &amp; ラップトップ、薄型および軽量、マルチタスク用 Intel 第 12 世代 i5 高速プロセッサー、8GB RAM、256GB ストレージ (Windows 11 搭載)、プラチナ")</f>
        <v>Microsoft Surface Pro 9 (2022)、13 2-in-1 タブレット &amp; ラップトップ、薄型および軽量、マルチタスク用 Intel 第 12 世代 i5 高速プロセッサー、8GB RAM、256GB ストレージ (Windows 11 搭載)、プラチナ</v>
      </c>
    </row>
    <row r="1563" ht="15.75" customHeight="1">
      <c r="A1563" s="1">
        <v>3581.0</v>
      </c>
      <c r="B1563" s="1" t="s">
        <v>6</v>
      </c>
      <c r="C1563" s="1" t="s">
        <v>1437</v>
      </c>
      <c r="D1563" s="1" t="str">
        <f>IFERROR(__xludf.DUMMYFUNCTION("CONCATENATE(GOOGLETRANSLATE(C1563, ""en"", ""zh-cn""))
"),"联想 ThinkBook G3 商务笔记本电脑，15.6 全高清显示屏，AMD Ryzen 7 5700U (Beat i7-1260P)，Windows 11 Pro，32GB RAM，1TB SSD，RJ-45，背光键盘，指纹识别，长电池寿命，Durlyfish")</f>
        <v>联想 ThinkBook G3 商务笔记本电脑，15.6 全高清显示屏，AMD Ryzen 7 5700U (Beat i7-1260P)，Windows 11 Pro，32GB RAM，1TB SSD，RJ-45，背光键盘，指纹识别，长电池寿命，Durlyfish</v>
      </c>
      <c r="E1563" s="1" t="str">
        <f>IFERROR(__xludf.DUMMYFUNCTION("CONCATENATE(GOOGLETRANSLATE(C1563, ""en"", ""ko""))"),"Lenovo ThinkBook G3 비즈니스 노트북, 15.6 풀 HD 디스플레이, AMD Ryzen 7 5700U(Beat i7-1260P), Windows 11 Pro, 32GB RAM, 1TB SSD, RJ-45, 백라이트 키보드, 지문, 긴 배터리 수명, Durlyfish")</f>
        <v>Lenovo ThinkBook G3 비즈니스 노트북, 15.6 풀 HD 디스플레이, AMD Ryzen 7 5700U(Beat i7-1260P), Windows 11 Pro, 32GB RAM, 1TB SSD, RJ-45, 백라이트 키보드, 지문, 긴 배터리 수명, Durlyfish</v>
      </c>
      <c r="F1563" s="1" t="str">
        <f>IFERROR(__xludf.DUMMYFUNCTION("CONCATENATE(GOOGLETRANSLATE(C1563, ""en"", ""ja""))"),"Lenovo ThinkBook G3 ビジネス ラップトップ、15.6 フル HD ディスプレイ、AMD Ryzen 7 5700U (Beat i7-1260P)、Windows 11 Pro、32GB RAM、1TB SSD、RJ-45、バックライト付きキーボード、指紋認証、長いバッテリー寿命、Durlyfish")</f>
        <v>Lenovo ThinkBook G3 ビジネス ラップトップ、15.6 フル HD ディスプレイ、AMD Ryzen 7 5700U (Beat i7-1260P)、Windows 11 Pro、32GB RAM、1TB SSD、RJ-45、バックライト付きキーボード、指紋認証、長いバッテリー寿命、Durlyfish</v>
      </c>
    </row>
    <row r="1564" ht="15.75" customHeight="1">
      <c r="A1564" s="1">
        <v>3645.0</v>
      </c>
      <c r="B1564" s="1" t="s">
        <v>6</v>
      </c>
      <c r="C1564" s="1" t="s">
        <v>627</v>
      </c>
      <c r="D1564" s="1" t="str">
        <f>IFERROR(__xludf.DUMMYFUNCTION("CONCATENATE(GOOGLETRANSLATE(C1564, ""en"", ""zh-cn""))
"),"HP Pavilion x360 二合一 14 英寸全高清触摸屏笔记本电脑，英特尔四核 i5-1135G7 高达 4.2GHz (Beat i7-1065G7)，8GB DDR4 RAM，512GB PCIe SSD，WiFi 6，银色，Windows 11，BROAG 延长线")</f>
        <v>HP Pavilion x360 二合一 14 英寸全高清触摸屏笔记本电脑，英特尔四核 i5-1135G7 高达 4.2GHz (Beat i7-1065G7)，8GB DDR4 RAM，512GB PCIe SSD，WiFi 6，银色，Windows 11，BROAG 延长线</v>
      </c>
      <c r="E1564" s="1" t="str">
        <f>IFERROR(__xludf.DUMMYFUNCTION("CONCATENATE(GOOGLETRANSLATE(C1564, ""en"", ""ko""))"),"HP Pavilion x360 2-in-1 14 FHD 터치스크린 노트북 컴퓨터, Intel 쿼드 코어 i5-1135G7 최대 4.2GHz(Beat i7-1065G7), 8GB DDR4 RAM, 512GB PCIe SSD, WiFi 6, 실버, Windows 11, BROAG 연장 케이블")</f>
        <v>HP Pavilion x360 2-in-1 14 FHD 터치스크린 노트북 컴퓨터, Intel 쿼드 코어 i5-1135G7 최대 4.2GHz(Beat i7-1065G7), 8GB DDR4 RAM, 512GB PCIe SSD, WiFi 6, 실버, Windows 11, BROAG 연장 케이블</v>
      </c>
      <c r="F1564" s="1" t="str">
        <f>IFERROR(__xludf.DUMMYFUNCTION("CONCATENATE(GOOGLETRANSLATE(C1564, ""en"", ""ja""))"),"HP Pavilion x360 2-in-1 14 FHD タッチスクリーン ラップトップ コンピューター、Intel クアッドコア i5-1135G7 最大 4.2 GHz (Beat i7-1065G7)、8GB DDR4 RAM、512GB PCIe SSD、WiFi 6、シルバー、Windows 11、BROAG 延長ケーブル")</f>
        <v>HP Pavilion x360 2-in-1 14 FHD タッチスクリーン ラップトップ コンピューター、Intel クアッドコア i5-1135G7 最大 4.2 GHz (Beat i7-1065G7)、8GB DDR4 RAM、512GB PCIe SSD、WiFi 6、シルバー、Windows 11、BROAG 延長ケーブル</v>
      </c>
    </row>
    <row r="1565" ht="15.75" customHeight="1">
      <c r="A1565" s="1">
        <v>3656.0</v>
      </c>
      <c r="B1565" s="1" t="s">
        <v>6</v>
      </c>
      <c r="C1565" s="1" t="s">
        <v>1438</v>
      </c>
      <c r="D1565" s="1" t="str">
        <f>IFERROR(__xludf.DUMMYFUNCTION("CONCATENATE(GOOGLETRANSLATE(C1565, ""en"", ""zh-cn""))
"),"富士通 FI-7140 文档扫描仪， PA03670-B101")</f>
        <v>富士通 FI-7140 文档扫描仪， PA03670-B101</v>
      </c>
      <c r="E1565" s="1" t="str">
        <f>IFERROR(__xludf.DUMMYFUNCTION("CONCATENATE(GOOGLETRANSLATE(C1565, ""en"", ""ko""))"),"Fujitsu FI-7140 문서 스캐너, PA03670-B101")</f>
        <v>Fujitsu FI-7140 문서 스캐너, PA03670-B101</v>
      </c>
      <c r="F1565" s="1" t="str">
        <f>IFERROR(__xludf.DUMMYFUNCTION("CONCATENATE(GOOGLETRANSLATE(C1565, ""en"", ""ja""))"),"富士通 FI-7140 ドキュメントスキャナー、PA03670-B101")</f>
        <v>富士通 FI-7140 ドキュメントスキャナー、PA03670-B101</v>
      </c>
    </row>
    <row r="1566" ht="15.75" customHeight="1">
      <c r="A1566" s="1">
        <v>3665.0</v>
      </c>
      <c r="B1566" s="1" t="s">
        <v>6</v>
      </c>
      <c r="C1566" s="1" t="s">
        <v>60</v>
      </c>
      <c r="D1566" s="1" t="str">
        <f>IFERROR(__xludf.DUMMYFUNCTION("CONCATENATE(GOOGLETRANSLATE(C1566, ""en"", ""zh-cn""))
"),"Apple 2022 iPad Air（10.9 英寸，Wi-Fi + 蜂窝网络，64GB）- 蓝色（第 5 代）")</f>
        <v>Apple 2022 iPad Air（10.9 英寸，Wi-Fi + 蜂窝网络，64GB）- 蓝色（第 5 代）</v>
      </c>
      <c r="E1566" s="1" t="str">
        <f>IFERROR(__xludf.DUMMYFUNCTION("CONCATENATE(GOOGLETRANSLATE(C1566, ""en"", ""ko""))"),"Apple 2022 아이패드 에어(10.9인치, Wi-Fi + Cellular, 64GB) - 블루(5세대)")</f>
        <v>Apple 2022 아이패드 에어(10.9인치, Wi-Fi + Cellular, 64GB) - 블루(5세대)</v>
      </c>
      <c r="F1566" s="1" t="str">
        <f>IFERROR(__xludf.DUMMYFUNCTION("CONCATENATE(GOOGLETRANSLATE(C1566, ""en"", ""ja""))"),"Apple 2022 iPad Air (10.9 インチ、Wi-Fi + Cellular、64GB) - ブルー (第 5 世代)")</f>
        <v>Apple 2022 iPad Air (10.9 インチ、Wi-Fi + Cellular、64GB) - ブルー (第 5 世代)</v>
      </c>
    </row>
    <row r="1567" ht="15.75" customHeight="1">
      <c r="A1567" s="1">
        <v>3709.0</v>
      </c>
      <c r="B1567" s="1" t="s">
        <v>6</v>
      </c>
      <c r="C1567" s="1" t="s">
        <v>1439</v>
      </c>
      <c r="D1567" s="1" t="str">
        <f>IFERROR(__xludf.DUMMYFUNCTION("CONCATENATE(GOOGLETRANSLATE(C1567, ""en"", ""zh-cn""))
"),"2022 Apple iPad（10.9 英寸，Wi-Fi + 蜂窝网络，64GB）- 粉色（续订）")</f>
        <v>2022 Apple iPad（10.9 英寸，Wi-Fi + 蜂窝网络，64GB）- 粉色（续订）</v>
      </c>
      <c r="E1567" s="1" t="str">
        <f>IFERROR(__xludf.DUMMYFUNCTION("CONCATENATE(GOOGLETRANSLATE(C1567, ""en"", ""ko""))"),"2022 애플 아이패드(10.9인치, Wi-Fi + Cellular, 64GB) - 핑크(리뉴얼)")</f>
        <v>2022 애플 아이패드(10.9인치, Wi-Fi + Cellular, 64GB) - 핑크(리뉴얼)</v>
      </c>
      <c r="F1567" s="1" t="str">
        <f>IFERROR(__xludf.DUMMYFUNCTION("CONCATENATE(GOOGLETRANSLATE(C1567, ""en"", ""ja""))"),"2022 Apple iPad (10.9 インチ、Wi-Fi + Cellular、64GB) - ピンク (リニューアル)")</f>
        <v>2022 Apple iPad (10.9 インチ、Wi-Fi + Cellular、64GB) - ピンク (リニューアル)</v>
      </c>
    </row>
    <row r="1568" ht="15.75" customHeight="1">
      <c r="A1568" s="1">
        <v>3710.0</v>
      </c>
      <c r="B1568" s="1" t="s">
        <v>6</v>
      </c>
      <c r="C1568" s="1" t="s">
        <v>1440</v>
      </c>
      <c r="D1568" s="1" t="str">
        <f>IFERROR(__xludf.DUMMYFUNCTION("CONCATENATE(GOOGLETRANSLATE(C1568, ""en"", ""zh-cn""))
"),"APC SMT2200RM2U Smart-UPS 2200VA 1980W 120V LCD 机架式 2U 备用电池（更新）")</f>
        <v>APC SMT2200RM2U Smart-UPS 2200VA 1980W 120V LCD 机架式 2U 备用电池（更新）</v>
      </c>
      <c r="E1568" s="1" t="str">
        <f>IFERROR(__xludf.DUMMYFUNCTION("CONCATENATE(GOOGLETRANSLATE(C1568, ""en"", ""ko""))"),"APC SMT2200RM2U Smart-UPS 2200VA 1980W 120V LCD 랙마운트 2U 배터리 전원 백업(갱신)")</f>
        <v>APC SMT2200RM2U Smart-UPS 2200VA 1980W 120V LCD 랙마운트 2U 배터리 전원 백업(갱신)</v>
      </c>
      <c r="F1568" s="1" t="str">
        <f>IFERROR(__xludf.DUMMYFUNCTION("CONCATENATE(GOOGLETRANSLATE(C1568, ""en"", ""ja""))"),"APC SMT2200RM2U Smart-UPS 2200VA 1980W 120V LCD ラックマウント 2U バッテリー電源バックアップ (リニューアル)")</f>
        <v>APC SMT2200RM2U Smart-UPS 2200VA 1980W 120V LCD ラックマウント 2U バッテリー電源バックアップ (リニューアル)</v>
      </c>
    </row>
    <row r="1569" ht="15.75" customHeight="1">
      <c r="A1569" s="1">
        <v>3770.0</v>
      </c>
      <c r="B1569" s="1" t="s">
        <v>6</v>
      </c>
      <c r="C1569" s="1" t="s">
        <v>1441</v>
      </c>
      <c r="D1569" s="1" t="str">
        <f>IFERROR(__xludf.DUMMYFUNCTION("CONCATENATE(GOOGLETRANSLATE(C1569, ""en"", ""zh-cn""))
"),"联想 X1 Carbon 第六代超极本：酷睿 i7-8550U，16GB RAM，512GB SSD，14 英寸全高清显示屏，背光键盘（更新）")</f>
        <v>联想 X1 Carbon 第六代超极本：酷睿 i7-8550U，16GB RAM，512GB SSD，14 英寸全高清显示屏，背光键盘（更新）</v>
      </c>
      <c r="E1569" s="1" t="str">
        <f>IFERROR(__xludf.DUMMYFUNCTION("CONCATENATE(GOOGLETRANSLATE(C1569, ""en"", ""ko""))"),"Lenovo X1 Carbon 6세대 울트라북: 코어 i7-8550U, 16GB RAM, 512GB SSD, 14인치 풀 HD 디스플레이, 백라이트 키보드(리뉴얼)")</f>
        <v>Lenovo X1 Carbon 6세대 울트라북: 코어 i7-8550U, 16GB RAM, 512GB SSD, 14인치 풀 HD 디스플레이, 백라이트 키보드(리뉴얼)</v>
      </c>
      <c r="F1569" s="1" t="str">
        <f>IFERROR(__xludf.DUMMYFUNCTION("CONCATENATE(GOOGLETRANSLATE(C1569, ""en"", ""ja""))"),"Lenovo X1 Carbon 第 6 世代 Ultrabook: Core i7-8550U、16GB RAM、512GB SSD、14 インチ フル HD ディスプレイ、バックライト付きキーボード (リニューアル)")</f>
        <v>Lenovo X1 Carbon 第 6 世代 Ultrabook: Core i7-8550U、16GB RAM、512GB SSD、14 インチ フル HD ディスプレイ、バックライト付きキーボード (リニューアル)</v>
      </c>
    </row>
    <row r="1570" ht="15.75" customHeight="1">
      <c r="A1570" s="1">
        <v>3771.0</v>
      </c>
      <c r="B1570" s="1" t="s">
        <v>6</v>
      </c>
      <c r="C1570" s="1" t="s">
        <v>1442</v>
      </c>
      <c r="D1570" s="1" t="str">
        <f>IFERROR(__xludf.DUMMYFUNCTION("CONCATENATE(GOOGLETRANSLATE(C1570, ""en"", ""zh-cn""))
"),"戴尔 2022 最新 Inspiron 灵越 15 笔记本电脑，15.6 高清显示屏，Intel Celeron N4020 处理器，16GB DDR4 RAM，1TB PCIe SSD，网络摄像头，HDMI，Wi-Fi，蓝牙，Windows 11 Home，黑色")</f>
        <v>戴尔 2022 最新 Inspiron 灵越 15 笔记本电脑，15.6 高清显示屏，Intel Celeron N4020 处理器，16GB DDR4 RAM，1TB PCIe SSD，网络摄像头，HDMI，Wi-Fi，蓝牙，Windows 11 Home，黑色</v>
      </c>
      <c r="E1570" s="1" t="str">
        <f>IFERROR(__xludf.DUMMYFUNCTION("CONCATENATE(GOOGLETRANSLATE(C1570, ""en"", ""ko""))"),"Dell 2022 최신 Inspiron 15 노트북, 15.6 HD 디스플레이, Intel Celeron N4020 프로세서, 16GB DDR4 RAM, 1TB PCIe SSD, 웹캠, HDMI, Wi-Fi, Bluetooth, Windows 11 Home, 블랙")</f>
        <v>Dell 2022 최신 Inspiron 15 노트북, 15.6 HD 디스플레이, Intel Celeron N4020 프로세서, 16GB DDR4 RAM, 1TB PCIe SSD, 웹캠, HDMI, Wi-Fi, Bluetooth, Windows 11 Home, 블랙</v>
      </c>
      <c r="F1570" s="1" t="str">
        <f>IFERROR(__xludf.DUMMYFUNCTION("CONCATENATE(GOOGLETRANSLATE(C1570, ""en"", ""ja""))"),"Dell 2022 最新 Inspiron 15 ラップトップ、15.6 HD ディスプレイ、Intel Celeron N4020 プロセッサー、16GB DDR4 RAM、1TB PCIe SSD、ウェブカメラ、HDMI、Wi-Fi、Bluetooth、Windows 11 Home、ブラック")</f>
        <v>Dell 2022 最新 Inspiron 15 ラップトップ、15.6 HD ディスプレイ、Intel Celeron N4020 プロセッサー、16GB DDR4 RAM、1TB PCIe SSD、ウェブカメラ、HDMI、Wi-Fi、Bluetooth、Windows 11 Home、ブラック</v>
      </c>
    </row>
    <row r="1571" ht="15.75" customHeight="1">
      <c r="A1571" s="1">
        <v>3880.0</v>
      </c>
      <c r="B1571" s="1" t="s">
        <v>6</v>
      </c>
      <c r="C1571" s="1" t="s">
        <v>1443</v>
      </c>
      <c r="D1571" s="1" t="str">
        <f>IFERROR(__xludf.DUMMYFUNCTION("CONCATENATE(GOOGLETRANSLATE(C1571, ""en"", ""zh-cn""))
"),"三星 Galaxy S22 Ultra 手机，工厂解锁 Android 智能手机，128GB，8K 相机和视频，最亮显示屏，S Pen，电池寿命长，快速 4nm 处理器，美国版，绿色")</f>
        <v>三星 Galaxy S22 Ultra 手机，工厂解锁 Android 智能手机，128GB，8K 相机和视频，最亮显示屏，S Pen，电池寿命长，快速 4nm 处理器，美国版，绿色</v>
      </c>
      <c r="E1571" s="1" t="str">
        <f>IFERROR(__xludf.DUMMYFUNCTION("CONCATENATE(GOOGLETRANSLATE(C1571, ""en"", ""ko""))"),"SAMSUNG Galaxy S22 Ultra 휴대폰, 공장 잠금 해제 Android 스마트폰, 128GB, 8K 카메라 및 비디오, 가장 밝은 디스플레이 화면, S 펜, 긴 배터리 수명, 빠른 4nm 프로세서, 미국 버전, 녹색")</f>
        <v>SAMSUNG Galaxy S22 Ultra 휴대폰, 공장 잠금 해제 Android 스마트폰, 128GB, 8K 카메라 및 비디오, 가장 밝은 디스플레이 화면, S 펜, 긴 배터리 수명, 빠른 4nm 프로세서, 미국 버전, 녹색</v>
      </c>
      <c r="F1571" s="1" t="str">
        <f>IFERROR(__xludf.DUMMYFUNCTION("CONCATENATE(GOOGLETRANSLATE(C1571, ""en"", ""ja""))"),"SAMSUNG Galaxy S22 Ultra 携帯電話、工場でロック解除された Android スマートフォン、128GB、8K カメラ &amp; ビデオ、最も明るい表示画面、S ペン、長いバッテリー寿命、高速 4nm プロセッサ、米国バージョン、グリーン")</f>
        <v>SAMSUNG Galaxy S22 Ultra 携帯電話、工場でロック解除された Android スマートフォン、128GB、8K カメラ &amp; ビデオ、最も明るい表示画面、S ペン、長いバッテリー寿命、高速 4nm プロセッサ、米国バージョン、グリーン</v>
      </c>
    </row>
    <row r="1572" ht="15.75" customHeight="1">
      <c r="A1572" s="1">
        <v>3881.0</v>
      </c>
      <c r="B1572" s="1" t="s">
        <v>6</v>
      </c>
      <c r="C1572" s="1" t="s">
        <v>803</v>
      </c>
      <c r="D1572" s="1" t="str">
        <f>IFERROR(__xludf.DUMMYFUNCTION("CONCATENATE(GOOGLETRANSLATE(C1572, ""en"", ""zh-cn""))
"),"Apple iPhone 14 Pro，128GB，深紫色 - 无锁版（续订）")</f>
        <v>Apple iPhone 14 Pro，128GB，深紫色 - 无锁版（续订）</v>
      </c>
      <c r="E1572" s="1" t="str">
        <f>IFERROR(__xludf.DUMMYFUNCTION("CONCATENATE(GOOGLETRANSLATE(C1572, ""en"", ""ko""))"),"Apple iPhone 14 Pro, 128GB, 딥 퍼플 - 공기계(리뉴얼)")</f>
        <v>Apple iPhone 14 Pro, 128GB, 딥 퍼플 - 공기계(리뉴얼)</v>
      </c>
      <c r="F1572" s="1" t="str">
        <f>IFERROR(__xludf.DUMMYFUNCTION("CONCATENATE(GOOGLETRANSLATE(C1572, ""en"", ""ja""))"),"Apple iPhone 14 Pro、128GB、ディープパープル - ロック解除済み (更新済み)")</f>
        <v>Apple iPhone 14 Pro、128GB、ディープパープル - ロック解除済み (更新済み)</v>
      </c>
    </row>
    <row r="1573" ht="15.75" customHeight="1">
      <c r="A1573" s="1">
        <v>3883.0</v>
      </c>
      <c r="B1573" s="1" t="s">
        <v>6</v>
      </c>
      <c r="C1573" s="1" t="s">
        <v>1444</v>
      </c>
      <c r="D1573" s="1" t="str">
        <f>IFERROR(__xludf.DUMMYFUNCTION("CONCATENATE(GOOGLETRANSLATE(C1573, ""en"", ""zh-cn""))
"),"Apple iPhone 14 Pro，256GB，深紫色 - 已解锁（续订）")</f>
        <v>Apple iPhone 14 Pro，256GB，深紫色 - 已解锁（续订）</v>
      </c>
      <c r="E1573" s="1" t="str">
        <f>IFERROR(__xludf.DUMMYFUNCTION("CONCATENATE(GOOGLETRANSLATE(C1573, ""en"", ""ko""))"),"Apple iPhone 14 Pro, 256GB, 딥 퍼플 - 공기계(리뉴얼)")</f>
        <v>Apple iPhone 14 Pro, 256GB, 딥 퍼플 - 공기계(리뉴얼)</v>
      </c>
      <c r="F1573" s="1" t="str">
        <f>IFERROR(__xludf.DUMMYFUNCTION("CONCATENATE(GOOGLETRANSLATE(C1573, ""en"", ""ja""))"),"Apple iPhone 14 Pro、256GB、ディープパープル - ロック解除済み (更新済み)")</f>
        <v>Apple iPhone 14 Pro、256GB、ディープパープル - ロック解除済み (更新済み)</v>
      </c>
    </row>
    <row r="1574" ht="15.75" customHeight="1">
      <c r="A1574" s="1">
        <v>3906.0</v>
      </c>
      <c r="B1574" s="1" t="s">
        <v>6</v>
      </c>
      <c r="C1574" s="1" t="s">
        <v>621</v>
      </c>
      <c r="D1574" s="1" t="str">
        <f>IFERROR(__xludf.DUMMYFUNCTION("CONCATENATE(GOOGLETRANSLATE(C1574, ""en"", ""zh-cn""))
"),"Apple iPhone 12 Pro，128GB，金色 - 无锁版（续订高级版）")</f>
        <v>Apple iPhone 12 Pro，128GB，金色 - 无锁版（续订高级版）</v>
      </c>
      <c r="E1574" s="1" t="str">
        <f>IFERROR(__xludf.DUMMYFUNCTION("CONCATENATE(GOOGLETRANSLATE(C1574, ""en"", ""ko""))"),"Apple iPhone 12 Pro, 128GB, 골드 - 공기계(리뉴얼 프리미엄)")</f>
        <v>Apple iPhone 12 Pro, 128GB, 골드 - 공기계(리뉴얼 프리미엄)</v>
      </c>
      <c r="F1574" s="1" t="str">
        <f>IFERROR(__xludf.DUMMYFUNCTION("CONCATENATE(GOOGLETRANSLATE(C1574, ""en"", ""ja""))"),"Apple iPhone 12 Pro、128GB、ゴールド - ロック解除済み (更新プレミアム)")</f>
        <v>Apple iPhone 12 Pro、128GB、ゴールド - ロック解除済み (更新プレミアム)</v>
      </c>
    </row>
    <row r="1575" ht="15.75" customHeight="1">
      <c r="A1575" s="1">
        <v>3921.0</v>
      </c>
      <c r="B1575" s="1" t="s">
        <v>6</v>
      </c>
      <c r="C1575" s="1" t="s">
        <v>1445</v>
      </c>
      <c r="D1575" s="1" t="str">
        <f>IFERROR(__xludf.DUMMYFUNCTION("CONCATENATE(GOOGLETRANSLATE(C1575, ""en"", ""zh-cn""))
"),"三星 Galaxy S20 Ultra，128GB，宇宙黑 - 完全解锁（续订）")</f>
        <v>三星 Galaxy S20 Ultra，128GB，宇宙黑 - 完全解锁（续订）</v>
      </c>
      <c r="E1575" s="1" t="str">
        <f>IFERROR(__xludf.DUMMYFUNCTION("CONCATENATE(GOOGLETRANSLATE(C1575, ""en"", ""ko""))"),"삼성 갤럭시 S20 울트라, 128GB, 코스믹 블랙 - 완전 공기계(리뉴얼)")</f>
        <v>삼성 갤럭시 S20 울트라, 128GB, 코스믹 블랙 - 완전 공기계(리뉴얼)</v>
      </c>
      <c r="F1575" s="1" t="str">
        <f>IFERROR(__xludf.DUMMYFUNCTION("CONCATENATE(GOOGLETRANSLATE(C1575, ""en"", ""ja""))"),"Samsung Galaxy S20 Ultra、128GB、コズミック ブラック - 完全にロック解除済み (更新済み)")</f>
        <v>Samsung Galaxy S20 Ultra、128GB、コズミック ブラック - 完全にロック解除済み (更新済み)</v>
      </c>
    </row>
    <row r="1576" ht="15.75" customHeight="1">
      <c r="A1576" s="1">
        <v>3980.0</v>
      </c>
      <c r="B1576" s="1" t="s">
        <v>6</v>
      </c>
      <c r="C1576" s="1" t="s">
        <v>1446</v>
      </c>
      <c r="D1576" s="1" t="str">
        <f>IFERROR(__xludf.DUMMYFUNCTION("CONCATENATE(GOOGLETRANSLATE(C1576, ""en"", ""zh-cn""))
"),"Hamilton 美国经典 Intra-Matic 机械计时 H 手表 40 毫米表壳，白色表盘，银色不锈钢表链（型号：H38429110）")</f>
        <v>Hamilton 美国经典 Intra-Matic 机械计时 H 手表 40 毫米表壳，白色表盘，银色不锈钢表链（型号：H38429110）</v>
      </c>
      <c r="E1576" s="1" t="str">
        <f>IFERROR(__xludf.DUMMYFUNCTION("CONCATENATE(GOOGLETRANSLATE(C1576, ""en"", ""ko""))"),"해밀턴 American Classic Intra-Matic 기계식 크로노그래프 H 시계 40mm Case, 화이트 다이얼, 실버 스테인레스 스틸 브레이슬릿 (모델: H38429110)")</f>
        <v>해밀턴 American Classic Intra-Matic 기계식 크로노그래프 H 시계 40mm Case, 화이트 다이얼, 실버 스테인레스 스틸 브레이슬릿 (모델: H38429110)</v>
      </c>
      <c r="F1576" s="1" t="str">
        <f>IFERROR(__xludf.DUMMYFUNCTION("CONCATENATE(GOOGLETRANSLATE(C1576, ""en"", ""ja""))"),"ハミルトン アメリカン クラシック イントラマティック メカニカル クロノグラフ H ウォッチ 40mm ケース、ホワイト ダイヤル、シルバー ステンレス スチール ブレスレット (モデル: H38429110)")</f>
        <v>ハミルトン アメリカン クラシック イントラマティック メカニカル クロノグラフ H ウォッチ 40mm ケース、ホワイト ダイヤル、シルバー ステンレス スチール ブレスレット (モデル: H38429110)</v>
      </c>
    </row>
    <row r="1577" ht="15.75" customHeight="1">
      <c r="A1577" s="1">
        <v>3990.0</v>
      </c>
      <c r="B1577" s="1" t="s">
        <v>6</v>
      </c>
      <c r="C1577" s="1" t="s">
        <v>1447</v>
      </c>
      <c r="D1577" s="1" t="str">
        <f>IFERROR(__xludf.DUMMYFUNCTION("CONCATENATE(GOOGLETRANSLATE(C1577, ""en"", ""zh-cn""))
"),"卡西欧 G-Shock GMW-B5000TCF-2JR 无线电太阳能手表限量版（日本国内正品）")</f>
        <v>卡西欧 G-Shock GMW-B5000TCF-2JR 无线电太阳能手表限量版（日本国内正品）</v>
      </c>
      <c r="E1577" s="1" t="str">
        <f>IFERROR(__xludf.DUMMYFUNCTION("CONCATENATE(GOOGLETRANSLATE(C1577, ""en"", ""ko""))"),"카시오 G-Shock GMW-B5000TCF-2JR Radio Solar 시계 한정판(일본 국내 정품 제품)")</f>
        <v>카시오 G-Shock GMW-B5000TCF-2JR Radio Solar 시계 한정판(일본 국내 정품 제품)</v>
      </c>
      <c r="F1577" s="1" t="str">
        <f>IFERROR(__xludf.DUMMYFUNCTION("CONCATENATE(GOOGLETRANSLATE(C1577, ""en"", ""ja""))"),"カシオ Gショック GMW-B5000TCF-2JR 電波ソーラー時計 限定モデル (日本国内正規品)")</f>
        <v>カシオ Gショック GMW-B5000TCF-2JR 電波ソーラー時計 限定モデル (日本国内正規品)</v>
      </c>
    </row>
    <row r="1578" ht="15.75" customHeight="1">
      <c r="A1578" s="1">
        <v>4004.0</v>
      </c>
      <c r="B1578" s="1" t="s">
        <v>6</v>
      </c>
      <c r="C1578" s="1" t="s">
        <v>1448</v>
      </c>
      <c r="D1578" s="1" t="str">
        <f>IFERROR(__xludf.DUMMYFUNCTION("CONCATENATE(GOOGLETRANSLATE(C1578, ""en"", ""zh-cn""))
"),"Luminox 自动运动计时器男士手表")</f>
        <v>Luminox 自动运动计时器男士手表</v>
      </c>
      <c r="E1578" s="1" t="str">
        <f>IFERROR(__xludf.DUMMYFUNCTION("CONCATENATE(GOOGLETRANSLATE(C1578, ""en"", ""ko""))"),"Luminox 자동 스포츠 타이머 남성용 시계")</f>
        <v>Luminox 자동 스포츠 타이머 남성용 시계</v>
      </c>
      <c r="F1578" s="1" t="str">
        <f>IFERROR(__xludf.DUMMYFUNCTION("CONCATENATE(GOOGLETRANSLATE(C1578, ""en"", ""ja""))"),"ルミノックス オートマチック スポーツ タイマー メンズ腕時計")</f>
        <v>ルミノックス オートマチック スポーツ タイマー メンズ腕時計</v>
      </c>
    </row>
    <row r="1579" ht="15.75" customHeight="1">
      <c r="A1579" s="1">
        <v>4018.0</v>
      </c>
      <c r="B1579" s="1" t="s">
        <v>6</v>
      </c>
      <c r="C1579" s="1" t="s">
        <v>1449</v>
      </c>
      <c r="D1579" s="1" t="str">
        <f>IFERROR(__xludf.DUMMYFUNCTION("CONCATENATE(GOOGLETRANSLATE(C1579, ""en"", ""zh-cn""))
"),"Hamilton Jazzmaster Viewmatic 瑞士自动手表 40 毫米表壳，黑色表盘，棕色皮表带（型号：H32515535）")</f>
        <v>Hamilton Jazzmaster Viewmatic 瑞士自动手表 40 毫米表壳，黑色表盘，棕色皮表带（型号：H32515535）</v>
      </c>
      <c r="E1579" s="1" t="str">
        <f>IFERROR(__xludf.DUMMYFUNCTION("CONCATENATE(GOOGLETRANSLATE(C1579, ""en"", ""ko""))"),"해밀턴 재즈마스터 뷰매틱 스위스 오토매틱 시계 40mm 케이스, 블랙 다이얼, 브라운 가죽 스트랩 (모델: H32515535)")</f>
        <v>해밀턴 재즈마스터 뷰매틱 스위스 오토매틱 시계 40mm 케이스, 블랙 다이얼, 브라운 가죽 스트랩 (모델: H32515535)</v>
      </c>
      <c r="F1579" s="1" t="str">
        <f>IFERROR(__xludf.DUMMYFUNCTION("CONCATENATE(GOOGLETRANSLATE(C1579, ""en"", ""ja""))"),"ハミルトン ジャズマスター ビューマティック スイス自動巻き時計 40mm ケース、ブラック ダイヤル、ブラウン レザー ストラップ (モデル: H32515535)")</f>
        <v>ハミルトン ジャズマスター ビューマティック スイス自動巻き時計 40mm ケース、ブラック ダイヤル、ブラウン レザー ストラップ (モデル: H32515535)</v>
      </c>
    </row>
    <row r="1580" ht="15.75" customHeight="1">
      <c r="A1580" s="1">
        <v>4033.0</v>
      </c>
      <c r="B1580" s="1" t="s">
        <v>6</v>
      </c>
      <c r="C1580" s="1" t="s">
        <v>1450</v>
      </c>
      <c r="D1580" s="1" t="str">
        <f>IFERROR(__xludf.DUMMYFUNCTION("CONCATENATE(GOOGLETRANSLATE(C1580, ""en"", ""zh-cn""))
"),"Luminox Navy Seal XS.4221.NV.F 男士手表 45 毫米 - 军用潜水手表黑色日期功能 200m 防水蓝宝石玻璃")</f>
        <v>Luminox Navy Seal XS.4221.NV.F 男士手表 45 毫米 - 军用潜水手表黑色日期功能 200m 防水蓝宝石玻璃</v>
      </c>
      <c r="E1580" s="1" t="str">
        <f>IFERROR(__xludf.DUMMYFUNCTION("CONCATENATE(GOOGLETRANSLATE(C1580, ""en"", ""ko""))"),"Luminox Navy Seal XS.4221.NV.F 남성용 시계 45mm - 블랙 날짜 기능 200m 방수 사파이어 글래스 군용 다이브 시계")</f>
        <v>Luminox Navy Seal XS.4221.NV.F 남성용 시계 45mm - 블랙 날짜 기능 200m 방수 사파이어 글래스 군용 다이브 시계</v>
      </c>
      <c r="F1580" s="1" t="str">
        <f>IFERROR(__xludf.DUMMYFUNCTION("CONCATENATE(GOOGLETRANSLATE(C1580, ""en"", ""ja""))"),"ルミノックス ネイビー シール XS.4221.NV.F メンズ ウォッチ 45mm - ミリタリー ダイブウォッチ ブラック 日付機能 200m 防水 サファイアガラス")</f>
        <v>ルミノックス ネイビー シール XS.4221.NV.F メンズ ウォッチ 45mm - ミリタリー ダイブウォッチ ブラック 日付機能 200m 防水 サファイアガラス</v>
      </c>
    </row>
    <row r="1581" ht="15.75" customHeight="1">
      <c r="A1581" s="1">
        <v>4039.0</v>
      </c>
      <c r="B1581" s="1" t="s">
        <v>6</v>
      </c>
      <c r="C1581" s="1" t="s">
        <v>1451</v>
      </c>
      <c r="D1581" s="1" t="str">
        <f>IFERROR(__xludf.DUMMYFUNCTION("CONCATENATE(GOOGLETRANSLATE(C1581, ""en"", ""zh-cn""))
"),"Luminox ICE-SAR Arctic XL.1202 男士手表 46 毫米 - 军用手表银色/黑色日期功能 200m 防水蓝宝石玻璃")</f>
        <v>Luminox ICE-SAR Arctic XL.1202 男士手表 46 毫米 - 军用手表银色/黑色日期功能 200m 防水蓝宝石玻璃</v>
      </c>
      <c r="E1581" s="1" t="str">
        <f>IFERROR(__xludf.DUMMYFUNCTION("CONCATENATE(GOOGLETRANSLATE(C1581, ""en"", ""ko""))"),"Luminox ICE-SAR Arctic XL.1202 남성용 시계 46mm - 실버/블랙 날짜 기능 200m 방수 사파이어 글라스 군용 시계")</f>
        <v>Luminox ICE-SAR Arctic XL.1202 남성용 시계 46mm - 실버/블랙 날짜 기능 200m 방수 사파이어 글라스 군용 시계</v>
      </c>
      <c r="F1581" s="1" t="str">
        <f>IFERROR(__xludf.DUMMYFUNCTION("CONCATENATE(GOOGLETRANSLATE(C1581, ""en"", ""ja""))"),"ルミノックス ICE-SAR アークティック XL.1202 メンズ ウォッチ 46mm - ミリタリーウォッチ シルバー/ブラック 日付機能 200m 防水 サファイアガラス")</f>
        <v>ルミノックス ICE-SAR アークティック XL.1202 メンズ ウォッチ 46mm - ミリタリーウォッチ シルバー/ブラック 日付機能 200m 防水 サファイアガラス</v>
      </c>
    </row>
    <row r="1582" ht="15.75" customHeight="1">
      <c r="A1582" s="1">
        <v>4043.0</v>
      </c>
      <c r="B1582" s="1" t="s">
        <v>6</v>
      </c>
      <c r="C1582" s="1" t="s">
        <v>1452</v>
      </c>
      <c r="D1582" s="1" t="str">
        <f>IFERROR(__xludf.DUMMYFUNCTION("CONCATENATE(GOOGLETRANSLATE(C1582, ""en"", ""zh-cn""))
"),"Luminox 男士 Pacific Diver Sea 系列银色/蓝色 44 毫米模拟潜水手表")</f>
        <v>Luminox 男士 Pacific Diver Sea 系列银色/蓝色 44 毫米模拟潜水手表</v>
      </c>
      <c r="E1582" s="1" t="str">
        <f>IFERROR(__xludf.DUMMYFUNCTION("CONCATENATE(GOOGLETRANSLATE(C1582, ""en"", ""ko""))"),"Luminox 남성용 Pacific Diver Sea 시리즈 실버/블루 44mm 아날로그 다이브 시계")</f>
        <v>Luminox 남성용 Pacific Diver Sea 시리즈 실버/블루 44mm 아날로그 다이브 시계</v>
      </c>
      <c r="F1582" s="1" t="str">
        <f>IFERROR(__xludf.DUMMYFUNCTION("CONCATENATE(GOOGLETRANSLATE(C1582, ""en"", ""ja""))"),"ルミノックス メンズ パシフィック ダイバー シー シリーズ シルバー/ブルー 44mm アナログ ダイブウォッチ")</f>
        <v>ルミノックス メンズ パシフィック ダイバー シー シリーズ シルバー/ブルー 44mm アナログ ダイブウォッチ</v>
      </c>
    </row>
    <row r="1583" ht="15.75" customHeight="1">
      <c r="A1583" s="1">
        <v>4046.0</v>
      </c>
      <c r="B1583" s="1" t="s">
        <v>6</v>
      </c>
      <c r="C1583" s="1" t="s">
        <v>1453</v>
      </c>
      <c r="D1583" s="1" t="str">
        <f>IFERROR(__xludf.DUMMYFUNCTION("CONCATENATE(GOOGLETRANSLATE(C1583, ""en"", ""zh-cn""))
"),"Luminox 男士太平洋潜水计时系列黑色 44 毫米模拟潜水手表")</f>
        <v>Luminox 男士太平洋潜水计时系列黑色 44 毫米模拟潜水手表</v>
      </c>
      <c r="E1583" s="1" t="str">
        <f>IFERROR(__xludf.DUMMYFUNCTION("CONCATENATE(GOOGLETRANSLATE(C1583, ""en"", ""ko""))"),"Luminox 남성용 퍼시픽 다이버 크로노그래프 시리즈 블랙아웃 44mm 아날로그 다이브 시계")</f>
        <v>Luminox 남성용 퍼시픽 다이버 크로노그래프 시리즈 블랙아웃 44mm 아날로그 다이브 시계</v>
      </c>
      <c r="F1583" s="1" t="str">
        <f>IFERROR(__xludf.DUMMYFUNCTION("CONCATENATE(GOOGLETRANSLATE(C1583, ""en"", ""ja""))"),"ルミノックス メンズ パシフィック ダイバー クロノグラフ シリーズ ブラックアウト 44mm アナログ ダイブウォッチ")</f>
        <v>ルミノックス メンズ パシフィック ダイバー クロノグラフ シリーズ ブラックアウト 44mm アナログ ダイブウォッチ</v>
      </c>
    </row>
    <row r="1584" ht="15.75" customHeight="1">
      <c r="A1584" s="1">
        <v>4058.0</v>
      </c>
      <c r="B1584" s="1" t="s">
        <v>6</v>
      </c>
      <c r="C1584" s="1" t="s">
        <v>1454</v>
      </c>
      <c r="D1584" s="1" t="str">
        <f>IFERROR(__xludf.DUMMYFUNCTION("CONCATENATE(GOOGLETRANSLATE(C1584, ""en"", ""zh-cn""))
"),"精工 Prospex 南极洲金枪鱼潜水员 200 米自动蓝色表盘手表 SRPH77K1")</f>
        <v>精工 Prospex 南极洲金枪鱼潜水员 200 米自动蓝色表盘手表 SRPH77K1</v>
      </c>
      <c r="E1584" s="1" t="str">
        <f>IFERROR(__xludf.DUMMYFUNCTION("CONCATENATE(GOOGLETRANSLATE(C1584, ""en"", ""ko""))"),"세이코 ProspexAntarctica Tuna Diver's 200m 오토매틱 블루 다이얼 시계 SRPH77K1")</f>
        <v>세이코 ProspexAntarctica Tuna Diver's 200m 오토매틱 블루 다이얼 시계 SRPH77K1</v>
      </c>
      <c r="F1584" s="1" t="str">
        <f>IFERROR(__xludf.DUMMYFUNCTION("CONCATENATE(GOOGLETRANSLATE(C1584, ""en"", ""ja""))"),"セイコー プロスペックス南極ツナダイバーズ 200m 自動巻きブルーダイヤルウォッチ SRPH77K1")</f>
        <v>セイコー プロスペックス南極ツナダイバーズ 200m 自動巻きブルーダイヤルウォッチ SRPH77K1</v>
      </c>
    </row>
    <row r="1585" ht="15.75" customHeight="1">
      <c r="A1585" s="1">
        <v>4098.0</v>
      </c>
      <c r="B1585" s="1" t="s">
        <v>6</v>
      </c>
      <c r="C1585" s="1" t="s">
        <v>1455</v>
      </c>
      <c r="D1585" s="1" t="str">
        <f>IFERROR(__xludf.DUMMYFUNCTION("CONCATENATE(GOOGLETRANSLATE(C1585, ""en"", ""zh-cn""))
"),"SEIKO PROSPEX 太阳能潜水员蓝色和红色边框不锈钢手表 SNE591")</f>
        <v>SEIKO PROSPEX 太阳能潜水员蓝色和红色边框不锈钢手表 SNE591</v>
      </c>
      <c r="E1585" s="1" t="str">
        <f>IFERROR(__xludf.DUMMYFUNCTION("CONCATENATE(GOOGLETRANSLATE(C1585, ""en"", ""ko""))"),"SEIKO PROSPEX 솔라 다이버 블루 및 레드 베젤 스테인리스 스틸 시계 SNE591")</f>
        <v>SEIKO PROSPEX 솔라 다이버 블루 및 레드 베젤 스테인리스 스틸 시계 SNE591</v>
      </c>
      <c r="F1585" s="1" t="str">
        <f>IFERROR(__xludf.DUMMYFUNCTION("CONCATENATE(GOOGLETRANSLATE(C1585, ""en"", ""ja""))"),"セイコー プロスペックス ソーラー ダイバーズ 青と赤ベゼル ステンレススチール ウォッチ SNE591")</f>
        <v>セイコー プロスペックス ソーラー ダイバーズ 青と赤ベゼル ステンレススチール ウォッチ SNE591</v>
      </c>
    </row>
    <row r="1586" ht="15.75" customHeight="1">
      <c r="A1586" s="1">
        <v>4130.0</v>
      </c>
      <c r="B1586" s="1" t="s">
        <v>6</v>
      </c>
      <c r="C1586" s="1" t="s">
        <v>1456</v>
      </c>
      <c r="D1586" s="1" t="str">
        <f>IFERROR(__xludf.DUMMYFUNCTION("CONCATENATE(GOOGLETRANSLATE(C1586, ""en"", ""zh-cn""))
"),"三星 Galaxy Watch 4 LTE 46 毫米智能手表，带心电图监测追踪器，适用于健康、健身、跑步、睡眠周期、GPS 跌倒检测、蓝牙，美国版，黑色")</f>
        <v>三星 Galaxy Watch 4 LTE 46 毫米智能手表，带心电图监测追踪器，适用于健康、健身、跑步、睡眠周期、GPS 跌倒检测、蓝牙，美国版，黑色</v>
      </c>
      <c r="E1586" s="1" t="str">
        <f>IFERROR(__xludf.DUMMYFUNCTION("CONCATENATE(GOOGLETRANSLATE(C1586, ""en"", ""ko""))"),"건강, 피트니스, 달리기, 수면 주기, GPS 추락 감지, 블루투스, 미국 버전, 블랙용 심전도 모니터 추적기가 포함된 SAMSUNG Galaxy Watch 4 LTE 46mm 스마트워치")</f>
        <v>건강, 피트니스, 달리기, 수면 주기, GPS 추락 감지, 블루투스, 미국 버전, 블랙용 심전도 모니터 추적기가 포함된 SAMSUNG Galaxy Watch 4 LTE 46mm 스마트워치</v>
      </c>
      <c r="F1586" s="1" t="str">
        <f>IFERROR(__xludf.DUMMYFUNCTION("CONCATENATE(GOOGLETRANSLATE(C1586, ""en"", ""ja""))"),"SAMSUNG Galaxy Watch 4 LTE 46mm スマートウォッチ、ECG モニタートラッカー付き、健康、フィットネス、ランニング、睡眠サイクル、GPS 転倒検出、Bluetooth、米国バージョン、ブラック")</f>
        <v>SAMSUNG Galaxy Watch 4 LTE 46mm スマートウォッチ、ECG モニタートラッカー付き、健康、フィットネス、ランニング、睡眠サイクル、GPS 転倒検出、Bluetooth、米国バージョン、ブラック</v>
      </c>
    </row>
    <row r="1587" ht="15.75" customHeight="1">
      <c r="A1587" s="1">
        <v>4159.0</v>
      </c>
      <c r="B1587" s="1" t="s">
        <v>6</v>
      </c>
      <c r="C1587" s="1" t="s">
        <v>1457</v>
      </c>
      <c r="D1587" s="1" t="str">
        <f>IFERROR(__xludf.DUMMYFUNCTION("CONCATENATE(GOOGLETRANSLATE(C1587, ""en"", ""zh-cn""))
"),"TAKA Jewellery Cresta 18K 十字钻石吊坠")</f>
        <v>TAKA Jewellery Cresta 18K 十字钻石吊坠</v>
      </c>
      <c r="E1587" s="1" t="str">
        <f>IFERROR(__xludf.DUMMYFUNCTION("CONCATENATE(GOOGLETRANSLATE(C1587, ""en"", ""ko""))"),"TAKA 주얼리 크레스타 18K 크로스 다이아몬드 펜던트")</f>
        <v>TAKA 주얼리 크레스타 18K 크로스 다이아몬드 펜던트</v>
      </c>
      <c r="F1587" s="1" t="str">
        <f>IFERROR(__xludf.DUMMYFUNCTION("CONCATENATE(GOOGLETRANSLATE(C1587, ""en"", ""ja""))"),"TAKA Jewellery Cresta 18Kクロスダイヤモンドペンダント")</f>
        <v>TAKA Jewellery Cresta 18Kクロスダイヤモンドペンダント</v>
      </c>
    </row>
    <row r="1588" ht="15.75" customHeight="1">
      <c r="A1588" s="1">
        <v>4167.0</v>
      </c>
      <c r="B1588" s="1" t="s">
        <v>6</v>
      </c>
      <c r="C1588" s="1" t="s">
        <v>1458</v>
      </c>
      <c r="D1588" s="1" t="str">
        <f>IFERROR(__xludf.DUMMYFUNCTION("CONCATENATE(GOOGLETRANSLATE(C1588, ""en"", ""zh-cn""))
"),"SEIKO SNE549 Prospex 男士手表银色 43.5 毫米不锈钢")</f>
        <v>SEIKO SNE549 Prospex 男士手表银色 43.5 毫米不锈钢</v>
      </c>
      <c r="E1588" s="1" t="str">
        <f>IFERROR(__xludf.DUMMYFUNCTION("CONCATENATE(GOOGLETRANSLATE(C1588, ""en"", ""ko""))"),"SEIKO SNE549 Prospex 남성용 시계 실버톤 43.5mm 스테인리스 스틸")</f>
        <v>SEIKO SNE549 Prospex 남성용 시계 실버톤 43.5mm 스테인리스 스틸</v>
      </c>
      <c r="F1588" s="1" t="str">
        <f>IFERROR(__xludf.DUMMYFUNCTION("CONCATENATE(GOOGLETRANSLATE(C1588, ""en"", ""ja""))"),"セイコー SNE549 プロスペックス メンズ 腕時計 シルバートーン 43.5mm ステンレススチール")</f>
        <v>セイコー SNE549 プロスペックス メンズ 腕時計 シルバートーン 43.5mm ステンレススチール</v>
      </c>
    </row>
    <row r="1589" ht="15.75" customHeight="1">
      <c r="A1589" s="1">
        <v>4169.0</v>
      </c>
      <c r="B1589" s="1" t="s">
        <v>6</v>
      </c>
      <c r="C1589" s="1" t="s">
        <v>1459</v>
      </c>
      <c r="D1589" s="1" t="str">
        <f>IFERROR(__xludf.DUMMYFUNCTION("CONCATENATE(GOOGLETRANSLATE(C1589, ""en"", ""zh-cn""))
"),"Luminox 男士 3005 原创海军海豹突击队潜水手表")</f>
        <v>Luminox 男士 3005 原创海军海豹突击队潜水手表</v>
      </c>
      <c r="E1589" s="1" t="str">
        <f>IFERROR(__xludf.DUMMYFUNCTION("CONCATENATE(GOOGLETRANSLATE(C1589, ""en"", ""ko""))"),"Luminox 남성용 3005 오리지널 Navy SEAL 다이브 시계")</f>
        <v>Luminox 남성용 3005 오리지널 Navy SEAL 다이브 시계</v>
      </c>
      <c r="F1589" s="1" t="str">
        <f>IFERROR(__xludf.DUMMYFUNCTION("CONCATENATE(GOOGLETRANSLATE(C1589, ""en"", ""ja""))"),"ルミノックス メンズ 3005 オリジナル ネイビー シール ダイブウォッチ")</f>
        <v>ルミノックス メンズ 3005 オリジナル ネイビー シール ダイブウォッチ</v>
      </c>
    </row>
    <row r="1590" ht="15.75" customHeight="1">
      <c r="A1590" s="1">
        <v>4186.0</v>
      </c>
      <c r="B1590" s="1" t="s">
        <v>6</v>
      </c>
      <c r="C1590" s="1" t="s">
        <v>1460</v>
      </c>
      <c r="D1590" s="1" t="str">
        <f>IFERROR(__xludf.DUMMYFUNCTION("CONCATENATE(GOOGLETRANSLATE(C1590, ""en"", ""zh-cn""))
"),"Luminox Navy Seal Blackout XS.3081.BO.F 男士手表 44 毫米 - 军用潜水手表黑色日期功能计时码表 200m 防水")</f>
        <v>Luminox Navy Seal Blackout XS.3081.BO.F 男士手表 44 毫米 - 军用潜水手表黑色日期功能计时码表 200m 防水</v>
      </c>
      <c r="E1590" s="1" t="str">
        <f>IFERROR(__xludf.DUMMYFUNCTION("CONCATENATE(GOOGLETRANSLATE(C1590, ""en"", ""ko""))"),"Luminox Navy Seal 블랙아웃 XS.3081.BO.F 남성용 시계 44mm - 블랙 날짜 기능의 밀리터리 다이브 시계 크로노그래프 200m 방수")</f>
        <v>Luminox Navy Seal 블랙아웃 XS.3081.BO.F 남성용 시계 44mm - 블랙 날짜 기능의 밀리터리 다이브 시계 크로노그래프 200m 방수</v>
      </c>
      <c r="F1590" s="1" t="str">
        <f>IFERROR(__xludf.DUMMYFUNCTION("CONCATENATE(GOOGLETRANSLATE(C1590, ""en"", ""ja""))"),"ルミノックス ネイビー シール ブラックアウト XS.3081.BO.F メンズ ウォッチ 44mm - ミリタリー ダイブウォッチ ブラック 日付機能 クロノグラフ 200m 防水")</f>
        <v>ルミノックス ネイビー シール ブラックアウト XS.3081.BO.F メンズ ウォッチ 44mm - ミリタリー ダイブウォッチ ブラック 日付機能 クロノグラフ 200m 防水</v>
      </c>
    </row>
    <row r="1591" ht="15.75" customHeight="1">
      <c r="A1591" s="1">
        <v>4193.0</v>
      </c>
      <c r="B1591" s="1" t="s">
        <v>6</v>
      </c>
      <c r="C1591" s="1" t="s">
        <v>1461</v>
      </c>
      <c r="D1591" s="1" t="str">
        <f>IFERROR(__xludf.DUMMYFUNCTION("CONCATENATE(GOOGLETRANSLATE(C1591, ""en"", ""zh-cn""))
"),"Fitbit Versa 4 健身智能手表，具有日常准备功能，GPS，24/7 心率，40 多种锻炼模式，睡眠跟踪等，粉沙色/铜玫瑰色，均码（包括 S 和 L 表带）")</f>
        <v>Fitbit Versa 4 健身智能手表，具有日常准备功能，GPS，24/7 心率，40 多种锻炼模式，睡眠跟踪等，粉沙色/铜玫瑰色，均码（包括 S 和 L 表带）</v>
      </c>
      <c r="E1591" s="1" t="str">
        <f>IFERROR(__xludf.DUMMYFUNCTION("CONCATENATE(GOOGLETRANSLATE(C1591, ""en"", ""ko""))"),"Fitbit Versa 4 피트니스 스마트워치, 일일 컨디션, GPS, 24시간 심박수, 40개 이상의 운동 모드, 수면 추적 등, 핑크 샌드/코퍼 로즈, 단일 사이즈(S 및 L 밴드 포함)")</f>
        <v>Fitbit Versa 4 피트니스 스마트워치, 일일 컨디션, GPS, 24시간 심박수, 40개 이상의 운동 모드, 수면 추적 등, 핑크 샌드/코퍼 로즈, 단일 사이즈(S 및 L 밴드 포함)</v>
      </c>
      <c r="F1591" s="1" t="str">
        <f>IFERROR(__xludf.DUMMYFUNCTION("CONCATENATE(GOOGLETRANSLATE(C1591, ""en"", ""ja""))"),"Fitbit Versa 4 フィットネス スマートウォッチ、毎日の準備、GPS、24 時間年中無休の心拍数、40 以上の運動モード、睡眠追跡などを備え、ピンク サンド/コッパー ローズ、ワン サイズ (S および L バンド付属)")</f>
        <v>Fitbit Versa 4 フィットネス スマートウォッチ、毎日の準備、GPS、24 時間年中無休の心拍数、40 以上の運動モード、睡眠追跡などを備え、ピンク サンド/コッパー ローズ、ワン サイズ (S および L バンド付属)</v>
      </c>
    </row>
    <row r="1592" ht="15.75" customHeight="1">
      <c r="A1592" s="1">
        <v>4203.0</v>
      </c>
      <c r="B1592" s="1" t="s">
        <v>6</v>
      </c>
      <c r="C1592" s="1" t="s">
        <v>1462</v>
      </c>
      <c r="D1592" s="1" t="str">
        <f>IFERROR(__xludf.DUMMYFUNCTION("CONCATENATE(GOOGLETRANSLATE(C1592, ""en"", ""zh-cn""))
"),"施华洛世奇 Millenia 八角形切割水晶手链珠宝系列")</f>
        <v>施华洛世奇 Millenia 八角形切割水晶手链珠宝系列</v>
      </c>
      <c r="E1592" s="1" t="str">
        <f>IFERROR(__xludf.DUMMYFUNCTION("CONCATENATE(GOOGLETRANSLATE(C1592, ""en"", ""ko""))"),"SWAROVSKI 밀레니아 옥타곤 컷 크리스탈 팔찌 주얼리 컬렉션")</f>
        <v>SWAROVSKI 밀레니아 옥타곤 컷 크리스탈 팔찌 주얼리 컬렉션</v>
      </c>
      <c r="F1592" s="1" t="str">
        <f>IFERROR(__xludf.DUMMYFUNCTION("CONCATENATE(GOOGLETRANSLATE(C1592, ""en"", ""ja""))"),"スワロフスキー ミレニア オクタゴン カット クリスタル ブレスレット ジュエリー コレクション")</f>
        <v>スワロフスキー ミレニア オクタゴン カット クリスタル ブレスレット ジュエリー コレクション</v>
      </c>
    </row>
    <row r="1593" ht="15.75" customHeight="1">
      <c r="A1593" s="1">
        <v>4212.0</v>
      </c>
      <c r="B1593" s="1" t="s">
        <v>6</v>
      </c>
      <c r="C1593" s="1" t="s">
        <v>1463</v>
      </c>
      <c r="D1593" s="1" t="str">
        <f>IFERROR(__xludf.DUMMYFUNCTION("CONCATENATE(GOOGLETRANSLATE(C1593, ""en"", ""zh-cn""))
"),"Luminox Leatherback SEA Turtle Giant XS.0333 男士手表 44 毫米 - 黑色军用手表日期功能 100 m 防水")</f>
        <v>Luminox Leatherback SEA Turtle Giant XS.0333 男士手表 44 毫米 - 黑色军用手表日期功能 100 m 防水</v>
      </c>
      <c r="E1593" s="1" t="str">
        <f>IFERROR(__xludf.DUMMYFUNCTION("CONCATENATE(GOOGLETRANSLATE(C1593, ""en"", ""ko""))"),"Luminox Leatherback SEA Turtle Giant XS.0333 남성용 시계 44mm - 블랙 날짜 기능의 밀리터리 시계 100m 방수")</f>
        <v>Luminox Leatherback SEA Turtle Giant XS.0333 남성용 시계 44mm - 블랙 날짜 기능의 밀리터리 시계 100m 방수</v>
      </c>
      <c r="F1593" s="1" t="str">
        <f>IFERROR(__xludf.DUMMYFUNCTION("CONCATENATE(GOOGLETRANSLATE(C1593, ""en"", ""ja""))"),"ルミノックス レザーバック SEA タートル ジャイアント XS.0333 メンズ ウォッチ 44mm - ミリタリー ウォッチ ブラック 日付機能 100m 防水")</f>
        <v>ルミノックス レザーバック SEA タートル ジャイアント XS.0333 メンズ ウォッチ 44mm - ミリタリー ウォッチ ブラック 日付機能 100m 防水</v>
      </c>
    </row>
    <row r="1594" ht="15.75" customHeight="1">
      <c r="A1594" s="1">
        <v>4221.0</v>
      </c>
      <c r="B1594" s="1" t="s">
        <v>6</v>
      </c>
      <c r="C1594" s="1" t="s">
        <v>1464</v>
      </c>
      <c r="D1594" s="1" t="str">
        <f>IFERROR(__xludf.DUMMYFUNCTION("CONCATENATE(GOOGLETRANSLATE(C1594, ""en"", ""zh-cn""))
"),"卡西欧 G-shock 日本型号限量 [ Gd-100gb-1jf ]")</f>
        <v>卡西欧 G-shock 日本型号限量 [ Gd-100gb-1jf ]</v>
      </c>
      <c r="E1594" s="1" t="str">
        <f>IFERROR(__xludf.DUMMYFUNCTION("CONCATENATE(GOOGLETRANSLATE(C1594, ""en"", ""ko""))"),"카시오 G-SHOCK 일본 모델 한정판 [ Gd-100gb-1jf ]")</f>
        <v>카시오 G-SHOCK 일본 모델 한정판 [ Gd-100gb-1jf ]</v>
      </c>
      <c r="F1594" s="1" t="str">
        <f>IFERROR(__xludf.DUMMYFUNCTION("CONCATENATE(GOOGLETRANSLATE(C1594, ""en"", ""ja""))"),"カシオ G-SHOCK 日本限定モデル [ Gd-100gb-1jf ]")</f>
        <v>カシオ G-SHOCK 日本限定モデル [ Gd-100gb-1jf ]</v>
      </c>
    </row>
    <row r="1595" ht="15.75" customHeight="1">
      <c r="A1595" s="1">
        <v>4277.0</v>
      </c>
      <c r="B1595" s="1" t="s">
        <v>6</v>
      </c>
      <c r="C1595" s="1" t="s">
        <v>1465</v>
      </c>
      <c r="D1595" s="1" t="str">
        <f>IFERROR(__xludf.DUMMYFUNCTION("CONCATENATE(GOOGLETRANSLATE(C1595, ""en"", ""zh-cn""))
"),"男士 SNK807 SEIKO 5 自动不锈钢手表带蓝色帆布表带")</f>
        <v>男士 SNK807 SEIKO 5 自动不锈钢手表带蓝色帆布表带</v>
      </c>
      <c r="E1595" s="1" t="str">
        <f>IFERROR(__xludf.DUMMYFUNCTION("CONCATENATE(GOOGLETRANSLATE(C1595, ""en"", ""ko""))"),"남성용 SNK807 SEIKO 5 자동 스테인리스 스틸 시계(블루 캔버스 밴드 포함)")</f>
        <v>남성용 SNK807 SEIKO 5 자동 스테인리스 스틸 시계(블루 캔버스 밴드 포함)</v>
      </c>
      <c r="F1595" s="1" t="str">
        <f>IFERROR(__xludf.DUMMYFUNCTION("CONCATENATE(GOOGLETRANSLATE(C1595, ""en"", ""ja""))"),"メンズ SNK807 SEIKO 5 自動巻きステンレススチールウォッチ、ブルーキャンバスバンド付き")</f>
        <v>メンズ SNK807 SEIKO 5 自動巻きステンレススチールウォッチ、ブルーキャンバスバンド付き</v>
      </c>
    </row>
    <row r="1596" ht="15.75" customHeight="1">
      <c r="A1596" s="1">
        <v>4280.0</v>
      </c>
      <c r="B1596" s="1" t="s">
        <v>6</v>
      </c>
      <c r="C1596" s="1" t="s">
        <v>1466</v>
      </c>
      <c r="D1596" s="1" t="str">
        <f>IFERROR(__xludf.DUMMYFUNCTION("CONCATENATE(GOOGLETRANSLATE(C1596, ""en"", ""zh-cn""))
"),"Amazfit T-Rex Pro 男士智能手表坚固耐用户外 GPS 健身手表，15 项军标认证，100 多种运动模式，10 ATM 防水，18 天电池寿命，血氧监测仪，黑色")</f>
        <v>Amazfit T-Rex Pro 男士智能手表坚固耐用户外 GPS 健身手表，15 项军标认证，100 多种运动模式，10 ATM 防水，18 天电池寿命，血氧监测仪，黑色</v>
      </c>
      <c r="E1596" s="1" t="str">
        <f>IFERROR(__xludf.DUMMYFUNCTION("CONCATENATE(GOOGLETRANSLATE(C1596, ""en"", ""ko""))"),"남성용 Amazfit T-Rex Pro 스마트 시계 견고한 야외 GPS 피트니스 시계, 15개 군사 표준 인증, 100개 이상의 스포츠 모드, 10ATM 방수, 18일 배터리 수명, 혈액 산소 모니터, 블랙")</f>
        <v>남성용 Amazfit T-Rex Pro 스마트 시계 견고한 야외 GPS 피트니스 시계, 15개 군사 표준 인증, 100개 이상의 스포츠 모드, 10ATM 방수, 18일 배터리 수명, 혈액 산소 모니터, 블랙</v>
      </c>
      <c r="F1596" s="1" t="str">
        <f>IFERROR(__xludf.DUMMYFUNCTION("CONCATENATE(GOOGLETRANSLATE(C1596, ""en"", ""ja""))"),"Amazfit T-Rex Pro スマートウォッチ男性用頑丈なアウトドア GPS フィットネスウォッチ、15 の軍事規格認定、100 以上のスポーツモード、10 ATM 防水、18 日間のバッテリー寿命、血中酸素モニター、ブラック")</f>
        <v>Amazfit T-Rex Pro スマートウォッチ男性用頑丈なアウトドア GPS フィットネスウォッチ、15 の軍事規格認定、100 以上のスポーツモード、10 ATM 防水、18 日間のバッテリー寿命、血中酸素モニター、ブラック</v>
      </c>
    </row>
    <row r="1597" ht="15.75" customHeight="1">
      <c r="A1597" s="1">
        <v>4349.0</v>
      </c>
      <c r="B1597" s="1" t="s">
        <v>6</v>
      </c>
      <c r="C1597" s="1" t="s">
        <v>1467</v>
      </c>
      <c r="D1597" s="1" t="str">
        <f>IFERROR(__xludf.DUMMYFUNCTION("CONCATENATE(GOOGLETRANSLATE(C1597, ""en"", ""zh-cn""))
"),"施华洛世奇永生花珠宝系列手镯、耳环、项链")</f>
        <v>施华洛世奇永生花珠宝系列手镯、耳环、项链</v>
      </c>
      <c r="E1597" s="1" t="str">
        <f>IFERROR(__xludf.DUMMYFUNCTION("CONCATENATE(GOOGLETRANSLATE(C1597, ""en"", ""ko""))"),"SWAROVSKI 이터널 플라워 주얼리 컬렉션 팔찌 팔찌, 귀걸이, 목걸이")</f>
        <v>SWAROVSKI 이터널 플라워 주얼리 컬렉션 팔찌 팔찌, 귀걸이, 목걸이</v>
      </c>
      <c r="F1597" s="1" t="str">
        <f>IFERROR(__xludf.DUMMYFUNCTION("CONCATENATE(GOOGLETRANSLATE(C1597, ""en"", ""ja""))"),"スワロフスキー エターナル フラワー ジュエリー コレクション バングル ブレスレット、イヤリング、ネックレス")</f>
        <v>スワロフスキー エターナル フラワー ジュエリー コレクション バングル ブレスレット、イヤリング、ネックレス</v>
      </c>
    </row>
    <row r="1598" ht="15.75" customHeight="1">
      <c r="A1598" s="1">
        <v>4383.0</v>
      </c>
      <c r="B1598" s="1" t="s">
        <v>6</v>
      </c>
      <c r="C1598" s="1" t="s">
        <v>1424</v>
      </c>
      <c r="D1598" s="1" t="str">
        <f>IFERROR(__xludf.DUMMYFUNCTION("CONCATENATE(GOOGLETRANSLATE(C1598, ""en"", ""zh-cn""))
"),"Ashley Darcy 签名设计休闲毛绒 L 形双面沙发躺椅 Chofa，灰棕色")</f>
        <v>Ashley Darcy 签名设计休闲毛绒 L 形双面沙发躺椅 Chofa，灰棕色</v>
      </c>
      <c r="E1598" s="1" t="str">
        <f>IFERROR(__xludf.DUMMYFUNCTION("CONCATENATE(GOOGLETRANSLATE(C1598, ""en"", ""ko""))"),"Ashley Darcy의 시그니처 디자인 캐주얼 플러시 L자형 양면 소파 Chaise Chofa, 회갈색")</f>
        <v>Ashley Darcy의 시그니처 디자인 캐주얼 플러시 L자형 양면 소파 Chaise Chofa, 회갈색</v>
      </c>
      <c r="F1598" s="1" t="str">
        <f>IFERROR(__xludf.DUMMYFUNCTION("CONCATENATE(GOOGLETRANSLATE(C1598, ""en"", ""ja""))"),"アシュリー・ダーシーによるシグネチャーデザイン カジュアル プラッシュ L 字型 リバーシブル ソファ 長椅子 チョファ グレイッシュ ブラウン")</f>
        <v>アシュリー・ダーシーによるシグネチャーデザイン カジュアル プラッシュ L 字型 リバーシブル ソファ 長椅子 チョファ グレイッシュ ブラウン</v>
      </c>
    </row>
    <row r="1599" ht="15.75" customHeight="1">
      <c r="A1599" s="1">
        <v>4390.0</v>
      </c>
      <c r="B1599" s="1" t="s">
        <v>6</v>
      </c>
      <c r="C1599" s="1" t="s">
        <v>1468</v>
      </c>
      <c r="D1599" s="1" t="str">
        <f>IFERROR(__xludf.DUMMYFUNCTION("CONCATENATE(GOOGLETRANSLATE(C1599, ""en"", ""zh-cn""))
"),"CHITA 中世纪现代沙发，客厅布艺沙发，带实木腿，免工具组装，72.8 英寸宽，亚麻")</f>
        <v>CHITA 中世纪现代沙发，客厅布艺沙发，带实木腿，免工具组装，72.8 英寸宽，亚麻</v>
      </c>
      <c r="E1599" s="1" t="str">
        <f>IFERROR(__xludf.DUMMYFUNCTION("CONCATENATE(GOOGLETRANSLATE(C1599, ""en"", ""ko""))"),"CHITA 세기 중반 모던 소파, 원목 다리가 있는 거실용 패브릭 소파, 도구가 필요 없는 조립, 72.8''W, 리넨")</f>
        <v>CHITA 세기 중반 모던 소파, 원목 다리가 있는 거실용 패브릭 소파, 도구가 필요 없는 조립, 72.8''W, 리넨</v>
      </c>
      <c r="F1599" s="1" t="str">
        <f>IFERROR(__xludf.DUMMYFUNCTION("CONCATENATE(GOOGLETRANSLATE(C1599, ""en"", ""ja""))"),"CHITA ミッドセンチュリーモダンソファ、リビングルーム用ファブリックソファ、無垢材脚付き、工具不要組み立て、幅72.8インチ、リネン")</f>
        <v>CHITA ミッドセンチュリーモダンソファ、リビングルーム用ファブリックソファ、無垢材脚付き、工具不要組み立て、幅72.8インチ、リネン</v>
      </c>
    </row>
    <row r="1600" ht="15.75" customHeight="1">
      <c r="A1600" s="1">
        <v>4402.0</v>
      </c>
      <c r="B1600" s="1" t="s">
        <v>6</v>
      </c>
      <c r="C1600" s="1" t="s">
        <v>361</v>
      </c>
      <c r="D1600" s="1" t="str">
        <f>IFERROR(__xludf.DUMMYFUNCTION("CONCATENATE(GOOGLETRANSLATE(C1600, ""en"", ""zh-cn""))
"),"Mjkone 天鹅绒双面沙发床，带大储物躺椅，3 座双面拉出沙发床，L 形组合式沙发床，适用于公寓，客厅，深灰色")</f>
        <v>Mjkone 天鹅绒双面沙发床，带大储物躺椅，3 座双面拉出沙发床，L 形组合式沙发床，适用于公寓，客厅，深灰色</v>
      </c>
      <c r="E1600" s="1" t="str">
        <f>IFERROR(__xludf.DUMMYFUNCTION("CONCATENATE(GOOGLETRANSLATE(C1600, ""en"", ""ko""))"),"Mjkone 벨벳 양면 슬리퍼 소파 소파(대형 수납 의자 포함), 3인용 양면 풀아웃 소파 소파 침대, 아파트용 L자형 단면 슬리퍼 소파 소파, 거실, 다크 그레이")</f>
        <v>Mjkone 벨벳 양면 슬리퍼 소파 소파(대형 수납 의자 포함), 3인용 양면 풀아웃 소파 소파 침대, 아파트용 L자형 단면 슬리퍼 소파 소파, 거실, 다크 그레이</v>
      </c>
      <c r="F1600" s="1" t="str">
        <f>IFERROR(__xludf.DUMMYFUNCTION("CONCATENATE(GOOGLETRANSLATE(C1600, ""en"", ""ja""))"),"Mjkone ベルベットリバーシブルスリーパーソファソファ、大容量収納長椅子付き、3人掛けリバーシブル引き出しソファカウチベッド、L字型セクショナルスリーパーソファソファ、アパート、リビングルーム用、ダークグレー")</f>
        <v>Mjkone ベルベットリバーシブルスリーパーソファソファ、大容量収納長椅子付き、3人掛けリバーシブル引き出しソファカウチベッド、L字型セクショナルスリーパーソファソファ、アパート、リビングルーム用、ダークグレー</v>
      </c>
    </row>
    <row r="1601" ht="15.75" customHeight="1">
      <c r="A1601" s="1">
        <v>4403.0</v>
      </c>
      <c r="B1601" s="1" t="s">
        <v>6</v>
      </c>
      <c r="C1601" s="1" t="s">
        <v>1469</v>
      </c>
      <c r="D1601" s="1" t="str">
        <f>IFERROR(__xludf.DUMMYFUNCTION("CONCATENATE(GOOGLETRANSLATE(C1601, ""en"", ""zh-cn""))
"),"Merluxy沙发，深座沙发-现代雪尼尔沙发，客厅3座沙发-97宽超大沙发，米色舒适沙发")</f>
        <v>Merluxy沙发，深座沙发-现代雪尼尔沙发，客厅3座沙发-97宽超大沙发，米色舒适沙发</v>
      </c>
      <c r="E1601" s="1" t="str">
        <f>IFERROR(__xludf.DUMMYFUNCTION("CONCATENATE(GOOGLETRANSLATE(C1601, ""en"", ""ko""))"),"멀럭시 소파, 딥 시트 소파 - 컨템포러리 셔닐 소파 소파, 거실용 3인용 소파 - 97 와이드 오버사이즈 소파, 베이지 편안한 소파")</f>
        <v>멀럭시 소파, 딥 시트 소파 - 컨템포러리 셔닐 소파 소파, 거실용 3인용 소파 - 97 와이드 오버사이즈 소파, 베이지 편안한 소파</v>
      </c>
      <c r="F1601" s="1" t="str">
        <f>IFERROR(__xludf.DUMMYFUNCTION("CONCATENATE(GOOGLETRANSLATE(C1601, ""en"", ""ja""))"),"Merluxy ソファ、ディープシートソファ - 現代的なシェニールソファカウチ、リビングルーム用 3 人掛けソファ - 97 幅の特大ソファ、ベージュの快適なソファ")</f>
        <v>Merluxy ソファ、ディープシートソファ - 現代的なシェニールソファカウチ、リビングルーム用 3 人掛けソファ - 97 幅の特大ソファ、ベージュの快適なソファ</v>
      </c>
    </row>
    <row r="1602" ht="15.75" customHeight="1">
      <c r="A1602" s="1">
        <v>4411.0</v>
      </c>
      <c r="B1602" s="1" t="s">
        <v>6</v>
      </c>
      <c r="C1602" s="1" t="s">
        <v>1470</v>
      </c>
      <c r="D1602" s="1" t="str">
        <f>IFERROR(__xludf.DUMMYFUNCTION("CONCATENATE(GOOGLETRANSLATE(C1602, ""en"", ""zh-cn""))
"),"Devion Furniture Russ 组合式沙发床，浅灰色")</f>
        <v>Devion Furniture Russ 组合式沙发床，浅灰色</v>
      </c>
      <c r="E1602" s="1" t="str">
        <f>IFERROR(__xludf.DUMMYFUNCTION("CONCATENATE(GOOGLETRANSLATE(C1602, ""en"", ""ko""))"),"Devion Furniture Russ 단면 슬리퍼 소파 베드, 라이트 그레이")</f>
        <v>Devion Furniture Russ 단면 슬리퍼 소파 베드, 라이트 그레이</v>
      </c>
      <c r="F1602" s="1" t="str">
        <f>IFERROR(__xludf.DUMMYFUNCTION("CONCATENATE(GOOGLETRANSLATE(C1602, ""en"", ""ja""))"),"Devion Furniture Russ セクショナルスリーパーソファベッド、ライトグレー")</f>
        <v>Devion Furniture Russ セクショナルスリーパーソファベッド、ライトグレー</v>
      </c>
    </row>
    <row r="1603" ht="15.75" customHeight="1">
      <c r="A1603" s="1">
        <v>4419.0</v>
      </c>
      <c r="B1603" s="1" t="s">
        <v>6</v>
      </c>
      <c r="C1603" s="1" t="s">
        <v>1471</v>
      </c>
      <c r="D1603" s="1" t="str">
        <f>IFERROR(__xludf.DUMMYFUNCTION("CONCATENATE(GOOGLETRANSLATE(C1603, ""en"", ""zh-cn""))
"),"Rosevera Genevieve 软垫精细聚酯系列簇绒双人沙发，现代切斯特菲尔德扶手，客厅公寓组合沙发，3 人座，米色 3 人座")</f>
        <v>Rosevera Genevieve 软垫精细聚酯系列簇绒双人沙发，现代切斯特菲尔德扶手，客厅公寓组合沙发，3 人座，米色 3 人座</v>
      </c>
      <c r="E1603" s="1" t="str">
        <f>IFERROR(__xludf.DUMMYFUNCTION("CONCATENATE(GOOGLETRANSLATE(C1603, ""en"", ""ko""))"),"Rosevera Genevieve 덮개를 씌운 고급 폴리에스테르 컬렉션 터프티드 러브시트 소파, 현대적인 체스터필드 팔걸이, 거실 아파트용 단면 소파, 3좌석, 베이지 3좌석")</f>
        <v>Rosevera Genevieve 덮개를 씌운 고급 폴리에스테르 컬렉션 터프티드 러브시트 소파, 현대적인 체스터필드 팔걸이, 거실 아파트용 단면 소파, 3좌석, 베이지 3좌석</v>
      </c>
      <c r="F1603" s="1" t="str">
        <f>IFERROR(__xludf.DUMMYFUNCTION("CONCATENATE(GOOGLETRANSLATE(C1603, ""en"", ""ja""))"),"Rosevera Genevieve 布張りファインポリエステルコレクションタフテッドラブシートカウチ、現代的なチェスターフィールドアームレスト、リビングルームアパートメント用セクションソファ、3人掛け、ベージュ3人掛け")</f>
        <v>Rosevera Genevieve 布張りファインポリエステルコレクションタフテッドラブシートカウチ、現代的なチェスターフィールドアームレスト、リビングルームアパートメント用セクションソファ、3人掛け、ベージュ3人掛け</v>
      </c>
    </row>
    <row r="1604" ht="15.75" customHeight="1">
      <c r="A1604" s="1">
        <v>4437.0</v>
      </c>
      <c r="B1604" s="1" t="s">
        <v>6</v>
      </c>
      <c r="C1604" s="1" t="s">
        <v>168</v>
      </c>
      <c r="D1604" s="1" t="str">
        <f>IFERROR(__xludf.DUMMYFUNCTION("CONCATENATE(GOOGLETRANSLATE(C1604, ""en"", ""zh-cn""))
"),"POLY &amp; BARK 纳帕皮革沙发 – 右向组合皮革沙发 – 簇绒靠背全粒面皮革沙发，座椅表面配有羽毛羽绒顶饰 – 纯苯胺意大利皮革 – 干邑棕褐色")</f>
        <v>POLY &amp; BARK 纳帕皮革沙发 – 右向组合皮革沙发 – 簇绒靠背全粒面皮革沙发，座椅表面配有羽毛羽绒顶饰 – 纯苯胺意大利皮革 – 干邑棕褐色</v>
      </c>
      <c r="E1604" s="1" t="str">
        <f>IFERROR(__xludf.DUMMYFUNCTION("CONCATENATE(GOOGLETRANSLATE(C1604, ""en"", ""ko""))"),"POLY &amp; BARK 나파 가죽 소파 – 오른쪽을 향한 단면 가죽 소파 – 좌석 표면에 깃털 다운 토퍼가 있는 터프티드 백 풀 그레인 가죽 소파 – 순수 아닐린 이탈리아 가죽 – 코냑 탄")</f>
        <v>POLY &amp; BARK 나파 가죽 소파 – 오른쪽을 향한 단면 가죽 소파 – 좌석 표면에 깃털 다운 토퍼가 있는 터프티드 백 풀 그레인 가죽 소파 – 순수 아닐린 이탈리아 가죽 – 코냑 탄</v>
      </c>
      <c r="F1604" s="1" t="str">
        <f>IFERROR(__xludf.DUMMYFUNCTION("CONCATENATE(GOOGLETRANSLATE(C1604, ""en"", ""ja""))"),"POLY &amp; BARK ナパレザーソファ – 右向きセクショナルレザーソファ – 房状バックフルグレインレザーソファ、座面にフェザーダウントッパー付き – ピュアアニリンイタリアンレザー – コニャックタン")</f>
        <v>POLY &amp; BARK ナパレザーソファ – 右向きセクショナルレザーソファ – 房状バックフルグレインレザーソファ、座面にフェザーダウントッパー付き – ピュアアニリンイタリアンレザー – コニャックタン</v>
      </c>
    </row>
    <row r="1605" ht="15.75" customHeight="1">
      <c r="A1605" s="1">
        <v>4453.0</v>
      </c>
      <c r="B1605" s="1" t="s">
        <v>6</v>
      </c>
      <c r="C1605" s="1" t="s">
        <v>1472</v>
      </c>
      <c r="D1605" s="1" t="str">
        <f>IFERROR(__xludf.DUMMYFUNCTION("CONCATENATE(GOOGLETRANSLATE(C1605, ""en"", ""zh-cn""))
"),"Sisley Sisleya Le Teint 抗衰老粉底，2r 欧根纱，1 盎司")</f>
        <v>Sisley Sisleya Le Teint 抗衰老粉底，2r 欧根纱，1 盎司</v>
      </c>
      <c r="E1605" s="1" t="str">
        <f>IFERROR(__xludf.DUMMYFUNCTION("CONCATENATE(GOOGLETRANSLATE(C1605, ""en"", ""ko""))"),"시슬리 시슬리아 르 떼 안티 에이징 파운데이션, 2r 오간자, 1온스")</f>
        <v>시슬리 시슬리아 르 떼 안티 에이징 파운데이션, 2r 오간자, 1온스</v>
      </c>
      <c r="F1605" s="1" t="str">
        <f>IFERROR(__xludf.DUMMYFUNCTION("CONCATENATE(GOOGLETRANSLATE(C1605, ""en"", ""ja""))"),"シスレー シスレーヤ ル タ​​ン アンチエイジング ファンデーション、2r オーガンザ、1 オンス")</f>
        <v>シスレー シスレーヤ ル タ​​ン アンチエイジング ファンデーション、2r オーガンザ、1 オンス</v>
      </c>
    </row>
    <row r="1606" ht="15.75" customHeight="1">
      <c r="A1606" s="1">
        <v>4455.0</v>
      </c>
      <c r="B1606" s="1" t="s">
        <v>6</v>
      </c>
      <c r="C1606" s="1" t="s">
        <v>1473</v>
      </c>
      <c r="D1606" s="1" t="str">
        <f>IFERROR(__xludf.DUMMYFUNCTION("CONCATENATE(GOOGLETRANSLATE(C1606, ""en"", ""zh-cn""))
"),"CHANEL Sublimage La Creme Yeux 终极再生眼霜，0.5 盎司")</f>
        <v>CHANEL Sublimage La Creme Yeux 终极再生眼霜，0.5 盎司</v>
      </c>
      <c r="E1606" s="1" t="str">
        <f>IFERROR(__xludf.DUMMYFUNCTION("CONCATENATE(GOOGLETRANSLATE(C1606, ""en"", ""ko""))"),"CHANEL 수블리마지 라 크렘 이으 얼티미트 리제너레이션 아이 크림, 0.5온스")</f>
        <v>CHANEL 수블리마지 라 크렘 이으 얼티미트 리제너레이션 아이 크림, 0.5온스</v>
      </c>
      <c r="F1606" s="1" t="str">
        <f>IFERROR(__xludf.DUMMYFUNCTION("CONCATENATE(GOOGLETRANSLATE(C1606, ""en"", ""ja""))"),"シャネル サブリマージュ ラ クレーム ユー アルティメット リジェネレーション アイ クリーム、0.5 オンス")</f>
        <v>シャネル サブリマージュ ラ クレーム ユー アルティメット リジェネレーション アイ クリーム、0.5 オンス</v>
      </c>
    </row>
    <row r="1607" ht="15.75" customHeight="1">
      <c r="A1607" s="1">
        <v>4495.0</v>
      </c>
      <c r="B1607" s="1" t="s">
        <v>6</v>
      </c>
      <c r="C1607" s="1" t="s">
        <v>1474</v>
      </c>
      <c r="D1607" s="1" t="str">
        <f>IFERROR(__xludf.DUMMYFUNCTION("CONCATENATE(GOOGLETRANSLATE(C1607, ""en"", ""zh-cn""))
"),"SISLEY Double Tenseur 女士即时和长期凝胶，多色 1 盎司（1 件装）")</f>
        <v>SISLEY Double Tenseur 女士即时和长期凝胶，多色 1 盎司（1 件装）</v>
      </c>
      <c r="E1607" s="1" t="str">
        <f>IFERROR(__xludf.DUMMYFUNCTION("CONCATENATE(GOOGLETRANSLATE(C1607, ""en"", ""ko""))"),"시슬리 더블 텐저 여성용 인스턴트 &amp; 롱텀 젤, 멀티컬러 1 Fl Oz (1 팩)")</f>
        <v>시슬리 더블 텐저 여성용 인스턴트 &amp; 롱텀 젤, 멀티컬러 1 Fl Oz (1 팩)</v>
      </c>
      <c r="F1607" s="1" t="str">
        <f>IFERROR(__xludf.DUMMYFUNCTION("CONCATENATE(GOOGLETRANSLATE(C1607, ""en"", ""ja""))"),"シスレー ダブル テンスール インスタント &amp; ロングターム ジェル 女性用 マルチカラー 1液量オンス (1パック)")</f>
        <v>シスレー ダブル テンスール インスタント &amp; ロングターム ジェル 女性用 マルチカラー 1液量オンス (1パック)</v>
      </c>
    </row>
    <row r="1608" ht="15.75" customHeight="1">
      <c r="A1608" s="1">
        <v>4501.0</v>
      </c>
      <c r="B1608" s="1" t="s">
        <v>6</v>
      </c>
      <c r="C1608" s="1" t="s">
        <v>1475</v>
      </c>
      <c r="D1608" s="1" t="str">
        <f>IFERROR(__xludf.DUMMYFUNCTION("CONCATENATE(GOOGLETRANSLATE(C1608, ""en"", ""zh-cn""))
"),"18 个 RGB 环形灯套件，带支架，18 个 2500K-8500K LED 可调光圆形环形灯，适用于摄影视频 YouTube Vimeo 人像照明直播")</f>
        <v>18 个 RGB 环形灯套件，带支架，18 个 2500K-8500K LED 可调光圆形环形灯，适用于摄影视频 YouTube Vimeo 人像照明直播</v>
      </c>
      <c r="E1608" s="1" t="str">
        <f>IFERROR(__xludf.DUMMYFUNCTION("CONCATENATE(GOOGLETRANSLATE(C1608, ""en"", ""ko""))"),"18 RGB 링 라이트 키트(스탠드 포함), 18 2500K-8500K LED 디밍이 가능한 원형 링 라이트 사진 비디오 YouTube Vimeo 인물 조명 라이브 스트리밍")</f>
        <v>18 RGB 링 라이트 키트(스탠드 포함), 18 2500K-8500K LED 디밍이 가능한 원형 링 라이트 사진 비디오 YouTube Vimeo 인물 조명 라이브 스트리밍</v>
      </c>
      <c r="F1608" s="1" t="str">
        <f>IFERROR(__xludf.DUMMYFUNCTION("CONCATENATE(GOOGLETRANSLATE(C1608, ""en"", ""ja""))"),"スタンド付き 18 RGB リングライトキット、18 2500K-8500K LED 調光可能なサークルリングライト、写真ビデオ YouTube Vimeo ポートレート照明ライブストリーミング用")</f>
        <v>スタンド付き 18 RGB リングライトキット、18 2500K-8500K LED 調光可能なサークルリングライト、写真ビデオ YouTube Vimeo ポートレート照明ライブストリーミング用</v>
      </c>
    </row>
    <row r="1609" ht="15.75" customHeight="1">
      <c r="A1609" s="1">
        <v>4517.0</v>
      </c>
      <c r="B1609" s="1" t="s">
        <v>6</v>
      </c>
      <c r="C1609" s="1" t="s">
        <v>1476</v>
      </c>
      <c r="D1609" s="1" t="str">
        <f>IFERROR(__xludf.DUMMYFUNCTION("CONCATENATE(GOOGLETRANSLATE(C1609, ""en"", ""zh-cn""))
"),"SISLEY 藏红花天鹅绒睡眠面膜，2 盎司 (908-69102)")</f>
        <v>SISLEY 藏红花天鹅绒睡眠面膜，2 盎司 (908-69102)</v>
      </c>
      <c r="E1609" s="1" t="str">
        <f>IFERROR(__xludf.DUMMYFUNCTION("CONCATENATE(GOOGLETRANSLATE(C1609, ""en"", ""ko""))"),"사프란 꽃이 함유된 SISLEY 벨벳 슬리핑 마스크, 2온스(908-69102)")</f>
        <v>사프란 꽃이 함유된 SISLEY 벨벳 슬리핑 마스크, 2온스(908-69102)</v>
      </c>
      <c r="F1609" s="1" t="str">
        <f>IFERROR(__xludf.DUMMYFUNCTION("CONCATENATE(GOOGLETRANSLATE(C1609, ""en"", ""ja""))"),"シスレー ベルベット スリーピング マスク サフランの花付き、2 オンス (908-69102)")</f>
        <v>シスレー ベルベット スリーピング マスク サフランの花付き、2 オンス (908-69102)</v>
      </c>
    </row>
    <row r="1610" ht="15.75" customHeight="1">
      <c r="A1610" s="1">
        <v>4547.0</v>
      </c>
      <c r="B1610" s="1" t="s">
        <v>6</v>
      </c>
      <c r="C1610" s="1" t="s">
        <v>1477</v>
      </c>
      <c r="D1610" s="1" t="str">
        <f>IFERROR(__xludf.DUMMYFUNCTION("CONCATENATE(GOOGLETRANSLATE(C1610, ""en"", ""zh-cn""))
"),"HDLWIS 面膜机，DIY 面膜机多功能自动天然水果蔬菜面膜机带真人语音提醒和 32 粒胶原蛋白丸")</f>
        <v>HDLWIS 面膜机，DIY 面膜机多功能自动天然水果蔬菜面膜机带真人语音提醒和 32 粒胶原蛋白丸</v>
      </c>
      <c r="E1610" s="1" t="str">
        <f>IFERROR(__xludf.DUMMYFUNCTION("CONCATENATE(GOOGLETRANSLATE(C1610, ""en"", ""ko""))"),"HDLWIS 페이셜 마스크 기계, DIY 페이스 마스크 기계 인간의 음성 알림 및 32 카운트 콜라겐 알약이 포함된 다기능 자동 천연 과일 야채 페이스 마스크 제조기")</f>
        <v>HDLWIS 페이셜 마스크 기계, DIY 페이스 마스크 기계 인간의 음성 알림 및 32 카운트 콜라겐 알약이 포함된 다기능 자동 천연 과일 야채 페이스 마스크 제조기</v>
      </c>
      <c r="F1610" s="1" t="str">
        <f>IFERROR(__xludf.DUMMYFUNCTION("CONCATENATE(GOOGLETRANSLATE(C1610, ""en"", ""ja""))"),"HDLWIS フェイシャルマスクマシン DIY フェイスマスクマシン 多機能 自動 天然果物野菜フェイスマスクメーカー 人間の音声リマインダー &amp; 32 カウントコラーゲン丸薬付き")</f>
        <v>HDLWIS フェイシャルマスクマシン DIY フェイスマスクマシン 多機能 自動 天然果物野菜フェイスマスクメーカー 人間の音声リマインダー &amp; 32 カウントコラーゲン丸薬付き</v>
      </c>
    </row>
    <row r="1611" ht="15.75" customHeight="1">
      <c r="A1611" s="1">
        <v>4552.0</v>
      </c>
      <c r="B1611" s="1" t="s">
        <v>6</v>
      </c>
      <c r="C1611" s="1" t="s">
        <v>1478</v>
      </c>
      <c r="D1611" s="1" t="str">
        <f>IFERROR(__xludf.DUMMYFUNCTION("CONCATENATE(GOOGLETRANSLATE(C1611, ""en"", ""zh-cn""))
"),"客厅弧形落地灯-带桌子的弧形落地灯，遥控明亮高阅读灯无级调光器2400LM，黑色现代落地灯客厅，卧室，书房，办公室")</f>
        <v>客厅弧形落地灯-带桌子的弧形落地灯，遥控明亮高阅读灯无级调光器2400LM，黑色现代落地灯客厅，卧室，书房，办公室</v>
      </c>
      <c r="E1611" s="1" t="str">
        <f>IFERROR(__xludf.DUMMYFUNCTION("CONCATENATE(GOOGLETRANSLATE(C1611, ""en"", ""ko""))"),"거실용 아크 스탠딩 램프 - 테이블이 있는 아크 플로어 램프, 원격 제어 밝은 키가 큰 독서용 램프 무단계 조광기 2400LM, 거실, 침실, 서재, 사무실용 검정색 현대 플로어 램프")</f>
        <v>거실용 아크 스탠딩 램프 - 테이블이 있는 아크 플로어 램프, 원격 제어 밝은 키가 큰 독서용 램프 무단계 조광기 2400LM, 거실, 침실, 서재, 사무실용 검정색 현대 플로어 램프</v>
      </c>
      <c r="F1611" s="1" t="str">
        <f>IFERROR(__xludf.DUMMYFUNCTION("CONCATENATE(GOOGLETRANSLATE(C1611, ""en"", ""ja""))"),"リビングルーム用アークスタンディングランプ-テーブル付きアークフロアランプ、リモコン明るい背の高い読書ランプ無段階調光器2400LM、リビングルーム、寝室、書斎、オフィス用のブラックモダンフロアランプ")</f>
        <v>リビングルーム用アークスタンディングランプ-テーブル付きアークフロアランプ、リモコン明るい背の高い読書ランプ無段階調光器2400LM、リビングルーム、寝室、書斎、オフィス用のブラックモダンフロアランプ</v>
      </c>
    </row>
    <row r="1612" ht="15.75" customHeight="1">
      <c r="A1612" s="1">
        <v>4570.0</v>
      </c>
      <c r="B1612" s="1" t="s">
        <v>6</v>
      </c>
      <c r="C1612" s="1" t="s">
        <v>1479</v>
      </c>
      <c r="D1612" s="1" t="str">
        <f>IFERROR(__xludf.DUMMYFUNCTION("CONCATENATE(GOOGLETRANSLATE(C1612, ""en"", ""zh-cn""))
"),"Power Your Fun 机器人宠物独角兽玩具适合女孩和男孩 - 带互动手势的遥控机器人玩具、STEM 玩具程序零食、行走和跳舞机器人独角兽儿童玩具（粉色）")</f>
        <v>Power Your Fun 机器人宠物独角兽玩具适合女孩和男孩 - 带互动手势的遥控机器人玩具、STEM 玩具程序零食、行走和跳舞机器人独角兽儿童玩具（粉色）</v>
      </c>
      <c r="E1612" s="1" t="str">
        <f>IFERROR(__xludf.DUMMYFUNCTION("CONCATENATE(GOOGLETRANSLATE(C1612, ""en"", ""ko""))"),"재미있는 로보 애완동물을 키우세요 소녀와 소년을 위한 유니콘 장난감 - 대화형 손 동작 제스처를 갖춘 원격 제어 로봇 장난감, STEM 장난감 프로그램 취급, 걷기 및 춤추는 로봇 유니콘 어린이 장난감(핑크색)")</f>
        <v>재미있는 로보 애완동물을 키우세요 소녀와 소년을 위한 유니콘 장난감 - 대화형 손 동작 제스처를 갖춘 원격 제어 로봇 장난감, STEM 장난감 프로그램 취급, 걷기 및 춤추는 로봇 유니콘 어린이 장난감(핑크색)</v>
      </c>
      <c r="F1612" s="1" t="str">
        <f>IFERROR(__xludf.DUMMYFUNCTION("CONCATENATE(GOOGLETRANSLATE(C1612, ""en"", ""ja""))"),"楽しいロボペットにパワーを与える 女の子と男の子向けのユニコーンおもちゃ - インタラクティブな手の動きのジェスチャー付きリモートコントロールロボットおもちゃ、STEMおもちゃプログラムのおやつ、歩いて踊るロボットユニコーン子供用おもちゃ (ピンク)")</f>
        <v>楽しいロボペットにパワーを与える 女の子と男の子向けのユニコーンおもちゃ - インタラクティブな手の動きのジェスチャー付きリモートコントロールロボットおもちゃ、STEMおもちゃプログラムのおやつ、歩いて踊るロボットユニコーン子供用おもちゃ (ピンク)</v>
      </c>
    </row>
    <row r="1613" ht="15.75" customHeight="1">
      <c r="A1613" s="1">
        <v>4654.0</v>
      </c>
      <c r="B1613" s="1" t="s">
        <v>6</v>
      </c>
      <c r="C1613" s="1" t="s">
        <v>820</v>
      </c>
      <c r="D1613" s="1" t="str">
        <f>IFERROR(__xludf.DUMMYFUNCTION("CONCATENATE(GOOGLETRANSLATE(C1613, ""en"", ""zh-cn""))
"),"JOROTO 室内自行车健身车带 35 磅飞轮和 10.2 英寸大型 Ipad 支架（链条驱动）")</f>
        <v>JOROTO 室内自行车健身车带 35 磅飞轮和 10.2 英寸大型 Ipad 支架（链条驱动）</v>
      </c>
      <c r="E1613" s="1" t="str">
        <f>IFERROR(__xludf.DUMMYFUNCTION("CONCATENATE(GOOGLETRANSLATE(C1613, ""en"", ""ko""))"),"JOROTO 실내 사이클링 자전거 운동용 자전거 35파운드 플라이휠 및 10.2인치 대형 Ipad 홀더(체인 드라이브) 포함")</f>
        <v>JOROTO 실내 사이클링 자전거 운동용 자전거 35파운드 플라이휠 및 10.2인치 대형 Ipad 홀더(체인 드라이브) 포함</v>
      </c>
      <c r="F1613" s="1" t="str">
        <f>IFERROR(__xludf.DUMMYFUNCTION("CONCATENATE(GOOGLETRANSLATE(C1613, ""en"", ""ja""))"),"JOROTO インドアサイクリングバイクエクササイズバイク、35ポンドのフライホイールと10.2インチの大型iPadホルダー（チェーンドライブ）付き")</f>
        <v>JOROTO インドアサイクリングバイクエクササイズバイク、35ポンドのフライホイールと10.2インチの大型iPadホルダー（チェーンドライブ）付き</v>
      </c>
    </row>
    <row r="1614" ht="15.75" customHeight="1">
      <c r="A1614" s="1">
        <v>4673.0</v>
      </c>
      <c r="B1614" s="1" t="s">
        <v>6</v>
      </c>
      <c r="C1614" s="1" t="s">
        <v>1480</v>
      </c>
      <c r="D1614" s="1" t="str">
        <f>IFERROR(__xludf.DUMMYFUNCTION("CONCATENATE(GOOGLETRANSLATE(C1614, ""en"", ""zh-cn""))
"),"单人炉篝火带支架便携式火坑不锈钢火坑燃木低烟野营炉| 19.5x14 英寸户外火坑")</f>
        <v>单人炉篝火带支架便携式火坑不锈钢火坑燃木低烟野营炉| 19.5x14 英寸户外火坑</v>
      </c>
      <c r="E1614" s="1" t="str">
        <f>IFERROR(__xludf.DUMMYFUNCTION("CONCATENATE(GOOGLETRANSLATE(C1614, ""en"", ""ko""))"),"스탠드가 있는 솔로 스토브 모닥불 휴대용 화재 구덩이 스테인레스 스틸 화재 구덩이 장작 및 저연 캠핑 스토브 | 19.5x14 인치 야외 화덕")</f>
        <v>스탠드가 있는 솔로 스토브 모닥불 휴대용 화재 구덩이 스테인레스 스틸 화재 구덩이 장작 및 저연 캠핑 스토브 | 19.5x14 인치 야외 화덕</v>
      </c>
      <c r="F1614" s="1" t="str">
        <f>IFERROR(__xludf.DUMMYFUNCTION("CONCATENATE(GOOGLETRANSLATE(C1614, ""en"", ""ja""))"),"ソロストーブ焚き火スタンド付きポータブルファイヤーピットステンレススチールファイヤーピット薪燃焼および低煙キャンプストーブ | 19.5x14インチの屋外ファイヤーピット")</f>
        <v>ソロストーブ焚き火スタンド付きポータブルファイヤーピットステンレススチールファイヤーピット薪燃焼および低煙キャンプストーブ | 19.5x14インチの屋外ファイヤーピット</v>
      </c>
    </row>
    <row r="1615" ht="15.75" customHeight="1">
      <c r="A1615" s="1">
        <v>4674.0</v>
      </c>
      <c r="B1615" s="1" t="s">
        <v>6</v>
      </c>
      <c r="C1615" s="1" t="s">
        <v>1308</v>
      </c>
      <c r="D1615" s="1" t="str">
        <f>IFERROR(__xludf.DUMMYFUNCTION("CONCATENATE(GOOGLETRANSLATE(C1615, ""en"", ""zh-cn""))
"),"Sunny Health &amp; Fitness 磁性椭圆训练机带平板电脑支架、液晶显示器、最大 220 磅体重和脉搏监视器 - SF-E3810，灰色")</f>
        <v>Sunny Health &amp; Fitness 磁性椭圆训练机带平板电脑支架、液晶显示器、最大 220 磅体重和脉搏监视器 - SF-E3810，灰色</v>
      </c>
      <c r="E1615" s="1" t="str">
        <f>IFERROR(__xludf.DUMMYFUNCTION("CONCATENATE(GOOGLETRANSLATE(C1615, ""en"", ""ko""))"),"Sunny 건강 및 피트니스 자기 타원형 트레이너 기계, 태블릿 홀더, LCD 모니터, 220LB 최대 중량 및 맥박 모니터 포함 - SF-E3810, 회색")</f>
        <v>Sunny 건강 및 피트니스 자기 타원형 트레이너 기계, 태블릿 홀더, LCD 모니터, 220LB 최대 중량 및 맥박 모니터 포함 - SF-E3810, 회색</v>
      </c>
      <c r="F1615" s="1" t="str">
        <f>IFERROR(__xludf.DUMMYFUNCTION("CONCATENATE(GOOGLETRANSLATE(C1615, ""en"", ""ja""))"),"Sunny Health &amp; Fitness 磁気エリプティカル トレーナー マシン、タブレット ホルダー、LCD モニター、最大 220 ポンドの体重および脈拍モニター付き - SF-E3810、グレー")</f>
        <v>Sunny Health &amp; Fitness 磁気エリプティカル トレーナー マシン、タブレット ホルダー、LCD モニター、最大 220 ポンドの体重および脈拍モニター付き - SF-E3810、グレー</v>
      </c>
    </row>
    <row r="1616" ht="15.75" customHeight="1">
      <c r="A1616" s="1">
        <v>4688.0</v>
      </c>
      <c r="B1616" s="1" t="s">
        <v>6</v>
      </c>
      <c r="C1616" s="1" t="s">
        <v>1481</v>
      </c>
      <c r="D1616" s="1" t="str">
        <f>IFERROR(__xludf.DUMMYFUNCTION("CONCATENATE(GOOGLETRANSLATE(C1616, ""en"", ""zh-cn""))
"),"Vento Powerstrap R2 Aeroweave")</f>
        <v>Vento Powerstrap R2 Aeroweave</v>
      </c>
      <c r="E1616" s="1" t="str">
        <f>IFERROR(__xludf.DUMMYFUNCTION("CONCATENATE(GOOGLETRANSLATE(C1616, ""en"", ""ko""))"),"벤토 파워스트랩 R2 에어로위브")</f>
        <v>벤토 파워스트랩 R2 에어로위브</v>
      </c>
      <c r="F1616" s="1" t="str">
        <f>IFERROR(__xludf.DUMMYFUNCTION("CONCATENATE(GOOGLETRANSLATE(C1616, ""en"", ""ja""))"),"ヴェント パワーストラップ R2 エアロウィーブ")</f>
        <v>ヴェント パワーストラップ R2 エアロウィーブ</v>
      </c>
    </row>
    <row r="1617" ht="15.75" customHeight="1">
      <c r="A1617" s="1">
        <v>4716.0</v>
      </c>
      <c r="B1617" s="1" t="s">
        <v>6</v>
      </c>
      <c r="C1617" s="1" t="s">
        <v>436</v>
      </c>
      <c r="D1617" s="1" t="str">
        <f>IFERROR(__xludf.DUMMYFUNCTION("CONCATENATE(GOOGLETRANSLATE(C1617, ""en"", ""zh-cn""))
"),"SHARGEEK 的 SHARGE USB C 充电器，带数字雨功率显示的复古 67 GaN 充电器，67W 可折叠快速壁式充电器，适用于 iPhone 14/Pro/Pro Max/13、iPad、MacBook、Galaxy、Google Pixel 礼品创意")</f>
        <v>SHARGEEK 的 SHARGE USB C 充电器，带数字雨功率显示的复古 67 GaN 充电器，67W 可折叠快速壁式充电器，适用于 iPhone 14/Pro/Pro Max/13、iPad、MacBook、Galaxy、Google Pixel 礼品创意</v>
      </c>
      <c r="E1617" s="1" t="str">
        <f>IFERROR(__xludf.DUMMYFUNCTION("CONCATENATE(GOOGLETRANSLATE(C1617, ""en"", ""ko""))"),"SHARGEEK의 SHARGE USB C 충전기, 디지털 레인 파워 디스플레이를 갖춘 레트로 67 GaN 충전기, iPhone 14/Pro/Pro Max/13, iPad, MacBook, Galaxy, Google Pixel 선물용 아이디어를 위한 67W 접이식 고속 벽 충전기")</f>
        <v>SHARGEEK의 SHARGE USB C 충전기, 디지털 레인 파워 디스플레이를 갖춘 레트로 67 GaN 충전기, iPhone 14/Pro/Pro Max/13, iPad, MacBook, Galaxy, Google Pixel 선물용 아이디어를 위한 67W 접이식 고속 벽 충전기</v>
      </c>
      <c r="F1617" s="1" t="str">
        <f>IFERROR(__xludf.DUMMYFUNCTION("CONCATENATE(GOOGLETRANSLATE(C1617, ""en"", ""ja""))"),"SHARGEEK の SHARGE USB C 充電器、デジタルレインパワーディスプレイ付きレトロ 67 GaN 充電器、iPhone 14/Pro/Pro Max/13、iPad、MacBook、Galaxy、Google Pixel ギフトアイデア用の 67W 折りたたみ式高速壁充電器")</f>
        <v>SHARGEEK の SHARGE USB C 充電器、デジタルレインパワーディスプレイ付きレトロ 67 GaN 充電器、iPhone 14/Pro/Pro Max/13、iPad、MacBook、Galaxy、Google Pixel ギフトアイデア用の 67W 折りたたみ式高速壁充電器</v>
      </c>
    </row>
    <row r="1618" ht="15.75" customHeight="1">
      <c r="A1618" s="1">
        <v>4748.0</v>
      </c>
      <c r="B1618" s="1" t="s">
        <v>51</v>
      </c>
      <c r="C1618" s="1" t="s">
        <v>245</v>
      </c>
      <c r="D1618" s="1" t="str">
        <f>IFERROR(__xludf.DUMMYFUNCTION("CONCATENATE(GOOGLETRANSLATE(C1618, ""en"", ""zh-cn""))
"),"男式两色拼接立领拉链前抓绒夹克")</f>
        <v>男式两色拼接立领拉链前抓绒夹克</v>
      </c>
      <c r="E1618" s="1" t="str">
        <f>IFERROR(__xludf.DUMMYFUNCTION("CONCATENATE(GOOGLETRANSLATE(C1618, ""en"", ""ko""))"),"남성 투톤 패치워크 스탠드 칼라 지퍼 프론트 플리스 재킷")</f>
        <v>남성 투톤 패치워크 스탠드 칼라 지퍼 프론트 플리스 재킷</v>
      </c>
      <c r="F1618" s="1" t="str">
        <f>IFERROR(__xludf.DUMMYFUNCTION("CONCATENATE(GOOGLETRANSLATE(C1618, ""en"", ""ja""))"),"メンズ ツートーン パッチワーク スタンド カラー ジップ フロント フリース ジャケット")</f>
        <v>メンズ ツートーン パッチワーク スタンド カラー ジップ フロント フリース ジャケット</v>
      </c>
    </row>
    <row r="1619" ht="15.75" customHeight="1">
      <c r="A1619" s="1">
        <v>4764.0</v>
      </c>
      <c r="B1619" s="1" t="s">
        <v>6</v>
      </c>
      <c r="C1619" s="1" t="s">
        <v>1443</v>
      </c>
      <c r="D1619" s="1" t="str">
        <f>IFERROR(__xludf.DUMMYFUNCTION("CONCATENATE(GOOGLETRANSLATE(C1619, ""en"", ""zh-cn""))
"),"三星 Galaxy S22 Ultra 手机，工厂解锁 Android 智能手机，128GB，8K 相机和视频，最亮显示屏，S Pen，电池寿命长，快速 4nm 处理器，美国版，绿色")</f>
        <v>三星 Galaxy S22 Ultra 手机，工厂解锁 Android 智能手机，128GB，8K 相机和视频，最亮显示屏，S Pen，电池寿命长，快速 4nm 处理器，美国版，绿色</v>
      </c>
      <c r="E1619" s="1" t="str">
        <f>IFERROR(__xludf.DUMMYFUNCTION("CONCATENATE(GOOGLETRANSLATE(C1619, ""en"", ""ko""))"),"SAMSUNG Galaxy S22 Ultra 휴대폰, 공장 잠금 해제 Android 스마트폰, 128GB, 8K 카메라 및 비디오, 가장 밝은 디스플레이 화면, S 펜, 긴 배터리 수명, 빠른 4nm 프로세서, 미국 버전, 녹색")</f>
        <v>SAMSUNG Galaxy S22 Ultra 휴대폰, 공장 잠금 해제 Android 스마트폰, 128GB, 8K 카메라 및 비디오, 가장 밝은 디스플레이 화면, S 펜, 긴 배터리 수명, 빠른 4nm 프로세서, 미국 버전, 녹색</v>
      </c>
      <c r="F1619" s="1" t="str">
        <f>IFERROR(__xludf.DUMMYFUNCTION("CONCATENATE(GOOGLETRANSLATE(C1619, ""en"", ""ja""))"),"SAMSUNG Galaxy S22 Ultra 携帯電話、工場でロック解除された Android スマートフォン、128GB、8K カメラ &amp; ビデオ、最も明るい表示画面、S ペン、長いバッテリー寿命、高速 4nm プロセッサ、米国バージョン、グリーン")</f>
        <v>SAMSUNG Galaxy S22 Ultra 携帯電話、工場でロック解除された Android スマートフォン、128GB、8K カメラ &amp; ビデオ、最も明るい表示画面、S ペン、長いバッテリー寿命、高速 4nm プロセッサ、米国バージョン、グリーン</v>
      </c>
    </row>
    <row r="1620" ht="15.75" customHeight="1">
      <c r="A1620" s="1">
        <v>4820.0</v>
      </c>
      <c r="B1620" s="1" t="s">
        <v>6</v>
      </c>
      <c r="C1620" s="1" t="s">
        <v>1482</v>
      </c>
      <c r="D1620" s="1" t="str">
        <f>IFERROR(__xludf.DUMMYFUNCTION("CONCATENATE(GOOGLETRANSLATE(C1620, ""en"", ""zh-cn""))
"),"Apple 2024 MacBook Air 13 英寸笔记本电脑，配备 M3 芯片：13.6 英寸 Liquid Retina 显示屏、16GB 统一内存、512GB SSD 存储、背光键盘、1080p FaceTime 高清摄像头、Touch ID；银")</f>
        <v>Apple 2024 MacBook Air 13 英寸笔记本电脑，配备 M3 芯片：13.6 英寸 Liquid Retina 显示屏、16GB 统一内存、512GB SSD 存储、背光键盘、1080p FaceTime 高清摄像头、Touch ID；银</v>
      </c>
      <c r="E1620" s="1" t="str">
        <f>IFERROR(__xludf.DUMMYFUNCTION("CONCATENATE(GOOGLETRANSLATE(C1620, ""en"", ""ko""))"),"M3 칩을 탑재한 Apple 2024 MacBook Air 13인치 노트북: 13.6인치 Liquid Retina 디스플레이, 16GB 통합 메모리, 512GB SSD 스토리지, 백라이트 키보드, 1080p FaceTime HD 카메라, Touch ID; 은")</f>
        <v>M3 칩을 탑재한 Apple 2024 MacBook Air 13인치 노트북: 13.6인치 Liquid Retina 디스플레이, 16GB 통합 메모리, 512GB SSD 스토리지, 백라이트 키보드, 1080p FaceTime HD 카메라, Touch ID; 은</v>
      </c>
      <c r="F1620" s="1" t="str">
        <f>IFERROR(__xludf.DUMMYFUNCTION("CONCATENATE(GOOGLETRANSLATE(C1620, ""en"", ""ja""))"),"Apple 2024 MacBook Air 13 インチ ラップトップ (M3 チップ搭載): 13.6 インチ Liquid Retina ディスプレイ、16GB ユニファイド メモリ、512GB SSD ストレージ、バックライト付きキーボード、1080p FaceTime HD カメラ、Touch ID。銀")</f>
        <v>Apple 2024 MacBook Air 13 インチ ラップトップ (M3 チップ搭載): 13.6 インチ Liquid Retina ディスプレイ、16GB ユニファイド メモリ、512GB SSD ストレージ、バックライト付きキーボード、1080p FaceTime HD カメラ、Touch ID。銀</v>
      </c>
    </row>
    <row r="1621" ht="15.75" customHeight="1">
      <c r="A1621" s="1">
        <v>4827.0</v>
      </c>
      <c r="B1621" s="1" t="s">
        <v>6</v>
      </c>
      <c r="C1621" s="1" t="s">
        <v>1483</v>
      </c>
      <c r="D1621" s="1" t="str">
        <f>IFERROR(__xludf.DUMMYFUNCTION("CONCATENATE(GOOGLETRANSLATE(C1621, ""en"", ""zh-cn""))
"),"Apple 2024 MacBook Air 15 英寸笔记本电脑，配备 M3 芯片：15.3 英寸 Liquid Retina 显示屏、16GB 统一内存、512GB SSD 存储、背光键盘、1080p FaceTime 高清摄像头、Touch ID；午夜")</f>
        <v>Apple 2024 MacBook Air 15 英寸笔记本电脑，配备 M3 芯片：15.3 英寸 Liquid Retina 显示屏、16GB 统一内存、512GB SSD 存储、背光键盘、1080p FaceTime 高清摄像头、Touch ID；午夜</v>
      </c>
      <c r="E1621" s="1" t="str">
        <f>IFERROR(__xludf.DUMMYFUNCTION("CONCATENATE(GOOGLETRANSLATE(C1621, ""en"", ""ko""))"),"M3 칩을 탑재한 Apple 2024 MacBook Air 15인치 노트북: 15.3인치 Liquid Retina 디스플레이, 16GB 통합 메모리, 512GB SSD 스토리지, 백라이트 키보드, 1080p FaceTime HD 카메라, Touch ID; 자정")</f>
        <v>M3 칩을 탑재한 Apple 2024 MacBook Air 15인치 노트북: 15.3인치 Liquid Retina 디스플레이, 16GB 통합 메모리, 512GB SSD 스토리지, 백라이트 키보드, 1080p FaceTime HD 카메라, Touch ID; 자정</v>
      </c>
      <c r="F1621" s="1" t="str">
        <f>IFERROR(__xludf.DUMMYFUNCTION("CONCATENATE(GOOGLETRANSLATE(C1621, ""en"", ""ja""))"),"Apple 2024 MacBook Air 15 インチ ラップトップ (M3 チップ搭載): 15.3 インチ Liquid Retina ディスプレイ、16GB ユニファイド メモリ、512GB SSD ストレージ、バックライト付きキーボード、1080p FaceTime HD カメラ、Touch ID。夜中")</f>
        <v>Apple 2024 MacBook Air 15 インチ ラップトップ (M3 チップ搭載): 15.3 インチ Liquid Retina ディスプレイ、16GB ユニファイド メモリ、512GB SSD ストレージ、バックライト付きキーボード、1080p FaceTime HD カメラ、Touch ID。夜中</v>
      </c>
    </row>
    <row r="1622" ht="15.75" customHeight="1">
      <c r="A1622" s="1">
        <v>4829.0</v>
      </c>
      <c r="B1622" s="1" t="s">
        <v>6</v>
      </c>
      <c r="C1622" s="1" t="s">
        <v>1484</v>
      </c>
      <c r="D1622" s="1" t="str">
        <f>IFERROR(__xludf.DUMMYFUNCTION("CONCATENATE(GOOGLETRANSLATE(C1622, ""en"", ""zh-cn""))
"),"Apple 2024 MacBook Air 15 英寸笔记本电脑，配备 M3 芯片：15.3 英寸 Liquid Retina 显示屏、16GB 统一内存、512GB SSD 存储、背光键盘、1080p FaceTime 高清摄像头、Touch ID；深空灰色")</f>
        <v>Apple 2024 MacBook Air 15 英寸笔记本电脑，配备 M3 芯片：15.3 英寸 Liquid Retina 显示屏、16GB 统一内存、512GB SSD 存储、背光键盘、1080p FaceTime 高清摄像头、Touch ID；深空灰色</v>
      </c>
      <c r="E1622" s="1" t="str">
        <f>IFERROR(__xludf.DUMMYFUNCTION("CONCATENATE(GOOGLETRANSLATE(C1622, ""en"", ""ko""))"),"M3 칩을 탑재한 Apple 2024 MacBook Air 15인치 노트북: 15.3인치 Liquid Retina 디스플레이, 16GB 통합 메모리, 512GB SSD 스토리지, 백라이트 키보드, 1080p FaceTime HD 카메라, Touch ID; 스페이스 그레이")</f>
        <v>M3 칩을 탑재한 Apple 2024 MacBook Air 15인치 노트북: 15.3인치 Liquid Retina 디스플레이, 16GB 통합 메모리, 512GB SSD 스토리지, 백라이트 키보드, 1080p FaceTime HD 카메라, Touch ID; 스페이스 그레이</v>
      </c>
      <c r="F1622" s="1" t="str">
        <f>IFERROR(__xludf.DUMMYFUNCTION("CONCATENATE(GOOGLETRANSLATE(C1622, ""en"", ""ja""))"),"Apple 2024 MacBook Air 15 インチ ラップトップ (M3 チップ搭載): 15.3 インチ Liquid Retina ディスプレイ、16GB ユニファイド メモリ、512GB SSD ストレージ、バックライト付きキーボード、1080p FaceTime HD カメラ、Touch ID。スペースグレイ")</f>
        <v>Apple 2024 MacBook Air 15 インチ ラップトップ (M3 チップ搭載): 15.3 インチ Liquid Retina ディスプレイ、16GB ユニファイド メモリ、512GB SSD ストレージ、バックライト付きキーボード、1080p FaceTime HD カメラ、Touch ID。スペースグレイ</v>
      </c>
    </row>
    <row r="1623" ht="15.75" customHeight="1">
      <c r="A1623" s="1">
        <v>5072.0</v>
      </c>
      <c r="B1623" s="1" t="s">
        <v>6</v>
      </c>
      <c r="C1623" s="1" t="s">
        <v>50</v>
      </c>
      <c r="D1623" s="1" t="str">
        <f>IFERROR(__xludf.DUMMYFUNCTION("CONCATENATE(GOOGLETRANSLATE(C1623, ""en"", ""zh-cn""))
"),"CuberShop GAN 13 MagLev UV 涂层， GAN 13 M 2022 3x3 磁力速度魔方旗舰无贴纸， GAN 3x3 速度魔方（GAN13 MagLev 速度魔方，UV 涂层光泽表面和主要内部）")</f>
        <v>CuberShop GAN 13 MagLev UV 涂层， GAN 13 M 2022 3x3 磁力速度魔方旗舰无贴纸， GAN 3x3 速度魔方（GAN13 MagLev 速度魔方，UV 涂层光泽表面和主要内部）</v>
      </c>
      <c r="E1623" s="1" t="str">
        <f>IFERROR(__xludf.DUMMYFUNCTION("CONCATENATE(GOOGLETRANSLATE(C1623, ""en"", ""ko""))"),"CuberShop GAN 13 MagLev UV 코팅, GAN 13 M 2022 3x3 자기 속도 큐브 플래그십 스티커 없음, GAN 3x3 속도 큐브(GAN13 자기 부상 속도 큐브, UV 코팅 광택 표면 및 기본 내부)")</f>
        <v>CuberShop GAN 13 MagLev UV 코팅, GAN 13 M 2022 3x3 자기 속도 큐브 플래그십 스티커 없음, GAN 3x3 속도 큐브(GAN13 자기 부상 속도 큐브, UV 코팅 광택 표면 및 기본 내부)</v>
      </c>
      <c r="F1623" s="1" t="str">
        <f>IFERROR(__xludf.DUMMYFUNCTION("CONCATENATE(GOOGLETRANSLATE(C1623, ""en"", ""ja""))"),"CuberShop GAN 13 MagLev UV コーティング、GAN 13 M 2022 3x3 磁気スピード キューブ フラッグシップ ステッカーレス、GAN 3x3 スピード キューブ (GAN13 MagLev スピード キューブ、UV コーティングされた光沢のある表面 &amp; プライマリ内部)")</f>
        <v>CuberShop GAN 13 MagLev UV コーティング、GAN 13 M 2022 3x3 磁気スピード キューブ フラッグシップ ステッカーレス、GAN 3x3 スピード キューブ (GAN13 MagLev スピード キューブ、UV コーティングされた光沢のある表面 &amp; プライマリ内部)</v>
      </c>
    </row>
    <row r="1624" ht="15.75" customHeight="1">
      <c r="A1624" s="1">
        <v>5134.0</v>
      </c>
      <c r="B1624" s="1" t="s">
        <v>6</v>
      </c>
      <c r="C1624" s="1" t="s">
        <v>231</v>
      </c>
      <c r="D1624" s="1" t="str">
        <f>IFERROR(__xludf.DUMMYFUNCTION("CONCATENATE(GOOGLETRANSLATE(C1624, ""en"", ""zh-cn""))
"),"Sidi 男子现代自行车赛，美国 2-4（亚洲）")</f>
        <v>Sidi 男子现代自行车赛，美国 2-4（亚洲）</v>
      </c>
      <c r="E1624" s="1" t="str">
        <f>IFERROR(__xludf.DUMMYFUNCTION("CONCATENATE(GOOGLETRANSLATE(C1624, ""en"", ""ko""))"),"Sidi 남성용 모던 사이클링 스케이프, 미국 2-4(아시아)")</f>
        <v>Sidi 남성용 모던 사이클링 스케이프, 미국 2-4(아시아)</v>
      </c>
      <c r="F1624" s="1" t="str">
        <f>IFERROR(__xludf.DUMMYFUNCTION("CONCATENATE(GOOGLETRANSLATE(C1624, ""en"", ""ja""))"),"シディメンズモダンサイクリングスケープ、米国 2-4 (アジア)")</f>
        <v>シディメンズモダンサイクリングスケープ、米国 2-4 (アジア)</v>
      </c>
    </row>
    <row r="1625" ht="15.75" customHeight="1">
      <c r="A1625" s="1">
        <v>5138.0</v>
      </c>
      <c r="B1625" s="1" t="s">
        <v>51</v>
      </c>
      <c r="C1625" s="1" t="s">
        <v>801</v>
      </c>
      <c r="D1625" s="1" t="str">
        <f>IFERROR(__xludf.DUMMYFUNCTION("CONCATENATE(GOOGLETRANSLATE(C1625, ""en"", ""zh-cn""))
"),"男式色块拼布翻盖口袋正面纽扣夹克")</f>
        <v>男式色块拼布翻盖口袋正面纽扣夹克</v>
      </c>
      <c r="E1625" s="1" t="str">
        <f>IFERROR(__xludf.DUMMYFUNCTION("CONCATENATE(GOOGLETRANSLATE(C1625, ""en"", ""ko""))"),"남성용 컬러 블록 패치워크 플랩 포켓 버튼 프론트 재킷")</f>
        <v>남성용 컬러 블록 패치워크 플랩 포켓 버튼 프론트 재킷</v>
      </c>
      <c r="F1625" s="1" t="str">
        <f>IFERROR(__xludf.DUMMYFUNCTION("CONCATENATE(GOOGLETRANSLATE(C1625, ""en"", ""ja""))"),"メンズ カラーブロック パッチワーク フラップ ポケット ボタン フロント ジャケット")</f>
        <v>メンズ カラーブロック パッチワーク フラップ ポケット ボタン フロント ジャケット</v>
      </c>
    </row>
    <row r="1626" ht="15.75" customHeight="1">
      <c r="A1626" s="1">
        <v>5182.0</v>
      </c>
      <c r="B1626" s="1" t="s">
        <v>51</v>
      </c>
      <c r="C1626" s="1" t="s">
        <v>1406</v>
      </c>
      <c r="D1626" s="1" t="str">
        <f>IFERROR(__xludf.DUMMYFUNCTION("CONCATENATE(GOOGLETRANSLATE(C1626, ""en"", ""zh-cn""))
"),"男式植物印花拼布翻领宽松夹克")</f>
        <v>男式植物印花拼布翻领宽松夹克</v>
      </c>
      <c r="E1626" s="1" t="str">
        <f>IFERROR(__xludf.DUMMYFUNCTION("CONCATENATE(GOOGLETRANSLATE(C1626, ""en"", ""ko""))"),"남성 플랜트 프린트 패치워크 플랩 포켓 라펠 루즈 재킷")</f>
        <v>남성 플랜트 프린트 패치워크 플랩 포켓 라펠 루즈 재킷</v>
      </c>
      <c r="F1626" s="1" t="str">
        <f>IFERROR(__xludf.DUMMYFUNCTION("CONCATENATE(GOOGLETRANSLATE(C1626, ""en"", ""ja""))"),"メンズ植物プリント パッチワーク フラップ ポケット ラペル ルーズ ジャケット")</f>
        <v>メンズ植物プリント パッチワーク フラップ ポケット ラペル ルーズ ジャケット</v>
      </c>
    </row>
    <row r="1627" ht="15.75" customHeight="1">
      <c r="A1627" s="1">
        <v>5194.0</v>
      </c>
      <c r="B1627" s="1" t="s">
        <v>51</v>
      </c>
      <c r="C1627" s="1" t="s">
        <v>801</v>
      </c>
      <c r="D1627" s="1" t="str">
        <f>IFERROR(__xludf.DUMMYFUNCTION("CONCATENATE(GOOGLETRANSLATE(C1627, ""en"", ""zh-cn""))
"),"男式色块拼布翻盖口袋正面纽扣夹克")</f>
        <v>男式色块拼布翻盖口袋正面纽扣夹克</v>
      </c>
      <c r="E1627" s="1" t="str">
        <f>IFERROR(__xludf.DUMMYFUNCTION("CONCATENATE(GOOGLETRANSLATE(C1627, ""en"", ""ko""))"),"남성용 컬러 블록 패치워크 플랩 포켓 버튼 프론트 재킷")</f>
        <v>남성용 컬러 블록 패치워크 플랩 포켓 버튼 프론트 재킷</v>
      </c>
      <c r="F1627" s="1" t="str">
        <f>IFERROR(__xludf.DUMMYFUNCTION("CONCATENATE(GOOGLETRANSLATE(C1627, ""en"", ""ja""))"),"メンズ カラーブロック パッチワーク フラップ ポケット ボタン フロント ジャケット")</f>
        <v>メンズ カラーブロック パッチワーク フラップ ポケット ボタン フロント ジャケット</v>
      </c>
    </row>
    <row r="1628" ht="15.75" customHeight="1">
      <c r="A1628" s="1">
        <v>5278.0</v>
      </c>
      <c r="B1628" s="1" t="s">
        <v>51</v>
      </c>
      <c r="C1628" s="1" t="s">
        <v>1485</v>
      </c>
      <c r="D1628" s="1" t="str">
        <f>IFERROR(__xludf.DUMMYFUNCTION("CONCATENATE(GOOGLETRANSLATE(C1628, ""en"", ""zh-cn""))
"),"男士字母印花圆领休闲短袖 T 恤")</f>
        <v>男士字母印花圆领休闲短袖 T 恤</v>
      </c>
      <c r="E1628" s="1" t="str">
        <f>IFERROR(__xludf.DUMMYFUNCTION("CONCATENATE(GOOGLETRANSLATE(C1628, ""en"", ""ko""))"),"남성용 레터 프린트 크루넥 캐주얼 반소매 티셔츠")</f>
        <v>남성용 레터 프린트 크루넥 캐주얼 반소매 티셔츠</v>
      </c>
      <c r="F1628" s="1" t="str">
        <f>IFERROR(__xludf.DUMMYFUNCTION("CONCATENATE(GOOGLETRANSLATE(C1628, ""en"", ""ja""))"),"メンズレタープリントクルーネックカジュアル半袖Tシャツ")</f>
        <v>メンズレタープリントクルーネックカジュアル半袖Tシャツ</v>
      </c>
    </row>
    <row r="1629" ht="15.75" customHeight="1">
      <c r="A1629" s="1">
        <v>5296.0</v>
      </c>
      <c r="B1629" s="1" t="s">
        <v>6</v>
      </c>
      <c r="C1629" s="1" t="s">
        <v>800</v>
      </c>
      <c r="D1629" s="1" t="str">
        <f>IFERROR(__xludf.DUMMYFUNCTION("CONCATENATE(GOOGLETRANSLATE(C1629, ""en"", ""zh-cn""))
"),"BroMocube 的 GAN 11M Pro 3x3 速度魔方 GAN 11 磁性拼图魔方 Gan11M 魔方（GAN 11 M Pro 磨砂无贴纸（黑色））")</f>
        <v>BroMocube 的 GAN 11M Pro 3x3 速度魔方 GAN 11 磁性拼图魔方 Gan11M 魔方（GAN 11 M Pro 磨砂无贴纸（黑色））</v>
      </c>
      <c r="E1629" s="1" t="str">
        <f>IFERROR(__xludf.DUMMYFUNCTION("CONCATENATE(GOOGLETRANSLATE(C1629, ""en"", ""ko""))"),"GAN 11M Pro 3x3 스피드 큐브 by BroMocube GAN 11 마그네틱 퍼즐 큐브 Gan11M 매직 큐브 (GAN 11 M Pro Frosted 스티커리스(검은색))")</f>
        <v>GAN 11M Pro 3x3 스피드 큐브 by BroMocube GAN 11 마그네틱 퍼즐 큐브 Gan11M 매직 큐브 (GAN 11 M Pro Frosted 스티커리스(검은색))</v>
      </c>
      <c r="F1629" s="1" t="str">
        <f>IFERROR(__xludf.DUMMYFUNCTION("CONCATENATE(GOOGLETRANSLATE(C1629, ""en"", ""ja""))"),"GAN 11M Pro 3x3 スピード キューブ by BroMocube GAN 11 磁気パズル キューブ Gan11M マジック キューブ (GAN 11 M Pro つや消しステッカーなし (ブラック))")</f>
        <v>GAN 11M Pro 3x3 スピード キューブ by BroMocube GAN 11 磁気パズル キューブ Gan11M マジック キューブ (GAN 11 M Pro つや消しステッカーなし (ブラック))</v>
      </c>
    </row>
    <row r="1630" ht="15.75" customHeight="1">
      <c r="A1630" s="1">
        <v>5298.0</v>
      </c>
      <c r="B1630" s="1" t="s">
        <v>6</v>
      </c>
      <c r="C1630" s="1" t="s">
        <v>83</v>
      </c>
      <c r="D1630" s="1" t="str">
        <f>IFERROR(__xludf.DUMMYFUNCTION("CONCATENATE(GOOGLETRANSLATE(C1630, ""en"", ""zh-cn""))
"),"GAN Megaminx M，五角磁力测速魔方，无贴纸")</f>
        <v>GAN Megaminx M，五角磁力测速魔方，无贴纸</v>
      </c>
      <c r="E1630" s="1" t="str">
        <f>IFERROR(__xludf.DUMMYFUNCTION("CONCATENATE(GOOGLETRANSLATE(C1630, ""en"", ""ko""))"),"GAN Megaminx M, 오각형 자기 속도 큐브, 스티커 없음")</f>
        <v>GAN Megaminx M, 오각형 자기 속도 큐브, 스티커 없음</v>
      </c>
      <c r="F1630" s="1" t="str">
        <f>IFERROR(__xludf.DUMMYFUNCTION("CONCATENATE(GOOGLETRANSLATE(C1630, ""en"", ""ja""))"),"GAN メガミンクス M、五角形磁気スピードキューブ、ステッカーレス")</f>
        <v>GAN メガミンクス M、五角形磁気スピードキューブ、ステッカーレス</v>
      </c>
    </row>
    <row r="1631" ht="15.75" customHeight="1">
      <c r="A1631" s="1">
        <v>5306.0</v>
      </c>
      <c r="B1631" s="1" t="s">
        <v>6</v>
      </c>
      <c r="C1631" s="1" t="s">
        <v>610</v>
      </c>
      <c r="D1631" s="1" t="str">
        <f>IFERROR(__xludf.DUMMYFUNCTION("CONCATENATE(GOOGLETRANSLATE(C1631, ""en"", ""zh-cn""))
"),"BFSB5 链传动室内自行车")</f>
        <v>BFSB5 链传动室内自行车</v>
      </c>
      <c r="E1631" s="1" t="str">
        <f>IFERROR(__xludf.DUMMYFUNCTION("CONCATENATE(GOOGLETRANSLATE(C1631, ""en"", ""ko""))"),"BFSB5 체인 드라이브 실내 사이클링 자전거")</f>
        <v>BFSB5 체인 드라이브 실내 사이클링 자전거</v>
      </c>
      <c r="F1631" s="1" t="str">
        <f>IFERROR(__xludf.DUMMYFUNCTION("CONCATENATE(GOOGLETRANSLATE(C1631, ""en"", ""ja""))"),"BFSB5 チェーンドライブインドアサイクリングバイク")</f>
        <v>BFSB5 チェーンドライブインドアサイクリングバイク</v>
      </c>
    </row>
    <row r="1632" ht="15.75" customHeight="1">
      <c r="A1632" s="1">
        <v>5338.0</v>
      </c>
      <c r="B1632" s="1" t="s">
        <v>6</v>
      </c>
      <c r="C1632" s="1" t="s">
        <v>42</v>
      </c>
      <c r="D1632" s="1" t="str">
        <f>IFERROR(__xludf.DUMMYFUNCTION("CONCATENATE(GOOGLETRANSLATE(C1632, ""en"", ""zh-cn""))
"),"Ravensburger Space Odyssey 5000 片成人拼图 - 16720 - 每一块都是独一无二的，Softclick 技术意味着各块完美地组合在一起")</f>
        <v>Ravensburger Space Odyssey 5000 片成人拼图 - 16720 - 每一块都是独一无二的，Softclick 技术意味着各块完美地组合在一起</v>
      </c>
      <c r="E1632" s="1" t="str">
        <f>IFERROR(__xludf.DUMMYFUNCTION("CONCATENATE(GOOGLETRANSLATE(C1632, ""en"", ""ko""))"),"Ravensburger Space Odyssey 성인용 5000피스 직소 퍼즐 - 16720 - 모든 조각은 독특하며 소프트클릭 기술로 조각이 완벽하게 들어맞습니다.")</f>
        <v>Ravensburger Space Odyssey 성인용 5000피스 직소 퍼즐 - 16720 - 모든 조각은 독특하며 소프트클릭 기술로 조각이 완벽하게 들어맞습니다.</v>
      </c>
      <c r="F1632" s="1" t="str">
        <f>IFERROR(__xludf.DUMMYFUNCTION("CONCATENATE(GOOGLETRANSLATE(C1632, ""en"", ""ja""))"),"Ravensburger 宇宙の旅 大人用 5000 ピース ジグソーパズル - 16720 - すべてのピースはユニークで、ソフトクリックテクノロジーによりピースが完璧にフィットします。")</f>
        <v>Ravensburger 宇宙の旅 大人用 5000 ピース ジグソーパズル - 16720 - すべてのピースはユニークで、ソフトクリックテクノロジーによりピースが完璧にフィットします。</v>
      </c>
    </row>
    <row r="1633" ht="15.75" customHeight="1">
      <c r="A1633" s="1">
        <v>5389.0</v>
      </c>
      <c r="B1633" s="1" t="s">
        <v>6</v>
      </c>
      <c r="C1633" s="1" t="s">
        <v>253</v>
      </c>
      <c r="D1633" s="1" t="str">
        <f>IFERROR(__xludf.DUMMYFUNCTION("CONCATENATE(GOOGLETRANSLATE(C1633, ""en"", ""zh-cn""))
"),"GAN 13 磁悬浮 UV 涂层，磁性速度魔方 3x3 无贴纸 56 毫米磁铁魔方拼图玩具，GAN 2022 旗舰")</f>
        <v>GAN 13 磁悬浮 UV 涂层，磁性速度魔方 3x3 无贴纸 56 毫米磁铁魔方拼图玩具，GAN 2022 旗舰</v>
      </c>
      <c r="E1633" s="1" t="str">
        <f>IFERROR(__xludf.DUMMYFUNCTION("CONCATENATE(GOOGLETRANSLATE(C1633, ""en"", ""ko""))"),"GAN 13 자기 부상 UV 코팅, 자기 속도 큐브 3x3 스티커 없는 56mm 자석 매직 큐브 퍼즐 장난감, GAN 2022 플래그십")</f>
        <v>GAN 13 자기 부상 UV 코팅, 자기 속도 큐브 3x3 스티커 없는 56mm 자석 매직 큐브 퍼즐 장난감, GAN 2022 플래그십</v>
      </c>
      <c r="F1633" s="1" t="str">
        <f>IFERROR(__xludf.DUMMYFUNCTION("CONCATENATE(GOOGLETRANSLATE(C1633, ""en"", ""ja""))"),"GAN 13 リニアモーターカー UV コーティング、磁気スピード キューブ 3x3 ステッカーレス 56mm マグネット マジック キューブ パズル おもちゃ、GAN 2022 フラッグシップ")</f>
        <v>GAN 13 リニアモーターカー UV コーティング、磁気スピード キューブ 3x3 ステッカーレス 56mm マグネット マジック キューブ パズル おもちゃ、GAN 2022 フラッグシップ</v>
      </c>
    </row>
    <row r="1634" ht="15.75" customHeight="1">
      <c r="A1634" s="1">
        <v>5479.0</v>
      </c>
      <c r="B1634" s="1" t="s">
        <v>6</v>
      </c>
      <c r="C1634" s="1" t="s">
        <v>1486</v>
      </c>
      <c r="D1634" s="1" t="str">
        <f>IFERROR(__xludf.DUMMYFUNCTION("CONCATENATE(GOOGLETRANSLATE(C1634, ""en"", ""zh-cn""))
"),"GoSports 体育网")</f>
        <v>GoSports 体育网</v>
      </c>
      <c r="E1634" s="1" t="str">
        <f>IFERROR(__xludf.DUMMYFUNCTION("CONCATENATE(GOOGLETRANSLATE(C1634, ""en"", ""ko""))"),"GoSports 스포츠 네팅")</f>
        <v>GoSports 스포츠 네팅</v>
      </c>
      <c r="F1634" s="1" t="str">
        <f>IFERROR(__xludf.DUMMYFUNCTION("CONCATENATE(GOOGLETRANSLATE(C1634, ""en"", ""ja""))"),"GoSports スポーツ ネッティング")</f>
        <v>GoSports スポーツ ネッティング</v>
      </c>
    </row>
    <row r="1635" ht="15.75" customHeight="1">
      <c r="A1635" s="1">
        <v>5491.0</v>
      </c>
      <c r="B1635" s="1" t="s">
        <v>6</v>
      </c>
      <c r="C1635" s="1" t="s">
        <v>1487</v>
      </c>
      <c r="D1635" s="1" t="str">
        <f>IFERROR(__xludf.DUMMYFUNCTION("CONCATENATE(GOOGLETRANSLATE(C1635, ""en"", ""zh-cn""))
"),"MaxKare 便携式篮球框")</f>
        <v>MaxKare 便携式篮球框</v>
      </c>
      <c r="E1635" s="1" t="str">
        <f>IFERROR(__xludf.DUMMYFUNCTION("CONCATENATE(GOOGLETRANSLATE(C1635, ""en"", ""ko""))"),"MaxKare 휴대용 농구대")</f>
        <v>MaxKare 휴대용 농구대</v>
      </c>
      <c r="F1635" s="1" t="str">
        <f>IFERROR(__xludf.DUMMYFUNCTION("CONCATENATE(GOOGLETRANSLATE(C1635, ""en"", ""ja""))"),"MaxKare ポータブルバスケットボールフープ")</f>
        <v>MaxKare ポータブルバスケットボールフープ</v>
      </c>
    </row>
    <row r="1636" ht="15.75" customHeight="1">
      <c r="A1636" s="1">
        <v>5502.0</v>
      </c>
      <c r="B1636" s="1" t="s">
        <v>6</v>
      </c>
      <c r="C1636" s="1" t="s">
        <v>1488</v>
      </c>
      <c r="D1636" s="1" t="str">
        <f>IFERROR(__xludf.DUMMYFUNCTION("CONCATENATE(GOOGLETRANSLATE(C1636, ""en"", ""zh-cn""))
"),"户外装备 儿童 Crest 雪裤")</f>
        <v>户外装备 儿童 Crest 雪裤</v>
      </c>
      <c r="E1636" s="1" t="str">
        <f>IFERROR(__xludf.DUMMYFUNCTION("CONCATENATE(GOOGLETRANSLATE(C1636, ""en"", ""ko""))"),"아웃도어 기어 키즈 크레스트 스노우 팬츠")</f>
        <v>아웃도어 기어 키즈 크레스트 스노우 팬츠</v>
      </c>
      <c r="F1636" s="1" t="str">
        <f>IFERROR(__xludf.DUMMYFUNCTION("CONCATENATE(GOOGLETRANSLATE(C1636, ""en"", ""ja""))"),"アウトドアギア キッズ クレスト スノーパンツ")</f>
        <v>アウトドアギア キッズ クレスト スノーパンツ</v>
      </c>
    </row>
    <row r="1637" ht="15.75" customHeight="1">
      <c r="A1637" s="1">
        <v>5521.0</v>
      </c>
      <c r="B1637" s="1" t="s">
        <v>6</v>
      </c>
      <c r="C1637" s="1" t="s">
        <v>1489</v>
      </c>
      <c r="D1637" s="1" t="str">
        <f>IFERROR(__xludf.DUMMYFUNCTION("CONCATENATE(GOOGLETRANSLATE(C1637, ""en"", ""zh-cn""))
"),"戴尔 Optiplex 3020 台式电脑，英特尔酷睿 I5，16GB RAM 2TB 硬盘 Windows 11 Pro，包括")</f>
        <v>戴尔 Optiplex 3020 台式电脑，英特尔酷睿 I5，16GB RAM 2TB 硬盘 Windows 11 Pro，包括</v>
      </c>
      <c r="E1637" s="1" t="str">
        <f>IFERROR(__xludf.DUMMYFUNCTION("CONCATENATE(GOOGLETRANSLATE(C1637, ""en"", ""ko""))"),"Dell Optiplex 3020 데스크탑 컴퓨터, Intel Core I5, 16GB RAM 2TB HDD Windows 11 Pro, 포함")</f>
        <v>Dell Optiplex 3020 데스크탑 컴퓨터, Intel Core I5, 16GB RAM 2TB HDD Windows 11 Pro, 포함</v>
      </c>
      <c r="F1637" s="1" t="str">
        <f>IFERROR(__xludf.DUMMYFUNCTION("CONCATENATE(GOOGLETRANSLATE(C1637, ""en"", ""ja""))"),"Dell Optiplex 3020 デスクトップ コンピューター、Intel Core I5、16GB RAM 2TB HDD Windows 11 Pro、付属品")</f>
        <v>Dell Optiplex 3020 デスクトップ コンピューター、Intel Core I5、16GB RAM 2TB HDD Windows 11 Pro、付属品</v>
      </c>
    </row>
    <row r="1638" ht="15.75" customHeight="1">
      <c r="A1638" s="1">
        <v>5540.0</v>
      </c>
      <c r="B1638" s="1" t="s">
        <v>6</v>
      </c>
      <c r="C1638" s="1" t="s">
        <v>1490</v>
      </c>
      <c r="D1638" s="1" t="str">
        <f>IFERROR(__xludf.DUMMYFUNCTION("CONCATENATE(GOOGLETRANSLATE(C1638, ""en"", ""zh-cn""))
"),"Corsair iCUE Link 2500X RGB Micro ATX 双室 PC 机箱")</f>
        <v>Corsair iCUE Link 2500X RGB Micro ATX 双室 PC 机箱</v>
      </c>
      <c r="E1638" s="1" t="str">
        <f>IFERROR(__xludf.DUMMYFUNCTION("CONCATENATE(GOOGLETRANSLATE(C1638, ""en"", ""ko""))"),"Corsair iCUE Link 2500X RGB 마이크로 ATX 듀얼 챔버 PC 케이스")</f>
        <v>Corsair iCUE Link 2500X RGB 마이크로 ATX 듀얼 챔버 PC 케이스</v>
      </c>
      <c r="F1638" s="1" t="str">
        <f>IFERROR(__xludf.DUMMYFUNCTION("CONCATENATE(GOOGLETRANSLATE(C1638, ""en"", ""ja""))"),"Corsair iCUE Link 2500X RGB マイクロ ATX デュアル チャンバー PC ケース")</f>
        <v>Corsair iCUE Link 2500X RGB マイクロ ATX デュアル チャンバー PC ケース</v>
      </c>
    </row>
    <row r="1639" ht="15.75" customHeight="1">
      <c r="A1639" s="1">
        <v>5546.0</v>
      </c>
      <c r="B1639" s="1" t="s">
        <v>6</v>
      </c>
      <c r="C1639" s="1" t="s">
        <v>1491</v>
      </c>
      <c r="D1639" s="1" t="str">
        <f>IFERROR(__xludf.DUMMYFUNCTION("CONCATENATE(GOOGLETRANSLATE(C1639, ""en"", ""zh-cn""))
"),"HP 14-dq0020nr 14 笔记本电脑英特尔赛扬 N4020")</f>
        <v>HP 14-dq0020nr 14 笔记本电脑英特尔赛扬 N4020</v>
      </c>
      <c r="E1639" s="1" t="str">
        <f>IFERROR(__xludf.DUMMYFUNCTION("CONCATENATE(GOOGLETRANSLATE(C1639, ""en"", ""ko""))"),"HP 14-dq0020nr 14 노트북 인텔 셀러론 N4020")</f>
        <v>HP 14-dq0020nr 14 노트북 인텔 셀러론 N4020</v>
      </c>
      <c r="F1639" s="1" t="str">
        <f>IFERROR(__xludf.DUMMYFUNCTION("CONCATENATE(GOOGLETRANSLATE(C1639, ""en"", ""ja""))"),"HP 14-dq0020nr 14 ノートブック インテル Celeron N4020")</f>
        <v>HP 14-dq0020nr 14 ノートブック インテル Celeron N4020</v>
      </c>
    </row>
    <row r="1640" ht="15.75" customHeight="1">
      <c r="A1640" s="1">
        <v>5614.0</v>
      </c>
      <c r="B1640" s="1" t="s">
        <v>6</v>
      </c>
      <c r="C1640" s="1" t="s">
        <v>1492</v>
      </c>
      <c r="D1640" s="1" t="str">
        <f>IFERROR(__xludf.DUMMYFUNCTION("CONCATENATE(GOOGLETRANSLATE(C1640, ""en"", ""zh-cn""))
"),"卡地亚 Panthere de Cartier 女士腕表")</f>
        <v>卡地亚 Panthere de Cartier 女士腕表</v>
      </c>
      <c r="E1640" s="1" t="str">
        <f>IFERROR(__xludf.DUMMYFUNCTION("CONCATENATE(GOOGLETRANSLATE(C1640, ""en"", ""ko""))"),"까르띠에 여성용 팬더 드 까르띠에 시계")</f>
        <v>까르띠에 여성용 팬더 드 까르띠에 시계</v>
      </c>
      <c r="F1640" s="1" t="str">
        <f>IFERROR(__xludf.DUMMYFUNCTION("CONCATENATE(GOOGLETRANSLATE(C1640, ""en"", ""ja""))"),"カルティエ レディース パンテール ドゥ カルティエ ウォッチ")</f>
        <v>カルティエ レディース パンテール ドゥ カルティエ ウォッチ</v>
      </c>
    </row>
    <row r="1641" ht="15.75" customHeight="1">
      <c r="A1641" s="1">
        <v>5628.0</v>
      </c>
      <c r="B1641" s="1" t="s">
        <v>6</v>
      </c>
      <c r="C1641" s="1" t="s">
        <v>1493</v>
      </c>
      <c r="D1641" s="1" t="str">
        <f>IFERROR(__xludf.DUMMYFUNCTION("CONCATENATE(GOOGLETRANSLATE(C1641, ""en"", ""zh-cn""))
"),"Rado 男士原创手表 R12393633")</f>
        <v>Rado 男士原创手表 R12393633</v>
      </c>
      <c r="E1641" s="1" t="str">
        <f>IFERROR(__xludf.DUMMYFUNCTION("CONCATENATE(GOOGLETRANSLATE(C1641, ""en"", ""ko""))"),"라도 남성용 The Original 시계 R12393633")</f>
        <v>라도 남성용 The Original 시계 R12393633</v>
      </c>
      <c r="F1641" s="1" t="str">
        <f>IFERROR(__xludf.DUMMYFUNCTION("CONCATENATE(GOOGLETRANSLATE(C1641, ""en"", ""ja""))"),"ラドー メンズ ザ オリジナル ウォッチ R12393633")</f>
        <v>ラドー メンズ ザ オリジナル ウォッチ R12393633</v>
      </c>
    </row>
    <row r="1642" ht="15.75" customHeight="1">
      <c r="A1642" s="1">
        <v>5636.0</v>
      </c>
      <c r="B1642" s="1" t="s">
        <v>6</v>
      </c>
      <c r="C1642" s="1" t="s">
        <v>1494</v>
      </c>
      <c r="D1642" s="1" t="str">
        <f>IFERROR(__xludf.DUMMYFUNCTION("CONCATENATE(GOOGLETRANSLATE(C1642, ""en"", ""zh-cn""))
"),"Invicta 男士 Grand Diver 自动多功能手表")</f>
        <v>Invicta 男士 Grand Diver 自动多功能手表</v>
      </c>
      <c r="E1642" s="1" t="str">
        <f>IFERROR(__xludf.DUMMYFUNCTION("CONCATENATE(GOOGLETRANSLATE(C1642, ""en"", ""ko""))"),"인빅타 남성용 그랜드 다이버 자동 다기능 시계")</f>
        <v>인빅타 남성용 그랜드 다이버 자동 다기능 시계</v>
      </c>
      <c r="F1642" s="1" t="str">
        <f>IFERROR(__xludf.DUMMYFUNCTION("CONCATENATE(GOOGLETRANSLATE(C1642, ""en"", ""ja""))"),"Invicta メンズ グランド ダイバー 自動多機能腕時計")</f>
        <v>Invicta メンズ グランド ダイバー 自動多機能腕時計</v>
      </c>
    </row>
    <row r="1643" ht="15.75" customHeight="1">
      <c r="A1643" s="1">
        <v>5638.0</v>
      </c>
      <c r="B1643" s="1" t="s">
        <v>6</v>
      </c>
      <c r="C1643" s="1" t="s">
        <v>1495</v>
      </c>
      <c r="D1643" s="1" t="str">
        <f>IFERROR(__xludf.DUMMYFUNCTION("CONCATENATE(GOOGLETRANSLATE(C1643, ""en"", ""zh-cn""))
"),"天梭 Gentleman Powermatic 80 硅 18K 金男士表圈手表")</f>
        <v>天梭 Gentleman Powermatic 80 硅 18K 金男士表圈手表</v>
      </c>
      <c r="E1643" s="1" t="str">
        <f>IFERROR(__xludf.DUMMYFUNCTION("CONCATENATE(GOOGLETRANSLATE(C1643, ""en"", ""ko""))"),"티쏘 젠틀맨 파워매틱 80 규소 18K 골드 남성용 베젤 시계")</f>
        <v>티쏘 젠틀맨 파워매틱 80 규소 18K 골드 남성용 베젤 시계</v>
      </c>
      <c r="F1643" s="1" t="str">
        <f>IFERROR(__xludf.DUMMYFUNCTION("CONCATENATE(GOOGLETRANSLATE(C1643, ""en"", ""ja""))"),"ティソ ジェントルマン パワーマティック 80 シリシウム 18K ゴールド メンズ ベゼル ウォッチ")</f>
        <v>ティソ ジェントルマン パワーマティック 80 シリシウム 18K ゴールド メンズ ベゼル ウォッチ</v>
      </c>
    </row>
    <row r="1644" ht="15.75" customHeight="1">
      <c r="A1644" s="1">
        <v>5684.0</v>
      </c>
      <c r="B1644" s="1" t="s">
        <v>6</v>
      </c>
      <c r="C1644" s="1" t="s">
        <v>1496</v>
      </c>
      <c r="D1644" s="1" t="str">
        <f>IFERROR(__xludf.DUMMYFUNCTION("CONCATENATE(GOOGLETRANSLATE(C1644, ""en"", ""zh-cn""))
"),"LightInTheBox 女式透气印花衬衫裤纽扣")</f>
        <v>LightInTheBox 女式透气印花衬衫裤纽扣</v>
      </c>
      <c r="E1644" s="1" t="str">
        <f>IFERROR(__xludf.DUMMYFUNCTION("CONCATENATE(GOOGLETRANSLATE(C1644, ""en"", ""ko""))"),"LightInTheBox 여성용 통기성 프린트 셔츠 바지 단추")</f>
        <v>LightInTheBox 여성용 통기성 프린트 셔츠 바지 단추</v>
      </c>
      <c r="F1644" s="1" t="str">
        <f>IFERROR(__xludf.DUMMYFUNCTION("CONCATENATE(GOOGLETRANSLATE(C1644, ""en"", ""ja""))"),"LightInTheBox レディース 通気性プリント シャツ パンツ ボタン")</f>
        <v>LightInTheBox レディース 通気性プリント シャツ パンツ ボタン</v>
      </c>
    </row>
    <row r="1645" ht="15.75" customHeight="1">
      <c r="A1645" s="1">
        <v>5694.0</v>
      </c>
      <c r="B1645" s="1" t="s">
        <v>6</v>
      </c>
      <c r="C1645" s="1" t="s">
        <v>254</v>
      </c>
      <c r="D1645" s="1" t="str">
        <f>IFERROR(__xludf.DUMMYFUNCTION("CONCATENATE(GOOGLETRANSLATE(C1645, ""en"", ""zh-cn""))
"),"CuberShop GAN 12 MagLev UV 涂层， GAN 12 M MagLev 2021 旗舰 3x3 磁力速度立方体无贴纸， GAN 12 M Pro 3x3 （GAN12 MagLev UV 速度立方体，UV 涂层光面和初级内部）")</f>
        <v>CuberShop GAN 12 MagLev UV 涂层， GAN 12 M MagLev 2021 旗舰 3x3 磁力速度立方体无贴纸， GAN 12 M Pro 3x3 （GAN12 MagLev UV 速度立方体，UV 涂层光面和初级内部）</v>
      </c>
      <c r="E1645" s="1" t="str">
        <f>IFERROR(__xludf.DUMMYFUNCTION("CONCATENATE(GOOGLETRANSLATE(C1645, ""en"", ""ko""))"),"CuberShop GAN 12 MagLev UV 코팅, GAN 12 M MagLev 2021 플래그십 3x3 자기 속도 큐브 스티커 없음, GAN 12 M Pro 3x3(GAN12 MagLev UV 속도 큐브, UV 코팅 광택 및 기본 내부)")</f>
        <v>CuberShop GAN 12 MagLev UV 코팅, GAN 12 M MagLev 2021 플래그십 3x3 자기 속도 큐브 스티커 없음, GAN 12 M Pro 3x3(GAN12 MagLev UV 속도 큐브, UV 코팅 광택 및 기본 내부)</v>
      </c>
      <c r="F1645" s="1" t="str">
        <f>IFERROR(__xludf.DUMMYFUNCTION("CONCATENATE(GOOGLETRANSLATE(C1645, ""en"", ""ja""))"),"CuberShop GAN 12 MagLev UV コーティング、GAN 12 M MagLev 2021 フラッグシップ 3x3 磁気スピード キューブ ステッカーレス、GAN 12 M Pro 3x3 (GAN12 MagLev UV スピード キューブ、UV コーティング光沢 &amp; プライマリ内部)")</f>
        <v>CuberShop GAN 12 MagLev UV コーティング、GAN 12 M MagLev 2021 フラッグシップ 3x3 磁気スピード キューブ ステッカーレス、GAN 12 M Pro 3x3 (GAN12 MagLev UV スピード キューブ、UV コーティング光沢 &amp; プライマリ内部)</v>
      </c>
    </row>
    <row r="1646" ht="15.75" customHeight="1">
      <c r="A1646" s="1">
        <v>5696.0</v>
      </c>
      <c r="B1646" s="1" t="s">
        <v>6</v>
      </c>
      <c r="C1646" s="1" t="s">
        <v>454</v>
      </c>
      <c r="D1646" s="1" t="str">
        <f>IFERROR(__xludf.DUMMYFUNCTION("CONCATENATE(GOOGLETRANSLATE(C1646, ""en"", ""zh-cn""))
"),"GAN 460 M 速度魔方， 4x4 磁性魔方 Gans 460M 拼图玩具（无贴纸）")</f>
        <v>GAN 460 M 速度魔方， 4x4 磁性魔方 Gans 460M 拼图玩具（无贴纸）</v>
      </c>
      <c r="E1646" s="1" t="str">
        <f>IFERROR(__xludf.DUMMYFUNCTION("CONCATENATE(GOOGLETRANSLATE(C1646, ""en"", ""ko""))"),"GAN 460 M 스피드 큐브, 4x4 마그네틱 마스터 큐브 Gans 460M 퍼즐 장난감(스티커 없음)")</f>
        <v>GAN 460 M 스피드 큐브, 4x4 마그네틱 마스터 큐브 Gans 460M 퍼즐 장난감(스티커 없음)</v>
      </c>
      <c r="F1646" s="1" t="str">
        <f>IFERROR(__xludf.DUMMYFUNCTION("CONCATENATE(GOOGLETRANSLATE(C1646, ""en"", ""ja""))"),"GAN 460 M スピード キューブ、4x4 磁気マスター キューブ Gans 460M パズルおもちゃ (ステッカーなし)")</f>
        <v>GAN 460 M スピード キューブ、4x4 磁気マスター キューブ Gans 460M パズルおもちゃ (ステッカーなし)</v>
      </c>
    </row>
    <row r="1647" ht="15.75" customHeight="1">
      <c r="A1647" s="1">
        <v>5711.0</v>
      </c>
      <c r="B1647" s="1" t="s">
        <v>6</v>
      </c>
      <c r="C1647" s="1" t="s">
        <v>83</v>
      </c>
      <c r="D1647" s="1" t="str">
        <f>IFERROR(__xludf.DUMMYFUNCTION("CONCATENATE(GOOGLETRANSLATE(C1647, ""en"", ""zh-cn""))
"),"GAN Megaminx M，五角磁力测速魔方，无贴纸")</f>
        <v>GAN Megaminx M，五角磁力测速魔方，无贴纸</v>
      </c>
      <c r="E1647" s="1" t="str">
        <f>IFERROR(__xludf.DUMMYFUNCTION("CONCATENATE(GOOGLETRANSLATE(C1647, ""en"", ""ko""))"),"GAN Megaminx M, 오각형 자기 속도 큐브, 스티커 없음")</f>
        <v>GAN Megaminx M, 오각형 자기 속도 큐브, 스티커 없음</v>
      </c>
      <c r="F1647" s="1" t="str">
        <f>IFERROR(__xludf.DUMMYFUNCTION("CONCATENATE(GOOGLETRANSLATE(C1647, ""en"", ""ja""))"),"GAN メガミンクス M、五角形磁気スピードキューブ、ステッカーレス")</f>
        <v>GAN メガミンクス M、五角形磁気スピードキューブ、ステッカーレス</v>
      </c>
    </row>
    <row r="1648" ht="15.75" customHeight="1">
      <c r="A1648" s="1">
        <v>5765.0</v>
      </c>
      <c r="B1648" s="1" t="s">
        <v>6</v>
      </c>
      <c r="C1648" s="1" t="s">
        <v>1497</v>
      </c>
      <c r="D1648" s="1" t="str">
        <f>IFERROR(__xludf.DUMMYFUNCTION("CONCATENATE(GOOGLETRANSLATE(C1648, ""en"", ""zh-cn""))
"),"Fashion Nova 男士 Beck 纹理衬衫")</f>
        <v>Fashion Nova 男士 Beck 纹理衬衫</v>
      </c>
      <c r="E1648" s="1" t="str">
        <f>IFERROR(__xludf.DUMMYFUNCTION("CONCATENATE(GOOGLETRANSLATE(C1648, ""en"", ""ko""))"),"패션 노바 남성용 벡 텍스처 셔츠")</f>
        <v>패션 노바 남성용 벡 텍스처 셔츠</v>
      </c>
      <c r="F1648" s="1" t="str">
        <f>IFERROR(__xludf.DUMMYFUNCTION("CONCATENATE(GOOGLETRANSLATE(C1648, ""en"", ""ja""))"),"ファッション ノヴァ メンズ ベック テクスチャード シャツ")</f>
        <v>ファッション ノヴァ メンズ ベック テクスチャード シャツ</v>
      </c>
    </row>
    <row r="1649" ht="15.75" customHeight="1">
      <c r="A1649" s="1">
        <v>5801.0</v>
      </c>
      <c r="B1649" s="1" t="s">
        <v>6</v>
      </c>
      <c r="C1649" s="1" t="s">
        <v>1498</v>
      </c>
      <c r="D1649" s="1" t="str">
        <f>IFERROR(__xludf.DUMMYFUNCTION("CONCATENATE(GOOGLETRANSLATE(C1649, ""en"", ""zh-cn""))
"),"红龙机械游戏键盘")</f>
        <v>红龙机械游戏键盘</v>
      </c>
      <c r="E1649" s="1" t="str">
        <f>IFERROR(__xludf.DUMMYFUNCTION("CONCATENATE(GOOGLETRANSLATE(C1649, ""en"", ""ko""))"),"Redragon 기계식 게이밍 키보드")</f>
        <v>Redragon 기계식 게이밍 키보드</v>
      </c>
      <c r="F1649" s="1" t="str">
        <f>IFERROR(__xludf.DUMMYFUNCTION("CONCATENATE(GOOGLETRANSLATE(C1649, ""en"", ""ja""))"),"Redragon メカニカル ゲーミング キーボード")</f>
        <v>Redragon メカニカル ゲーミング キーボード</v>
      </c>
    </row>
    <row r="1650" ht="15.75" customHeight="1">
      <c r="A1650" s="1">
        <v>5805.0</v>
      </c>
      <c r="B1650" s="1" t="s">
        <v>6</v>
      </c>
      <c r="C1650" s="1" t="s">
        <v>1499</v>
      </c>
      <c r="D1650" s="1" t="str">
        <f>IFERROR(__xludf.DUMMYFUNCTION("CONCATENATE(GOOGLETRANSLATE(C1650, ""en"", ""zh-cn""))
"),"红龙K686无线机械键盘")</f>
        <v>红龙K686无线机械键盘</v>
      </c>
      <c r="E1650" s="1" t="str">
        <f>IFERROR(__xludf.DUMMYFUNCTION("CONCATENATE(GOOGLETRANSLATE(C1650, ""en"", ""ko""))"),"Redragon K686 무선 기계식 키보드")</f>
        <v>Redragon K686 무선 기계식 키보드</v>
      </c>
      <c r="F1650" s="1" t="str">
        <f>IFERROR(__xludf.DUMMYFUNCTION("CONCATENATE(GOOGLETRANSLATE(C1650, ""en"", ""ja""))"),"Redragon K686 ワイヤレス メカニカル キーボード")</f>
        <v>Redragon K686 ワイヤレス メカニカル キーボード</v>
      </c>
    </row>
    <row r="1651" ht="15.75" customHeight="1">
      <c r="A1651" s="1">
        <v>5812.0</v>
      </c>
      <c r="B1651" s="1" t="s">
        <v>6</v>
      </c>
      <c r="C1651" s="1" t="s">
        <v>1500</v>
      </c>
      <c r="D1651" s="1" t="str">
        <f>IFERROR(__xludf.DUMMYFUNCTION("CONCATENATE(GOOGLETRANSLATE(C1651, ""en"", ""zh-cn""))
"),"BOSGAME 迷你电脑，带双 LAN、2.5GbE、AMD Ryzen 7 5825u、32GB")</f>
        <v>BOSGAME 迷你电脑，带双 LAN、2.5GbE、AMD Ryzen 7 5825u、32GB</v>
      </c>
      <c r="E1651" s="1" t="str">
        <f>IFERROR(__xludf.DUMMYFUNCTION("CONCATENATE(GOOGLETRANSLATE(C1651, ""en"", ""ko""))"),"듀얼 LAN, 2.5GbE, AMD Ryzen 7 5825u, 32GB를 갖춘 BOSGAME 미니 PC")</f>
        <v>듀얼 LAN, 2.5GbE, AMD Ryzen 7 5825u, 32GB를 갖춘 BOSGAME 미니 PC</v>
      </c>
      <c r="F1651" s="1" t="str">
        <f>IFERROR(__xludf.DUMMYFUNCTION("CONCATENATE(GOOGLETRANSLATE(C1651, ""en"", ""ja""))"),"BOSGAME ミニ PC、デュアル LAN、2.5GbE、AMD Ryzen 7 5825u、32GB")</f>
        <v>BOSGAME ミニ PC、デュアル LAN、2.5GbE、AMD Ryzen 7 5825u、32GB</v>
      </c>
    </row>
    <row r="1652" ht="15.75" customHeight="1">
      <c r="A1652" s="1">
        <v>5814.0</v>
      </c>
      <c r="B1652" s="1" t="s">
        <v>6</v>
      </c>
      <c r="C1652" s="1" t="s">
        <v>1501</v>
      </c>
      <c r="D1652" s="1" t="str">
        <f>IFERROR(__xludf.DUMMYFUNCTION("CONCATENATE(GOOGLETRANSLATE(C1652, ""en"", ""zh-cn""))
"),"GEEKOM A8 Max Ai 迷你电脑")</f>
        <v>GEEKOM A8 Max Ai 迷你电脑</v>
      </c>
      <c r="E1652" s="1" t="str">
        <f>IFERROR(__xludf.DUMMYFUNCTION("CONCATENATE(GOOGLETRANSLATE(C1652, ""en"", ""ko""))"),"GEEKOM A8 Max Ai 미니 PC")</f>
        <v>GEEKOM A8 Max Ai 미니 PC</v>
      </c>
      <c r="F1652" s="1" t="str">
        <f>IFERROR(__xludf.DUMMYFUNCTION("CONCATENATE(GOOGLETRANSLATE(C1652, ""en"", ""ja""))"),"GEEKOM A8 Max Ai ミニ PC")</f>
        <v>GEEKOM A8 Max Ai ミニ PC</v>
      </c>
    </row>
    <row r="1653" ht="15.75" customHeight="1">
      <c r="A1653" s="1">
        <v>5830.0</v>
      </c>
      <c r="B1653" s="1" t="s">
        <v>6</v>
      </c>
      <c r="C1653" s="1" t="s">
        <v>1502</v>
      </c>
      <c r="D1653" s="1" t="str">
        <f>IFERROR(__xludf.DUMMYFUNCTION("CONCATENATE(GOOGLETRANSLATE(C1653, ""en"", ""zh-cn""))
"),"ORICO 9合1 USB C扩展坞")</f>
        <v>ORICO 9合1 USB C扩展坞</v>
      </c>
      <c r="E1653" s="1" t="str">
        <f>IFERROR(__xludf.DUMMYFUNCTION("CONCATENATE(GOOGLETRANSLATE(C1653, ""en"", ""ko""))"),"ORICO 9-in-1 USB C 도킹 스테이션")</f>
        <v>ORICO 9-in-1 USB C 도킹 스테이션</v>
      </c>
      <c r="F1653" s="1" t="str">
        <f>IFERROR(__xludf.DUMMYFUNCTION("CONCATENATE(GOOGLETRANSLATE(C1653, ""en"", ""ja""))"),"ORICO 9-in-1 USB C ドッキング ステーション")</f>
        <v>ORICO 9-in-1 USB C ドッキング ステーション</v>
      </c>
    </row>
    <row r="1654" ht="15.75" customHeight="1">
      <c r="A1654" s="1">
        <v>5846.0</v>
      </c>
      <c r="B1654" s="1" t="s">
        <v>6</v>
      </c>
      <c r="C1654" s="1" t="s">
        <v>1503</v>
      </c>
      <c r="D1654" s="1" t="str">
        <f>IFERROR(__xludf.DUMMYFUNCTION("CONCATENATE(GOOGLETRANSLATE(C1654, ""en"", ""zh-cn""))
"),"戴尔 OptiPlex 7000 7020 Plus 台式电脑英特尔酷睿 i7 第 14 代 i7-14700")</f>
        <v>戴尔 OptiPlex 7000 7020 Plus 台式电脑英特尔酷睿 i7 第 14 代 i7-14700</v>
      </c>
      <c r="E1654" s="1" t="str">
        <f>IFERROR(__xludf.DUMMYFUNCTION("CONCATENATE(GOOGLETRANSLATE(C1654, ""en"", ""ko""))"),"델 옵티플렉스 7000 7020 플러스 데스크탑 컴퓨터 인텔 코어 i7 14세대 i7-14700")</f>
        <v>델 옵티플렉스 7000 7020 플러스 데스크탑 컴퓨터 인텔 코어 i7 14세대 i7-14700</v>
      </c>
      <c r="F1654" s="1" t="str">
        <f>IFERROR(__xludf.DUMMYFUNCTION("CONCATENATE(GOOGLETRANSLATE(C1654, ""en"", ""ja""))"),"Dell OptiPlex 7000 7020 Plus デスクトップ コンピュータ Intel Core i7 第 14 世代 i7-14700")</f>
        <v>Dell OptiPlex 7000 7020 Plus デスクトップ コンピュータ Intel Core i7 第 14 世代 i7-14700</v>
      </c>
    </row>
    <row r="1655" ht="15.75" customHeight="1">
      <c r="A1655" s="1">
        <v>5902.0</v>
      </c>
      <c r="B1655" s="1" t="s">
        <v>6</v>
      </c>
      <c r="C1655" s="1" t="s">
        <v>1504</v>
      </c>
      <c r="D1655" s="1" t="str">
        <f>IFERROR(__xludf.DUMMYFUNCTION("CONCATENATE(GOOGLETRANSLATE(C1655, ""en"", ""zh-cn""))
"),"Joozfee 为 6-8 岁女孩提供的礼物")</f>
        <v>Joozfee 为 6-8 岁女孩提供的礼物</v>
      </c>
      <c r="E1655" s="1" t="str">
        <f>IFERROR(__xludf.DUMMYFUNCTION("CONCATENATE(GOOGLETRANSLATE(C1655, ""en"", ""ko""))"),"6~8세 여아를 위한 Joozfee 선물")</f>
        <v>6~8세 여아를 위한 Joozfee 선물</v>
      </c>
      <c r="F1655" s="1" t="str">
        <f>IFERROR(__xludf.DUMMYFUNCTION("CONCATENATE(GOOGLETRANSLATE(C1655, ""en"", ""ja""))"),"6～8歳の女の子向けJoozfeeギフト")</f>
        <v>6～8歳の女の子向けJoozfeeギフト</v>
      </c>
    </row>
    <row r="1656" ht="15.75" customHeight="1">
      <c r="A1656" s="1">
        <v>5972.0</v>
      </c>
      <c r="B1656" s="1" t="s">
        <v>6</v>
      </c>
      <c r="C1656" s="1" t="s">
        <v>1505</v>
      </c>
      <c r="D1656" s="1" t="str">
        <f>IFERROR(__xludf.DUMMYFUNCTION("CONCATENATE(GOOGLETRANSLATE(C1656, ""en"", ""zh-cn""))
"),"Fossil 女式 Carlie 手表")</f>
        <v>Fossil 女式 Carlie 手表</v>
      </c>
      <c r="E1656" s="1" t="str">
        <f>IFERROR(__xludf.DUMMYFUNCTION("CONCATENATE(GOOGLETRANSLATE(C1656, ""en"", ""ko""))"),"화석 여성용 칼리 시계")</f>
        <v>화석 여성용 칼리 시계</v>
      </c>
      <c r="F1656" s="1" t="str">
        <f>IFERROR(__xludf.DUMMYFUNCTION("CONCATENATE(GOOGLETRANSLATE(C1656, ""en"", ""ja""))"),"Fossil レディース カーリー ウォッチ")</f>
        <v>Fossil レディース カーリー ウォッチ</v>
      </c>
    </row>
    <row r="1657" ht="15.75" customHeight="1">
      <c r="A1657" s="1">
        <v>5975.0</v>
      </c>
      <c r="B1657" s="1" t="s">
        <v>6</v>
      </c>
      <c r="C1657" s="1" t="s">
        <v>1506</v>
      </c>
      <c r="D1657" s="1" t="str">
        <f>IFERROR(__xludf.DUMMYFUNCTION("CONCATENATE(GOOGLETRANSLATE(C1657, ""en"", ""zh-cn""))
"),"Timex 男士计时腕表")</f>
        <v>Timex 男士计时腕表</v>
      </c>
      <c r="E1657" s="1" t="str">
        <f>IFERROR(__xludf.DUMMYFUNCTION("CONCATENATE(GOOGLETRANSLATE(C1657, ""en"", ""ko""))"),"타이멕스 남성용 크로노그래프 시계")</f>
        <v>타이멕스 남성용 크로노그래프 시계</v>
      </c>
      <c r="F1657" s="1" t="str">
        <f>IFERROR(__xludf.DUMMYFUNCTION("CONCATENATE(GOOGLETRANSLATE(C1657, ""en"", ""ja""))"),"タイメックス メンズ クロノグラフ ウォッチ")</f>
        <v>タイメックス メンズ クロノグラフ ウォッチ</v>
      </c>
    </row>
    <row r="1658" ht="15.75" customHeight="1">
      <c r="A1658" s="1">
        <v>5989.0</v>
      </c>
      <c r="B1658" s="1" t="s">
        <v>6</v>
      </c>
      <c r="C1658" s="1" t="s">
        <v>1507</v>
      </c>
      <c r="D1658" s="1" t="str">
        <f>IFERROR(__xludf.DUMMYFUNCTION("CONCATENATE(GOOGLETRANSLATE(C1658, ""en"", ""zh-cn""))
"),"Peugeot 女式 34x24 毫米坦克手表带水晶表圈")</f>
        <v>Peugeot 女式 34x24 毫米坦克手表带水晶表圈</v>
      </c>
      <c r="E1658" s="1" t="str">
        <f>IFERROR(__xludf.DUMMYFUNCTION("CONCATENATE(GOOGLETRANSLATE(C1658, ""en"", ""ko""))"),"푸조 여성용 34x24mm 탱크 시계(크리스털 베젤 포함)")</f>
        <v>푸조 여성용 34x24mm 탱크 시계(크리스털 베젤 포함)</v>
      </c>
      <c r="F1658" s="1" t="str">
        <f>IFERROR(__xludf.DUMMYFUNCTION("CONCATENATE(GOOGLETRANSLATE(C1658, ""en"", ""ja""))"),"プジョー レディース 34x24mm タンクウォッチ (クリスタルベゼル付き)")</f>
        <v>プジョー レディース 34x24mm タンクウォッチ (クリスタルベゼル付き)</v>
      </c>
    </row>
    <row r="1659" ht="15.75" customHeight="1">
      <c r="A1659" s="1">
        <v>6003.0</v>
      </c>
      <c r="B1659" s="1" t="s">
        <v>6</v>
      </c>
      <c r="C1659" s="1" t="s">
        <v>1508</v>
      </c>
      <c r="D1659" s="1" t="str">
        <f>IFERROR(__xludf.DUMMYFUNCTION("CONCATENATE(GOOGLETRANSLATE(C1659, ""en"", ""zh-cn""))
"),"萨普蒂格手机支架")</f>
        <v>萨普蒂格手机支架</v>
      </c>
      <c r="E1659" s="1" t="str">
        <f>IFERROR(__xludf.DUMMYFUNCTION("CONCATENATE(GOOGLETRANSLATE(C1659, ""en"", ""ko""))"),"Suptig 휴대폰 홀더")</f>
        <v>Suptig 휴대폰 홀더</v>
      </c>
      <c r="F1659" s="1" t="str">
        <f>IFERROR(__xludf.DUMMYFUNCTION("CONCATENATE(GOOGLETRANSLATE(C1659, ""en"", ""ja""))"),"Suptig 携帯電話ホルダー")</f>
        <v>Suptig 携帯電話ホルダー</v>
      </c>
    </row>
    <row r="1660" ht="15.75" customHeight="1">
      <c r="A1660" s="1">
        <v>6008.0</v>
      </c>
      <c r="B1660" s="1" t="s">
        <v>6</v>
      </c>
      <c r="C1660" s="1" t="s">
        <v>1509</v>
      </c>
      <c r="D1660" s="1" t="str">
        <f>IFERROR(__xludf.DUMMYFUNCTION("CONCATENATE(GOOGLETRANSLATE(C1660, ""en"", ""zh-cn""))
"),"SINJIMORU 贴式电话卡夹，带现金存储空间")</f>
        <v>SINJIMORU 贴式电话卡夹，带现金存储空间</v>
      </c>
      <c r="E1660" s="1" t="str">
        <f>IFERROR(__xludf.DUMMYFUNCTION("CONCATENATE(GOOGLETRANSLATE(C1660, ""en"", ""ko""))"),"신지모루 현금 보관용 부착형 휴대폰 카드 홀더")</f>
        <v>신지모루 현금 보관용 부착형 휴대폰 카드 홀더</v>
      </c>
      <c r="F1660" s="1" t="str">
        <f>IFERROR(__xludf.DUMMYFUNCTION("CONCATENATE(GOOGLETRANSLATE(C1660, ""en"", ""ja""))"),"SINJIMORU 貼り付け式テレホンカードホルダー 現金収納付き")</f>
        <v>SINJIMORU 貼り付け式テレホンカードホルダー 現金収納付き</v>
      </c>
    </row>
    <row r="1661" ht="15.75" customHeight="1">
      <c r="A1661" s="1">
        <v>6019.0</v>
      </c>
      <c r="B1661" s="1" t="s">
        <v>6</v>
      </c>
      <c r="C1661" s="1" t="s">
        <v>1510</v>
      </c>
      <c r="D1661" s="1" t="str">
        <f>IFERROR(__xludf.DUMMYFUNCTION("CONCATENATE(GOOGLETRANSLATE(C1661, ""en"", ""zh-cn""))
"),"Realtree EZ PIC 手机支架")</f>
        <v>Realtree EZ PIC 手机支架</v>
      </c>
      <c r="E1661" s="1" t="str">
        <f>IFERROR(__xludf.DUMMYFUNCTION("CONCATENATE(GOOGLETRANSLATE(C1661, ""en"", ""ko""))"),"Realtree EZ PIC 휴대폰 홀더")</f>
        <v>Realtree EZ PIC 휴대폰 홀더</v>
      </c>
      <c r="F1661" s="1" t="str">
        <f>IFERROR(__xludf.DUMMYFUNCTION("CONCATENATE(GOOGLETRANSLATE(C1661, ""en"", ""ja""))"),"Realtree EZ PIC 携帯電話ホルダー")</f>
        <v>Realtree EZ PIC 携帯電話ホルダー</v>
      </c>
    </row>
    <row r="1662" ht="15.75" customHeight="1">
      <c r="A1662" s="1">
        <v>6024.0</v>
      </c>
      <c r="B1662" s="1" t="s">
        <v>6</v>
      </c>
      <c r="C1662" s="1" t="s">
        <v>1511</v>
      </c>
      <c r="D1662" s="1" t="str">
        <f>IFERROR(__xludf.DUMMYFUNCTION("CONCATENATE(GOOGLETRANSLATE(C1662, ""en"", ""zh-cn""))
"),"Kikkerland 电话指环")</f>
        <v>Kikkerland 电话指环</v>
      </c>
      <c r="E1662" s="1" t="str">
        <f>IFERROR(__xludf.DUMMYFUNCTION("CONCATENATE(GOOGLETRANSLATE(C1662, ""en"", ""ko""))"),"Kikkerland 폰 핑거 루프")</f>
        <v>Kikkerland 폰 핑거 루프</v>
      </c>
      <c r="F1662" s="1" t="str">
        <f>IFERROR(__xludf.DUMMYFUNCTION("CONCATENATE(GOOGLETRANSLATE(C1662, ""en"", ""ja""))"),"キッカーランド フォン フィンガー ループ")</f>
        <v>キッカーランド フォン フィンガー ループ</v>
      </c>
    </row>
    <row r="1663" ht="15.75" customHeight="1">
      <c r="A1663" s="1">
        <v>6027.0</v>
      </c>
      <c r="B1663" s="1" t="s">
        <v>6</v>
      </c>
      <c r="C1663" s="1" t="s">
        <v>1512</v>
      </c>
      <c r="D1663" s="1" t="str">
        <f>IFERROR(__xludf.DUMMYFUNCTION("CONCATENATE(GOOGLETRANSLATE(C1663, ""en"", ""zh-cn""))
"),"PopSockets PopGrip 半透明黑烟")</f>
        <v>PopSockets PopGrip 半透明黑烟</v>
      </c>
      <c r="E1663" s="1" t="str">
        <f>IFERROR(__xludf.DUMMYFUNCTION("CONCATENATE(GOOGLETRANSLATE(C1663, ""en"", ""ko""))"),"PopSockets PopGrip 반투명 블랙 스모크")</f>
        <v>PopSockets PopGrip 반투명 블랙 스모크</v>
      </c>
      <c r="F1663" s="1" t="str">
        <f>IFERROR(__xludf.DUMMYFUNCTION("CONCATENATE(GOOGLETRANSLATE(C1663, ""en"", ""ja""))"),"ポップソケッツ ポップグリップ 半透明ブラックスモーク")</f>
        <v>ポップソケッツ ポップグリップ 半透明ブラックスモーク</v>
      </c>
    </row>
    <row r="1664" ht="15.75" customHeight="1">
      <c r="A1664" s="1">
        <v>6034.0</v>
      </c>
      <c r="B1664" s="1" t="s">
        <v>6</v>
      </c>
      <c r="C1664" s="1" t="s">
        <v>1513</v>
      </c>
      <c r="D1664" s="1" t="str">
        <f>IFERROR(__xludf.DUMMYFUNCTION("CONCATENATE(GOOGLETRANSLATE(C1664, ""en"", ""zh-cn""))
"),"家居装饰系列 Tuilene 21 集成 LED 哑光黑色吊扇带灯和遥控器")</f>
        <v>家居装饰系列 Tuilene 21 集成 LED 哑光黑色吊扇带灯和遥控器</v>
      </c>
      <c r="E1664" s="1" t="str">
        <f>IFERROR(__xludf.DUMMYFUNCTION("CONCATENATE(GOOGLETRANSLATE(C1664, ""en"", ""ko""))"),"홈 데코레이터 컬렉션 Tuilene 21 조명 및 원격 제어 기능이 있는 통합 LED 무광 검정색 천장 선풍기")</f>
        <v>홈 데코레이터 컬렉션 Tuilene 21 조명 및 원격 제어 기능이 있는 통합 LED 무광 검정색 천장 선풍기</v>
      </c>
      <c r="F1664" s="1" t="str">
        <f>IFERROR(__xludf.DUMMYFUNCTION("CONCATENATE(GOOGLETRANSLATE(C1664, ""en"", ""ja""))"),"Home Decorators Collection Tuilene 21 一体型 LED マットブラック シーリングファン ライトとリモコン付き")</f>
        <v>Home Decorators Collection Tuilene 21 一体型 LED マットブラック シーリングファン ライトとリモコン付き</v>
      </c>
    </row>
    <row r="1665" ht="15.75" customHeight="1">
      <c r="A1665" s="1">
        <v>6036.0</v>
      </c>
      <c r="B1665" s="1" t="s">
        <v>6</v>
      </c>
      <c r="C1665" s="1" t="s">
        <v>1514</v>
      </c>
      <c r="D1665" s="1" t="str">
        <f>IFERROR(__xludf.DUMMYFUNCTION("CONCATENATE(GOOGLETRANSLATE(C1665, ""en"", ""zh-cn""))
"),"SMEG 50 复古风格迷你冰箱")</f>
        <v>SMEG 50 复古风格迷你冰箱</v>
      </c>
      <c r="E1665" s="1" t="str">
        <f>IFERROR(__xludf.DUMMYFUNCTION("CONCATENATE(GOOGLETRANSLATE(C1665, ""en"", ""ko""))"),"스메그 50년대 레트로 스타일 미니 냉장고")</f>
        <v>스메그 50년대 레트로 스타일 미니 냉장고</v>
      </c>
      <c r="F1665" s="1" t="str">
        <f>IFERROR(__xludf.DUMMYFUNCTION("CONCATENATE(GOOGLETRANSLATE(C1665, ""en"", ""ja""))"),"Smeg 50's レトロスタイル ミニ冷蔵庫")</f>
        <v>Smeg 50's レトロスタイル ミニ冷蔵庫</v>
      </c>
    </row>
    <row r="1666" ht="15.75" customHeight="1">
      <c r="A1666" s="1">
        <v>6059.0</v>
      </c>
      <c r="B1666" s="1" t="s">
        <v>6</v>
      </c>
      <c r="C1666" s="1" t="s">
        <v>1515</v>
      </c>
      <c r="D1666" s="1" t="str">
        <f>IFERROR(__xludf.DUMMYFUNCTION("CONCATENATE(GOOGLETRANSLATE(C1666, ""en"", ""zh-cn""))
"),"Haden Heritage 4 片宽槽烤面包机带电热水壶")</f>
        <v>Haden Heritage 4 片宽槽烤面包机带电热水壶</v>
      </c>
      <c r="E1666" s="1" t="str">
        <f>IFERROR(__xludf.DUMMYFUNCTION("CONCATENATE(GOOGLETRANSLATE(C1666, ""en"", ""ko""))"),"Haden Heritage 4 슬라이스 와이드 슬롯 토스터(전기 물 주전자 포함)")</f>
        <v>Haden Heritage 4 슬라이스 와이드 슬롯 토스터(전기 물 주전자 포함)</v>
      </c>
      <c r="F1666" s="1" t="str">
        <f>IFERROR(__xludf.DUMMYFUNCTION("CONCATENATE(GOOGLETRANSLATE(C1666, ""en"", ""ja""))"),"Haden Heritage 4 スライス ワイド スロット トースター 電気ケトル付き")</f>
        <v>Haden Heritage 4 スライス ワイド スロット トースター 電気ケトル付き</v>
      </c>
    </row>
    <row r="1667" ht="15.75" customHeight="1">
      <c r="A1667" s="1">
        <v>6063.0</v>
      </c>
      <c r="B1667" s="1" t="s">
        <v>6</v>
      </c>
      <c r="C1667" s="1" t="s">
        <v>1516</v>
      </c>
      <c r="D1667" s="1" t="str">
        <f>IFERROR(__xludf.DUMMYFUNCTION("CONCATENATE(GOOGLETRANSLATE(C1667, ""en"", ""zh-cn""))
"),"汉密尔顿海滩电饭锅/蒸锅")</f>
        <v>汉密尔顿海滩电饭锅/蒸锅</v>
      </c>
      <c r="E1667" s="1" t="str">
        <f>IFERROR(__xludf.DUMMYFUNCTION("CONCATENATE(GOOGLETRANSLATE(C1667, ""en"", ""ko""))"),"해밀턴 비치 밥솥/찜기")</f>
        <v>해밀턴 비치 밥솥/찜기</v>
      </c>
      <c r="F1667" s="1" t="str">
        <f>IFERROR(__xludf.DUMMYFUNCTION("CONCATENATE(GOOGLETRANSLATE(C1667, ""en"", ""ja""))"),"ハミルトンビーチ炊飯器/蒸し器")</f>
        <v>ハミルトンビーチ炊飯器/蒸し器</v>
      </c>
    </row>
    <row r="1668" ht="15.75" customHeight="1">
      <c r="A1668" s="1">
        <v>6082.0</v>
      </c>
      <c r="B1668" s="1" t="s">
        <v>6</v>
      </c>
      <c r="C1668" s="1" t="s">
        <v>1517</v>
      </c>
      <c r="D1668" s="1" t="str">
        <f>IFERROR(__xludf.DUMMYFUNCTION("CONCATENATE(GOOGLETRANSLATE(C1668, ""en"", ""zh-cn""))
"),"按美容功能定制护发精华素")</f>
        <v>按美容功能定制护发精华素</v>
      </c>
      <c r="E1668" s="1" t="str">
        <f>IFERROR(__xludf.DUMMYFUNCTION("CONCATENATE(GOOGLETRANSLATE(C1668, ""en"", ""ko""))"),"미용 기능별 맞춤형 헤어 세럼")</f>
        <v>미용 기능별 맞춤형 헤어 세럼</v>
      </c>
      <c r="F1668" s="1" t="str">
        <f>IFERROR(__xludf.DUMMYFUNCTION("CONCATENATE(GOOGLETRANSLATE(C1668, ""en"", ""ja""))"),"美の機能別にカスタマイズしたヘアセラム")</f>
        <v>美の機能別にカスタマイズしたヘアセラム</v>
      </c>
    </row>
    <row r="1669" ht="15.75" customHeight="1">
      <c r="A1669" s="1">
        <v>6110.0</v>
      </c>
      <c r="B1669" s="1" t="s">
        <v>6</v>
      </c>
      <c r="C1669" s="1" t="s">
        <v>851</v>
      </c>
      <c r="D1669" s="1" t="str">
        <f>IFERROR(__xludf.DUMMYFUNCTION("CONCATENATE(GOOGLETRANSLATE(C1669, ""en"", ""zh-cn""))
"),"角蛋白洗发水护发素")</f>
        <v>角蛋白洗发水护发素</v>
      </c>
      <c r="E1669" s="1" t="str">
        <f>IFERROR(__xludf.DUMMYFUNCTION("CONCATENATE(GOOGLETRANSLATE(C1669, ""en"", ""ko""))"),"케라틴 샴푸 헤어 트리트먼트")</f>
        <v>케라틴 샴푸 헤어 트리트먼트</v>
      </c>
      <c r="F1669" s="1" t="str">
        <f>IFERROR(__xludf.DUMMYFUNCTION("CONCATENATE(GOOGLETRANSLATE(C1669, ""en"", ""ja""))"),"ケラチンシャンプー ヘアトリートメント")</f>
        <v>ケラチンシャンプー ヘアトリートメント</v>
      </c>
    </row>
    <row r="1670" ht="15.75" customHeight="1">
      <c r="A1670" s="1">
        <v>6120.0</v>
      </c>
      <c r="B1670" s="1" t="s">
        <v>6</v>
      </c>
      <c r="C1670" s="1" t="s">
        <v>1518</v>
      </c>
      <c r="D1670" s="1" t="str">
        <f>IFERROR(__xludf.DUMMYFUNCTION("CONCATENATE(GOOGLETRANSLATE(C1670, ""en"", ""zh-cn""))
"),"MIGUHARA 日常丝质护发精华")</f>
        <v>MIGUHARA 日常丝质护发精华</v>
      </c>
      <c r="E1670" s="1" t="str">
        <f>IFERROR(__xludf.DUMMYFUNCTION("CONCATENATE(GOOGLETRANSLATE(C1670, ""en"", ""ko""))"),"미구하라 데일리 실크 이펙트 헤어 세럼")</f>
        <v>미구하라 데일리 실크 이펙트 헤어 세럼</v>
      </c>
      <c r="F1670" s="1" t="str">
        <f>IFERROR(__xludf.DUMMYFUNCTION("CONCATENATE(GOOGLETRANSLATE(C1670, ""en"", ""ja""))"),"MIGUHARA デイリーシルクエフェクト ヘアセラム")</f>
        <v>MIGUHARA デイリーシルクエフェクト ヘアセラム</v>
      </c>
    </row>
    <row r="1671" ht="15.75" customHeight="1">
      <c r="A1671" s="1">
        <v>6178.0</v>
      </c>
      <c r="B1671" s="1" t="s">
        <v>6</v>
      </c>
      <c r="C1671" s="1" t="s">
        <v>1519</v>
      </c>
      <c r="D1671" s="1" t="str">
        <f>IFERROR(__xludf.DUMMYFUNCTION("CONCATENATE(GOOGLETRANSLATE(C1671, ""en"", ""zh-cn""))
"),"难忘[电子书]")</f>
        <v>难忘[电子书]</v>
      </c>
      <c r="E1671" s="1" t="str">
        <f>IFERROR(__xludf.DUMMYFUNCTION("CONCATENATE(GOOGLETRANSLATE(C1671, ""en"", ""ko""))"),"잊을 수 없는 [eBook]")</f>
        <v>잊을 수 없는 [eBook]</v>
      </c>
      <c r="F1671" s="1" t="str">
        <f>IFERROR(__xludf.DUMMYFUNCTION("CONCATENATE(GOOGLETRANSLATE(C1671, ""en"", ""ja""))"),"忘れられない [電子書籍]")</f>
        <v>忘れられない [電子書籍]</v>
      </c>
    </row>
    <row r="1672" ht="15.75" customHeight="1">
      <c r="A1672" s="1">
        <v>6249.0</v>
      </c>
      <c r="B1672" s="1" t="s">
        <v>6</v>
      </c>
      <c r="C1672" s="1" t="s">
        <v>1520</v>
      </c>
      <c r="D1672" s="1" t="str">
        <f>IFERROR(__xludf.DUMMYFUNCTION("CONCATENATE(GOOGLETRANSLATE(C1672, ""en"", ""zh-cn""))
"),"Apple 100 美元美国礼品卡")</f>
        <v>Apple 100 美元美国礼品卡</v>
      </c>
      <c r="E1672" s="1" t="str">
        <f>IFERROR(__xludf.DUMMYFUNCTION("CONCATENATE(GOOGLETRANSLATE(C1672, ""en"", ""ko""))"),"Apple $100 기프트 카드(미국)")</f>
        <v>Apple $100 기프트 카드(미국)</v>
      </c>
      <c r="F1672" s="1" t="str">
        <f>IFERROR(__xludf.DUMMYFUNCTION("CONCATENATE(GOOGLETRANSLATE(C1672, ""en"", ""ja""))"),"Apple $100 ギフトカード 米国")</f>
        <v>Apple $100 ギフトカード 米国</v>
      </c>
    </row>
    <row r="1673" ht="15.75" customHeight="1">
      <c r="A1673" s="1">
        <v>6252.0</v>
      </c>
      <c r="B1673" s="1" t="s">
        <v>6</v>
      </c>
      <c r="C1673" s="1" t="s">
        <v>1521</v>
      </c>
      <c r="D1673" s="1" t="str">
        <f>IFERROR(__xludf.DUMMYFUNCTION("CONCATENATE(GOOGLETRANSLATE(C1673, ""en"", ""zh-cn""))
"),"100.00 美元苹果礼品卡")</f>
        <v>100.00 美元苹果礼品卡</v>
      </c>
      <c r="E1673" s="1" t="str">
        <f>IFERROR(__xludf.DUMMYFUNCTION("CONCATENATE(GOOGLETRANSLATE(C1673, ""en"", ""ko""))"),"$100.00 애플 기프트 카드")</f>
        <v>$100.00 애플 기프트 카드</v>
      </c>
      <c r="F1673" s="1" t="str">
        <f>IFERROR(__xludf.DUMMYFUNCTION("CONCATENATE(GOOGLETRANSLATE(C1673, ""en"", ""ja""))"),"$100.00 アップル ギフト カード")</f>
        <v>$100.00 アップル ギフト カード</v>
      </c>
    </row>
    <row r="1674" ht="15.75" customHeight="1">
      <c r="A1674" s="1">
        <v>6260.0</v>
      </c>
      <c r="B1674" s="1" t="s">
        <v>6</v>
      </c>
      <c r="C1674" s="1" t="s">
        <v>1522</v>
      </c>
      <c r="D1674" s="1" t="str">
        <f>IFERROR(__xludf.DUMMYFUNCTION("CONCATENATE(GOOGLETRANSLATE(C1674, ""en"", ""zh-cn""))
"),"苹果礼品卡 500 美元")</f>
        <v>苹果礼品卡 500 美元</v>
      </c>
      <c r="E1674" s="1" t="str">
        <f>IFERROR(__xludf.DUMMYFUNCTION("CONCATENATE(GOOGLETRANSLATE(C1674, ""en"", ""ko""))"),"애플 기프트 카드 $500")</f>
        <v>애플 기프트 카드 $500</v>
      </c>
      <c r="F1674" s="1" t="str">
        <f>IFERROR(__xludf.DUMMYFUNCTION("CONCATENATE(GOOGLETRANSLATE(C1674, ""en"", ""ja""))"),"Apple ギフトカード $500")</f>
        <v>Apple ギフトカード $500</v>
      </c>
    </row>
    <row r="1675" ht="15.75" customHeight="1">
      <c r="A1675" s="1">
        <v>6273.0</v>
      </c>
      <c r="B1675" s="1" t="s">
        <v>6</v>
      </c>
      <c r="C1675" s="1" t="s">
        <v>1523</v>
      </c>
      <c r="D1675" s="1" t="str">
        <f>IFERROR(__xludf.DUMMYFUNCTION("CONCATENATE(GOOGLETRANSLATE(C1675, ""en"", ""zh-cn""))
"),"购买 100 波兰兹罗提的波兰 Apple 礼品卡 - 电子邮件发送")</f>
        <v>购买 100 波兰兹罗提的波兰 Apple 礼品卡 - 电子邮件发送</v>
      </c>
      <c r="E1675" s="1" t="str">
        <f>IFERROR(__xludf.DUMMYFUNCTION("CONCATENATE(GOOGLETRANSLATE(C1675, ""en"", ""ko""))"),"100PLN 폴란드 Apple 기프트 카드 구매 - 이메일 배달")</f>
        <v>100PLN 폴란드 Apple 기프트 카드 구매 - 이메일 배달</v>
      </c>
      <c r="F1675" s="1" t="str">
        <f>IFERROR(__xludf.DUMMYFUNCTION("CONCATENATE(GOOGLETRANSLATE(C1675, ""en"", ""ja""))"),"100PLN ポーランド Apple ギフト カードを購入 - 電子メール配信")</f>
        <v>100PLN ポーランド Apple ギフト カードを購入 - 電子メール配信</v>
      </c>
    </row>
    <row r="1676" ht="15.75" customHeight="1">
      <c r="A1676" s="1">
        <v>6283.0</v>
      </c>
      <c r="B1676" s="1" t="s">
        <v>6</v>
      </c>
      <c r="C1676" s="1" t="s">
        <v>1524</v>
      </c>
      <c r="D1676" s="1" t="str">
        <f>IFERROR(__xludf.DUMMYFUNCTION("CONCATENATE(GOOGLETRANSLATE(C1676, ""en"", ""zh-cn""))
"),"索尼 PlayStation 电子礼品卡")</f>
        <v>索尼 PlayStation 电子礼品卡</v>
      </c>
      <c r="E1676" s="1" t="str">
        <f>IFERROR(__xludf.DUMMYFUNCTION("CONCATENATE(GOOGLETRANSLATE(C1676, ""en"", ""ko""))"),"Sony PlayStation e기프트 카드")</f>
        <v>Sony PlayStation e기프트 카드</v>
      </c>
      <c r="F1676" s="1" t="str">
        <f>IFERROR(__xludf.DUMMYFUNCTION("CONCATENATE(GOOGLETRANSLATE(C1676, ""en"", ""ja""))"),"ソニー プレイステーション eギフトカード")</f>
        <v>ソニー プレイステーション eギフトカード</v>
      </c>
    </row>
    <row r="1677" ht="15.75" customHeight="1">
      <c r="A1677" s="1">
        <v>6306.0</v>
      </c>
      <c r="B1677" s="1" t="s">
        <v>6</v>
      </c>
      <c r="C1677" s="1" t="s">
        <v>1525</v>
      </c>
      <c r="D1677" s="1" t="str">
        <f>IFERROR(__xludf.DUMMYFUNCTION("CONCATENATE(GOOGLETRANSLATE(C1677, ""en"", ""zh-cn""))
"),"索尼游戏机数字代码 - 新电子产品颜色: 金色")</f>
        <v>索尼游戏机数字代码 - 新电子产品颜色: 金色</v>
      </c>
      <c r="E1677" s="1" t="str">
        <f>IFERROR(__xludf.DUMMYFUNCTION("CONCATENATE(GOOGLETRANSLATE(C1677, ""en"", ""ko""))"),"Playstation용 Sony 디지털 코드 - New Electronics | 색깔: 금")</f>
        <v>Playstation용 Sony 디지털 코드 - New Electronics | 색깔: 금</v>
      </c>
      <c r="F1677" s="1" t="str">
        <f>IFERROR(__xludf.DUMMYFUNCTION("CONCATENATE(GOOGLETRANSLATE(C1677, ""en"", ""ja""))"),"PlayStation 用の Sony デジタル コード - 新しいエレクトロニクス |色: ゴールド")</f>
        <v>PlayStation 用の Sony デジタル コード - 新しいエレクトロニクス |色: ゴールド</v>
      </c>
    </row>
    <row r="1678" ht="15.75" customHeight="1">
      <c r="A1678" s="1">
        <v>6311.0</v>
      </c>
      <c r="B1678" s="1" t="s">
        <v>6</v>
      </c>
      <c r="C1678" s="1" t="s">
        <v>1526</v>
      </c>
      <c r="D1678" s="1" t="str">
        <f>IFERROR(__xludf.DUMMYFUNCTION("CONCATENATE(GOOGLETRANSLATE(C1678, ""en"", ""zh-cn""))
"),"Gran Turismo 7 25 周年数字豪华版 - 索尼 PlayStation 5 和 PlayStation 4 [数字下载]")</f>
        <v>Gran Turismo 7 25 周年数字豪华版 - 索尼 PlayStation 5 和 PlayStation 4 [数字下载]</v>
      </c>
      <c r="E1678" s="1" t="str">
        <f>IFERROR(__xludf.DUMMYFUNCTION("CONCATENATE(GOOGLETRANSLATE(C1678, ""en"", ""ko""))"),"그란 투리스모 7 25주년 기념 디지털 디럭스 에디션 - Sony PlayStation 5 및 PlayStation 4 [디지털 다운로드]")</f>
        <v>그란 투리스모 7 25주년 기념 디지털 디럭스 에디션 - Sony PlayStation 5 및 PlayStation 4 [디지털 다운로드]</v>
      </c>
      <c r="F1678" s="1" t="str">
        <f>IFERROR(__xludf.DUMMYFUNCTION("CONCATENATE(GOOGLETRANSLATE(C1678, ""en"", ""ja""))"),"グランツーリスモ 7 25th Anniversary Digital Deluxe Edition - Sony PlayStation 5 &amp; PlayStation 4 [デジタル ダウンロード]")</f>
        <v>グランツーリスモ 7 25th Anniversary Digital Deluxe Edition - Sony PlayStation 5 &amp; PlayStation 4 [デジタル ダウンロード]</v>
      </c>
    </row>
    <row r="1679" ht="15.75" customHeight="1">
      <c r="A1679" s="1">
        <v>6313.0</v>
      </c>
      <c r="B1679" s="1" t="s">
        <v>6</v>
      </c>
      <c r="C1679" s="1" t="s">
        <v>1527</v>
      </c>
      <c r="D1679" s="1" t="str">
        <f>IFERROR(__xludf.DUMMYFUNCTION("CONCATENATE(GOOGLETRANSLATE(C1679, ""en"", ""zh-cn""))
"),"索尼 GODFALL PS5 预购数字战利品代码 - 新电子产品")</f>
        <v>索尼 GODFALL PS5 预购数字战利品代码 - 新电子产品</v>
      </c>
      <c r="E1679" s="1" t="str">
        <f>IFERROR(__xludf.DUMMYFUNCTION("CONCATENATE(GOOGLETRANSLATE(C1679, ""en"", ""ko""))"),"Sony GODFALL PS5 사전 주문 디지털 전리품 코드 - 새 전자제품")</f>
        <v>Sony GODFALL PS5 사전 주문 디지털 전리품 코드 - 새 전자제품</v>
      </c>
      <c r="F1679" s="1" t="str">
        <f>IFERROR(__xludf.DUMMYFUNCTION("CONCATENATE(GOOGLETRANSLATE(C1679, ""en"", ""ja""))"),"Sony GODFALL PS5 予約注文デジタルルートコード - 新しいエレクトロニクス")</f>
        <v>Sony GODFALL PS5 予約注文デジタルルートコード - 新しいエレクトロニクス</v>
      </c>
    </row>
    <row r="1680" ht="15.75" customHeight="1">
      <c r="A1680" s="1">
        <v>6323.0</v>
      </c>
      <c r="B1680" s="1" t="s">
        <v>6</v>
      </c>
      <c r="C1680" s="1" t="s">
        <v>1528</v>
      </c>
      <c r="D1680" s="1" t="str">
        <f>IFERROR(__xludf.DUMMYFUNCTION("CONCATENATE(GOOGLETRANSLATE(C1680, ""en"", ""zh-cn""))
"),"海贼王奥德赛豪华版")</f>
        <v>海贼王奥德赛豪华版</v>
      </c>
      <c r="E1680" s="1" t="str">
        <f>IFERROR(__xludf.DUMMYFUNCTION("CONCATENATE(GOOGLETRANSLATE(C1680, ""en"", ""ko""))"),"원피스 오디세이 디럭스 에디션")</f>
        <v>원피스 오디세이 디럭스 에디션</v>
      </c>
      <c r="F1680" s="1" t="str">
        <f>IFERROR(__xludf.DUMMYFUNCTION("CONCATENATE(GOOGLETRANSLATE(C1680, ""en"", ""ja""))"),"ワンピース オデッセイ デラックスエディション")</f>
        <v>ワンピース オデッセイ デラックスエディション</v>
      </c>
    </row>
    <row r="1681" ht="15.75" customHeight="1">
      <c r="A1681" s="1">
        <v>6371.0</v>
      </c>
      <c r="B1681" s="1" t="s">
        <v>6</v>
      </c>
      <c r="C1681" s="1" t="s">
        <v>1529</v>
      </c>
      <c r="D1681" s="1" t="str">
        <f>IFERROR(__xludf.DUMMYFUNCTION("CONCATENATE(GOOGLETRANSLATE(C1681, ""en"", ""zh-cn""))
"),"阿迪达斯 (adidas) 女式 Adicolor 经典火鸟宽松运动裤")</f>
        <v>阿迪达斯 (adidas) 女式 Adicolor 经典火鸟宽松运动裤</v>
      </c>
      <c r="E1681" s="1" t="str">
        <f>IFERROR(__xludf.DUMMYFUNCTION("CONCATENATE(GOOGLETRANSLATE(C1681, ""en"", ""ko""))"),"adidas 여성용 Adicolor 클래식 파이어버드 루즈 트랙 팬츠")</f>
        <v>adidas 여성용 Adicolor 클래식 파이어버드 루즈 트랙 팬츠</v>
      </c>
      <c r="F1681" s="1" t="str">
        <f>IFERROR(__xludf.DUMMYFUNCTION("CONCATENATE(GOOGLETRANSLATE(C1681, ""en"", ""ja""))"),"アディダス レディース アディカラー クラシック ファイヤーバード ルーズ トラック パンツ")</f>
        <v>アディダス レディース アディカラー クラシック ファイヤーバード ルーズ トラック パンツ</v>
      </c>
    </row>
    <row r="1682" ht="15.75" customHeight="1">
      <c r="A1682" s="1">
        <v>6389.0</v>
      </c>
      <c r="B1682" s="1" t="s">
        <v>6</v>
      </c>
      <c r="C1682" s="1" t="s">
        <v>1530</v>
      </c>
      <c r="D1682" s="1" t="str">
        <f>IFERROR(__xludf.DUMMYFUNCTION("CONCATENATE(GOOGLETRANSLATE(C1682, ""en"", ""zh-cn""))
"),"阿迪达斯 (adidas) 女式 Energize 运动服")</f>
        <v>阿迪达斯 (adidas) 女式 Energize 运动服</v>
      </c>
      <c r="E1682" s="1" t="str">
        <f>IFERROR(__xludf.DUMMYFUNCTION("CONCATENATE(GOOGLETRANSLATE(C1682, ""en"", ""ko""))"),"adidas 여성용 에너자이즈 트랙수트")</f>
        <v>adidas 여성용 에너자이즈 트랙수트</v>
      </c>
      <c r="F1682" s="1" t="str">
        <f>IFERROR(__xludf.DUMMYFUNCTION("CONCATENATE(GOOGLETRANSLATE(C1682, ""en"", ""ja""))"),"アディダス レディース Energize トラックスーツ")</f>
        <v>アディダス レディース Energize トラックスーツ</v>
      </c>
    </row>
    <row r="1683" ht="15.75" customHeight="1">
      <c r="A1683" s="1">
        <v>6418.0</v>
      </c>
      <c r="B1683" s="1" t="s">
        <v>6</v>
      </c>
      <c r="C1683" s="1" t="s">
        <v>1531</v>
      </c>
      <c r="D1683" s="1" t="str">
        <f>IFERROR(__xludf.DUMMYFUNCTION("CONCATENATE(GOOGLETRANSLATE(C1683, ""en"", ""zh-cn""))
"),"ASICS 女式活动针织圆领上衣")</f>
        <v>ASICS 女式活动针织圆领上衣</v>
      </c>
      <c r="E1683" s="1" t="str">
        <f>IFERROR(__xludf.DUMMYFUNCTION("CONCATENATE(GOOGLETRANSLATE(C1683, ""en"", ""ko""))"),"ASICS 여성용 모빌리티 니트 크루넥 탑")</f>
        <v>ASICS 여성용 모빌리티 니트 크루넥 탑</v>
      </c>
      <c r="F1683" s="1" t="str">
        <f>IFERROR(__xludf.DUMMYFUNCTION("CONCATENATE(GOOGLETRANSLATE(C1683, ""en"", ""ja""))"),"アシックス レディース モビリティ ニット クルーネック トップ")</f>
        <v>アシックス レディース モビリティ ニット クルーネック トップ</v>
      </c>
    </row>
    <row r="1684" ht="15.75" customHeight="1">
      <c r="A1684" s="1">
        <v>6427.0</v>
      </c>
      <c r="B1684" s="1" t="s">
        <v>6</v>
      </c>
      <c r="C1684" s="1" t="s">
        <v>1532</v>
      </c>
      <c r="D1684" s="1" t="str">
        <f>IFERROR(__xludf.DUMMYFUNCTION("CONCATENATE(GOOGLETRANSLATE(C1684, ""en"", ""zh-cn""))
"),"男士 ASICS 无缝短袖上衣")</f>
        <v>男士 ASICS 无缝短袖上衣</v>
      </c>
      <c r="E1684" s="1" t="str">
        <f>IFERROR(__xludf.DUMMYFUNCTION("CONCATENATE(GOOGLETRANSLATE(C1684, ""en"", ""ko""))"),"남성 ASICS 심리스 반팔 탑")</f>
        <v>남성 ASICS 심리스 반팔 탑</v>
      </c>
      <c r="F1684" s="1" t="str">
        <f>IFERROR(__xludf.DUMMYFUNCTION("CONCATENATE(GOOGLETRANSLATE(C1684, ""en"", ""ja""))"),"メンズ アシックス シームレス 半袖トップ")</f>
        <v>メンズ アシックス シームレス 半袖トップ</v>
      </c>
    </row>
    <row r="1685" ht="15.75" customHeight="1">
      <c r="A1685" s="1">
        <v>6455.0</v>
      </c>
      <c r="B1685" s="1" t="s">
        <v>6</v>
      </c>
      <c r="C1685" s="1" t="s">
        <v>1533</v>
      </c>
      <c r="D1685" s="1" t="str">
        <f>IFERROR(__xludf.DUMMYFUNCTION("CONCATENATE(GOOGLETRANSLATE(C1685, ""en"", ""zh-cn""))
"),"Gymshark Vital 无缝紧身裤")</f>
        <v>Gymshark Vital 无缝紧身裤</v>
      </c>
      <c r="E1685" s="1" t="str">
        <f>IFERROR(__xludf.DUMMYFUNCTION("CONCATENATE(GOOGLETRANSLATE(C1685, ""en"", ""ko""))"),"Gymshark 바이탈 심리스 레깅스")</f>
        <v>Gymshark 바이탈 심리스 레깅스</v>
      </c>
      <c r="F1685" s="1" t="str">
        <f>IFERROR(__xludf.DUMMYFUNCTION("CONCATENATE(GOOGLETRANSLATE(C1685, ""en"", ""ja""))"),"Gymshark Vital シームレス レギンス")</f>
        <v>Gymshark Vital シームレス レギンス</v>
      </c>
    </row>
    <row r="1686" ht="15.75" customHeight="1">
      <c r="A1686" s="1">
        <v>6456.0</v>
      </c>
      <c r="B1686" s="1" t="s">
        <v>6</v>
      </c>
      <c r="C1686" s="1" t="s">
        <v>1534</v>
      </c>
      <c r="D1686" s="1" t="str">
        <f>IFERROR(__xludf.DUMMYFUNCTION("CONCATENATE(GOOGLETRANSLATE(C1686, ""en"", ""zh-cn""))
"),"Gymshark Rest Day Sweats 2.0 慢跑裤")</f>
        <v>Gymshark Rest Day Sweats 2.0 慢跑裤</v>
      </c>
      <c r="E1686" s="1" t="str">
        <f>IFERROR(__xludf.DUMMYFUNCTION("CONCATENATE(GOOGLETRANSLATE(C1686, ""en"", ""ko""))"),"Gymshark Rest Day Sweats 2.0 조깅하는 사람")</f>
        <v>Gymshark Rest Day Sweats 2.0 조깅하는 사람</v>
      </c>
      <c r="F1686" s="1" t="str">
        <f>IFERROR(__xludf.DUMMYFUNCTION("CONCATENATE(GOOGLETRANSLATE(C1686, ""en"", ""ja""))"),"Gymshark レスト デイ スウェット 2.0 ジョガー")</f>
        <v>Gymshark レスト デイ スウェット 2.0 ジョガー</v>
      </c>
    </row>
    <row r="1687" ht="15.75" customHeight="1">
      <c r="A1687" s="1">
        <v>6475.0</v>
      </c>
      <c r="B1687" s="1" t="s">
        <v>6</v>
      </c>
      <c r="C1687" s="1" t="s">
        <v>1535</v>
      </c>
      <c r="D1687" s="1" t="str">
        <f>IFERROR(__xludf.DUMMYFUNCTION("CONCATENATE(GOOGLETRANSLATE(C1687, ""en"", ""zh-cn""))
"),"lululemon 女式 Align 高腰裤 25")</f>
        <v>lululemon 女式 Align 高腰裤 25</v>
      </c>
      <c r="E1687" s="1" t="str">
        <f>IFERROR(__xludf.DUMMYFUNCTION("CONCATENATE(GOOGLETRANSLATE(C1687, ""en"", ""ko""))"),"lululemon 여성 얼라인 하이라이즈 팬츠 25")</f>
        <v>lululemon 여성 얼라인 하이라이즈 팬츠 25</v>
      </c>
      <c r="F1687" s="1" t="str">
        <f>IFERROR(__xludf.DUMMYFUNCTION("CONCATENATE(GOOGLETRANSLATE(C1687, ""en"", ""ja""))"),"ルルレモン レディース アライン ハイライズ パンツ 25")</f>
        <v>ルルレモン レディース アライン ハイライズ パンツ 25</v>
      </c>
    </row>
    <row r="1688" ht="15.75" customHeight="1">
      <c r="A1688" s="1">
        <v>6501.0</v>
      </c>
      <c r="B1688" s="1" t="s">
        <v>6</v>
      </c>
      <c r="C1688" s="1" t="s">
        <v>1536</v>
      </c>
      <c r="D1688" s="1" t="str">
        <f>IFERROR(__xludf.DUMMYFUNCTION("CONCATENATE(GOOGLETRANSLATE(C1688, ""en"", ""zh-cn""))
"),"Lululemon 女式潜水中腰阔腿裤")</f>
        <v>Lululemon 女式潜水中腰阔腿裤</v>
      </c>
      <c r="E1688" s="1" t="str">
        <f>IFERROR(__xludf.DUMMYFUNCTION("CONCATENATE(GOOGLETRANSLATE(C1688, ""en"", ""ko""))"),"Lululemon 여성용 스쿠버 미드라이즈 와이드 레그 팬츠")</f>
        <v>Lululemon 여성용 스쿠버 미드라이즈 와이드 레그 팬츠</v>
      </c>
      <c r="F1688" s="1" t="str">
        <f>IFERROR(__xludf.DUMMYFUNCTION("CONCATENATE(GOOGLETRANSLATE(C1688, ""en"", ""ja""))"),"ルルレモン レディース スキューバ ミッドライズ ワイドレッグ パンツ")</f>
        <v>ルルレモン レディース スキューバ ミッドライズ ワイドレッグ パンツ</v>
      </c>
    </row>
    <row r="1689" ht="15.75" customHeight="1">
      <c r="A1689" s="1">
        <v>6513.0</v>
      </c>
      <c r="B1689" s="1" t="s">
        <v>6</v>
      </c>
      <c r="C1689" s="1" t="s">
        <v>1537</v>
      </c>
      <c r="D1689" s="1" t="str">
        <f>IFERROR(__xludf.DUMMYFUNCTION("CONCATENATE(GOOGLETRANSLATE(C1689, ""en"", ""zh-cn""))
"),"lululemon 女式快速自由高腰打底裤 25")</f>
        <v>lululemon 女式快速自由高腰打底裤 25</v>
      </c>
      <c r="E1689" s="1" t="str">
        <f>IFERROR(__xludf.DUMMYFUNCTION("CONCATENATE(GOOGLETRANSLATE(C1689, ""en"", ""ko""))"),"lululemon 여성용 런 패스트 앤 프리 하이라이즈 레깅스 25")</f>
        <v>lululemon 여성용 런 패스트 앤 프리 하이라이즈 레깅스 25</v>
      </c>
      <c r="F1689" s="1" t="str">
        <f>IFERROR(__xludf.DUMMYFUNCTION("CONCATENATE(GOOGLETRANSLATE(C1689, ""en"", ""ja""))"),"ルルレモン レディース ランファスト＆フリー ハイライズレギンス 25")</f>
        <v>ルルレモン レディース ランファスト＆フリー ハイライズレギンス 25</v>
      </c>
    </row>
    <row r="1690" ht="15.75" customHeight="1">
      <c r="A1690" s="1">
        <v>6538.0</v>
      </c>
      <c r="B1690" s="1" t="s">
        <v>6</v>
      </c>
      <c r="C1690" s="1" t="s">
        <v>1538</v>
      </c>
      <c r="D1690" s="1" t="str">
        <f>IFERROR(__xludf.DUMMYFUNCTION("CONCATENATE(GOOGLETRANSLATE(C1690, ""en"", ""zh-cn""))
"),"Nike 男士 Club 梭织锥形裤")</f>
        <v>Nike 男士 Club 梭织锥形裤</v>
      </c>
      <c r="E1690" s="1" t="str">
        <f>IFERROR(__xludf.DUMMYFUNCTION("CONCATENATE(GOOGLETRANSLATE(C1690, ""en"", ""ko""))"),"나이키 남성 클럽 우븐 테이퍼드 레그 팬츠")</f>
        <v>나이키 남성 클럽 우븐 테이퍼드 레그 팬츠</v>
      </c>
      <c r="F1690" s="1" t="str">
        <f>IFERROR(__xludf.DUMMYFUNCTION("CONCATENATE(GOOGLETRANSLATE(C1690, ""en"", ""ja""))"),"ナイキ メンズ クラブ ウーブン テーパード レッグ パンツ")</f>
        <v>ナイキ メンズ クラブ ウーブン テーパード レッグ パンツ</v>
      </c>
    </row>
    <row r="1691" ht="15.75" customHeight="1">
      <c r="A1691" s="1">
        <v>6539.0</v>
      </c>
      <c r="B1691" s="1" t="s">
        <v>6</v>
      </c>
      <c r="C1691" s="1" t="s">
        <v>1539</v>
      </c>
      <c r="D1691" s="1" t="str">
        <f>IFERROR(__xludf.DUMMYFUNCTION("CONCATENATE(GOOGLETRANSLATE(C1691, ""en"", ""zh-cn""))
"),"耐克女式运动服 Tech Fleece 超大连帽衫")</f>
        <v>耐克女式运动服 Tech Fleece 超大连帽衫</v>
      </c>
      <c r="E1691" s="1" t="str">
        <f>IFERROR(__xludf.DUMMYFUNCTION("CONCATENATE(GOOGLETRANSLATE(C1691, ""en"", ""ko""))"),"나이키 여성 스포츠웨어 테크 플리스 오버사이즈 후디")</f>
        <v>나이키 여성 스포츠웨어 테크 플리스 오버사이즈 후디</v>
      </c>
      <c r="F1691" s="1" t="str">
        <f>IFERROR(__xludf.DUMMYFUNCTION("CONCATENATE(GOOGLETRANSLATE(C1691, ""en"", ""ja""))"),"ナイキ レディース スポーツウェア テック フリース オーバーサイズ パーカー")</f>
        <v>ナイキ レディース スポーツウェア テック フリース オーバーサイズ パーカー</v>
      </c>
    </row>
    <row r="1692" ht="15.75" customHeight="1">
      <c r="A1692" s="1">
        <v>6563.0</v>
      </c>
      <c r="B1692" s="1" t="s">
        <v>6</v>
      </c>
      <c r="C1692" s="1" t="s">
        <v>1540</v>
      </c>
      <c r="D1692" s="1" t="str">
        <f>IFERROR(__xludf.DUMMYFUNCTION("CONCATENATE(GOOGLETRANSLATE(C1692, ""en"", ""zh-cn""))
"),"PUMA 男士常规版型粗体徽标印花连帽衫")</f>
        <v>PUMA 男士常规版型粗体徽标印花连帽衫</v>
      </c>
      <c r="E1692" s="1" t="str">
        <f>IFERROR(__xludf.DUMMYFUNCTION("CONCATENATE(GOOGLETRANSLATE(C1692, ""en"", ""ko""))"),"PUMA 남성 레귤러핏 볼드 로고 프린트 후디")</f>
        <v>PUMA 남성 레귤러핏 볼드 로고 프린트 후디</v>
      </c>
      <c r="F1692" s="1" t="str">
        <f>IFERROR(__xludf.DUMMYFUNCTION("CONCATENATE(GOOGLETRANSLATE(C1692, ""en"", ""ja""))"),"PUMA メンズ レギュラーフィット ボールド ロゴプリント パーカー")</f>
        <v>PUMA メンズ レギュラーフィット ボールド ロゴプリント パーカー</v>
      </c>
    </row>
    <row r="1693" ht="15.75" customHeight="1">
      <c r="A1693" s="1">
        <v>6585.0</v>
      </c>
      <c r="B1693" s="1" t="s">
        <v>6</v>
      </c>
      <c r="C1693" s="1" t="s">
        <v>1541</v>
      </c>
      <c r="D1693" s="1" t="str">
        <f>IFERROR(__xludf.DUMMYFUNCTION("CONCATENATE(GOOGLETRANSLATE(C1693, ""en"", ""zh-cn""))
"),"PUMA 男士提升压花抓绒工装裤")</f>
        <v>PUMA 男士提升压花抓绒工装裤</v>
      </c>
      <c r="E1693" s="1" t="str">
        <f>IFERROR(__xludf.DUMMYFUNCTION("CONCATENATE(GOOGLETRANSLATE(C1693, ""en"", ""ko""))"),"PUMA 남성용 Elevate 엠보싱 플리스 카고 팬츠")</f>
        <v>PUMA 남성용 Elevate 엠보싱 플리스 카고 팬츠</v>
      </c>
      <c r="F1693" s="1" t="str">
        <f>IFERROR(__xludf.DUMMYFUNCTION("CONCATENATE(GOOGLETRANSLATE(C1693, ""en"", ""ja""))"),"PUMA メンズ エレベート エンボス フリース カーゴ パンツ")</f>
        <v>PUMA メンズ エレベート エンボス フリース カーゴ パンツ</v>
      </c>
    </row>
    <row r="1694" ht="15.75" customHeight="1">
      <c r="A1694" s="1">
        <v>6593.0</v>
      </c>
      <c r="B1694" s="1" t="s">
        <v>6</v>
      </c>
      <c r="C1694" s="1" t="s">
        <v>1542</v>
      </c>
      <c r="D1694" s="1" t="str">
        <f>IFERROR(__xludf.DUMMYFUNCTION("CONCATENATE(GOOGLETRANSLATE(C1694, ""en"", ""zh-cn""))
"),"Puma 男士大徽标连帽衫")</f>
        <v>Puma 男士大徽标连帽衫</v>
      </c>
      <c r="E1694" s="1" t="str">
        <f>IFERROR(__xludf.DUMMYFUNCTION("CONCATENATE(GOOGLETRANSLATE(C1694, ""en"", ""ko""))"),"푸마 남성 빅 로고 후디")</f>
        <v>푸마 남성 빅 로고 후디</v>
      </c>
      <c r="F1694" s="1" t="str">
        <f>IFERROR(__xludf.DUMMYFUNCTION("CONCATENATE(GOOGLETRANSLATE(C1694, ""en"", ""ja""))"),"[プーマ] ビッグロゴ フーディ メンズ")</f>
        <v>[プーマ] ビッグロゴ フーディ メンズ</v>
      </c>
    </row>
    <row r="1695" ht="15.75" customHeight="1">
      <c r="A1695" s="1">
        <v>6635.0</v>
      </c>
      <c r="C1695" s="1" t="s">
        <v>338</v>
      </c>
      <c r="D1695" s="1" t="str">
        <f>IFERROR(__xludf.DUMMYFUNCTION("CONCATENATE(GOOGLETRANSLATE(C1695, ""en"", ""zh-cn""))
"),"蒙娜丽莎卡")</f>
        <v>蒙娜丽莎卡</v>
      </c>
      <c r="E1695" s="1" t="str">
        <f>IFERROR(__xludf.DUMMYFUNCTION("CONCATENATE(GOOGLETRANSLATE(C1695, ""en"", ""ko""))"),"모나리 카드")</f>
        <v>모나리 카드</v>
      </c>
      <c r="F1695" s="1" t="str">
        <f>IFERROR(__xludf.DUMMYFUNCTION("CONCATENATE(GOOGLETRANSLATE(C1695, ""en"", ""ja""))"),"モナリカード")</f>
        <v>モナリカード</v>
      </c>
    </row>
    <row r="1696" ht="15.75" customHeight="1">
      <c r="A1696" s="1">
        <v>6647.0</v>
      </c>
      <c r="B1696" s="1" t="s">
        <v>6</v>
      </c>
      <c r="C1696" s="1" t="s">
        <v>1543</v>
      </c>
      <c r="D1696" s="1" t="str">
        <f>IFERROR(__xludf.DUMMYFUNCTION("CONCATENATE(GOOGLETRANSLATE(C1696, ""en"", ""zh-cn""))
"),"Homcom 现代独立式浴室柜")</f>
        <v>Homcom 现代独立式浴室柜</v>
      </c>
      <c r="E1696" s="1" t="str">
        <f>IFERROR(__xludf.DUMMYFUNCTION("CONCATENATE(GOOGLETRANSLATE(C1696, ""en"", ""ko""))"),"Homcom 모던한 독립형 욕실 캐비닛")</f>
        <v>Homcom 모던한 독립형 욕실 캐비닛</v>
      </c>
      <c r="F1696" s="1" t="str">
        <f>IFERROR(__xludf.DUMMYFUNCTION("CONCATENATE(GOOGLETRANSLATE(C1696, ""en"", ""ja""))"),"Homcom モダンな自立型バスルーム キャビネット")</f>
        <v>Homcom モダンな自立型バスルーム キャビネット</v>
      </c>
    </row>
    <row r="1697" ht="15.75" customHeight="1">
      <c r="A1697" s="1">
        <v>6648.0</v>
      </c>
      <c r="B1697" s="1" t="s">
        <v>6</v>
      </c>
      <c r="C1697" s="1" t="s">
        <v>1544</v>
      </c>
      <c r="D1697" s="1" t="str">
        <f>IFERROR(__xludf.DUMMYFUNCTION("CONCATENATE(GOOGLETRANSLATE(C1697, ""en"", ""zh-cn""))
"),"优雅灯光格兰特单人浴室梳妆台 VF90230")</f>
        <v>优雅灯光格兰特单人浴室梳妆台 VF90230</v>
      </c>
      <c r="E1697" s="1" t="str">
        <f>IFERROR(__xludf.DUMMYFUNCTION("CONCATENATE(GOOGLETRANSLATE(C1697, ""en"", ""ko""))"),"우아한 조명 그랜트 싱글 욕실 세면대 VF90230")</f>
        <v>우아한 조명 그랜트 싱글 욕실 세면대 VF90230</v>
      </c>
      <c r="F1697" s="1" t="str">
        <f>IFERROR(__xludf.DUMMYFUNCTION("CONCATENATE(GOOGLETRANSLATE(C1697, ""en"", ""ja""))"),"エレガント ライティング グラント シングル 洗面化粧台 VF90230")</f>
        <v>エレガント ライティング グラント シングル 洗面化粧台 VF90230</v>
      </c>
    </row>
    <row r="1698" ht="15.75" customHeight="1">
      <c r="A1698" s="1">
        <v>6650.0</v>
      </c>
      <c r="B1698" s="1" t="s">
        <v>6</v>
      </c>
      <c r="C1698" s="1" t="s">
        <v>1545</v>
      </c>
      <c r="D1698" s="1" t="str">
        <f>IFERROR(__xludf.DUMMYFUNCTION("CONCATENATE(GOOGLETRANSLATE(C1698, ""en"", ""zh-cn""))
"),"Hampton Bay Hampton 组装式 30 x 34.5 x 21 英寸浴室梳妆台底柜 KVSB30-MO")</f>
        <v>Hampton Bay Hampton 组装式 30 x 34.5 x 21 英寸浴室梳妆台底柜 KVSB30-MO</v>
      </c>
      <c r="E1698" s="1" t="str">
        <f>IFERROR(__xludf.DUMMYFUNCTION("CONCATENATE(GOOGLETRANSLATE(C1698, ""en"", ""ko""))"),"Hampton Bay Hampton 조립식 30 x 34.5 x 21인치 욕실 세면대 베이스 캐비닛 KVSB30-MO")</f>
        <v>Hampton Bay Hampton 조립식 30 x 34.5 x 21인치 욕실 세면대 베이스 캐비닛 KVSB30-MO</v>
      </c>
      <c r="F1698" s="1" t="str">
        <f>IFERROR(__xludf.DUMMYFUNCTION("CONCATENATE(GOOGLETRANSLATE(C1698, ""en"", ""ja""))"),"ハンプトンベイ ハンプトン 組み立て済み 30 x 34.5 x 21 インチ バスルーム 洗面化粧台 ベース キャビネット KVSB30-MO")</f>
        <v>ハンプトンベイ ハンプトン 組み立て済み 30 x 34.5 x 21 インチ バスルーム 洗面化粧台 ベース キャビネット KVSB30-MO</v>
      </c>
    </row>
    <row r="1699" ht="15.75" customHeight="1">
      <c r="A1699" s="1">
        <v>6662.0</v>
      </c>
      <c r="B1699" s="1" t="s">
        <v>6</v>
      </c>
      <c r="C1699" s="1" t="s">
        <v>1546</v>
      </c>
      <c r="D1699" s="1" t="str">
        <f>IFERROR(__xludf.DUMMYFUNCTION("CONCATENATE(GOOGLETRANSLATE(C1699, ""en"", ""zh-cn""))
"),"纬润昊天浴室高柜BZR34-W")</f>
        <v>纬润昊天浴室高柜BZR34-W</v>
      </c>
      <c r="E1699" s="1" t="str">
        <f>IFERROR(__xludf.DUMMYFUNCTION("CONCATENATE(GOOGLETRANSLATE(C1699, ""en"", ""ko""))"),"Latitude Run Haotian 욕실 높이 캐비닛 BZR34-W")</f>
        <v>Latitude Run Haotian 욕실 높이 캐비닛 BZR34-W</v>
      </c>
      <c r="F1699" s="1" t="str">
        <f>IFERROR(__xludf.DUMMYFUNCTION("CONCATENATE(GOOGLETRANSLATE(C1699, ""en"", ""ja""))"),"ラティチュード ラン ハオティアン バスルーム トール キャビネット BZR34-W")</f>
        <v>ラティチュード ラン ハオティアン バスルーム トール キャビネット BZR34-W</v>
      </c>
    </row>
    <row r="1700" ht="15.75" customHeight="1">
      <c r="A1700" s="1">
        <v>6669.0</v>
      </c>
      <c r="B1700" s="1" t="s">
        <v>6</v>
      </c>
      <c r="C1700" s="1" t="s">
        <v>1547</v>
      </c>
      <c r="D1700" s="1" t="str">
        <f>IFERROR(__xludf.DUMMYFUNCTION("CONCATENATE(GOOGLETRANSLATE(C1700, ""en"", ""zh-cn""))
"),"现代壁挂式浴室柜，带抽屉、门和架子")</f>
        <v>现代壁挂式浴室柜，带抽屉、门和架子</v>
      </c>
      <c r="E1700" s="1" t="str">
        <f>IFERROR(__xludf.DUMMYFUNCTION("CONCATENATE(GOOGLETRANSLATE(C1700, ""en"", ""ko""))"),"서랍, 문, 선반이 있는 현대적인 벽걸이형 욕실 캐비닛")</f>
        <v>서랍, 문, 선반이 있는 현대적인 벽걸이형 욕실 캐비닛</v>
      </c>
      <c r="F1700" s="1" t="str">
        <f>IFERROR(__xludf.DUMMYFUNCTION("CONCATENATE(GOOGLETRANSLATE(C1700, ""en"", ""ja""))"),"引き出し、ドア、棚付きのモダンな壁掛けバスルームキャビネット")</f>
        <v>引き出し、ドア、棚付きのモダンな壁掛けバスルームキャビネット</v>
      </c>
    </row>
    <row r="1701" ht="15.75" customHeight="1">
      <c r="A1701" s="1">
        <v>6743.0</v>
      </c>
      <c r="B1701" s="1" t="s">
        <v>6</v>
      </c>
      <c r="C1701" s="1" t="s">
        <v>1548</v>
      </c>
      <c r="D1701" s="1" t="str">
        <f>IFERROR(__xludf.DUMMYFUNCTION("CONCATENATE(GOOGLETRANSLATE(C1701, ""en"", ""zh-cn""))
"),"Fluidmaster Sure Fit 通用马桶挡板 503")</f>
        <v>Fluidmaster Sure Fit 通用马桶挡板 503</v>
      </c>
      <c r="E1701" s="1" t="str">
        <f>IFERROR(__xludf.DUMMYFUNCTION("CONCATENATE(GOOGLETRANSLATE(C1701, ""en"", ""ko""))"),"Fluidmaster Sure Fit 범용 변기 플래퍼 503")</f>
        <v>Fluidmaster Sure Fit 범용 변기 플래퍼 503</v>
      </c>
      <c r="F1701" s="1" t="str">
        <f>IFERROR(__xludf.DUMMYFUNCTION("CONCATENATE(GOOGLETRANSLATE(C1701, ""en"", ""ja""))"),"Fluidmaster シュア フィット ユニバーサル トイレ フラッパー 503")</f>
        <v>Fluidmaster シュア フィット ユニバーサル トイレ フラッパー 503</v>
      </c>
    </row>
    <row r="1702" ht="15.75" customHeight="1">
      <c r="A1702" s="1">
        <v>6752.0</v>
      </c>
      <c r="B1702" s="1" t="s">
        <v>6</v>
      </c>
      <c r="C1702" s="1" t="s">
        <v>1549</v>
      </c>
      <c r="D1702" s="1" t="str">
        <f>IFERROR(__xludf.DUMMYFUNCTION("CONCATENATE(GOOGLETRANSLATE(C1702, ""en"", ""zh-cn""))
"),"Fluidmaster 400A 通用马桶进水阀")</f>
        <v>Fluidmaster 400A 通用马桶进水阀</v>
      </c>
      <c r="E1702" s="1" t="str">
        <f>IFERROR(__xludf.DUMMYFUNCTION("CONCATENATE(GOOGLETRANSLATE(C1702, ""en"", ""ko""))"),"Fluidmaster 400A 범용 변기 채우기 밸브")</f>
        <v>Fluidmaster 400A 범용 변기 채우기 밸브</v>
      </c>
      <c r="F1702" s="1" t="str">
        <f>IFERROR(__xludf.DUMMYFUNCTION("CONCATENATE(GOOGLETRANSLATE(C1702, ""en"", ""ja""))"),"Fluidmaster 400A ユニバーサルトイレ充填バルブ")</f>
        <v>Fluidmaster 400A ユニバーサルトイレ充填バルブ</v>
      </c>
    </row>
    <row r="1703" ht="15.75" customHeight="1">
      <c r="A1703" s="1">
        <v>6760.0</v>
      </c>
      <c r="B1703" s="1" t="s">
        <v>6</v>
      </c>
      <c r="C1703" s="1" t="s">
        <v>1550</v>
      </c>
      <c r="D1703" s="1" t="str">
        <f>IFERROR(__xludf.DUMMYFUNCTION("CONCATENATE(GOOGLETRANSLATE(C1703, ""en"", ""zh-cn""))
"),"Brita Instant 强力台面滤水器")</f>
        <v>Brita Instant 强力台面滤水器</v>
      </c>
      <c r="E1703" s="1" t="str">
        <f>IFERROR(__xludf.DUMMYFUNCTION("CONCATENATE(GOOGLETRANSLATE(C1703, ""en"", ""ko""))"),"브리타 인스턴트 강력한 조리대 물 여과 장치")</f>
        <v>브리타 인스턴트 강력한 조리대 물 여과 장치</v>
      </c>
      <c r="F1703" s="1" t="str">
        <f>IFERROR(__xludf.DUMMYFUNCTION("CONCATENATE(GOOGLETRANSLATE(C1703, ""en"", ""ja""))"),"Brita インスタント強力カウンタートップ水ろ過装置")</f>
        <v>Brita インスタント強力カウンタートップ水ろ過装置</v>
      </c>
    </row>
    <row r="1704" ht="15.75" customHeight="1">
      <c r="A1704" s="1">
        <v>6769.0</v>
      </c>
      <c r="B1704" s="1" t="s">
        <v>6</v>
      </c>
      <c r="C1704" s="1" t="s">
        <v>1551</v>
      </c>
      <c r="D1704" s="1" t="str">
        <f>IFERROR(__xludf.DUMMYFUNCTION("CONCATENATE(GOOGLETRANSLATE(C1704, ""en"", ""zh-cn""))
"),"Brita Stream 10 杯水罐")</f>
        <v>Brita Stream 10 杯水罐</v>
      </c>
      <c r="E1704" s="1" t="str">
        <f>IFERROR(__xludf.DUMMYFUNCTION("CONCATENATE(GOOGLETRANSLATE(C1704, ""en"", ""ko""))"),"브리타 스트림 10컵 물 주전자")</f>
        <v>브리타 스트림 10컵 물 주전자</v>
      </c>
      <c r="F1704" s="1" t="str">
        <f>IFERROR(__xludf.DUMMYFUNCTION("CONCATENATE(GOOGLETRANSLATE(C1704, ""en"", ""ja""))"),"ブリタ ストリーム 10カップ ウォーターピッチャー")</f>
        <v>ブリタ ストリーム 10カップ ウォーターピッチャー</v>
      </c>
    </row>
    <row r="1705" ht="15.75" customHeight="1">
      <c r="A1705" s="1">
        <v>6775.0</v>
      </c>
      <c r="B1705" s="1" t="s">
        <v>6</v>
      </c>
      <c r="C1705" s="1" t="s">
        <v>1552</v>
      </c>
      <c r="D1705" s="1" t="str">
        <f>IFERROR(__xludf.DUMMYFUNCTION("CONCATENATE(GOOGLETRANSLATE(C1705, ""en"", ""zh-cn""))
"),"Brita Elite Tahoe 滤水器")</f>
        <v>Brita Elite Tahoe 滤水器</v>
      </c>
      <c r="E1705" s="1" t="str">
        <f>IFERROR(__xludf.DUMMYFUNCTION("CONCATENATE(GOOGLETRANSLATE(C1705, ""en"", ""ko""))"),"브리타 엘리트 타호 정수 필터 피처")</f>
        <v>브리타 엘리트 타호 정수 필터 피처</v>
      </c>
      <c r="F1705" s="1" t="str">
        <f>IFERROR(__xludf.DUMMYFUNCTION("CONCATENATE(GOOGLETRANSLATE(C1705, ""en"", ""ja""))"),"ブリタ エリート タホ ウォーター フィルター ピッチャー")</f>
        <v>ブリタ エリート タホ ウォーター フィルター ピッチャー</v>
      </c>
    </row>
    <row r="1706" ht="15.75" customHeight="1">
      <c r="A1706" s="1">
        <v>6790.0</v>
      </c>
      <c r="B1706" s="1" t="s">
        <v>6</v>
      </c>
      <c r="C1706" s="1" t="s">
        <v>1553</v>
      </c>
      <c r="D1706" s="1" t="str">
        <f>IFERROR(__xludf.DUMMYFUNCTION("CONCATENATE(GOOGLETRANSLATE(C1706, ""en"", ""zh-cn""))
"),"Brita 18 杯 Ultramax 饮水机")</f>
        <v>Brita 18 杯 Ultramax 饮水机</v>
      </c>
      <c r="E1706" s="1" t="str">
        <f>IFERROR(__xludf.DUMMYFUNCTION("CONCATENATE(GOOGLETRANSLATE(C1706, ""en"", ""ko""))"),"브리타 18컵 울트라맥스 워터 디스펜서")</f>
        <v>브리타 18컵 울트라맥스 워터 디스펜서</v>
      </c>
      <c r="F1706" s="1" t="str">
        <f>IFERROR(__xludf.DUMMYFUNCTION("CONCATENATE(GOOGLETRANSLATE(C1706, ""en"", ""ja""))"),"Brita 18カップ ウルトラマックス ウォーターディスペンサー")</f>
        <v>Brita 18カップ ウルトラマックス ウォーターディスペンサー</v>
      </c>
    </row>
    <row r="1707" ht="15.75" customHeight="1">
      <c r="A1707" s="1">
        <v>6795.0</v>
      </c>
      <c r="B1707" s="1" t="s">
        <v>6</v>
      </c>
      <c r="C1707" s="1" t="s">
        <v>1554</v>
      </c>
      <c r="D1707" s="1" t="str">
        <f>IFERROR(__xludf.DUMMYFUNCTION("CONCATENATE(GOOGLETRANSLATE(C1707, ""en"", ""zh-cn""))
"),"Brita Grand 滤水罐")</f>
        <v>Brita Grand 滤水罐</v>
      </c>
      <c r="E1707" s="1" t="str">
        <f>IFERROR(__xludf.DUMMYFUNCTION("CONCATENATE(GOOGLETRANSLATE(C1707, ""en"", ""ko""))"),"브리타 그랜드 정수기 피처")</f>
        <v>브리타 그랜드 정수기 피처</v>
      </c>
      <c r="F1707" s="1" t="str">
        <f>IFERROR(__xludf.DUMMYFUNCTION("CONCATENATE(GOOGLETRANSLATE(C1707, ""en"", ""ja""))"),"ブリタ グランド 浄水器ピッチャー")</f>
        <v>ブリタ グランド 浄水器ピッチャー</v>
      </c>
    </row>
    <row r="1708" ht="15.75" customHeight="1">
      <c r="A1708" s="1">
        <v>6819.0</v>
      </c>
      <c r="B1708" s="1" t="s">
        <v>6</v>
      </c>
      <c r="C1708" s="1" t="s">
        <v>1555</v>
      </c>
      <c r="D1708" s="1" t="str">
        <f>IFERROR(__xludf.DUMMYFUNCTION("CONCATENATE(GOOGLETRANSLATE(C1708, ""en"", ""zh-cn""))
"),"Pur RF-9999 替换 3 级水龙头过滤器")</f>
        <v>Pur RF-9999 替换 3 级水龙头过滤器</v>
      </c>
      <c r="E1708" s="1" t="str">
        <f>IFERROR(__xludf.DUMMYFUNCTION("CONCATENATE(GOOGLETRANSLATE(C1708, ""en"", ""ko""))"),"Pur RF-9999 교체용 3단 수전필터")</f>
        <v>Pur RF-9999 교체용 3단 수전필터</v>
      </c>
      <c r="F1708" s="1" t="str">
        <f>IFERROR(__xludf.DUMMYFUNCTION("CONCATENATE(GOOGLETRANSLATE(C1708, ""en"", ""ja""))"),"Pur RF-9999 交換用三段水栓フィルター")</f>
        <v>Pur RF-9999 交換用三段水栓フィルター</v>
      </c>
    </row>
    <row r="1709" ht="15.75" customHeight="1">
      <c r="A1709" s="1">
        <v>6832.0</v>
      </c>
      <c r="B1709" s="1" t="s">
        <v>6</v>
      </c>
      <c r="C1709" s="1" t="s">
        <v>1556</v>
      </c>
      <c r="D1709" s="1" t="str">
        <f>IFERROR(__xludf.DUMMYFUNCTION("CONCATENATE(GOOGLETRANSLATE(C1709, ""en"", ""zh-cn""))
"),"PUR 7 杯水罐过滤系统 PPT700L")</f>
        <v>PUR 7 杯水罐过滤系统 PPT700L</v>
      </c>
      <c r="E1709" s="1" t="str">
        <f>IFERROR(__xludf.DUMMYFUNCTION("CONCATENATE(GOOGLETRANSLATE(C1709, ""en"", ""ko""))"),"PUR 7 컵 물 투수 여과 시스템 PPT700L")</f>
        <v>PUR 7 컵 물 투수 여과 시스템 PPT700L</v>
      </c>
      <c r="F1709" s="1" t="str">
        <f>IFERROR(__xludf.DUMMYFUNCTION("CONCATENATE(GOOGLETRANSLATE(C1709, ""en"", ""ja""))"),"PUR 7 カップウォーターピッチャー濾過システム PPT700L")</f>
        <v>PUR 7 カップウォーターピッチャー濾過システム PPT700L</v>
      </c>
    </row>
    <row r="1710" ht="15.75" customHeight="1">
      <c r="A1710" s="1">
        <v>6846.0</v>
      </c>
      <c r="B1710" s="1" t="s">
        <v>6</v>
      </c>
      <c r="C1710" s="1" t="s">
        <v>1557</v>
      </c>
      <c r="D1710" s="1" t="str">
        <f>IFERROR(__xludf.DUMMYFUNCTION("CONCATENATE(GOOGLETRANSLATE(C1710, ""en"", ""zh-cn""))
"),"Equate 过氧化苯甲酰痤疮治疗凝胶")</f>
        <v>Equate 过氧化苯甲酰痤疮治疗凝胶</v>
      </c>
      <c r="E1710" s="1" t="str">
        <f>IFERROR(__xludf.DUMMYFUNCTION("CONCATENATE(GOOGLETRANSLATE(C1710, ""en"", ""ko""))"),"Equate 벤조일 퍼옥사이드 여드름 치료 젤")</f>
        <v>Equate 벤조일 퍼옥사이드 여드름 치료 젤</v>
      </c>
      <c r="F1710" s="1" t="str">
        <f>IFERROR(__xludf.DUMMYFUNCTION("CONCATENATE(GOOGLETRANSLATE(C1710, ""en"", ""ja""))"),"Equate過酸化ベンゾイルニキビ治療ジェル")</f>
        <v>Equate過酸化ベンゾイルニキビ治療ジェル</v>
      </c>
    </row>
    <row r="1711" ht="15.75" customHeight="1">
      <c r="A1711" s="1">
        <v>6877.0</v>
      </c>
      <c r="B1711" s="1" t="s">
        <v>6</v>
      </c>
      <c r="C1711" s="1" t="s">
        <v>1558</v>
      </c>
      <c r="D1711" s="1" t="str">
        <f>IFERROR(__xludf.DUMMYFUNCTION("CONCATENATE(GOOGLETRANSLATE(C1711, ""en"", ""zh-cn""))
"),"Hi Pro Pac 色彩处理和高亮强化蛋白质处理")</f>
        <v>Hi Pro Pac 色彩处理和高亮强化蛋白质处理</v>
      </c>
      <c r="E1711" s="1" t="str">
        <f>IFERROR(__xludf.DUMMYFUNCTION("CONCATENATE(GOOGLETRANSLATE(C1711, ""en"", ""ko""))"),"하이프로팩 ​​컬러 트리티드 &amp; 하이라이티드 인텐스 프로틴 트리트먼트")</f>
        <v>하이프로팩 ​​컬러 트리티드 &amp; 하이라이티드 인텐스 프로틴 트리트먼트</v>
      </c>
      <c r="F1711" s="1" t="str">
        <f>IFERROR(__xludf.DUMMYFUNCTION("CONCATENATE(GOOGLETRANSLATE(C1711, ""en"", ""ja""))"),"Hi Pro Pac カラー トリートメント &amp; ハイライト インテンス プロテイン トリートメント")</f>
        <v>Hi Pro Pac カラー トリートメント &amp; ハイライト インテンス プロテイン トリートメント</v>
      </c>
    </row>
    <row r="1712" ht="15.75" customHeight="1">
      <c r="A1712" s="1">
        <v>6897.0</v>
      </c>
      <c r="B1712" s="1" t="s">
        <v>6</v>
      </c>
      <c r="C1712" s="1" t="s">
        <v>1559</v>
      </c>
      <c r="D1712" s="1" t="str">
        <f>IFERROR(__xludf.DUMMYFUNCTION("CONCATENATE(GOOGLETRANSLATE(C1712, ""en"", ""zh-cn""))
"),"Hi-pro-pac 强效蛋白质护理，保护彩色和高亮头发")</f>
        <v>Hi-pro-pac 强效蛋白质护理，保护彩色和高亮头发</v>
      </c>
      <c r="E1712" s="1" t="str">
        <f>IFERROR(__xludf.DUMMYFUNCTION("CONCATENATE(GOOGLETRANSLATE(C1712, ""en"", ""ko""))"),"염색되고 하이라이트된 모발을 보호하는 하이프로팩 ​​인텐스 프로틴 트리트먼트")</f>
        <v>염색되고 하이라이트된 모발을 보호하는 하이프로팩 ​​인텐스 프로틴 트리트먼트</v>
      </c>
      <c r="F1712" s="1" t="str">
        <f>IFERROR(__xludf.DUMMYFUNCTION("CONCATENATE(GOOGLETRANSLATE(C1712, ""en"", ""ja""))"),"カラーリングおよびハイライトされた髪の防御のための Hi-pro-pac インテンス プロテイン トリートメント")</f>
        <v>カラーリングおよびハイライトされた髪の防御のための Hi-pro-pac インテンス プロテイン トリートメント</v>
      </c>
    </row>
    <row r="1713" ht="15.75" customHeight="1">
      <c r="A1713" s="1">
        <v>6939.0</v>
      </c>
      <c r="B1713" s="1" t="s">
        <v>6</v>
      </c>
      <c r="C1713" s="1" t="s">
        <v>1560</v>
      </c>
      <c r="D1713" s="1" t="str">
        <f>IFERROR(__xludf.DUMMYFUNCTION("CONCATENATE(GOOGLETRANSLATE(C1713, ""en"", ""zh-cn""))
"),"露得清可见修复视黄醇精华液")</f>
        <v>露得清可见修复视黄醇精华液</v>
      </c>
      <c r="E1713" s="1" t="str">
        <f>IFERROR(__xludf.DUMMYFUNCTION("CONCATENATE(GOOGLETRANSLATE(C1713, ""en"", ""ko""))"),"뉴트로지나 비저블 리페어 레티놀 세럼")</f>
        <v>뉴트로지나 비저블 리페어 레티놀 세럼</v>
      </c>
      <c r="F1713" s="1" t="str">
        <f>IFERROR(__xludf.DUMMYFUNCTION("CONCATENATE(GOOGLETRANSLATE(C1713, ""en"", ""ja""))"),"ニュートロジーナ ビジブル リペア レチノール セラム")</f>
        <v>ニュートロジーナ ビジブル リペア レチノール セラム</v>
      </c>
    </row>
    <row r="1714" ht="15.75" customHeight="1">
      <c r="A1714" s="1">
        <v>3140.0</v>
      </c>
      <c r="B1714" s="1" t="s">
        <v>51</v>
      </c>
      <c r="C1714" s="1" t="s">
        <v>1561</v>
      </c>
      <c r="D1714" s="1" t="str">
        <f>IFERROR(__xludf.DUMMYFUNCTION("CONCATENATE(GOOGLETRANSLATE(C1714, ""en"", ""zh-cn""))
"),"10/30/70 PCS Kailh Box 夏季开关 IP54 防水防尘机械键盘点击感")</f>
        <v>10/30/70 PCS Kailh Box 夏季开关 IP54 防水防尘机械键盘点击感</v>
      </c>
      <c r="E1714" s="1" t="str">
        <f>IFERROR(__xludf.DUMMYFUNCTION("CONCATENATE(GOOGLETRANSLATE(C1714, ""en"", ""ko""))"),"10/30/70 PCS Kailh Box 여름 스위치 IP54 방수 및 방진 기계식 키보드 용 Clicky 느낌")</f>
        <v>10/30/70 PCS Kailh Box 여름 스위치 IP54 방수 및 방진 기계식 키보드 용 Clicky 느낌</v>
      </c>
      <c r="F1714" s="1" t="str">
        <f>IFERROR(__xludf.DUMMYFUNCTION("CONCATENATE(GOOGLETRANSLATE(C1714, ""en"", ""ja""))"),"10/30/70 個 Kailh ボックスサマースイッチ IP54 防水防塵メカニカルキーボード用のクリック感")</f>
        <v>10/30/70 個 Kailh ボックスサマースイッチ IP54 防水防塵メカニカルキーボード用のクリック感</v>
      </c>
    </row>
    <row r="1715" ht="15.75" customHeight="1">
      <c r="A1715" s="1">
        <v>3197.0</v>
      </c>
      <c r="B1715" s="1" t="s">
        <v>6</v>
      </c>
      <c r="C1715" s="1" t="s">
        <v>1562</v>
      </c>
      <c r="D1715" s="1" t="str">
        <f>IFERROR(__xludf.DUMMYFUNCTION("CONCATENATE(GOOGLETRANSLATE(C1715, ""en"", ""zh-cn""))
"),"Belffin 组合式大组合沙发带储物座椅超大 U 形沙发带双面躺椅组合式沙发套装带奥斯曼天鹅绒蓝色")</f>
        <v>Belffin 组合式大组合沙发带储物座椅超大 U 形沙发带双面躺椅组合式沙发套装带奥斯曼天鹅绒蓝色</v>
      </c>
      <c r="E1715" s="1" t="str">
        <f>IFERROR(__xludf.DUMMYFUNCTION("CONCATENATE(GOOGLETRANSLATE(C1715, ""en"", ""ko""))"),"수납 시트가 있는 Belffin 모듈식 대형 단면 소파 양면 긴 의자가 있는 대형 U자형 소파 오토만 벨벳 블루가 포함된 모듈형 소파 세트")</f>
        <v>수납 시트가 있는 Belffin 모듈식 대형 단면 소파 양면 긴 의자가 있는 대형 U자형 소파 오토만 벨벳 블루가 포함된 모듈형 소파 세트</v>
      </c>
      <c r="F1715" s="1" t="str">
        <f>IFERROR(__xludf.DUMMYFUNCTION("CONCATENATE(GOOGLETRANSLATE(C1715, ""en"", ""ja""))"),"Belffin モジュラー大型セクショナルソファ 収納シート付き 特大U字型ソファ リバーシブル長椅子付き モジュラーソファセット オットマン付き ベルベットブルー")</f>
        <v>Belffin モジュラー大型セクショナルソファ 収納シート付き 特大U字型ソファ リバーシブル長椅子付き モジュラーソファセット オットマン付き ベルベットブルー</v>
      </c>
    </row>
    <row r="1716" ht="15.75" customHeight="1">
      <c r="A1716" s="1">
        <v>3200.0</v>
      </c>
      <c r="B1716" s="1" t="s">
        <v>6</v>
      </c>
      <c r="C1716" s="1" t="s">
        <v>1563</v>
      </c>
      <c r="D1716" s="1" t="str">
        <f>IFERROR(__xludf.DUMMYFUNCTION("CONCATENATE(GOOGLETRANSLATE(C1716, ""en"", ""zh-cn""))
"),"Jura Z10 全自动咖啡机钻石黑带玻璃牛奶容器，16.9 盎司")</f>
        <v>Jura Z10 全自动咖啡机钻石黑带玻璃牛奶容器，16.9 盎司</v>
      </c>
      <c r="E1716" s="1" t="str">
        <f>IFERROR(__xludf.DUMMYFUNCTION("CONCATENATE(GOOGLETRANSLATE(C1716, ""en"", ""ko""))"),"Jura Z10 완전 자동 커피 머신 다이아몬드 블랙 유리 우유 용기 포함, 16.9온스")</f>
        <v>Jura Z10 완전 자동 커피 머신 다이아몬드 블랙 유리 우유 용기 포함, 16.9온스</v>
      </c>
      <c r="F1716" s="1" t="str">
        <f>IFERROR(__xludf.DUMMYFUNCTION("CONCATENATE(GOOGLETRANSLATE(C1716, ""en"", ""ja""))"),"Jura Z10 全自動コーヒーマシン ダイヤモンドブラック ガラスミルク容器付き、16.9オンス")</f>
        <v>Jura Z10 全自動コーヒーマシン ダイヤモンドブラック ガラスミルク容器付き、16.9オンス</v>
      </c>
    </row>
    <row r="1717" ht="15.75" customHeight="1">
      <c r="A1717" s="1">
        <v>3205.0</v>
      </c>
      <c r="B1717" s="1" t="s">
        <v>6</v>
      </c>
      <c r="C1717" s="1" t="s">
        <v>1564</v>
      </c>
      <c r="D1717" s="1" t="str">
        <f>IFERROR(__xludf.DUMMYFUNCTION("CONCATENATE(GOOGLETRANSLATE(C1717, ""en"", ""zh-cn""))
"),"Jura X8 15177 自动咖啡机带 PEP 64 盎司容量可编程")</f>
        <v>Jura X8 15177 自动咖啡机带 PEP 64 盎司容量可编程</v>
      </c>
      <c r="E1717" s="1" t="str">
        <f>IFERROR(__xludf.DUMMYFUNCTION("CONCATENATE(GOOGLETRANSLATE(C1717, ""en"", ""ko""))"),"Jura X8 15177 자동 커피 머신(PEP 64온스 용량 프로그래밍 가능)")</f>
        <v>Jura X8 15177 자동 커피 머신(PEP 64온스 용량 프로그래밍 가능)</v>
      </c>
      <c r="F1717" s="1" t="str">
        <f>IFERROR(__xludf.DUMMYFUNCTION("CONCATENATE(GOOGLETRANSLATE(C1717, ""en"", ""ja""))"),"Jura X8 15177 自動コーヒーマシン、PEP 64オンス容量プログラム可能")</f>
        <v>Jura X8 15177 自動コーヒーマシン、PEP 64オンス容量プログラム可能</v>
      </c>
    </row>
    <row r="1718" ht="15.75" customHeight="1">
      <c r="A1718" s="1">
        <v>3212.0</v>
      </c>
      <c r="B1718" s="1" t="s">
        <v>6</v>
      </c>
      <c r="C1718" s="1" t="s">
        <v>1565</v>
      </c>
      <c r="D1718" s="1" t="str">
        <f>IFERROR(__xludf.DUMMYFUNCTION("CONCATENATE(GOOGLETRANSLATE(C1718, ""en"", ""zh-cn""))
"),"Jura S8 自动咖啡和浓缩咖啡机（钢琴黑）带清洁片（6 片）和 2 个智能滤芯套装（4 件）")</f>
        <v>Jura S8 自动咖啡和浓缩咖啡机（钢琴黑）带清洁片（6 片）和 2 个智能滤芯套装（4 件）</v>
      </c>
      <c r="E1718" s="1" t="str">
        <f>IFERROR(__xludf.DUMMYFUNCTION("CONCATENATE(GOOGLETRANSLATE(C1718, ""en"", ""ko""))"),"Jura S8 자동 커피 및 에스프레소 머신(피아노 블랙), 청소용 정제(6개입) 및 스마트 필터 카트리지 2개 번들(4개 품목) 포함")</f>
        <v>Jura S8 자동 커피 및 에스프레소 머신(피아노 블랙), 청소용 정제(6개입) 및 스마트 필터 카트리지 2개 번들(4개 품목) 포함</v>
      </c>
      <c r="F1718" s="1" t="str">
        <f>IFERROR(__xludf.DUMMYFUNCTION("CONCATENATE(GOOGLETRANSLATE(C1718, ""en"", ""ja""))"),"Jura S8 自動コーヒーおよびエスプレッソ マシン (ピアノ ブラック) クリーニング タブレット (6 カウント) および 2 つのスマート フィルター カートリッジ バンドル (4 アイテム) 付き")</f>
        <v>Jura S8 自動コーヒーおよびエスプレッソ マシン (ピアノ ブラック) クリーニング タブレット (6 カウント) および 2 つのスマート フィルター カートリッジ バンドル (4 アイテム) 付き</v>
      </c>
    </row>
    <row r="1719" ht="15.75" customHeight="1">
      <c r="A1719" s="1">
        <v>3217.0</v>
      </c>
      <c r="B1719" s="1" t="s">
        <v>6</v>
      </c>
      <c r="C1719" s="1" t="s">
        <v>29</v>
      </c>
      <c r="D1719" s="1" t="str">
        <f>IFERROR(__xludf.DUMMYFUNCTION("CONCATENATE(GOOGLETRANSLATE(C1719, ""en"", ""zh-cn""))
"),"ACME 自助餐，樱桃")</f>
        <v>ACME 自助餐，樱桃</v>
      </c>
      <c r="E1719" s="1" t="str">
        <f>IFERROR(__xludf.DUMMYFUNCTION("CONCATENATE(GOOGLETRANSLATE(C1719, ""en"", ""ko""))"),"ACME 허치 앤 뷔페, 체리")</f>
        <v>ACME 허치 앤 뷔페, 체리</v>
      </c>
      <c r="F1719" s="1" t="str">
        <f>IFERROR(__xludf.DUMMYFUNCTION("CONCATENATE(GOOGLETRANSLATE(C1719, ""en"", ""ja""))"),"ACME ハッチ＆ビュッフェ、チェリー")</f>
        <v>ACME ハッチ＆ビュッフェ、チェリー</v>
      </c>
    </row>
    <row r="1720" ht="15.75" customHeight="1">
      <c r="A1720" s="1">
        <v>3259.0</v>
      </c>
      <c r="B1720" s="1" t="s">
        <v>6</v>
      </c>
      <c r="C1720" s="1" t="s">
        <v>1566</v>
      </c>
      <c r="D1720" s="1" t="str">
        <f>IFERROR(__xludf.DUMMYFUNCTION("CONCATENATE(GOOGLETRANSLATE(C1720, ""en"", ""zh-cn""))
"),"Acme 5 件套卧室套装床、梳妆台、衣柜和 2 个床头柜（白色，大号床）")</f>
        <v>Acme 5 件套卧室套装床、梳妆台、衣柜和 2 个床头柜（白色，大号床）</v>
      </c>
      <c r="E1720" s="1" t="str">
        <f>IFERROR(__xludf.DUMMYFUNCTION("CONCATENATE(GOOGLETRANSLATE(C1720, ""en"", ""ko""))"),"Acme 5피스 침실 세트 침대, 옷장, 서랍장 및 침대 옆 탁자 2개(흰색, 퀸)")</f>
        <v>Acme 5피스 침실 세트 침대, 옷장, 서랍장 및 침대 옆 탁자 2개(흰색, 퀸)</v>
      </c>
      <c r="F1720" s="1" t="str">
        <f>IFERROR(__xludf.DUMMYFUNCTION("CONCATENATE(GOOGLETRANSLATE(C1720, ""en"", ""ja""))"),"Acme ベッドルーム 5 点セット ベッド、ドレッサー、チェスト、ナイトスタンド 2 個 (ホワイト、クイーン)")</f>
        <v>Acme ベッドルーム 5 点セット ベッド、ドレッサー、チェスト、ナイトスタンド 2 個 (ホワイト、クイーン)</v>
      </c>
    </row>
    <row r="1721" ht="15.75" customHeight="1">
      <c r="A1721" s="1">
        <v>3261.0</v>
      </c>
      <c r="B1721" s="1" t="s">
        <v>6</v>
      </c>
      <c r="C1721" s="1" t="s">
        <v>1567</v>
      </c>
      <c r="D1721" s="1" t="str">
        <f>IFERROR(__xludf.DUMMYFUNCTION("CONCATENATE(GOOGLETRANSLATE(C1721, ""en"", ""zh-cn""))
"),"kevinplus 101'' Boucle 弧形沙发客厅沙发，现代中世纪云形软垫沙发现代客厅沙发家庭公寓办公室工作室，4 个枕头，米色")</f>
        <v>kevinplus 101'' Boucle 弧形沙发客厅沙发，现代中世纪云形软垫沙发现代客厅沙发家庭公寓办公室工作室，4 个枕头，米色</v>
      </c>
      <c r="E1721" s="1" t="str">
        <f>IFERROR(__xludf.DUMMYFUNCTION("CONCATENATE(GOOGLETRANSLATE(C1721, ""en"", ""ko""))"),"kevinplus 101'' 거실용 부클 곡선 소파 소파, 모던한 세기 중반 클라우드 덮개를 씌운 소파 홈 아파트용 현대 거실 소파 사무실 스튜디오, 베개 4개, 베이지")</f>
        <v>kevinplus 101'' 거실용 부클 곡선 소파 소파, 모던한 세기 중반 클라우드 덮개를 씌운 소파 홈 아파트용 현대 거실 소파 사무실 스튜디오, 베개 4개, 베이지</v>
      </c>
      <c r="F1721" s="1" t="str">
        <f>IFERROR(__xludf.DUMMYFUNCTION("CONCATENATE(GOOGLETRANSLATE(C1721, ""en"", ""ja""))"),"kevinplus 101インチ ブークレカーブソファソファ リビングルーム用 モダンミッドセンチュリークラウド布張りソファ 現代的なリビングルームソファ 自宅アパートオフィススタジオ用 枕4個 ベージュ")</f>
        <v>kevinplus 101インチ ブークレカーブソファソファ リビングルーム用 モダンミッドセンチュリークラウド布張りソファ 現代的なリビングルームソファ 自宅アパートオフィススタジオ用 枕4個 ベージュ</v>
      </c>
    </row>
    <row r="1722" ht="15.75" customHeight="1">
      <c r="A1722" s="1">
        <v>3277.0</v>
      </c>
      <c r="B1722" s="1" t="s">
        <v>6</v>
      </c>
      <c r="C1722" s="1" t="s">
        <v>1568</v>
      </c>
      <c r="D1722" s="1" t="str">
        <f>IFERROR(__xludf.DUMMYFUNCTION("CONCATENATE(GOOGLETRANSLATE(C1722, ""en"", ""zh-cn""))
"),"Jura Impressa C9 一键式 64OZ。钢琴黑浓缩咖啡机 13422（更新）")</f>
        <v>Jura Impressa C9 一键式 64OZ。钢琴黑浓缩咖啡机 13422（更新）</v>
      </c>
      <c r="E1722" s="1" t="str">
        <f>IFERROR(__xludf.DUMMYFUNCTION("CONCATENATE(GOOGLETRANSLATE(C1722, ""en"", ""ko""))"),"쥐라 임프레사 C9 원터치 64OZ. 피아노 블랙 에스프레소 머신 13422(리뉴얼)")</f>
        <v>쥐라 임프레사 C9 원터치 64OZ. 피아노 블랙 에스프레소 머신 13422(리뉴얼)</v>
      </c>
      <c r="F1722" s="1" t="str">
        <f>IFERROR(__xludf.DUMMYFUNCTION("CONCATENATE(GOOGLETRANSLATE(C1722, ""en"", ""ja""))"),"ジュラ インプレッサ C9 ワンタッチ 64オンス。エスプレッソマシン ピアノブラック 13422 (リニューアル)")</f>
        <v>ジュラ インプレッサ C9 ワンタッチ 64オンス。エスプレッソマシン ピアノブラック 13422 (リニューアル)</v>
      </c>
    </row>
    <row r="1723" ht="15.75" customHeight="1">
      <c r="A1723" s="1">
        <v>3279.0</v>
      </c>
      <c r="B1723" s="1" t="s">
        <v>6</v>
      </c>
      <c r="C1723" s="1" t="s">
        <v>1569</v>
      </c>
      <c r="D1723" s="1" t="str">
        <f>IFERROR(__xludf.DUMMYFUNCTION("CONCATENATE(GOOGLETRANSLATE(C1723, ""en"", ""zh-cn""))
"),"Acme Furniture 长方形木咖啡桌，仿古白色")</f>
        <v>Acme Furniture 长方形木咖啡桌，仿古白色</v>
      </c>
      <c r="E1723" s="1" t="str">
        <f>IFERROR(__xludf.DUMMYFUNCTION("CONCATENATE(GOOGLETRANSLATE(C1723, ""en"", ""ko""))"),"Acme 가구 직사각형 목재 커피 테이블, 골동품 흰색")</f>
        <v>Acme 가구 직사각형 목재 커피 테이블, 골동품 흰색</v>
      </c>
      <c r="F1723" s="1" t="str">
        <f>IFERROR(__xludf.DUMMYFUNCTION("CONCATENATE(GOOGLETRANSLATE(C1723, ""en"", ""ja""))"),"Acme Furniture 長方形木製コーヒーテーブル、アンティークホワイト")</f>
        <v>Acme Furniture 長方形木製コーヒーテーブル、アンティークホワイト</v>
      </c>
    </row>
    <row r="1724" ht="15.75" customHeight="1">
      <c r="A1724" s="1">
        <v>3285.0</v>
      </c>
      <c r="B1724" s="1" t="s">
        <v>6</v>
      </c>
      <c r="C1724" s="1" t="s">
        <v>1570</v>
      </c>
      <c r="D1724" s="1" t="str">
        <f>IFERROR(__xludf.DUMMYFUNCTION("CONCATENATE(GOOGLETRANSLATE(C1724, ""en"", ""zh-cn""))
"),"阿拉伯 U 形沙发套装，阿拉伯落地座椅，阿拉伯落地沙发，阿拉伯议会沙发，阿拉伯沙发，落地沙发 MA 36")</f>
        <v>阿拉伯 U 形沙发套装，阿拉伯落地座椅，阿拉伯落地沙发，阿拉伯议会沙发，阿拉伯沙发，落地沙发 MA 36</v>
      </c>
      <c r="E1724" s="1" t="str">
        <f>IFERROR(__xludf.DUMMYFUNCTION("CONCATENATE(GOOGLETRANSLATE(C1724, ""en"", ""ko""))"),"아랍어 U 자형 소파 세트, 아랍어 바닥 좌석, 아랍어 바닥 소파, 아랍어 Majlis 소파, 아랍어 소파, 바닥 좌석 소파 MA 36")</f>
        <v>아랍어 U 자형 소파 세트, 아랍어 바닥 좌석, 아랍어 바닥 소파, 아랍어 Majlis 소파, 아랍어 소파, 바닥 좌석 소파 MA 36</v>
      </c>
      <c r="F1724" s="1" t="str">
        <f>IFERROR(__xludf.DUMMYFUNCTION("CONCATENATE(GOOGLETRANSLATE(C1724, ""en"", ""ja""))"),"アラビア U 字型ソファ セット、アラビア フロアシート、アラビア フロア ソファ、アラビア マジュリス ソファ、アラビア ソファ、フロア シート ソファ MA 36")</f>
        <v>アラビア U 字型ソファ セット、アラビア フロアシート、アラビア フロア ソファ、アラビア マジュリス ソファ、アラビア ソファ、フロア シート ソファ MA 36</v>
      </c>
    </row>
    <row r="1725" ht="15.75" customHeight="1">
      <c r="A1725" s="1">
        <v>3287.0</v>
      </c>
      <c r="B1725" s="1" t="s">
        <v>6</v>
      </c>
      <c r="C1725" s="1" t="s">
        <v>1571</v>
      </c>
      <c r="D1725" s="1" t="str">
        <f>IFERROR(__xludf.DUMMYFUNCTION("CONCATENATE(GOOGLETRANSLATE(C1725, ""en"", ""zh-cn""))
"),"Acanva 豪华中世纪现代纯素皮革单垫客厅沙发， 87 沙发，摩卡咖啡浓汤")</f>
        <v>Acanva 豪华中世纪现代纯素皮革单垫客厅沙发， 87 沙发，摩卡咖啡浓汤</v>
      </c>
      <c r="E1725" s="1" t="str">
        <f>IFERROR(__xludf.DUMMYFUNCTION("CONCATENATE(GOOGLETRANSLATE(C1725, ""en"", ""ko""))"),"Acanva 럭셔리 미드센츄리 모던 비건 가죽 싱글 쿠션 거실 소파, 87 소파, 모카 비스크")</f>
        <v>Acanva 럭셔리 미드센츄리 모던 비건 가죽 싱글 쿠션 거실 소파, 87 소파, 모카 비스크</v>
      </c>
      <c r="F1725" s="1" t="str">
        <f>IFERROR(__xludf.DUMMYFUNCTION("CONCATENATE(GOOGLETRANSLATE(C1725, ""en"", ""ja""))"),"Acanva 高級ミッドセンチュリーモダンビーガンレザーシングルクッションリビングルームソファ、87 ソファ、モカビスク")</f>
        <v>Acanva 高級ミッドセンチュリーモダンビーガンレザーシングルクッションリビングルームソファ、87 ソファ、モカビスク</v>
      </c>
    </row>
    <row r="1726" ht="15.75" customHeight="1">
      <c r="A1726" s="1">
        <v>3292.0</v>
      </c>
      <c r="B1726" s="1" t="s">
        <v>6</v>
      </c>
      <c r="C1726" s="1" t="s">
        <v>1572</v>
      </c>
      <c r="D1726" s="1" t="str">
        <f>IFERROR(__xludf.DUMMYFUNCTION("CONCATENATE(GOOGLETRANSLATE(C1726, ""en"", ""zh-cn""))
"),"Acme 家具圆形餐桌，带单底座，古董铂金")</f>
        <v>Acme 家具圆形餐桌，带单底座，古董铂金</v>
      </c>
      <c r="E1726" s="1" t="str">
        <f>IFERROR(__xludf.DUMMYFUNCTION("CONCATENATE(GOOGLETRANSLATE(C1726, ""en"", ""ko""))"),"단일 받침대가 있는 Acme 가구 원형 식탁, 앤티크 플래티넘")</f>
        <v>단일 받침대가 있는 Acme 가구 원형 식탁, 앤티크 플래티넘</v>
      </c>
      <c r="F1726" s="1" t="str">
        <f>IFERROR(__xludf.DUMMYFUNCTION("CONCATENATE(GOOGLETRANSLATE(C1726, ""en"", ""ja""))"),"Acme Furniture ラウンド ダイニング テーブル 1 台座付き、アンティーク プラチナ")</f>
        <v>Acme Furniture ラウンド ダイニング テーブル 1 台座付き、アンティーク プラチナ</v>
      </c>
    </row>
    <row r="1727" ht="15.75" customHeight="1">
      <c r="A1727" s="1">
        <v>3306.0</v>
      </c>
      <c r="B1727" s="1" t="s">
        <v>6</v>
      </c>
      <c r="C1727" s="1" t="s">
        <v>1573</v>
      </c>
      <c r="D1727" s="1" t="str">
        <f>IFERROR(__xludf.DUMMYFUNCTION("CONCATENATE(GOOGLETRANSLATE(C1727, ""en"", ""zh-cn""))
"),"HONBAY 可转换组合沙发 组合组合沙发 5 座 L 型客厅沙发带储物座椅，水蓝色")</f>
        <v>HONBAY 可转换组合沙发 组合组合沙发 5 座 L 型客厅沙发带储物座椅，水蓝色</v>
      </c>
      <c r="E1727" s="1" t="str">
        <f>IFERROR(__xludf.DUMMYFUNCTION("CONCATENATE(GOOGLETRANSLATE(C1727, ""en"", ""ko""))"),"HONBAY 컨버터블 단면 소파 모듈형 단면 소파 5인용 L자형 소파(거실용 수납 시트 포함), 아쿠아 블루")</f>
        <v>HONBAY 컨버터블 단면 소파 모듈형 단면 소파 5인용 L자형 소파(거실용 수납 시트 포함), 아쿠아 블루</v>
      </c>
      <c r="F1727" s="1" t="str">
        <f>IFERROR(__xludf.DUMMYFUNCTION("CONCATENATE(GOOGLETRANSLATE(C1727, ""en"", ""ja""))"),"HONBAY コンバーチブルセクショナルソファ モジュール式セクショナルソファ 5人掛け L字型ソファ 収納シート付き リビングルーム用 アクアブルー")</f>
        <v>HONBAY コンバーチブルセクショナルソファ モジュール式セクショナルソファ 5人掛け L字型ソファ 収納シート付き リビングルーム用 アクアブルー</v>
      </c>
    </row>
    <row r="1728" ht="15.75" customHeight="1">
      <c r="A1728" s="1">
        <v>3309.0</v>
      </c>
      <c r="B1728" s="1" t="s">
        <v>6</v>
      </c>
      <c r="C1728" s="1" t="s">
        <v>1574</v>
      </c>
      <c r="D1728" s="1" t="str">
        <f>IFERROR(__xludf.DUMMYFUNCTION("CONCATENATE(GOOGLETRANSLATE(C1728, ""en"", ""zh-cn""))
"),"亚马逊品牌 – Stone &amp; Beam Rustin 现代深座沙发，89W，奶油色")</f>
        <v>亚马逊品牌 – Stone &amp; Beam Rustin 现代深座沙发，89W，奶油色</v>
      </c>
      <c r="E1728" s="1" t="str">
        <f>IFERROR(__xludf.DUMMYFUNCTION("CONCATENATE(GOOGLETRANSLATE(C1728, ""en"", ""ko""))"),"아마존 브랜드 – Stone &amp; Beam Rustin 컨템포러리 깊은 좌석 소파 소파, 89W, 크림")</f>
        <v>아마존 브랜드 – Stone &amp; Beam Rustin 컨템포러리 깊은 좌석 소파 소파, 89W, 크림</v>
      </c>
      <c r="F1728" s="1" t="str">
        <f>IFERROR(__xludf.DUMMYFUNCTION("CONCATENATE(GOOGLETRANSLATE(C1728, ""en"", ""ja""))"),"Amazon ブランド – Stone &amp; Beam Rustin コンテンポラリー ディープシーテッド ソファ カウチ、89W、クリーム")</f>
        <v>Amazon ブランド – Stone &amp; Beam Rustin コンテンポラリー ディープシーテッド ソファ カウチ、89W、クリーム</v>
      </c>
    </row>
    <row r="1729" ht="15.75" customHeight="1">
      <c r="A1729" s="1">
        <v>3323.0</v>
      </c>
      <c r="B1729" s="1" t="s">
        <v>6</v>
      </c>
      <c r="C1729" s="1" t="s">
        <v>1575</v>
      </c>
      <c r="D1729" s="1" t="str">
        <f>IFERROR(__xludf.DUMMYFUNCTION("CONCATENATE(GOOGLETRANSLATE(C1729, ""en"", ""zh-cn""))
"),"ACME 12145 德累斯顿梳妆台，樱桃橡木饰面")</f>
        <v>ACME 12145 德累斯顿梳妆台，樱桃橡木饰面</v>
      </c>
      <c r="E1729" s="1" t="str">
        <f>IFERROR(__xludf.DUMMYFUNCTION("CONCATENATE(GOOGLETRANSLATE(C1729, ""en"", ""ko""))"),"ACME 12145 드레스덴 드레서, 체리 오크 마감")</f>
        <v>ACME 12145 드레스덴 드레서, 체리 오크 마감</v>
      </c>
      <c r="F1729" s="1" t="str">
        <f>IFERROR(__xludf.DUMMYFUNCTION("CONCATENATE(GOOGLETRANSLATE(C1729, ""en"", ""ja""))"),"ACME 12145 ドレスデン ドレッサー、チェリーオーク仕上げ")</f>
        <v>ACME 12145 ドレスデン ドレッサー、チェリーオーク仕上げ</v>
      </c>
    </row>
    <row r="1730" ht="15.75" customHeight="1">
      <c r="A1730" s="1">
        <v>3328.0</v>
      </c>
      <c r="B1730" s="1" t="s">
        <v>6</v>
      </c>
      <c r="C1730" s="1" t="s">
        <v>1576</v>
      </c>
      <c r="D1730" s="1" t="str">
        <f>IFERROR(__xludf.DUMMYFUNCTION("CONCATENATE(GOOGLETRANSLATE(C1730, ""en"", ""zh-cn""))
"),"Jura ENA 4 Metropolitan Black 浓缩咖啡机套装，含三相清洁片和 Clearyl 智能滤水器滤芯（4 件）")</f>
        <v>Jura ENA 4 Metropolitan Black 浓缩咖啡机套装，含三相清洁片和 Clearyl 智能滤水器滤芯（4 件）</v>
      </c>
      <c r="E1730" s="1" t="str">
        <f>IFERROR(__xludf.DUMMYFUNCTION("CONCATENATE(GOOGLETRANSLATE(C1730, ""en"", ""ko""))"),"Jura ENA 4 메트로폴리탄 블랙 에스프레소 머신 번들, 3단계 세척 정제 및 Clearyl 스마트 정수 필터 카트리지 포함(4개 항목)")</f>
        <v>Jura ENA 4 메트로폴리탄 블랙 에스프레소 머신 번들, 3단계 세척 정제 및 Clearyl 스마트 정수 필터 카트리지 포함(4개 항목)</v>
      </c>
      <c r="F1730" s="1" t="str">
        <f>IFERROR(__xludf.DUMMYFUNCTION("CONCATENATE(GOOGLETRANSLATE(C1730, ""en"", ""ja""))"),"Jura ENA 4 メトロポリタン ブラック エスプレッソ マシン バンドル、3 フェーズ クリーニング タブレット、Clearyl スマート ウォーター フィルター カートリッジ (4 アイテム)")</f>
        <v>Jura ENA 4 メトロポリタン ブラック エスプレッソ マシン バンドル、3 フェーズ クリーニング タブレット、Clearyl スマート ウォーター フィルター カートリッジ (4 アイテム)</v>
      </c>
    </row>
    <row r="1731" ht="15.75" customHeight="1">
      <c r="A1731" s="1">
        <v>3359.0</v>
      </c>
      <c r="B1731" s="1" t="s">
        <v>6</v>
      </c>
      <c r="C1731" s="1" t="s">
        <v>1577</v>
      </c>
      <c r="D1731" s="1" t="str">
        <f>IFERROR(__xludf.DUMMYFUNCTION("CONCATENATE(GOOGLETRANSLATE(C1731, ""en"", ""zh-cn""))
"),"生活方式解决方案 Serta Honor 敞篷沙发沙发床，海军蓝")</f>
        <v>生活方式解决方案 Serta Honor 敞篷沙发沙发床，海军蓝</v>
      </c>
      <c r="E1731" s="1" t="str">
        <f>IFERROR(__xludf.DUMMYFUNCTION("CONCATENATE(GOOGLETRANSLATE(C1731, ""en"", ""ko""))"),"라이프스타일 솔루션 Serta Honor 컨버터블 소파 소파베드, 네이비 블루")</f>
        <v>라이프스타일 솔루션 Serta Honor 컨버터블 소파 소파베드, 네이비 블루</v>
      </c>
      <c r="F1731" s="1" t="str">
        <f>IFERROR(__xludf.DUMMYFUNCTION("CONCATENATE(GOOGLETRANSLATE(C1731, ""en"", ""ja""))"),"ライフスタイル ソリューション Serta Honor コンバーチブル ソファ ソファベッド、ネイビー ブルー")</f>
        <v>ライフスタイル ソリューション Serta Honor コンバーチブル ソファ ソファベッド、ネイビー ブルー</v>
      </c>
    </row>
    <row r="1732" ht="15.75" customHeight="1">
      <c r="A1732" s="1">
        <v>3371.0</v>
      </c>
      <c r="B1732" s="1" t="s">
        <v>6</v>
      </c>
      <c r="C1732" s="1" t="s">
        <v>1578</v>
      </c>
      <c r="D1732" s="1" t="str">
        <f>IFERROR(__xludf.DUMMYFUNCTION("CONCATENATE(GOOGLETRANSLATE(C1732, ""en"", ""zh-cn""))
"),"亚马逊品牌 – Rivet Bigelow 现代沙发木底座，89.4W，浅灰色/金色")</f>
        <v>亚马逊品牌 – Rivet Bigelow 现代沙发木底座，89.4W，浅灰色/金色</v>
      </c>
      <c r="E1732" s="1" t="str">
        <f>IFERROR(__xludf.DUMMYFUNCTION("CONCATENATE(GOOGLETRANSLATE(C1732, ""en"", ""ko""))"),"Amazon 브랜드 – 목재 베이스의 Rivet Bigelow 모던 소파 소파, 89.4W, 밝은 회색/금색")</f>
        <v>Amazon 브랜드 – 목재 베이스의 Rivet Bigelow 모던 소파 소파, 89.4W, 밝은 회색/금색</v>
      </c>
      <c r="F1732" s="1" t="str">
        <f>IFERROR(__xludf.DUMMYFUNCTION("CONCATENATE(GOOGLETRANSLATE(C1732, ""en"", ""ja""))"),"Amazon ブランド – Rivet Bigelow モダン ソファ カウチ ウッドベース、89.4W、ライトグレー / ブロンド")</f>
        <v>Amazon ブランド – Rivet Bigelow モダン ソファ カウチ ウッドベース、89.4W、ライトグレー / ブロンド</v>
      </c>
    </row>
    <row r="1733" ht="15.75" customHeight="1">
      <c r="A1733" s="1">
        <v>3377.0</v>
      </c>
      <c r="B1733" s="1" t="s">
        <v>6</v>
      </c>
      <c r="C1733" s="1" t="s">
        <v>1579</v>
      </c>
      <c r="D1733" s="1" t="str">
        <f>IFERROR(__xludf.DUMMYFUNCTION("CONCATENATE(GOOGLETRANSLATE(C1733, ""en"", ""zh-cn""))
"),"DKLGG 客厅组合沙发带储物脚凳，现代 PU 皮革 L 形沙发沙发套装，棕色组合沙发组合带杯架，公寓客厅家具套装，小空间")</f>
        <v>DKLGG 客厅组合沙发带储物脚凳，现代 PU 皮革 L 形沙发沙发套装，棕色组合沙发组合带杯架，公寓客厅家具套装，小空间</v>
      </c>
      <c r="E1733" s="1" t="str">
        <f>IFERROR(__xludf.DUMMYFUNCTION("CONCATENATE(GOOGLETRANSLATE(C1733, ""en"", ""ko""))"),"DKLGG 거실용 단면 소파(수납용 오토만 포함), 현대적인 PU 가죽 L자형 소파 소파 세트, 갈색 모듈식 소파 단면(컵 홀더 포함), 아파트용 거실 가구 세트, 작은 공간")</f>
        <v>DKLGG 거실용 단면 소파(수납용 오토만 포함), 현대적인 PU 가죽 L자형 소파 소파 세트, 갈색 모듈식 소파 단면(컵 홀더 포함), 아파트용 거실 가구 세트, 작은 공간</v>
      </c>
      <c r="F1733" s="1" t="str">
        <f>IFERROR(__xludf.DUMMYFUNCTION("CONCATENATE(GOOGLETRANSLATE(C1733, ""en"", ""ja""))"),"DKLGG リビングルームセクショナルソファ 収納オットマン付き、モダンなPUレザーL字型ソファカウチセット、カップホルダー付きブラウンモジュラーソファセクショナルソファ、アパート用リビングルーム家具セット、狭いスペース")</f>
        <v>DKLGG リビングルームセクショナルソファ 収納オットマン付き、モダンなPUレザーL字型ソファカウチセット、カップホルダー付きブラウンモジュラーソファセクショナルソファ、アパート用リビングルーム家具セット、狭いスペース</v>
      </c>
    </row>
    <row r="1734" ht="15.75" customHeight="1">
      <c r="A1734" s="1">
        <v>3393.0</v>
      </c>
      <c r="B1734" s="1" t="s">
        <v>6</v>
      </c>
      <c r="C1734" s="1" t="s">
        <v>1290</v>
      </c>
      <c r="D1734" s="1" t="str">
        <f>IFERROR(__xludf.DUMMYFUNCTION("CONCATENATE(GOOGLETRANSLATE(C1734, ""en"", ""zh-cn""))
"),"Best Choice Products 簇绒人造皮革 3 座 L 形组合沙发沙发套装带躺椅，奥斯曼咖啡桌长凳，黑色")</f>
        <v>Best Choice Products 簇绒人造皮革 3 座 L 形组合沙发沙发套装带躺椅，奥斯曼咖啡桌长凳，黑色</v>
      </c>
      <c r="E1734" s="1" t="str">
        <f>IFERROR(__xludf.DUMMYFUNCTION("CONCATENATE(GOOGLETRANSLATE(C1734, ""en"", ""ko""))"),"최고의 선택 제품 터프티드 인조 가죽 3인용 L자형 단면 소파 소파 세트, 긴 의자 라운지, 오토만 커피 테이블 벤치, 블랙")</f>
        <v>최고의 선택 제품 터프티드 인조 가죽 3인용 L자형 단면 소파 소파 세트, 긴 의자 라운지, 오토만 커피 테이블 벤치, 블랙</v>
      </c>
      <c r="F1734" s="1" t="str">
        <f>IFERROR(__xludf.DUMMYFUNCTION("CONCATENATE(GOOGLETRANSLATE(C1734, ""en"", ""ja""))"),"Best Choice Products タフトフェイクレザー 3 人掛け L 字型セクショナルソファ カウチセット、長椅子付き、オットマン コーヒーテーブル ベンチ、ブラック")</f>
        <v>Best Choice Products タフトフェイクレザー 3 人掛け L 字型セクショナルソファ カウチセット、長椅子付き、オットマン コーヒーテーブル ベンチ、ブラック</v>
      </c>
    </row>
    <row r="1735" ht="15.75" customHeight="1">
      <c r="A1735" s="1">
        <v>3404.0</v>
      </c>
      <c r="B1735" s="1" t="s">
        <v>6</v>
      </c>
      <c r="C1735" s="1" t="s">
        <v>418</v>
      </c>
      <c r="D1735" s="1" t="str">
        <f>IFERROR(__xludf.DUMMYFUNCTION("CONCATENATE(GOOGLETRANSLATE(C1735, ""en"", ""zh-cn""))
"),"Akrenar 82 现代超大沙发，带两个枕头的沙发，客厅、卧室沙发，米色")</f>
        <v>Akrenar 82 现代超大沙发，带两个枕头的沙发，客厅、卧室沙发，米色</v>
      </c>
      <c r="E1735" s="1" t="str">
        <f>IFERROR(__xludf.DUMMYFUNCTION("CONCATENATE(GOOGLETRANSLATE(C1735, ""en"", ""ko""))"),"Akrenar 82 현대식 대형 소파, 베개 2개가 있는 소파, 거실용 소파, 침실, 베이지")</f>
        <v>Akrenar 82 현대식 대형 소파, 베개 2개가 있는 소파, 거실용 소파, 침실, 베이지</v>
      </c>
      <c r="F1735" s="1" t="str">
        <f>IFERROR(__xludf.DUMMYFUNCTION("CONCATENATE(GOOGLETRANSLATE(C1735, ""en"", ""ja""))"),"Akrenar 82 モダンな特大ソファ、枕 2 つ付きソファ、リビングルーム、ベッドルーム用ソファ、ベージュ")</f>
        <v>Akrenar 82 モダンな特大ソファ、枕 2 つ付きソファ、リビングルーム、ベッドルーム用ソファ、ベージュ</v>
      </c>
    </row>
    <row r="1736" ht="15.75" customHeight="1">
      <c r="A1736" s="1">
        <v>3416.0</v>
      </c>
      <c r="B1736" s="1" t="s">
        <v>6</v>
      </c>
      <c r="C1736" s="1" t="s">
        <v>1580</v>
      </c>
      <c r="D1736" s="1" t="str">
        <f>IFERROR(__xludf.DUMMYFUNCTION("CONCATENATE(GOOGLETRANSLATE(C1736, ""en"", ""zh-cn""))
"),"Ashley Arroyo 签名设计的中世纪现代人造皮革沙发，焦糖棕色")</f>
        <v>Ashley Arroyo 签名设计的中世纪现代人造皮革沙发，焦糖棕色</v>
      </c>
      <c r="E1736" s="1" t="str">
        <f>IFERROR(__xludf.DUMMYFUNCTION("CONCATENATE(GOOGLETRANSLATE(C1736, ""en"", ""ko""))"),"Ashley Arroyo의 시그니처 디자인 Mid Century Modern 인조 가죽 소파, 캐러멜 브라운")</f>
        <v>Ashley Arroyo의 시그니처 디자인 Mid Century Modern 인조 가죽 소파, 캐러멜 브라운</v>
      </c>
      <c r="F1736" s="1" t="str">
        <f>IFERROR(__xludf.DUMMYFUNCTION("CONCATENATE(GOOGLETRANSLATE(C1736, ""en"", ""ja""))"),"アシュリー・アロヨによるシグネチャーデザイン ミッドセンチュリーモダンフェイクレザーソファ、キャラメルブラウン")</f>
        <v>アシュリー・アロヨによるシグネチャーデザイン ミッドセンチュリーモダンフェイクレザーソファ、キャラメルブラウン</v>
      </c>
    </row>
    <row r="1737" ht="15.75" customHeight="1">
      <c r="A1737" s="1">
        <v>3420.0</v>
      </c>
      <c r="B1737" s="1" t="s">
        <v>6</v>
      </c>
      <c r="C1737" s="1" t="s">
        <v>1096</v>
      </c>
      <c r="D1737" s="1" t="str">
        <f>IFERROR(__xludf.DUMMYFUNCTION("CONCATENATE(GOOGLETRANSLATE(C1737, ""en"", ""zh-cn""))
"),"LEISLAND 79 现代客厅组合沙发，小空间小沙发，实木框架雪尼尔 L 形沙发，可拆卸套罩，附扶手，易于安装（金色）")</f>
        <v>LEISLAND 79 现代客厅组合沙发，小空间小沙发，实木框架雪尼尔 L 形沙发，可拆卸套罩，附扶手，易于安装（金色）</v>
      </c>
      <c r="E1737" s="1" t="str">
        <f>IFERROR(__xludf.DUMMYFUNCTION("CONCATENATE(GOOGLETRANSLATE(C1737, ""en"", ""ko""))"),"LEISLAND 79 거실용 현대식 단면 소파 소파, 작은 공간을 위한 소형 소파, 원목 프레임이 있는 셔닐 L형 소파, 분리형 커버, 부착형 팔걸이, 설치가 용이함(골든)")</f>
        <v>LEISLAND 79 거실용 현대식 단면 소파 소파, 작은 공간을 위한 소형 소파, 원목 프레임이 있는 셔닐 L형 소파, 분리형 커버, 부착형 팔걸이, 설치가 용이함(골든)</v>
      </c>
      <c r="F1737" s="1" t="str">
        <f>IFERROR(__xludf.DUMMYFUNCTION("CONCATENATE(GOOGLETRANSLATE(C1737, ""en"", ""ja""))"),"LEISLAND 79 リビングルーム用モダンなセクショナルソファカウチ、小さなスペース用の小さなカウチ、無垢材フレーム付きシェニール織L字型ソファ、取り外し可能なカバー、アームレスト付き、取り付け簡単(ゴールド)")</f>
        <v>LEISLAND 79 リビングルーム用モダンなセクショナルソファカウチ、小さなスペース用の小さなカウチ、無垢材フレーム付きシェニール織L字型ソファ、取り外し可能なカバー、アームレスト付き、取り付け簡単(ゴールド)</v>
      </c>
    </row>
    <row r="1738" ht="15.75" customHeight="1">
      <c r="A1738" s="1">
        <v>3425.0</v>
      </c>
      <c r="B1738" s="1" t="s">
        <v>6</v>
      </c>
      <c r="C1738" s="1" t="s">
        <v>1581</v>
      </c>
      <c r="D1738" s="1" t="str">
        <f>IFERROR(__xludf.DUMMYFUNCTION("CONCATENATE(GOOGLETRANSLATE(C1738, ""en"", ""zh-cn""))
"),"ZINUS Benton 沙发/网格簇绒靠垫/简单，免工具组装，深灰色")</f>
        <v>ZINUS Benton 沙发/网格簇绒靠垫/简单，免工具组装，深灰色</v>
      </c>
      <c r="E1738" s="1" t="str">
        <f>IFERROR(__xludf.DUMMYFUNCTION("CONCATENATE(GOOGLETRANSLATE(C1738, ""en"", ""ko""))"),"ZINUS Benton 소파 소파 / 그리드 터프트 쿠션 / 도구가 필요 없는 간편한 조립, 다크 그레이")</f>
        <v>ZINUS Benton 소파 소파 / 그리드 터프트 쿠션 / 도구가 필요 없는 간편한 조립, 다크 그레이</v>
      </c>
      <c r="F1738" s="1" t="str">
        <f>IFERROR(__xludf.DUMMYFUNCTION("CONCATENATE(GOOGLETRANSLATE(C1738, ""en"", ""ja""))"),"ZINUS ベントンソファ カウチ/グリッドタフトクッション/簡単、工具不要組み立て、ダークグレー")</f>
        <v>ZINUS ベントンソファ カウチ/グリッドタフトクッション/簡単、工具不要組み立て、ダークグレー</v>
      </c>
    </row>
    <row r="1739" ht="15.75" customHeight="1">
      <c r="A1739" s="1">
        <v>3461.0</v>
      </c>
      <c r="B1739" s="1" t="s">
        <v>6</v>
      </c>
      <c r="C1739" s="1" t="s">
        <v>1582</v>
      </c>
      <c r="D1739" s="1" t="str">
        <f>IFERROR(__xludf.DUMMYFUNCTION("CONCATENATE(GOOGLETRANSLATE(C1739, ""en"", ""zh-cn""))
"),"Andeworld 现代簇绒沙发长沙发软垫沙发，适合餐厅客厅走廊或入口（钢灰色）")</f>
        <v>Andeworld 现代簇绒沙发长沙发软垫沙发，适合餐厅客厅走廊或入口（钢灰色）</v>
      </c>
      <c r="E1739" s="1" t="str">
        <f>IFERROR(__xludf.DUMMYFUNCTION("CONCATENATE(GOOGLETRANSLATE(C1739, ""en"", ""ko""))"),"Andeworld 모던 터프트 러브시트 긴 의자 소파 벤치 다이닝 거실 복도 또는 현관용 덮개를 씌운 소파(스틸 그레이)")</f>
        <v>Andeworld 모던 터프트 러브시트 긴 의자 소파 벤치 다이닝 거실 복도 또는 현관용 덮개를 씌운 소파(스틸 그레이)</v>
      </c>
      <c r="F1739" s="1" t="str">
        <f>IFERROR(__xludf.DUMMYFUNCTION("CONCATENATE(GOOGLETRANSLATE(C1739, ""en"", ""ja""))"),"Andeworld モダン タフテッド 二人掛け長椅子 ソファベンチ 布張りカウチ ダイニング リビングルーム 廊下や玄関用 (スチールグレー)")</f>
        <v>Andeworld モダン タフテッド 二人掛け長椅子 ソファベンチ 布張りカウチ ダイニング リビングルーム 廊下や玄関用 (スチールグレー)</v>
      </c>
    </row>
    <row r="1740" ht="15.75" customHeight="1">
      <c r="A1740" s="1">
        <v>3476.0</v>
      </c>
      <c r="B1740" s="1" t="s">
        <v>6</v>
      </c>
      <c r="C1740" s="1" t="s">
        <v>1583</v>
      </c>
      <c r="D1740" s="1" t="str">
        <f>IFERROR(__xludf.DUMMYFUNCTION("CONCATENATE(GOOGLETRANSLATE(C1740, ""en"", ""zh-cn""))
"),"戴尔 XPS 17 9720 笔记本电脑17.0 英寸 UHD+ (3840 x 2400) 触摸屏显示器，英特尔酷睿 i9-12900HK，32GB 内存，1TB SSD，NVIDIA GeForce RTX 3060，英特尔 Killer Wi-Fi 6，Windows 11 Pro - 银色")</f>
        <v>戴尔 XPS 17 9720 笔记本电脑17.0 英寸 UHD+ (3840 x 2400) 触摸屏显示器，英特尔酷睿 i9-12900HK，32GB 内存，1TB SSD，NVIDIA GeForce RTX 3060，英特尔 Killer Wi-Fi 6，Windows 11 Pro - 银色</v>
      </c>
      <c r="E1740" s="1" t="str">
        <f>IFERROR(__xludf.DUMMYFUNCTION("CONCATENATE(GOOGLETRANSLATE(C1740, ""en"", ""ko""))"),"Dell XPS 17 9720 노트북17.0인치 UHD+(3840 x 2400) 터치스크린 디스플레이, Intel Core i9-12900HK, 32GB 메모리, 1TB SSD, NVIDIA GeForce RTX 3060, Intel Killer Wi-Fi 6, Windows 11 Pro - 실버")</f>
        <v>Dell XPS 17 9720 노트북17.0인치 UHD+(3840 x 2400) 터치스크린 디스플레이, Intel Core i9-12900HK, 32GB 메모리, 1TB SSD, NVIDIA GeForce RTX 3060, Intel Killer Wi-Fi 6, Windows 11 Pro - 실버</v>
      </c>
      <c r="F1740" s="1" t="str">
        <f>IFERROR(__xludf.DUMMYFUNCTION("CONCATENATE(GOOGLETRANSLATE(C1740, ""en"", ""ja""))"),"Dell XPS 17 9720 ラップトップ17.0 インチ UHD+ (3840 x 2400) タッチスクリーン ディスプレイ、Intel Core i9-12900HK、32GB メモリ、1TB SSD、NVIDIA GeForce RTX 3060、Intel Killer Wi-Fi 6、Windows 11 Pro - シルバー")</f>
        <v>Dell XPS 17 9720 ラップトップ17.0 インチ UHD+ (3840 x 2400) タッチスクリーン ディスプレイ、Intel Core i9-12900HK、32GB メモリ、1TB SSD、NVIDIA GeForce RTX 3060、Intel Killer Wi-Fi 6、Windows 11 Pro - シルバー</v>
      </c>
    </row>
    <row r="1741" ht="15.75" customHeight="1">
      <c r="A1741" s="1">
        <v>3488.0</v>
      </c>
      <c r="B1741" s="1" t="s">
        <v>6</v>
      </c>
      <c r="C1741" s="1" t="s">
        <v>1584</v>
      </c>
      <c r="D1741" s="1" t="str">
        <f>IFERROR(__xludf.DUMMYFUNCTION("CONCATENATE(GOOGLETRANSLATE(C1741, ""en"", ""zh-cn""))
"),"JWSIT 200 英寸带支架投影仪屏幕，升级版 3 层 PVC 16:9 大型户外投影仪屏幕，便携式户外电影屏幕，带手提包，适用于大型商业演出")</f>
        <v>JWSIT 200 英寸带支架投影仪屏幕，升级版 3 层 PVC 16:9 大型户外投影仪屏幕，便携式户外电影屏幕，带手提包，适用于大型商业演出</v>
      </c>
      <c r="E1741" s="1" t="str">
        <f>IFERROR(__xludf.DUMMYFUNCTION("CONCATENATE(GOOGLETRANSLATE(C1741, ""en"", ""ko""))"),"스탠드가 있는 JWSIT 200인치 프로젝터 스크린, 업그레이드된 3개 레이어 PVC 16:9 대형 야외 프로젝터 스크린, 대형 상업 성능을 위한 운반용 가방이 있는 휴대용 야외 영화 스크린")</f>
        <v>스탠드가 있는 JWSIT 200인치 프로젝터 스크린, 업그레이드된 3개 레이어 PVC 16:9 대형 야외 프로젝터 스크린, 대형 상업 성능을 위한 운반용 가방이 있는 휴대용 야외 영화 스크린</v>
      </c>
      <c r="F1741" s="1" t="str">
        <f>IFERROR(__xludf.DUMMYFUNCTION("CONCATENATE(GOOGLETRANSLATE(C1741, ""en"", ""ja""))"),"JWSIT スタンド付き 200 インチ プロジェクター スクリーン、アップグレードされた 3 層 PVC 16:9 大型屋外プロジェクター スクリーン、大規模な商業パフォーマンス用キャリングバッグ付きポータブル屋外ムービー スクリーン")</f>
        <v>JWSIT スタンド付き 200 インチ プロジェクター スクリーン、アップグレードされた 3 層 PVC 16:9 大型屋外プロジェクター スクリーン、大規模な商業パフォーマンス用キャリングバッグ付きポータブル屋外ムービー スクリーン</v>
      </c>
    </row>
    <row r="1742" ht="15.75" customHeight="1">
      <c r="A1742" s="1">
        <v>3490.0</v>
      </c>
      <c r="B1742" s="1" t="s">
        <v>6</v>
      </c>
      <c r="C1742" s="1" t="s">
        <v>1585</v>
      </c>
      <c r="D1742" s="1" t="str">
        <f>IFERROR(__xludf.DUMMYFUNCTION("CONCATENATE(GOOGLETRANSLATE(C1742, ""en"", ""zh-cn""))
"),"Lenovo ThinkPad X1 Extreme Gen 3 15.6 FHD（英特尔 6 核 i7-10750H，32GB RAM，1TB PCIe SSD，GTX 1650 Ti）移动工作站笔记本电脑，2 x Thunderbolt 3，背光，指纹识别，IST HDMI，Win 10 Pro")</f>
        <v>Lenovo ThinkPad X1 Extreme Gen 3 15.6 FHD（英特尔 6 核 i7-10750H，32GB RAM，1TB PCIe SSD，GTX 1650 Ti）移动工作站笔记本电脑，2 x Thunderbolt 3，背光，指纹识别，IST HDMI，Win 10 Pro</v>
      </c>
      <c r="E1742" s="1" t="str">
        <f>IFERROR(__xludf.DUMMYFUNCTION("CONCATENATE(GOOGLETRANSLATE(C1742, ""en"", ""ko""))"),"Lenovo ThinkPad X1 Extreme Gen 3 15.6 FHD(Intel 6코어 i7-10750H, 32GB RAM, 1TB PCIe SSD, GTX 1650 Ti) 모바일 워크스테이션 노트북, Thunderbolt 3 2개, 백라이트, 지문 인식, IST HDMI, Win 10 Pro")</f>
        <v>Lenovo ThinkPad X1 Extreme Gen 3 15.6 FHD(Intel 6코어 i7-10750H, 32GB RAM, 1TB PCIe SSD, GTX 1650 Ti) 모바일 워크스테이션 노트북, Thunderbolt 3 2개, 백라이트, 지문 인식, IST HDMI, Win 10 Pro</v>
      </c>
      <c r="F1742" s="1" t="str">
        <f>IFERROR(__xludf.DUMMYFUNCTION("CONCATENATE(GOOGLETRANSLATE(C1742, ""en"", ""ja""))"),"Lenovo ThinkPad X1 Extreme Gen 3 15.6 FHD (Intel 6-Core i7-10750H、32GB RAM、1TB PCIe SSD、GTX 1650 Ti) モバイル ワークステーション ラップトップ、2 x Thunderbolt 3、バックライト付き、指紋認証、IST HDMI、Win 10 Pro")</f>
        <v>Lenovo ThinkPad X1 Extreme Gen 3 15.6 FHD (Intel 6-Core i7-10750H、32GB RAM、1TB PCIe SSD、GTX 1650 Ti) モバイル ワークステーション ラップトップ、2 x Thunderbolt 3、バックライト付き、指紋認証、IST HDMI、Win 10 Pro</v>
      </c>
    </row>
    <row r="1743" ht="15.75" customHeight="1">
      <c r="A1743" s="1">
        <v>3540.0</v>
      </c>
      <c r="B1743" s="1" t="s">
        <v>6</v>
      </c>
      <c r="C1743" s="1" t="s">
        <v>1586</v>
      </c>
      <c r="D1743" s="1" t="str">
        <f>IFERROR(__xludf.DUMMYFUNCTION("CONCATENATE(GOOGLETRANSLATE(C1743, ""en"", ""zh-cn""))
"),"戴尔 XPS 13 9320 Plus 13.4 笔记本电脑 Intel Core i5-1240P（12 核）512GB PCIe SSD 16GB RAM 3.5K OLED (3456x2160) InfinityEdge Touch Win 11 PRO（续订）")</f>
        <v>戴尔 XPS 13 9320 Plus 13.4 笔记本电脑 Intel Core i5-1240P（12 核）512GB PCIe SSD 16GB RAM 3.5K OLED (3456x2160) InfinityEdge Touch Win 11 PRO（续订）</v>
      </c>
      <c r="E1743" s="1" t="str">
        <f>IFERROR(__xludf.DUMMYFUNCTION("CONCATENATE(GOOGLETRANSLATE(C1743, ""en"", ""ko""))"),"Dell XPS 13 9320 Plus 13.4 노트북 Intel Core i5-1240P(12코어) 512GB PCIe SSD 16GB RAM 3.5K OLED(3456x2160) InfinityEdge Touch Win 11 PRO(리뉴얼)")</f>
        <v>Dell XPS 13 9320 Plus 13.4 노트북 Intel Core i5-1240P(12코어) 512GB PCIe SSD 16GB RAM 3.5K OLED(3456x2160) InfinityEdge Touch Win 11 PRO(리뉴얼)</v>
      </c>
      <c r="F1743" s="1" t="str">
        <f>IFERROR(__xludf.DUMMYFUNCTION("CONCATENATE(GOOGLETRANSLATE(C1743, ""en"", ""ja""))"),"Dell XPS 13 9320 Plus 13.4 ラップトップ Intel Core i5-1240P (12 コア) 512GB PCIe SSD 16GB RAM 3.5K OLED (3456x2160) InfinityEdge Touch Win 11 PRO (リニューアル)")</f>
        <v>Dell XPS 13 9320 Plus 13.4 ラップトップ Intel Core i5-1240P (12 コア) 512GB PCIe SSD 16GB RAM 3.5K OLED (3456x2160) InfinityEdge Touch Win 11 PRO (リニューアル)</v>
      </c>
    </row>
    <row r="1744" ht="15.75" customHeight="1">
      <c r="A1744" s="1">
        <v>3545.0</v>
      </c>
      <c r="B1744" s="1" t="s">
        <v>6</v>
      </c>
      <c r="C1744" s="1" t="s">
        <v>1587</v>
      </c>
      <c r="D1744" s="1" t="str">
        <f>IFERROR(__xludf.DUMMYFUNCTION("CONCATENATE(GOOGLETRANSLATE(C1744, ""en"", ""zh-cn""))
"),"Liebert PSI5锂离子UPS - 1500VA 1350W 120V，在线互动AVR迷你塔式正弦波UPS，0.9功率因数不间断电源（电池备份）带浪涌保护（PSI5-1500MT120LI）")</f>
        <v>Liebert PSI5锂离子UPS - 1500VA 1350W 120V，在线互动AVR迷你塔式正弦波UPS，0.9功率因数不间断电源（电池备份）带浪涌保护（PSI5-1500MT120LI）</v>
      </c>
      <c r="E1744" s="1" t="str">
        <f>IFERROR(__xludf.DUMMYFUNCTION("CONCATENATE(GOOGLETRANSLATE(C1744, ""en"", ""ko""))"),"Liebert PSI5 리튬 이온 UPS - 1500VA 1350W 120V, 라인 인터랙티브 AVR 미니 타워 사인파 UPS, 서지 보호 기능이 있는 0.9 역률 무정전 전원 공급 장치(배터리 백업)(PSI5-1500MT120LI)")</f>
        <v>Liebert PSI5 리튬 이온 UPS - 1500VA 1350W 120V, 라인 인터랙티브 AVR 미니 타워 사인파 UPS, 서지 보호 기능이 있는 0.9 역률 무정전 전원 공급 장치(배터리 백업)(PSI5-1500MT120LI)</v>
      </c>
      <c r="F1744" s="1" t="str">
        <f>IFERROR(__xludf.DUMMYFUNCTION("CONCATENATE(GOOGLETRANSLATE(C1744, ""en"", ""ja""))"),"Liebert PSI5 リチウムイオン UPS - 1500VA 1350W 120V、ラインインタラクティブ AVR ミニタワー正弦波 UPS、力率 0.9 サージ保護付き無停電電源装置 (バッテリーバックアップ) (PSI5-1500MT120LI)")</f>
        <v>Liebert PSI5 リチウムイオン UPS - 1500VA 1350W 120V、ラインインタラクティブ AVR ミニタワー正弦波 UPS、力率 0.9 サージ保護付き無停電電源装置 (バッテリーバックアップ) (PSI5-1500MT120LI)</v>
      </c>
    </row>
    <row r="1745" ht="15.75" customHeight="1">
      <c r="A1745" s="1">
        <v>3592.0</v>
      </c>
      <c r="B1745" s="1" t="s">
        <v>6</v>
      </c>
      <c r="C1745" s="1" t="s">
        <v>1588</v>
      </c>
      <c r="D1745" s="1" t="str">
        <f>IFERROR(__xludf.DUMMYFUNCTION("CONCATENATE(GOOGLETRANSLATE(C1745, ""en"", ""zh-cn""))
"),"Lenovo ThinkPad T14 14 FHD（AMD 6 核 Ryzen 5 Pro 4650U（Beats i7-1165G7），16GB RAM，512GB SSD）商务笔记本电脑，IPS 防眩光，背光键盘，2 x Type-C，网络摄像头，Win 10 Pro / Win 11 Pro - 2022")</f>
        <v>Lenovo ThinkPad T14 14 FHD（AMD 6 核 Ryzen 5 Pro 4650U（Beats i7-1165G7），16GB RAM，512GB SSD）商务笔记本电脑，IPS 防眩光，背光键盘，2 x Type-C，网络摄像头，Win 10 Pro / Win 11 Pro - 2022</v>
      </c>
      <c r="E1745" s="1" t="str">
        <f>IFERROR(__xludf.DUMMYFUNCTION("CONCATENATE(GOOGLETRANSLATE(C1745, ""en"", ""ko""))"),"Lenovo ThinkPad T14 14 FHD (AMD 6코어 Ryzen 5 Pro 4650U (Beats i7-1165G7), 16GB RAM, 512GB SSD) 비즈니스 노트북, IPS 눈부심 방지, 백라이트 키보드, Type-C 2개, 웹캠, Win 10 Pro / Win 11 Pro - 2022")</f>
        <v>Lenovo ThinkPad T14 14 FHD (AMD 6코어 Ryzen 5 Pro 4650U (Beats i7-1165G7), 16GB RAM, 512GB SSD) 비즈니스 노트북, IPS 눈부심 방지, 백라이트 키보드, Type-C 2개, 웹캠, Win 10 Pro / Win 11 Pro - 2022</v>
      </c>
      <c r="F1745" s="1" t="str">
        <f>IFERROR(__xludf.DUMMYFUNCTION("CONCATENATE(GOOGLETRANSLATE(C1745, ""en"", ""ja""))"),"Lenovo ThinkPad T14 14 FHD (AMD 6 コア Ryzen 5 Pro 4650U (Beats i7-1165G7)、16GB RAM、512GB SSD) ビジネス ノートパソコン、IPS アンチグレア、バックライト付きキーボード、2 x Type-C、Web カメラ、Win 10 Pro / Win 11 Pro - 2022")</f>
        <v>Lenovo ThinkPad T14 14 FHD (AMD 6 コア Ryzen 5 Pro 4650U (Beats i7-1165G7)、16GB RAM、512GB SSD) ビジネス ノートパソコン、IPS アンチグレア、バックライト付きキーボード、2 x Type-C、Web カメラ、Win 10 Pro / Win 11 Pro - 2022</v>
      </c>
    </row>
    <row r="1746" ht="15.75" customHeight="1">
      <c r="A1746" s="1">
        <v>3598.0</v>
      </c>
      <c r="B1746" s="1" t="s">
        <v>6</v>
      </c>
      <c r="C1746" s="1" t="s">
        <v>1589</v>
      </c>
      <c r="D1746" s="1" t="str">
        <f>IFERROR(__xludf.DUMMYFUNCTION("CONCATENATE(GOOGLETRANSLATE(C1746, ""en"", ""zh-cn""))
"),"Atomos Ninja V+ 5 8K HDMI H.265 原始录制监视器，带 WD Blue 500GB Sata SSD 必备套装 - 包括：2 节可充电锂离子电池 + 电池充电器 + 超细纤维清洁布")</f>
        <v>Atomos Ninja V+ 5 8K HDMI H.265 原始录制监视器，带 WD Blue 500GB Sata SSD 必备套装 - 包括：2 节可充电锂离子电池 + 电池充电器 + 超细纤维清洁布</v>
      </c>
      <c r="E1746" s="1" t="str">
        <f>IFERROR(__xludf.DUMMYFUNCTION("CONCATENATE(GOOGLETRANSLATE(C1746, ""en"", ""ko""))"),"Atomos Ninja V+ 5 8K HDMI H.265 Raw 녹화 모니터(WD Blue 500GB Sata SSD 필수 번들 포함) – 포함 사항: 충전식 리튬 이온 배터리 2개 + 배터리 충전기 + 극세사 청소용 천")</f>
        <v>Atomos Ninja V+ 5 8K HDMI H.265 Raw 녹화 모니터(WD Blue 500GB Sata SSD 필수 번들 포함) – 포함 사항: 충전식 리튬 이온 배터리 2개 + 배터리 충전기 + 극세사 청소용 천</v>
      </c>
      <c r="F1746" s="1" t="str">
        <f>IFERROR(__xludf.DUMMYFUNCTION("CONCATENATE(GOOGLETRANSLATE(C1746, ""en"", ""ja""))"),"ATOMOS Ninja V+ 5 8K HDMI H.265 Raw 録画モニター、WD Blue 500GB Sata SSD 必須バンドル付き – 内容: 2X 充電式リチウムイオンバッテリー + バッテリー充電器 + マイクロファイバークリーニングクロス")</f>
        <v>ATOMOS Ninja V+ 5 8K HDMI H.265 Raw 録画モニター、WD Blue 500GB Sata SSD 必須バンドル付き – 内容: 2X 充電式リチウムイオンバッテリー + バッテリー充電器 + マイクロファイバークリーニングクロス</v>
      </c>
    </row>
    <row r="1747" ht="15.75" customHeight="1">
      <c r="A1747" s="1">
        <v>3608.0</v>
      </c>
      <c r="B1747" s="1" t="s">
        <v>6</v>
      </c>
      <c r="C1747" s="1" t="s">
        <v>1590</v>
      </c>
      <c r="D1747" s="1" t="str">
        <f>IFERROR(__xludf.DUMMYFUNCTION("CONCATENATE(GOOGLETRANSLATE(C1747, ""en"", ""zh-cn""))
"),"Lenovo ThinkPad E14 Gen 3 14 FHD IPS (AMD Ryzen 7 5700U，16GB RAM，512GB PCIe SSD，8 核 (Beat i7-1165G7)) 商务笔记本电脑，防眩光，Type-C（DP 和充电），网络摄像头，Win 10 Pro / 11 Pro")</f>
        <v>Lenovo ThinkPad E14 Gen 3 14 FHD IPS (AMD Ryzen 7 5700U，16GB RAM，512GB PCIe SSD，8 核 (Beat i7-1165G7)) 商务笔记本电脑，防眩光，Type-C（DP 和充电），网络摄像头，Win 10 Pro / 11 Pro</v>
      </c>
      <c r="E1747" s="1" t="str">
        <f>IFERROR(__xludf.DUMMYFUNCTION("CONCATENATE(GOOGLETRANSLATE(C1747, ""en"", ""ko""))"),"Lenovo ThinkPad E14 Gen 3 14 FHD IPS(AMD Ryzen 7 5700U, 16GB RAM, 512GB PCIe SSD, 8코어(Beat i7-1165G7)) 비즈니스 노트북, 눈부심 방지, Type-C(DP 및 충전), 웹캠, Win 10 Pro/11 Pro")</f>
        <v>Lenovo ThinkPad E14 Gen 3 14 FHD IPS(AMD Ryzen 7 5700U, 16GB RAM, 512GB PCIe SSD, 8코어(Beat i7-1165G7)) 비즈니스 노트북, 눈부심 방지, Type-C(DP 및 충전), 웹캠, Win 10 Pro/11 Pro</v>
      </c>
      <c r="F1747" s="1" t="str">
        <f>IFERROR(__xludf.DUMMYFUNCTION("CONCATENATE(GOOGLETRANSLATE(C1747, ""en"", ""ja""))"),"Lenovo ThinkPad E14 Gen 3 14 FHD IPS (AMD Ryzen 7 5700U、16GB RAM、512GB PCIe SSD、8コア (Beat i7-1165G7)) ビジネスノートパソコン、アンチグレア、Type-C (DP および充電)、Web カメラ、Win 10 Pro / 11 Pro")</f>
        <v>Lenovo ThinkPad E14 Gen 3 14 FHD IPS (AMD Ryzen 7 5700U、16GB RAM、512GB PCIe SSD、8コア (Beat i7-1165G7)) ビジネスノートパソコン、アンチグレア、Type-C (DP および充電)、Web カメラ、Win 10 Pro / 11 Pro</v>
      </c>
    </row>
    <row r="1748" ht="15.75" customHeight="1">
      <c r="A1748" s="1">
        <v>3614.0</v>
      </c>
      <c r="B1748" s="1" t="s">
        <v>6</v>
      </c>
      <c r="C1748" s="1" t="s">
        <v>1591</v>
      </c>
      <c r="D1748" s="1" t="str">
        <f>IFERROR(__xludf.DUMMYFUNCTION("CONCATENATE(GOOGLETRANSLATE(C1748, ""en"", ""zh-cn""))
"),"当天送达 惠普 21.5 英寸全高清触摸屏 Ryzen-3 一体机新型号，内置网络摄像头 惠普学校/办公室使用 8GB RAM 480GB SSD Win 10 家用黑色 1 年保修，带键盘和鼠标")</f>
        <v>当天送达 惠普 21.5 英寸全高清触摸屏 Ryzen-3 一体机新型号，内置网络摄像头 惠普学校/办公室使用 8GB RAM 480GB SSD Win 10 家用黑色 1 年保修，带键盘和鼠标</v>
      </c>
      <c r="E1748" s="1" t="str">
        <f>IFERROR(__xludf.DUMMYFUNCTION("CONCATENATE(GOOGLETRANSLATE(C1748, ""en"", ""ko""))"),"당일 배송 HP 21.5"" FullHD 터치스크린 Ryzen-3 웹캠이 내장된 올인원 PC 새 모델 HP 학교/사무실용 8GB RAM 480GB SSD Win 10 홈 블랙 키보드 및 마우스 포함 1년 보증")</f>
        <v>당일 배송 HP 21.5" FullHD 터치스크린 Ryzen-3 웹캠이 내장된 올인원 PC 새 모델 HP 학교/사무실용 8GB RAM 480GB SSD Win 10 홈 블랙 키보드 및 마우스 포함 1년 보증</v>
      </c>
      <c r="F1748" s="1" t="str">
        <f>IFERROR(__xludf.DUMMYFUNCTION("CONCATENATE(GOOGLETRANSLATE(C1748, ""en"", ""ja""))"),"即日出荷 HP 21.5インチ FullHD タッチスクリーン Ryzen-3 オールインワン PC 新モデル Webカメラ内蔵 hp 学校/オフィス用 8GB RAM 480GB SSD Win 10 Home ブラック 1年保証 キーボード・マウス付")</f>
        <v>即日出荷 HP 21.5インチ FullHD タッチスクリーン Ryzen-3 オールインワン PC 新モデル Webカメラ内蔵 hp 学校/オフィス用 8GB RAM 480GB SSD Win 10 Home ブラック 1年保証 キーボード・マウス付</v>
      </c>
    </row>
    <row r="1749" ht="15.75" customHeight="1">
      <c r="A1749" s="1">
        <v>3625.0</v>
      </c>
      <c r="B1749" s="1" t="s">
        <v>6</v>
      </c>
      <c r="C1749" s="1" t="s">
        <v>1592</v>
      </c>
      <c r="D1749" s="1" t="str">
        <f>IFERROR(__xludf.DUMMYFUNCTION("CONCATENATE(GOOGLETRANSLATE(C1749, ""en"", ""zh-cn""))
"),"Dell Latitude 3410 3000 14 FHD (Intel 四核 i5-10210U (Beat i7-8565U)，16GB RAM，512GB PCIe SSD，全高清 IPS) 商务学生教育笔记本电脑，Type-C，RJ-45，HDMI，Win 10 Pro / Win 11 Pro")</f>
        <v>Dell Latitude 3410 3000 14 FHD (Intel 四核 i5-10210U (Beat i7-8565U)，16GB RAM，512GB PCIe SSD，全高清 IPS) 商务学生教育笔记本电脑，Type-C，RJ-45，HDMI，Win 10 Pro / Win 11 Pro</v>
      </c>
      <c r="E1749" s="1" t="str">
        <f>IFERROR(__xludf.DUMMYFUNCTION("CONCATENATE(GOOGLETRANSLATE(C1749, ""en"", ""ko""))"),"Dell Latitude 3410 3000 14 FHD(Intel 쿼드 코어 i5-10210U(Beat i7-8565U), 16GB RAM, 512GB PCIe SSD, 풀 HD IPS) 비즈니스 학생 교육용 노트북, Type-C, RJ-45, HDMI, Win 10 Pro/Win 11 Pro")</f>
        <v>Dell Latitude 3410 3000 14 FHD(Intel 쿼드 코어 i5-10210U(Beat i7-8565U), 16GB RAM, 512GB PCIe SSD, 풀 HD IPS) 비즈니스 학생 교육용 노트북, Type-C, RJ-45, HDMI, Win 10 Pro/Win 11 Pro</v>
      </c>
      <c r="F1749" s="1" t="str">
        <f>IFERROR(__xludf.DUMMYFUNCTION("CONCATENATE(GOOGLETRANSLATE(C1749, ""en"", ""ja""))"),"Dell Latitude 3410 3000 14 FHD (Intel クアッドコア i5-10210U (Beat i7-8565U)、16GB RAM、512GB PCIe SSD、フル HD IPS) ビジネス学生教育ノートパソコン、Type-C、RJ-45、HDMI、Win 10 Pro / Win 11 Pro")</f>
        <v>Dell Latitude 3410 3000 14 FHD (Intel クアッドコア i5-10210U (Beat i7-8565U)、16GB RAM、512GB PCIe SSD、フル HD IPS) ビジネス学生教育ノートパソコン、Type-C、RJ-45、HDMI、Win 10 Pro / Win 11 Pro</v>
      </c>
    </row>
    <row r="1750" ht="15.75" customHeight="1">
      <c r="A1750" s="1">
        <v>3634.0</v>
      </c>
      <c r="B1750" s="1" t="s">
        <v>6</v>
      </c>
      <c r="C1750" s="1" t="s">
        <v>943</v>
      </c>
      <c r="D1750" s="1" t="str">
        <f>IFERROR(__xludf.DUMMYFUNCTION("CONCATENATE(GOOGLETRANSLATE(C1750, ""en"", ""zh-cn""))
"),"Apple iPad Pro 2018（11 英寸，Wi-Fi + 蜂窝网络，1TB）- 深空灰色 -（续订）")</f>
        <v>Apple iPad Pro 2018（11 英寸，Wi-Fi + 蜂窝网络，1TB）- 深空灰色 -（续订）</v>
      </c>
      <c r="E1750" s="1" t="str">
        <f>IFERROR(__xludf.DUMMYFUNCTION("CONCATENATE(GOOGLETRANSLATE(C1750, ""en"", ""ko""))"),"Apple iPad Pro 2018 (11인치, Wi-Fi + Cellular, 1TB) - 스페이스 그레이 - (리뉴얼)")</f>
        <v>Apple iPad Pro 2018 (11인치, Wi-Fi + Cellular, 1TB) - 스페이스 그레이 - (리뉴얼)</v>
      </c>
      <c r="F1750" s="1" t="str">
        <f>IFERROR(__xludf.DUMMYFUNCTION("CONCATENATE(GOOGLETRANSLATE(C1750, ""en"", ""ja""))"),"Apple iPad Pro 2018 (11インチ、Wi-Fi + Cellular、1TB) - スペースグレイ - (リニューアル)")</f>
        <v>Apple iPad Pro 2018 (11インチ、Wi-Fi + Cellular、1TB) - スペースグレイ - (リニューアル)</v>
      </c>
    </row>
    <row r="1751" ht="15.75" customHeight="1">
      <c r="A1751" s="1">
        <v>3636.0</v>
      </c>
      <c r="B1751" s="1" t="s">
        <v>6</v>
      </c>
      <c r="C1751" s="1" t="s">
        <v>1120</v>
      </c>
      <c r="D1751" s="1" t="str">
        <f>IFERROR(__xludf.DUMMYFUNCTION("CONCATENATE(GOOGLETRANSLATE(C1751, ""en"", ""zh-cn""))
"),"PVC RV 橡胶屋顶套件 45 百万 | 9’6’’宽x 10’-40’长房车（露营车）屋顶维修（40’），白色，（RVK45PVCW95）")</f>
        <v>PVC RV 橡胶屋顶套件 45 百万 | 9’6’’宽x 10’-40’长房车（露营车）屋顶维修（40’），白色，（RVK45PVCW95）</v>
      </c>
      <c r="E1751" s="1" t="str">
        <f>IFERROR(__xludf.DUMMYFUNCTION("CONCATENATE(GOOGLETRANSLATE(C1751, ""en"", ""ko""))"),"PVC RV 고무 지붕 키트 45mil | 9'6'' 너비 x 10'-40' 길이 RV(캠퍼) 지붕 수리(40'), 흰색, (RVK45PVCW95)")</f>
        <v>PVC RV 고무 지붕 키트 45mil | 9'6'' 너비 x 10'-40' 길이 RV(캠퍼) 지붕 수리(40'), 흰색, (RVK45PVCW95)</v>
      </c>
      <c r="F1751" s="1" t="str">
        <f>IFERROR(__xludf.DUMMYFUNCTION("CONCATENATE(GOOGLETRANSLATE(C1751, ""en"", ""ja""))"),"PVC RV ラバー ルーフ キット 45 mil |幅9'6'' x 長さ10'-40' RV (キャンピングカー) 屋根修理 (40')、白、(RVK45PVCW95)")</f>
        <v>PVC RV ラバー ルーフ キット 45 mil |幅9'6'' x 長さ10'-40' RV (キャンピングカー) 屋根修理 (40')、白、(RVK45PVCW95)</v>
      </c>
    </row>
    <row r="1752" ht="15.75" customHeight="1">
      <c r="A1752" s="1">
        <v>3672.0</v>
      </c>
      <c r="B1752" s="1" t="s">
        <v>6</v>
      </c>
      <c r="C1752" s="1" t="s">
        <v>1593</v>
      </c>
      <c r="D1752" s="1" t="str">
        <f>IFERROR(__xludf.DUMMYFUNCTION("CONCATENATE(GOOGLETRANSLATE(C1752, ""en"", ""zh-cn""))
"),"垂直电缆门禁电缆静压室：22AWG/3 对屏蔽 + 18AWG/4 导线 + 22AWG/4 导线 + 22AWG/2 导线，多股裸铜导线，500 英尺线轴，黄色")</f>
        <v>垂直电缆门禁电缆静压室：22AWG/3 对屏蔽 + 18AWG/4 导线 + 22AWG/4 导线 + 22AWG/2 导线，多股裸铜导线，500 英尺线轴，黄色</v>
      </c>
      <c r="E1752" s="1" t="str">
        <f>IFERROR(__xludf.DUMMYFUNCTION("CONCATENATE(GOOGLETRANSLATE(C1752, ""en"", ""ko""))"),"수직 케이블 액세스 제어 케이블 플레넘: 22AWG/3쌍 차폐 + 18AWG/4 도체 + 22AWG/4 도체 + 22AWG/2 도체, 연선 구리 도체, 500피트 스풀, 노란색")</f>
        <v>수직 케이블 액세스 제어 케이블 플레넘: 22AWG/3쌍 차폐 + 18AWG/4 도체 + 22AWG/4 도체 + 22AWG/2 도체, 연선 구리 도체, 500피트 스풀, 노란색</v>
      </c>
      <c r="F1752" s="1" t="str">
        <f>IFERROR(__xludf.DUMMYFUNCTION("CONCATENATE(GOOGLETRANSLATE(C1752, ""en"", ""ja""))"),"垂直ケーブルアクセス制御ケーブルプレナム: 22AWG/3 ペアシールド + 18AWG/4 導体 + 22AWG/4 導体 + 22AWG/2 導体、撚り線裸銅導体、500 フィートスプール、黄色")</f>
        <v>垂直ケーブルアクセス制御ケーブルプレナム: 22AWG/3 ペアシールド + 18AWG/4 導体 + 22AWG/4 導体 + 22AWG/2 導体、撚り線裸銅導体、500 フィートスプール、黄色</v>
      </c>
    </row>
    <row r="1753" ht="15.75" customHeight="1">
      <c r="A1753" s="1">
        <v>3705.0</v>
      </c>
      <c r="B1753" s="1" t="s">
        <v>6</v>
      </c>
      <c r="C1753" s="1" t="s">
        <v>1594</v>
      </c>
      <c r="D1753" s="1" t="str">
        <f>IFERROR(__xludf.DUMMYFUNCTION("CONCATENATE(GOOGLETRANSLATE(C1753, ""en"", ""zh-cn""))
"),"HP Pavilion 游戏台式电脑 - AMD 6 核 Ryzen 5 5600G 处理器，AMD Radeon RX5500，8GB RAM，256GB PCIe NVMe SSD，Win 10 Home")</f>
        <v>HP Pavilion 游戏台式电脑 - AMD 6 核 Ryzen 5 5600G 处理器，AMD Radeon RX5500，8GB RAM，256GB PCIe NVMe SSD，Win 10 Home</v>
      </c>
      <c r="E1753" s="1" t="str">
        <f>IFERROR(__xludf.DUMMYFUNCTION("CONCATENATE(GOOGLETRANSLATE(C1753, ""en"", ""ko""))"),"HP Pavilion 게이밍 데스크탑 PC - AMD 6코어 Ryzen 5 5600G 프로세서, AMD Radeon RX5500, 8GB RAM, 256GB PCIe NVMe SSD, Win 10 홈")</f>
        <v>HP Pavilion 게이밍 데스크탑 PC - AMD 6코어 Ryzen 5 5600G 프로세서, AMD Radeon RX5500, 8GB RAM, 256GB PCIe NVMe SSD, Win 10 홈</v>
      </c>
      <c r="F1753" s="1" t="str">
        <f>IFERROR(__xludf.DUMMYFUNCTION("CONCATENATE(GOOGLETRANSLATE(C1753, ""en"", ""ja""))"),"HP Pavilion ゲーミング デスクトップ PC - AMD 6 コア Ryzen 5 5600G プロセッサー、AMD Radeon RX5500、8GB RAM、256GB PCIe NVMe SSD、Win 10 Home")</f>
        <v>HP Pavilion ゲーミング デスクトップ PC - AMD 6 コア Ryzen 5 5600G プロセッサー、AMD Radeon RX5500、8GB RAM、256GB PCIe NVMe SSD、Win 10 Home</v>
      </c>
    </row>
    <row r="1754" ht="15.75" customHeight="1">
      <c r="A1754" s="1">
        <v>3717.0</v>
      </c>
      <c r="B1754" s="1" t="s">
        <v>6</v>
      </c>
      <c r="C1754" s="1" t="s">
        <v>1595</v>
      </c>
      <c r="D1754" s="1" t="str">
        <f>IFERROR(__xludf.DUMMYFUNCTION("CONCATENATE(GOOGLETRANSLATE(C1754, ""en"", ""zh-cn""))
"),"HP [Windows 11 Pro] 15.6 英寸高清触摸屏商务笔记本电脑，第 11 代英特尔酷睿 i3-1115G4 处理器，12GB RAM，256GB SSD，HDMI，WiFi，Type-C，长电池寿命，银色，PC")</f>
        <v>HP [Windows 11 Pro] 15.6 英寸高清触摸屏商务笔记本电脑，第 11 代英特尔酷睿 i3-1115G4 处理器，12GB RAM，256GB SSD，HDMI，WiFi，Type-C，长电池寿命，银色，PC</v>
      </c>
      <c r="E1754" s="1" t="str">
        <f>IFERROR(__xludf.DUMMYFUNCTION("CONCATENATE(GOOGLETRANSLATE(C1754, ""en"", ""ko""))"),"HP [Windows 11 Pro] 15.6 HD 터치스크린 비즈니스 노트북, 11세대 Intel Core i3-1115G4 프로세서, 12GB RAM, 256GB SSD, HDMI, WiFi, Type-C, 긴 배터리 수명, 실버, PCS")</f>
        <v>HP [Windows 11 Pro] 15.6 HD 터치스크린 비즈니스 노트북, 11세대 Intel Core i3-1115G4 프로세서, 12GB RAM, 256GB SSD, HDMI, WiFi, Type-C, 긴 배터리 수명, 실버, PCS</v>
      </c>
      <c r="F1754" s="1" t="str">
        <f>IFERROR(__xludf.DUMMYFUNCTION("CONCATENATE(GOOGLETRANSLATE(C1754, ""en"", ""ja""))"),"HP [Windows 11 Pro] 15.6 HD タッチスクリーン ビジネス ノートパソコン、第 11 世代インテル Core i3-1115G4 プロセッサー、12GB RAM、256GB SSD、HDMI、WiFi、Type-C、長いバッテリー寿命、シルバー、PCS")</f>
        <v>HP [Windows 11 Pro] 15.6 HD タッチスクリーン ビジネス ノートパソコン、第 11 世代インテル Core i3-1115G4 プロセッサー、12GB RAM、256GB SSD、HDMI、WiFi、Type-C、長いバッテリー寿命、シルバー、PCS</v>
      </c>
    </row>
    <row r="1755" ht="15.75" customHeight="1">
      <c r="A1755" s="1">
        <v>3724.0</v>
      </c>
      <c r="B1755" s="1" t="s">
        <v>6</v>
      </c>
      <c r="C1755" s="1" t="s">
        <v>1596</v>
      </c>
      <c r="D1755" s="1" t="str">
        <f>IFERROR(__xludf.DUMMYFUNCTION("CONCATENATE(GOOGLETRANSLATE(C1755, ""en"", ""zh-cn""))
"),"ViewSonic ID2456 24 英寸触摸屏平板电脑，带主动式手写笔、先进的人体工程学设计和 USB C，适用于数字书写、图形绘制、远程教学、远程学习")</f>
        <v>ViewSonic ID2456 24 英寸触摸屏平板电脑，带主动式手写笔、先进的人体工程学设计和 USB C，适用于数字书写、图形绘制、远程教学、远程学习</v>
      </c>
      <c r="E1755" s="1" t="str">
        <f>IFERROR(__xludf.DUMMYFUNCTION("CONCATENATE(GOOGLETRANSLATE(C1755, ""en"", ""ko""))"),"ViewSonic ID2456 액티브 스타일러스, 고급 인체공학 및 디지털 쓰기, 그래픽 드로잉, 원격 교육, 원격 학습을 위한 USB C를 갖춘 24인치 터치 디스플레이 태블릿")</f>
        <v>ViewSonic ID2456 액티브 스타일러스, 고급 인체공학 및 디지털 쓰기, 그래픽 드로잉, 원격 교육, 원격 학습을 위한 USB C를 갖춘 24인치 터치 디스플레이 태블릿</v>
      </c>
      <c r="F1755" s="1" t="str">
        <f>IFERROR(__xludf.DUMMYFUNCTION("CONCATENATE(GOOGLETRANSLATE(C1755, ""en"", ""ja""))"),"ViewSonic ID2456 24 インチ タッチ ディスプレイ タブレット、アクティブ スタイラス、高度な人間工学、デジタル書き込み、グラフィック描画、リモート教育、遠隔学習用の USB C を搭載")</f>
        <v>ViewSonic ID2456 24 インチ タッチ ディスプレイ タブレット、アクティブ スタイラス、高度な人間工学、デジタル書き込み、グラフィック描画、リモート教育、遠隔学習用の USB C を搭載</v>
      </c>
    </row>
    <row r="1756" ht="15.75" customHeight="1">
      <c r="A1756" s="1">
        <v>3746.0</v>
      </c>
      <c r="B1756" s="1" t="s">
        <v>6</v>
      </c>
      <c r="C1756" s="1" t="s">
        <v>1597</v>
      </c>
      <c r="D1756" s="1" t="str">
        <f>IFERROR(__xludf.DUMMYFUNCTION("CONCATENATE(GOOGLETRANSLATE(C1756, ""en"", ""zh-cn""))
"),"OUVISLITE 4 Bay NAS 16TB 个人云存储设备，配备 Intel N4500 处理器 4GB DDR4 256GB SSD，最高支持 4TB SSD × 4，iOS/Android 用于数据和媒体文件（无盘）")</f>
        <v>OUVISLITE 4 Bay NAS 16TB 个人云存储设备，配备 Intel N4500 处理器 4GB DDR4 256GB SSD，最高支持 4TB SSD × 4，iOS/Android 用于数据和媒体文件（无盘）</v>
      </c>
      <c r="E1756" s="1" t="str">
        <f>IFERROR(__xludf.DUMMYFUNCTION("CONCATENATE(GOOGLETRANSLATE(C1756, ""en"", ""ko""))"),"OUVISLITE 4 베이 NAS 16TB 개인 클라우드 스토리지 장치(Intel N4500 프로세서 포함) 4GB DDR4 256GB SSD 포함, 최대 4TB SSD 지원 × 4, 데이터 및 미디어 파일용 iOS/Android(디스크 없음)")</f>
        <v>OUVISLITE 4 베이 NAS 16TB 개인 클라우드 스토리지 장치(Intel N4500 프로세서 포함) 4GB DDR4 256GB SSD 포함, 최대 4TB SSD 지원 × 4, 데이터 및 미디어 파일용 iOS/Android(디스크 없음)</v>
      </c>
      <c r="F1756" s="1" t="str">
        <f>IFERROR(__xludf.DUMMYFUNCTION("CONCATENATE(GOOGLETRANSLATE(C1756, ""en"", ""ja""))"),"OUVISLITE 4 ベイ NAS 16TB パーソナル クラウド ストレージ デバイス、インテル N4500 プロセッサー搭載 4GB DDR4 256GB SSD 付属、最大 4TB SSD × 4 をサポート、データおよびメディア ファイル用の iOS/Android (ディスクレス)")</f>
        <v>OUVISLITE 4 ベイ NAS 16TB パーソナル クラウド ストレージ デバイス、インテル N4500 プロセッサー搭載 4GB DDR4 256GB SSD 付属、最大 4TB SSD × 4 をサポート、データおよびメディア ファイル用の iOS/Android (ディスクレス)</v>
      </c>
    </row>
    <row r="1757" ht="15.75" customHeight="1">
      <c r="A1757" s="1">
        <v>3772.0</v>
      </c>
      <c r="B1757" s="1" t="s">
        <v>6</v>
      </c>
      <c r="C1757" s="1" t="s">
        <v>1598</v>
      </c>
      <c r="D1757" s="1" t="str">
        <f>IFERROR(__xludf.DUMMYFUNCTION("CONCATENATE(GOOGLETRANSLATE(C1757, ""en"", ""zh-cn""))
"),"HP 15.6 对角线全高清 (1920 x 1080) 笔记本电脑，第 11 代英特尔酷睿 i5-1135G7 处理器，8GB DDR4 RAM，256GB SSD，802.11ac，蓝牙，HDMI，Windows 11")</f>
        <v>HP 15.6 对角线全高清 (1920 x 1080) 笔记本电脑，第 11 代英特尔酷睿 i5-1135G7 处理器，8GB DDR4 RAM，256GB SSD，802.11ac，蓝牙，HDMI，Windows 11</v>
      </c>
      <c r="E1757" s="1" t="str">
        <f>IFERROR(__xludf.DUMMYFUNCTION("CONCATENATE(GOOGLETRANSLATE(C1757, ""en"", ""ko""))"),"HP 15.6 대각선 풀 HD(1920 x 1080) 노트북, 11세대 Intel Core i5-1135G7 프로세서, 8GB DDR4 RAM, 256GB SSD, 802.11ac, Bluetooth, HDMI, Windows 11")</f>
        <v>HP 15.6 대각선 풀 HD(1920 x 1080) 노트북, 11세대 Intel Core i5-1135G7 프로세서, 8GB DDR4 RAM, 256GB SSD, 802.11ac, Bluetooth, HDMI, Windows 11</v>
      </c>
      <c r="F1757" s="1" t="str">
        <f>IFERROR(__xludf.DUMMYFUNCTION("CONCATENATE(GOOGLETRANSLATE(C1757, ""en"", ""ja""))"),"HP 15.6 対角フル HD (1920 x 1080) ラップトップ、第 11 世代インテル Core i5-1135G7 プロセッサー、8GB DDR4 RAM、256GB SSD、802.11ac、Bluetooth、HDMI、Windows 11")</f>
        <v>HP 15.6 対角フル HD (1920 x 1080) ラップトップ、第 11 世代インテル Core i5-1135G7 プロセッサー、8GB DDR4 RAM、256GB SSD、802.11ac、Bluetooth、HDMI、Windows 11</v>
      </c>
    </row>
    <row r="1758" ht="15.75" customHeight="1">
      <c r="A1758" s="1">
        <v>3782.0</v>
      </c>
      <c r="B1758" s="1" t="s">
        <v>6</v>
      </c>
      <c r="C1758" s="1" t="s">
        <v>1599</v>
      </c>
      <c r="D1758" s="1" t="str">
        <f>IFERROR(__xludf.DUMMYFUNCTION("CONCATENATE(GOOGLETRANSLATE(C1758, ""en"", ""zh-cn""))
"),"4 件装（黑+中+年+米）215A | W2310A W2311A W2312A W2313A 碳粉盒更换件适用于 HP Color Laserjet Pro MFP M182nw(7KW55A) M182n(7KW54A) M183fw(7KW56A) M155 M182 打印机墨盒")</f>
        <v>4 件装（黑+中+年+米）215A | W2310A W2311A W2312A W2313A 碳粉盒更换件适用于 HP Color Laserjet Pro MFP M182nw(7KW55A) M182n(7KW54A) M183fw(7KW56A) M155 M182 打印机墨盒</v>
      </c>
      <c r="E1758" s="1" t="str">
        <f>IFERROR(__xludf.DUMMYFUNCTION("CONCATENATE(GOOGLETRANSLATE(C1758, ""en"", ""ko""))"),"4팩(BK+C+Y+M) 215A | W2310A W2311A W2312A W2313A HP 컬러 레이저젯 프로 MFP M182nw(7KW55A) M182n(7KW54A) M183fw(7KW56A) M155 M182 프린터 잉크 카트리지용 토너 카트리지 교체")</f>
        <v>4팩(BK+C+Y+M) 215A | W2310A W2311A W2312A W2313A HP 컬러 레이저젯 프로 MFP M182nw(7KW55A) M182n(7KW54A) M183fw(7KW56A) M155 M182 프린터 잉크 카트리지용 토너 카트리지 교체</v>
      </c>
      <c r="F1758" s="1" t="str">
        <f>IFERROR(__xludf.DUMMYFUNCTION("CONCATENATE(GOOGLETRANSLATE(C1758, ""en"", ""ja""))"),"4 パック (BK+C+Y+M) 215A | W2310A W2311A W2312A W2313A トナー カートリッジ交換用 HP Color Laserjet Pro MFP M182nw(7KW55A) M182n(7KW54A) M183fw(7KW56A) M155 M182 プリンタ インク カートリッジ")</f>
        <v>4 パック (BK+C+Y+M) 215A | W2310A W2311A W2312A W2313A トナー カートリッジ交換用 HP Color Laserjet Pro MFP M182nw(7KW55A) M182n(7KW54A) M183fw(7KW56A) M155 M182 プリンタ インク カートリッジ</v>
      </c>
    </row>
    <row r="1759" ht="15.75" customHeight="1">
      <c r="A1759" s="1">
        <v>3785.0</v>
      </c>
      <c r="B1759" s="1" t="s">
        <v>6</v>
      </c>
      <c r="C1759" s="1" t="s">
        <v>1600</v>
      </c>
      <c r="D1759" s="1" t="str">
        <f>IFERROR(__xludf.DUMMYFUNCTION("CONCATENATE(GOOGLETRANSLATE(C1759, ""en"", ""zh-cn""))
"),"2020 戴尔 Inspiron 14 笔记本电脑 第 10 代 Intel i3 1005G1 高达 3.4GHz 4GB DDR4 RAM 128GB PCIe SSD Untel UHD 显卡 HDMI 802.11ac WiFi 蓝牙 4.1 Windows 10")</f>
        <v>2020 戴尔 Inspiron 14 笔记本电脑 第 10 代 Intel i3 1005G1 高达 3.4GHz 4GB DDR4 RAM 128GB PCIe SSD Untel UHD 显卡 HDMI 802.11ac WiFi 蓝牙 4.1 Windows 10</v>
      </c>
      <c r="E1759" s="1" t="str">
        <f>IFERROR(__xludf.DUMMYFUNCTION("CONCATENATE(GOOGLETRANSLATE(C1759, ""en"", ""ko""))"),"2020 Dell Inspiron 14 노트북 컴퓨터 10세대 Intel i3 1005G1 최대 3.4GHz 4GB DDR4 RAM 128GB PCIe SSD Untel UHD 그래픽 HDMI 802.11ac WiFi Bluetooth 4.1 Windows 10")</f>
        <v>2020 Dell Inspiron 14 노트북 컴퓨터 10세대 Intel i3 1005G1 최대 3.4GHz 4GB DDR4 RAM 128GB PCIe SSD Untel UHD 그래픽 HDMI 802.11ac WiFi Bluetooth 4.1 Windows 10</v>
      </c>
      <c r="F1759" s="1" t="str">
        <f>IFERROR(__xludf.DUMMYFUNCTION("CONCATENATE(GOOGLETRANSLATE(C1759, ""en"", ""ja""))"),"2020 Dell Inspiron 14 ラップトップ コンピューター 第 10 世代 Intel i3 1005G1 最大 3.4GHz 4GB DDR4 RAM 128GB PCIe SSD Untel UHD グラフィックス HDMI 802.11ac WiFi Bluetooth 4.1 Windows 10")</f>
        <v>2020 Dell Inspiron 14 ラップトップ コンピューター 第 10 世代 Intel i3 1005G1 最大 3.4GHz 4GB DDR4 RAM 128GB PCIe SSD Untel UHD グラフィックス HDMI 802.11ac WiFi Bluetooth 4.1 Windows 10</v>
      </c>
    </row>
    <row r="1760" ht="15.75" customHeight="1">
      <c r="A1760" s="1">
        <v>3896.0</v>
      </c>
      <c r="B1760" s="1" t="s">
        <v>6</v>
      </c>
      <c r="C1760" s="1" t="s">
        <v>1601</v>
      </c>
      <c r="D1760" s="1" t="str">
        <f>IFERROR(__xludf.DUMMYFUNCTION("CONCATENATE(GOOGLETRANSLATE(C1760, ""en"", ""zh-cn""))
"),"Apple iPhone 12 Pro Max，128GB，银色 - 无锁版（续订高级版）")</f>
        <v>Apple iPhone 12 Pro Max，128GB，银色 - 无锁版（续订高级版）</v>
      </c>
      <c r="E1760" s="1" t="str">
        <f>IFERROR(__xludf.DUMMYFUNCTION("CONCATENATE(GOOGLETRANSLATE(C1760, ""en"", ""ko""))"),"Apple iPhone 12 Pro Max, 128GB, 실버 - 공기계(리뉴얼 프리미엄)")</f>
        <v>Apple iPhone 12 Pro Max, 128GB, 실버 - 공기계(리뉴얼 프리미엄)</v>
      </c>
      <c r="F1760" s="1" t="str">
        <f>IFERROR(__xludf.DUMMYFUNCTION("CONCATENATE(GOOGLETRANSLATE(C1760, ""en"", ""ja""))"),"Apple iPhone 12 Pro Max、128GB、シルバー - ロック解除済み (更新プレミアム)")</f>
        <v>Apple iPhone 12 Pro Max、128GB、シルバー - ロック解除済み (更新プレミアム)</v>
      </c>
    </row>
    <row r="1761" ht="15.75" customHeight="1">
      <c r="A1761" s="1">
        <v>3905.0</v>
      </c>
      <c r="B1761" s="1" t="s">
        <v>6</v>
      </c>
      <c r="C1761" s="1" t="s">
        <v>1602</v>
      </c>
      <c r="D1761" s="1" t="str">
        <f>IFERROR(__xludf.DUMMYFUNCTION("CONCATENATE(GOOGLETRANSLATE(C1761, ""en"", ""zh-cn""))
"),"Apple iPhone 12 Pro，128GB，石墨色 - 无锁版（续订高级版）")</f>
        <v>Apple iPhone 12 Pro，128GB，石墨色 - 无锁版（续订高级版）</v>
      </c>
      <c r="E1761" s="1" t="str">
        <f>IFERROR(__xludf.DUMMYFUNCTION("CONCATENATE(GOOGLETRANSLATE(C1761, ""en"", ""ko""))"),"Apple iPhone 12 Pro, 128GB, 그래파이트 - 공기계(리뉴얼 프리미엄)")</f>
        <v>Apple iPhone 12 Pro, 128GB, 그래파이트 - 공기계(리뉴얼 프리미엄)</v>
      </c>
      <c r="F1761" s="1" t="str">
        <f>IFERROR(__xludf.DUMMYFUNCTION("CONCATENATE(GOOGLETRANSLATE(C1761, ""en"", ""ja""))"),"Apple iPhone 12 Pro、128GB、グラファイト - ロック解除済み (更新プレミアム)")</f>
        <v>Apple iPhone 12 Pro、128GB、グラファイト - ロック解除済み (更新プレミアム)</v>
      </c>
    </row>
    <row r="1762" ht="15.75" customHeight="1">
      <c r="A1762" s="1">
        <v>3929.0</v>
      </c>
      <c r="B1762" s="1" t="s">
        <v>6</v>
      </c>
      <c r="C1762" s="1" t="s">
        <v>1603</v>
      </c>
      <c r="D1762" s="1" t="str">
        <f>IFERROR(__xludf.DUMMYFUNCTION("CONCATENATE(GOOGLETRANSLATE(C1762, ""en"", ""zh-cn""))
"),"三星 Galaxy S21 5G G991U 128GB 智能手机 - T-Mobile 已锁定 -（续订）")</f>
        <v>三星 Galaxy S21 5G G991U 128GB 智能手机 - T-Mobile 已锁定 -（续订）</v>
      </c>
      <c r="E1762" s="1" t="str">
        <f>IFERROR(__xludf.DUMMYFUNCTION("CONCATENATE(GOOGLETRANSLATE(C1762, ""en"", ""ko""))"),"삼성 갤럭시 S21 5G G991U 128GB 스마트폰 - T-Mobile 잠김 - (갱신)")</f>
        <v>삼성 갤럭시 S21 5G G991U 128GB 스마트폰 - T-Mobile 잠김 - (갱신)</v>
      </c>
      <c r="F1762" s="1" t="str">
        <f>IFERROR(__xludf.DUMMYFUNCTION("CONCATENATE(GOOGLETRANSLATE(C1762, ""en"", ""ja""))"),"Samsung Galaxy S21 5G G991U 128GB スマートフォン - T-Mobile ロック済み - (更新済み)")</f>
        <v>Samsung Galaxy S21 5G G991U 128GB スマートフォン - T-Mobile ロック済み - (更新済み)</v>
      </c>
    </row>
    <row r="1763" ht="15.75" customHeight="1">
      <c r="A1763" s="1">
        <v>3933.0</v>
      </c>
      <c r="B1763" s="1" t="s">
        <v>6</v>
      </c>
      <c r="C1763" s="1" t="s">
        <v>1604</v>
      </c>
      <c r="D1763" s="1" t="str">
        <f>IFERROR(__xludf.DUMMYFUNCTION("CONCATENATE(GOOGLETRANSLATE(C1763, ""en"", ""zh-cn""))
"),"Apple iPhone XR，64GB，黑色 - 已解锁（续订）")</f>
        <v>Apple iPhone XR，64GB，黑色 - 已解锁（续订）</v>
      </c>
      <c r="E1763" s="1" t="str">
        <f>IFERROR(__xludf.DUMMYFUNCTION("CONCATENATE(GOOGLETRANSLATE(C1763, ""en"", ""ko""))"),"Apple iPhone XR, 64GB, 블랙 - 공기계 (리뉴얼)")</f>
        <v>Apple iPhone XR, 64GB, 블랙 - 공기계 (리뉴얼)</v>
      </c>
      <c r="F1763" s="1" t="str">
        <f>IFERROR(__xludf.DUMMYFUNCTION("CONCATENATE(GOOGLETRANSLATE(C1763, ""en"", ""ja""))"),"Apple iPhone XR、64GB、ブラック - ロック解除済み (更新済み)")</f>
        <v>Apple iPhone XR、64GB、ブラック - ロック解除済み (更新済み)</v>
      </c>
    </row>
    <row r="1764" ht="15.75" customHeight="1">
      <c r="A1764" s="1">
        <v>3935.0</v>
      </c>
      <c r="B1764" s="1" t="s">
        <v>6</v>
      </c>
      <c r="C1764" s="1" t="s">
        <v>1605</v>
      </c>
      <c r="D1764" s="1" t="str">
        <f>IFERROR(__xludf.DUMMYFUNCTION("CONCATENATE(GOOGLETRANSLATE(C1764, ""en"", ""zh-cn""))
"),"Apple iPhone XS，美国版，64GB，深空灰色 - 无锁版（续订）")</f>
        <v>Apple iPhone XS，美国版，64GB，深空灰色 - 无锁版（续订）</v>
      </c>
      <c r="E1764" s="1" t="str">
        <f>IFERROR(__xludf.DUMMYFUNCTION("CONCATENATE(GOOGLETRANSLATE(C1764, ""en"", ""ko""))"),"Apple iPhone XS, 미국 버전, 64GB, 스페이스 그레이 - 공기계(리뉴얼)")</f>
        <v>Apple iPhone XS, 미국 버전, 64GB, 스페이스 그레이 - 공기계(리뉴얼)</v>
      </c>
      <c r="F1764" s="1" t="str">
        <f>IFERROR(__xludf.DUMMYFUNCTION("CONCATENATE(GOOGLETRANSLATE(C1764, ""en"", ""ja""))"),"Apple iPhone XS、US ​​バージョン、64GB、スペース グレイ - ロック解除済み (更新済み)")</f>
        <v>Apple iPhone XS、US ​​バージョン、64GB、スペース グレイ - ロック解除済み (更新済み)</v>
      </c>
    </row>
    <row r="1765" ht="15.75" customHeight="1">
      <c r="A1765" s="1">
        <v>3938.0</v>
      </c>
      <c r="B1765" s="1" t="s">
        <v>6</v>
      </c>
      <c r="C1765" s="1" t="s">
        <v>1606</v>
      </c>
      <c r="D1765" s="1" t="str">
        <f>IFERROR(__xludf.DUMMYFUNCTION("CONCATENATE(GOOGLETRANSLATE(C1765, ""en"", ""zh-cn""))
"),"Apple iPhone X，美国版，64GB，银色 - 无锁版（续订）")</f>
        <v>Apple iPhone X，美国版，64GB，银色 - 无锁版（续订）</v>
      </c>
      <c r="E1765" s="1" t="str">
        <f>IFERROR(__xludf.DUMMYFUNCTION("CONCATENATE(GOOGLETRANSLATE(C1765, ""en"", ""ko""))"),"Apple iPhone X, 미국 버전, 64GB, 실버 - 공기계(갱신)")</f>
        <v>Apple iPhone X, 미국 버전, 64GB, 실버 - 공기계(갱신)</v>
      </c>
      <c r="F1765" s="1" t="str">
        <f>IFERROR(__xludf.DUMMYFUNCTION("CONCATENATE(GOOGLETRANSLATE(C1765, ""en"", ""ja""))"),"Apple iPhone X、US バージョン、64GB、シルバー - ロック解除済み (更新済み)")</f>
        <v>Apple iPhone X、US バージョン、64GB、シルバー - ロック解除済み (更新済み)</v>
      </c>
    </row>
    <row r="1766" ht="15.75" customHeight="1">
      <c r="A1766" s="1">
        <v>3947.0</v>
      </c>
      <c r="B1766" s="1" t="s">
        <v>6</v>
      </c>
      <c r="C1766" s="1" t="s">
        <v>1607</v>
      </c>
      <c r="D1766" s="1" t="str">
        <f>IFERROR(__xludf.DUMMYFUNCTION("CONCATENATE(GOOGLETRANSLATE(C1766, ""en"", ""zh-cn""))
"),"欧米茄超霸赛车自动计时男式手表 329.32.44.51.01.001")</f>
        <v>欧米茄超霸赛车自动计时男式手表 329.32.44.51.01.001</v>
      </c>
      <c r="E1766" s="1" t="str">
        <f>IFERROR(__xludf.DUMMYFUNCTION("CONCATENATE(GOOGLETRANSLATE(C1766, ""en"", ""ko""))"),"오메가 스피드마스터 레이싱 오토매틱 크로노그래프 남성용 시계 329.32.44.51.01.001")</f>
        <v>오메가 스피드마스터 레이싱 오토매틱 크로노그래프 남성용 시계 329.32.44.51.01.001</v>
      </c>
      <c r="F1766" s="1" t="str">
        <f>IFERROR(__xludf.DUMMYFUNCTION("CONCATENATE(GOOGLETRANSLATE(C1766, ""en"", ""ja""))"),"オメガ スピードマスター レーシング オートマティック クロノグラフ メンズ腕時計 329.32.44.51.01.001")</f>
        <v>オメガ スピードマスター レーシング オートマティック クロノグラフ メンズ腕時計 329.32.44.51.01.001</v>
      </c>
    </row>
    <row r="1767" ht="15.75" customHeight="1">
      <c r="A1767" s="1">
        <v>3949.0</v>
      </c>
      <c r="B1767" s="1" t="s">
        <v>6</v>
      </c>
      <c r="C1767" s="1" t="s">
        <v>1608</v>
      </c>
      <c r="D1767" s="1" t="str">
        <f>IFERROR(__xludf.DUMMYFUNCTION("CONCATENATE(GOOGLETRANSLATE(C1767, ""en"", ""zh-cn""))
"),"欧米茄男士超霸模拟显示机械手动上链银色手表 311.30.42.30.01.006")</f>
        <v>欧米茄男士超霸模拟显示机械手动上链银色手表 311.30.42.30.01.006</v>
      </c>
      <c r="E1767" s="1" t="str">
        <f>IFERROR(__xludf.DUMMYFUNCTION("CONCATENATE(GOOGLETRANSLATE(C1767, ""en"", ""ko""))"),"오메가 남성용 스피드마스터 아날로그 디스플레이 기계식 핸드 윈드 실버 시계 311.30.42.30.01.006")</f>
        <v>오메가 남성용 스피드마스터 아날로그 디스플레이 기계식 핸드 윈드 실버 시계 311.30.42.30.01.006</v>
      </c>
      <c r="F1767" s="1" t="str">
        <f>IFERROR(__xludf.DUMMYFUNCTION("CONCATENATE(GOOGLETRANSLATE(C1767, ""en"", ""ja""))"),"オメガ メンズ スピードマスター アナログ ディスプレイ 機械式手巻き シルバー ウォッチ 311.30.42.30.01.006")</f>
        <v>オメガ メンズ スピードマスター アナログ ディスプレイ 機械式手巻き シルバー ウォッチ 311.30.42.30.01.006</v>
      </c>
    </row>
    <row r="1768" ht="15.75" customHeight="1">
      <c r="A1768" s="1">
        <v>3972.0</v>
      </c>
      <c r="B1768" s="1" t="s">
        <v>6</v>
      </c>
      <c r="C1768" s="1" t="s">
        <v>1609</v>
      </c>
      <c r="D1768" s="1" t="str">
        <f>IFERROR(__xludf.DUMMYFUNCTION("CONCATENATE(GOOGLETRANSLATE(C1768, ""en"", ""zh-cn""))
"),"欧米茄男士 326.30.40.50.06.001 Speed Master 赛车模拟显示瑞士自动银色手表")</f>
        <v>欧米茄男士 326.30.40.50.06.001 Speed Master 赛车模拟显示瑞士自动银色手表</v>
      </c>
      <c r="E1768" s="1" t="str">
        <f>IFERROR(__xludf.DUMMYFUNCTION("CONCATENATE(GOOGLETRANSLATE(C1768, ""en"", ""ko""))"),"오메가 남성용 326.30.40.50.06.001 스피드 마스터 레이싱 아날로그 디스플레이 스위스 오토매틱 실버 시계")</f>
        <v>오메가 남성용 326.30.40.50.06.001 스피드 마스터 레이싱 아날로그 디스플레이 스위스 오토매틱 실버 시계</v>
      </c>
      <c r="F1768" s="1" t="str">
        <f>IFERROR(__xludf.DUMMYFUNCTION("CONCATENATE(GOOGLETRANSLATE(C1768, ""en"", ""ja""))"),"オメガ メンズ 326.30.40.50.06.001 スピード マスター レーシング アナログ表示 スイス製自動巻き シルバー ウォッチ")</f>
        <v>オメガ メンズ 326.30.40.50.06.001 スピード マスター レーシング アナログ表示 スイス製自動巻き シルバー ウォッチ</v>
      </c>
    </row>
    <row r="1769" ht="15.75" customHeight="1">
      <c r="A1769" s="1">
        <v>4042.0</v>
      </c>
      <c r="B1769" s="1" t="s">
        <v>6</v>
      </c>
      <c r="C1769" s="1" t="s">
        <v>1610</v>
      </c>
      <c r="D1769" s="1" t="str">
        <f>IFERROR(__xludf.DUMMYFUNCTION("CONCATENATE(GOOGLETRANSLATE(C1769, ""en"", ""zh-cn""))
"),"Hamilton H38455781 Intra-Matic 自动男士手表黑色皮革")</f>
        <v>Hamilton H38455781 Intra-Matic 自动男士手表黑色皮革</v>
      </c>
      <c r="E1769" s="1" t="str">
        <f>IFERROR(__xludf.DUMMYFUNCTION("CONCATENATE(GOOGLETRANSLATE(C1769, ""en"", ""ko""))"),"해밀턴 H38455781 Intra-Matic 자동 남성용 시계 블랙 가죽")</f>
        <v>해밀턴 H38455781 Intra-Matic 자동 남성용 시계 블랙 가죽</v>
      </c>
      <c r="F1769" s="1" t="str">
        <f>IFERROR(__xludf.DUMMYFUNCTION("CONCATENATE(GOOGLETRANSLATE(C1769, ""en"", ""ja""))"),"ハミルトン H38455781 イントラマティック 自動巻き メンズ 腕時計 ブラック レザー")</f>
        <v>ハミルトン H38455781 イントラマティック 自動巻き メンズ 腕時計 ブラック レザー</v>
      </c>
    </row>
    <row r="1770" ht="15.75" customHeight="1">
      <c r="A1770" s="1">
        <v>4045.0</v>
      </c>
      <c r="B1770" s="1" t="s">
        <v>6</v>
      </c>
      <c r="C1770" s="1" t="s">
        <v>1611</v>
      </c>
      <c r="D1770" s="1" t="str">
        <f>IFERROR(__xludf.DUMMYFUNCTION("CONCATENATE(GOOGLETRANSLATE(C1770, ""en"", ""zh-cn""))
"),"汉密尔顿卡其海军自动机芯黑色表盘男士手表 H82335131")</f>
        <v>汉密尔顿卡其海军自动机芯黑色表盘男士手表 H82335131</v>
      </c>
      <c r="E1770" s="1" t="str">
        <f>IFERROR(__xludf.DUMMYFUNCTION("CONCATENATE(GOOGLETRANSLATE(C1770, ""en"", ""ko""))"),"해밀턴 카키 네이비 오토매틱 무브먼트 블랙 다이얼 남성용 시계 H82335131")</f>
        <v>해밀턴 카키 네이비 오토매틱 무브먼트 블랙 다이얼 남성용 시계 H82335131</v>
      </c>
      <c r="F1770" s="1" t="str">
        <f>IFERROR(__xludf.DUMMYFUNCTION("CONCATENATE(GOOGLETRANSLATE(C1770, ""en"", ""ja""))"),"ハミルトン カーキ ネイビー自動巻きムーブメント ブラック ダイヤル メンズ腕時計 H82335131")</f>
        <v>ハミルトン カーキ ネイビー自動巻きムーブメント ブラック ダイヤル メンズ腕時計 H82335131</v>
      </c>
    </row>
    <row r="1771" ht="15.75" customHeight="1">
      <c r="A1771" s="1">
        <v>4047.0</v>
      </c>
      <c r="B1771" s="1" t="s">
        <v>6</v>
      </c>
      <c r="C1771" s="1" t="s">
        <v>1612</v>
      </c>
      <c r="D1771" s="1" t="str">
        <f>IFERROR(__xludf.DUMMYFUNCTION("CONCATENATE(GOOGLETRANSLATE(C1771, ""en"", ""zh-cn""))
"),"Luminox ICE-SAR Arctic XL.1203 男士手表 46 毫米 - 冒险手表黑色日期功能 200m 防水蓝宝石玻璃")</f>
        <v>Luminox ICE-SAR Arctic XL.1203 男士手表 46 毫米 - 冒险手表黑色日期功能 200m 防水蓝宝石玻璃</v>
      </c>
      <c r="E1771" s="1" t="str">
        <f>IFERROR(__xludf.DUMMYFUNCTION("CONCATENATE(GOOGLETRANSLATE(C1771, ""en"", ""ko""))"),"Luminox ICE-SAR Arctic XL.1203 남성용 시계 46mm - 블랙 날짜 기능 200m 방수 사파이어 글래스 어드벤처 시계")</f>
        <v>Luminox ICE-SAR Arctic XL.1203 남성용 시계 46mm - 블랙 날짜 기능 200m 방수 사파이어 글래스 어드벤처 시계</v>
      </c>
      <c r="F1771" s="1" t="str">
        <f>IFERROR(__xludf.DUMMYFUNCTION("CONCATENATE(GOOGLETRANSLATE(C1771, ""en"", ""ja""))"),"ルミノックス ICE-SAR アークティック XL.1203 メンズ ウォッチ 46mm - アドベンチャー ウォッチ ブラック 日付機能 200m 防水 サファイアガラス")</f>
        <v>ルミノックス ICE-SAR アークティック XL.1203 メンズ ウォッチ 46mm - アドベンチャー ウォッチ ブラック 日付機能 200m 防水 サファイアガラス</v>
      </c>
    </row>
    <row r="1772" ht="15.75" customHeight="1">
      <c r="A1772" s="1">
        <v>4049.0</v>
      </c>
      <c r="B1772" s="1" t="s">
        <v>6</v>
      </c>
      <c r="C1772" s="1" t="s">
        <v>1613</v>
      </c>
      <c r="D1772" s="1" t="str">
        <f>IFERROR(__xludf.DUMMYFUNCTION("CONCATENATE(GOOGLETRANSLATE(C1772, ""en"", ""zh-cn""))
"),"卡西欧 G-Shock GST-B200X-1A9JF G-Steel 碳芯卫士太阳能男士手表（日本国内正品）")</f>
        <v>卡西欧 G-Shock GST-B200X-1A9JF G-Steel 碳芯卫士太阳能男士手表（日本国内正品）</v>
      </c>
      <c r="E1772" s="1" t="str">
        <f>IFERROR(__xludf.DUMMYFUNCTION("CONCATENATE(GOOGLETRANSLATE(C1772, ""en"", ""ko""))"),"카시오 G-Shock GST-B200X-1A9JF G-Steel Carbon Core Guard Solar 남성용 시계 (일본 국내 정품 제품)")</f>
        <v>카시오 G-Shock GST-B200X-1A9JF G-Steel Carbon Core Guard Solar 남성용 시계 (일본 국내 정품 제품)</v>
      </c>
      <c r="F1772" s="1" t="str">
        <f>IFERROR(__xludf.DUMMYFUNCTION("CONCATENATE(GOOGLETRANSLATE(C1772, ""en"", ""ja""))"),"[カシオ] Gショック GST-B200X-1A9JF Gスチール カーボンコアガード ソーラー メンズ 腕時計 (日本国内正規品)")</f>
        <v>[カシオ] Gショック GST-B200X-1A9JF Gスチール カーボンコアガード ソーラー メンズ 腕時計 (日本国内正規品)</v>
      </c>
    </row>
    <row r="1773" ht="15.75" customHeight="1">
      <c r="A1773" s="1">
        <v>4097.0</v>
      </c>
      <c r="B1773" s="1" t="s">
        <v>6</v>
      </c>
      <c r="C1773" s="1" t="s">
        <v>1614</v>
      </c>
      <c r="D1773" s="1" t="str">
        <f>IFERROR(__xludf.DUMMYFUNCTION("CONCATENATE(GOOGLETRANSLATE(C1773, ""en"", ""zh-cn""))
"),"KUOE Old Smith 90-002 无日期，自动 NH38 机芯，黑色，含替换皮带，35 毫米表壳")</f>
        <v>KUOE Old Smith 90-002 无日期，自动 NH38 机芯，黑色，含替换皮带，35 毫米表壳</v>
      </c>
      <c r="E1773" s="1" t="str">
        <f>IFERROR(__xludf.DUMMYFUNCTION("CONCATENATE(GOOGLETRANSLATE(C1773, ""en"", ""ko""))"),"KUOE Old Smith 90-002 날짜 없음, 자동 NH38 무브먼트, 블랙, 교체용 벨트 포함, 35mm 케이스")</f>
        <v>KUOE Old Smith 90-002 날짜 없음, 자동 NH38 무브먼트, 블랙, 교체용 벨트 포함, 35mm 케이스</v>
      </c>
      <c r="F1773" s="1" t="str">
        <f>IFERROR(__xludf.DUMMYFUNCTION("CONCATENATE(GOOGLETRANSLATE(C1773, ""en"", ""ja""))"),"KUOE オールドスミス 90-002 ノーデイト、自動巻きNH38ムーブメント、ブラック、替えベルト付属、35mmケース")</f>
        <v>KUOE オールドスミス 90-002 ノーデイト、自動巻きNH38ムーブメント、ブラック、替えベルト付属、35mmケース</v>
      </c>
    </row>
    <row r="1774" ht="15.75" customHeight="1">
      <c r="A1774" s="1">
        <v>4103.0</v>
      </c>
      <c r="B1774" s="1" t="s">
        <v>6</v>
      </c>
      <c r="C1774" s="1" t="s">
        <v>1615</v>
      </c>
      <c r="D1774" s="1" t="str">
        <f>IFERROR(__xludf.DUMMYFUNCTION("CONCATENATE(GOOGLETRANSLATE(C1774, ""en"", ""zh-cn""))
"),"Kendra Scott 14k 金白色钻石心形耳钉，高级女士珠宝")</f>
        <v>Kendra Scott 14k 金白色钻石心形耳钉，高级女士珠宝</v>
      </c>
      <c r="E1774" s="1" t="str">
        <f>IFERROR(__xludf.DUMMYFUNCTION("CONCATENATE(GOOGLETRANSLATE(C1774, ""en"", ""ko""))"),"Kendra Scott 14k 골드 화이트 다이아몬드 하트 스터드 귀걸이, 여성용 고급 주얼리")</f>
        <v>Kendra Scott 14k 골드 화이트 다이아몬드 하트 스터드 귀걸이, 여성용 고급 주얼리</v>
      </c>
      <c r="F1774" s="1" t="str">
        <f>IFERROR(__xludf.DUMMYFUNCTION("CONCATENATE(GOOGLETRANSLATE(C1774, ""en"", ""ja""))"),"Kendra Scott ホワイト ダイヤモンド ハート スタッド ピアス 14K ゴールド、女性用ファインジュエリー")</f>
        <v>Kendra Scott ホワイト ダイヤモンド ハート スタッド ピアス 14K ゴールド、女性用ファインジュエリー</v>
      </c>
    </row>
    <row r="1775" ht="15.75" customHeight="1">
      <c r="A1775" s="1">
        <v>4140.0</v>
      </c>
      <c r="B1775" s="1" t="s">
        <v>6</v>
      </c>
      <c r="C1775" s="1" t="s">
        <v>1616</v>
      </c>
      <c r="D1775" s="1" t="str">
        <f>IFERROR(__xludf.DUMMYFUNCTION("CONCATENATE(GOOGLETRANSLATE(C1775, ""en"", ""zh-cn""))
"),"SEIKO PROSPEX 太阳能潜水员蓝色表盘黑色橡胶手表 SNE593")</f>
        <v>SEIKO PROSPEX 太阳能潜水员蓝色表盘黑色橡胶手表 SNE593</v>
      </c>
      <c r="E1775" s="1" t="str">
        <f>IFERROR(__xludf.DUMMYFUNCTION("CONCATENATE(GOOGLETRANSLATE(C1775, ""en"", ""ko""))"),"SEIKO PROSPEX 솔라 다이버 블루 다이얼 블랙 러버 시계 SNE593")</f>
        <v>SEIKO PROSPEX 솔라 다이버 블루 다이얼 블랙 러버 시계 SNE593</v>
      </c>
      <c r="F1775" s="1" t="str">
        <f>IFERROR(__xludf.DUMMYFUNCTION("CONCATENATE(GOOGLETRANSLATE(C1775, ""en"", ""ja""))"),"セイコー プロスペックス ソーラーダイバーズ ブルーダイヤル ブラックラバーウォッチ SNE593")</f>
        <v>セイコー プロスペックス ソーラーダイバーズ ブルーダイヤル ブラックラバーウォッチ SNE593</v>
      </c>
    </row>
    <row r="1776" ht="15.75" customHeight="1">
      <c r="A1776" s="1">
        <v>4141.0</v>
      </c>
      <c r="B1776" s="1" t="s">
        <v>6</v>
      </c>
      <c r="C1776" s="1" t="s">
        <v>1617</v>
      </c>
      <c r="D1776" s="1" t="str">
        <f>IFERROR(__xludf.DUMMYFUNCTION("CONCATENATE(GOOGLETRANSLATE(C1776, ""en"", ""zh-cn""))
"),"TSAR BOMBA 男士自动手表 - 日本机芯 - 蓝宝石玻璃 - 100m 防水 - 豪华氟橡胶表带 - 男士礼品")</f>
        <v>TSAR BOMBA 男士自动手表 - 日本机芯 - 蓝宝石玻璃 - 100m 防水 - 豪华氟橡胶表带 - 男士礼品</v>
      </c>
      <c r="E1776" s="1" t="str">
        <f>IFERROR(__xludf.DUMMYFUNCTION("CONCATENATE(GOOGLETRANSLATE(C1776, ""en"", ""ko""))"),"TSAR BOMBA 남성용 오토매틱 시계 - 일본식 무브먼트 - 사파이어 글래스 - 100m 방수 - 럭셔리 불소고무 스트랩 - 남성용 선물")</f>
        <v>TSAR BOMBA 남성용 오토매틱 시계 - 일본식 무브먼트 - 사파이어 글래스 - 100m 방수 - 럭셔리 불소고무 스트랩 - 남성용 선물</v>
      </c>
      <c r="F1776" s="1" t="str">
        <f>IFERROR(__xludf.DUMMYFUNCTION("CONCATENATE(GOOGLETRANSLATE(C1776, ""en"", ""ja""))"),"TSAR BOMBA メンズ自動巻き時計 - 日本製ムーブメント - サファイアガラス - 100m防水 - 高級フッ素ゴムストラップ - 男性へのギフト")</f>
        <v>TSAR BOMBA メンズ自動巻き時計 - 日本製ムーブメント - サファイアガラス - 100m防水 - 高級フッ素ゴムストラップ - 男性へのギフト</v>
      </c>
    </row>
    <row r="1777" ht="15.75" customHeight="1">
      <c r="A1777" s="1">
        <v>4201.0</v>
      </c>
      <c r="B1777" s="1" t="s">
        <v>6</v>
      </c>
      <c r="C1777" s="1" t="s">
        <v>1618</v>
      </c>
      <c r="D1777" s="1" t="str">
        <f>IFERROR(__xludf.DUMMYFUNCTION("CONCATENATE(GOOGLETRANSLATE(C1777, ""en"", ""zh-cn""))
"),"施华洛世奇 Ortyx 手链， 三角施华洛世奇氧化锆")</f>
        <v>施华洛世奇 Ortyx 手链， 三角施华洛世奇氧化锆</v>
      </c>
      <c r="E1777" s="1" t="str">
        <f>IFERROR(__xludf.DUMMYFUNCTION("CONCATENATE(GOOGLETRANSLATE(C1777, ""en"", ""ko""))"),"스와로브스키 오틱스 팔찌, 트라이앵글 스와로브스키 지르코니아")</f>
        <v>스와로브스키 오틱스 팔찌, 트라이앵글 스와로브스키 지르코니아</v>
      </c>
      <c r="F1777" s="1" t="str">
        <f>IFERROR(__xludf.DUMMYFUNCTION("CONCATENATE(GOOGLETRANSLATE(C1777, ""en"", ""ja""))"),"スワロフスキー オルティクス ブレスレット、トライアングル スワロフスキー ジルコニア")</f>
        <v>スワロフスキー オルティクス ブレスレット、トライアングル スワロフスキー ジルコニア</v>
      </c>
    </row>
    <row r="1778" ht="15.75" customHeight="1">
      <c r="A1778" s="1">
        <v>4214.0</v>
      </c>
      <c r="B1778" s="1" t="s">
        <v>6</v>
      </c>
      <c r="C1778" s="1" t="s">
        <v>1619</v>
      </c>
      <c r="D1778" s="1" t="str">
        <f>IFERROR(__xludf.DUMMYFUNCTION("CONCATENATE(GOOGLETRANSLATE(C1778, ""en"", ""zh-cn""))
"),"SRPD79 Seiko Sports 5 男士手表黑色 42.5 毫米不锈钢")</f>
        <v>SRPD79 Seiko Sports 5 男士手表黑色 42.5 毫米不锈钢</v>
      </c>
      <c r="E1778" s="1" t="str">
        <f>IFERROR(__xludf.DUMMYFUNCTION("CONCATENATE(GOOGLETRANSLATE(C1778, ""en"", ""ko""))"),"SRPD79 세이코 스포츠 5 남성용 시계 블랙 42.5mm 스테인레스 스틸")</f>
        <v>SRPD79 세이코 스포츠 5 남성용 시계 블랙 42.5mm 스테인레스 스틸</v>
      </c>
      <c r="F1778" s="1" t="str">
        <f>IFERROR(__xludf.DUMMYFUNCTION("CONCATENATE(GOOGLETRANSLATE(C1778, ""en"", ""ja""))"),"SRPD79 セイコー スポーツ 5 メンズ 腕時計 ブラック 42.5mm ステンレススチール")</f>
        <v>SRPD79 セイコー スポーツ 5 メンズ 腕時計 ブラック 42.5mm ステンレススチール</v>
      </c>
    </row>
    <row r="1779" ht="15.75" customHeight="1">
      <c r="A1779" s="1">
        <v>4222.0</v>
      </c>
      <c r="B1779" s="1" t="s">
        <v>6</v>
      </c>
      <c r="C1779" s="1" t="s">
        <v>1620</v>
      </c>
      <c r="D1779" s="1" t="str">
        <f>IFERROR(__xludf.DUMMYFUNCTION("CONCATENATE(GOOGLETRANSLATE(C1779, ""en"", ""zh-cn""))
"),"Stauer 1930 Dashtronic 手表 – 男士自动手表 – 科茨沃尔德正品男士手表皮革表带带不锈钢表壳 – 自动机芯和 3 ATM 防水手表 – 男士腕表")</f>
        <v>Stauer 1930 Dashtronic 手表 – 男士自动手表 – 科茨沃尔德正品男士手表皮革表带带不锈钢表壳 – 自动机芯和 3 ATM 防水手表 – 男士腕表</v>
      </c>
      <c r="E1779" s="1" t="str">
        <f>IFERROR(__xludf.DUMMYFUNCTION("CONCATENATE(GOOGLETRANSLATE(C1779, ""en"", ""ko""))"),"Stauer 1930 Dashtronic 시계 – 남성용 자동 시계 – 스테인레스 스틸 케이스가 포함된 Cotswold 정품 남성용 시계 가죽 밴드 – 자동 무브먼트 및 3-ATM 방수 시계 – 남성용 손목 시계")</f>
        <v>Stauer 1930 Dashtronic 시계 – 남성용 자동 시계 – 스테인레스 스틸 케이스가 포함된 Cotswold 정품 남성용 시계 가죽 밴드 – 자동 무브먼트 및 3-ATM 방수 시계 – 남성용 손목 시계</v>
      </c>
      <c r="F1779" s="1" t="str">
        <f>IFERROR(__xludf.DUMMYFUNCTION("CONCATENATE(GOOGLETRANSLATE(C1779, ""en"", ""ja""))"),"Stauer 1930 ダッシュトロニック ウォッチ – 男性用自動巻き時計 – コッツウォルズ純正メンズ腕時計 レザーバンド、ステンレススチールケース付き – 自動巻きムーブメント &amp; 3 ATM 防水時計 – メンズ腕時計")</f>
        <v>Stauer 1930 ダッシュトロニック ウォッチ – 男性用自動巻き時計 – コッツウォルズ純正メンズ腕時計 レザーバンド、ステンレススチールケース付き – 自動巻きムーブメント &amp; 3 ATM 防水時計 – メンズ腕時計</v>
      </c>
    </row>
    <row r="1780" ht="15.75" customHeight="1">
      <c r="A1780" s="1">
        <v>4228.0</v>
      </c>
      <c r="B1780" s="1" t="s">
        <v>6</v>
      </c>
      <c r="C1780" s="1" t="s">
        <v>1621</v>
      </c>
      <c r="D1780" s="1" t="str">
        <f>IFERROR(__xludf.DUMMYFUNCTION("CONCATENATE(GOOGLETRANSLATE(C1780, ""en"", ""zh-cn""))
"),"卡西欧 G-Shock 数字表盘不锈钢石英男士手表 GD120TS-1")</f>
        <v>卡西欧 G-Shock 数字表盘不锈钢石英男士手表 GD120TS-1</v>
      </c>
      <c r="E1780" s="1" t="str">
        <f>IFERROR(__xludf.DUMMYFUNCTION("CONCATENATE(GOOGLETRANSLATE(C1780, ""en"", ""ko""))"),"카시오 G-Shock 디지털 다이얼 스테인레스 스틸 쿼츠 남성용 시계 GD120TS-1")</f>
        <v>카시오 G-Shock 디지털 다이얼 스테인레스 스틸 쿼츠 남성용 시계 GD120TS-1</v>
      </c>
      <c r="F1780" s="1" t="str">
        <f>IFERROR(__xludf.DUMMYFUNCTION("CONCATENATE(GOOGLETRANSLATE(C1780, ""en"", ""ja""))"),"カシオ G ショック デジタル ダイヤル ステンレススチール クォーツ メンズ 腕時計 GD120TS-1")</f>
        <v>カシオ G ショック デジタル ダイヤル ステンレススチール クォーツ メンズ 腕時計 GD120TS-1</v>
      </c>
    </row>
    <row r="1781" ht="15.75" customHeight="1">
      <c r="A1781" s="1">
        <v>4230.0</v>
      </c>
      <c r="B1781" s="1" t="s">
        <v>6</v>
      </c>
      <c r="C1781" s="1" t="s">
        <v>1622</v>
      </c>
      <c r="D1781" s="1" t="str">
        <f>IFERROR(__xludf.DUMMYFUNCTION("CONCATENATE(GOOGLETRANSLATE(C1781, ""en"", ""zh-cn""))
"),"施华洛世奇网球豪华水晶手链和项链珠宝系列")</f>
        <v>施华洛世奇网球豪华水晶手链和项链珠宝系列</v>
      </c>
      <c r="E1781" s="1" t="str">
        <f>IFERROR(__xludf.DUMMYFUNCTION("CONCATENATE(GOOGLETRANSLATE(C1781, ""en"", ""ko""))"),"SWAROVSKI 테니스 디럭스 크리스탈 팔찌 및 목걸이 주얼리 컬렉션")</f>
        <v>SWAROVSKI 테니스 디럭스 크리스탈 팔찌 및 목걸이 주얼리 컬렉션</v>
      </c>
      <c r="F1781" s="1" t="str">
        <f>IFERROR(__xludf.DUMMYFUNCTION("CONCATENATE(GOOGLETRANSLATE(C1781, ""en"", ""ja""))"),"スワロフスキー テニス デラックス クリスタル ブレスレットとネックレス ジュエリー コレクション")</f>
        <v>スワロフスキー テニス デラックス クリスタル ブレスレットとネックレス ジュエリー コレクション</v>
      </c>
    </row>
    <row r="1782" ht="15.75" customHeight="1">
      <c r="A1782" s="1">
        <v>4239.0</v>
      </c>
      <c r="B1782" s="1" t="s">
        <v>6</v>
      </c>
      <c r="C1782" s="1" t="s">
        <v>1623</v>
      </c>
      <c r="D1782" s="1" t="str">
        <f>IFERROR(__xludf.DUMMYFUNCTION("CONCATENATE(GOOGLETRANSLATE(C1782, ""en"", ""zh-cn""))
"),"Mondaine Helvetica MH1.B3120.LB 男女手表 34 毫米 - 腕表黑色皮表带 30 m 防水蓝宝石水晶不锈钢表壳")</f>
        <v>Mondaine Helvetica MH1.B3120.LB 男女手表 34 毫米 - 腕表黑色皮表带 30 m 防水蓝宝石水晶不锈钢表壳</v>
      </c>
      <c r="E1782" s="1" t="str">
        <f>IFERROR(__xludf.DUMMYFUNCTION("CONCATENATE(GOOGLETRANSLATE(C1782, ""en"", ""ko""))"),"Mondaine Helvetica MH1.B3120.LB 남성용 및 여성용 시계 34mm - 손목 시계 블랙 가죽 스트랩 30m 방수 사파이어 크리스탈 스테인레스 스틸 케이스")</f>
        <v>Mondaine Helvetica MH1.B3120.LB 남성용 및 여성용 시계 34mm - 손목 시계 블랙 가죽 스트랩 30m 방수 사파이어 크리스탈 스테인레스 스틸 케이스</v>
      </c>
      <c r="F1782" s="1" t="str">
        <f>IFERROR(__xludf.DUMMYFUNCTION("CONCATENATE(GOOGLETRANSLATE(C1782, ""en"", ""ja""))"),"Mondaine Helvetica MH1.B3120.LB メンズおよびレディース ウォッチ 34mm - 腕時計 ブラック レザー ストラップ 30m 防水サファイア クリスタル ステンレス スチール ケース")</f>
        <v>Mondaine Helvetica MH1.B3120.LB メンズおよびレディース ウォッチ 34mm - 腕時計 ブラック レザー ストラップ 30m 防水サファイア クリスタル ステンレス スチール ケース</v>
      </c>
    </row>
    <row r="1783" ht="15.75" customHeight="1">
      <c r="A1783" s="1">
        <v>4250.0</v>
      </c>
      <c r="B1783" s="1" t="s">
        <v>6</v>
      </c>
      <c r="C1783" s="1" t="s">
        <v>1624</v>
      </c>
      <c r="D1783" s="1" t="str">
        <f>IFERROR(__xludf.DUMMYFUNCTION("CONCATENATE(GOOGLETRANSLATE(C1783, ""en"", ""zh-cn""))
"),"Timex 男士 Marlin 自动手表带不锈钢表带，金色，20（型号：TW2T34600）")</f>
        <v>Timex 男士 Marlin 自动手表带不锈钢表带，金色，20（型号：TW2T34600）</v>
      </c>
      <c r="E1783" s="1" t="str">
        <f>IFERROR(__xludf.DUMMYFUNCTION("CONCATENATE(GOOGLETRANSLATE(C1783, ""en"", ""ko""))"),"타이멕스 남성용 말린 오토매틱 시계, 스테인리스 스틸 스트랩, 골드, 20(모델: TW2T34600)")</f>
        <v>타이멕스 남성용 말린 오토매틱 시계, 스테인리스 스틸 스트랩, 골드, 20(모델: TW2T34600)</v>
      </c>
      <c r="F1783" s="1" t="str">
        <f>IFERROR(__xludf.DUMMYFUNCTION("CONCATENATE(GOOGLETRANSLATE(C1783, ""en"", ""ja""))"),"タイメックス メンズ マーリン 自動巻き時計 ステンレススチール ストラップ付き ゴールド 20 (モデル: TW2T34600)")</f>
        <v>タイメックス メンズ マーリン 自動巻き時計 ステンレススチール ストラップ付き ゴールド 20 (モデル: TW2T34600)</v>
      </c>
    </row>
    <row r="1784" ht="15.75" customHeight="1">
      <c r="A1784" s="1">
        <v>4272.0</v>
      </c>
      <c r="B1784" s="1" t="s">
        <v>6</v>
      </c>
      <c r="C1784" s="1" t="s">
        <v>1625</v>
      </c>
      <c r="D1784" s="1" t="str">
        <f>IFERROR(__xludf.DUMMYFUNCTION("CONCATENATE(GOOGLETRANSLATE(C1784, ""en"", ""zh-cn""))
"),"NIXON Siren SS A1211-100m 防水女士数字运动手表（36 毫米表盘，18 毫米-16 毫米硅胶表带）")</f>
        <v>NIXON Siren SS A1211-100m 防水女士数字运动手表（36 毫米表盘，18 毫米-16 毫米硅胶表带）</v>
      </c>
      <c r="E1784" s="1" t="str">
        <f>IFERROR(__xludf.DUMMYFUNCTION("CONCATENATE(GOOGLETRANSLATE(C1784, ""en"", ""ko""))"),"NIXON Siren SS A1211-100m 방수 여성용 디지털 스포츠 시계(36mm 시계 화면, 18mm-16mm 실리콘 밴드)")</f>
        <v>NIXON Siren SS A1211-100m 방수 여성용 디지털 스포츠 시계(36mm 시계 화면, 18mm-16mm 실리콘 밴드)</v>
      </c>
      <c r="F1784" s="1" t="str">
        <f>IFERROR(__xludf.DUMMYFUNCTION("CONCATENATE(GOOGLETRANSLATE(C1784, ""en"", ""ja""))"),"NIXON サイレン SS A1211-100m 防水 レディース デジタル スポーツウォッチ (文字盤 36mm、シリコンバンド 18mm-16mm)")</f>
        <v>NIXON サイレン SS A1211-100m 防水 レディース デジタル スポーツウォッチ (文字盤 36mm、シリコンバンド 18mm-16mm)</v>
      </c>
    </row>
    <row r="1785" ht="15.75" customHeight="1">
      <c r="A1785" s="1">
        <v>4273.0</v>
      </c>
      <c r="B1785" s="1" t="s">
        <v>6</v>
      </c>
      <c r="C1785" s="1" t="s">
        <v>1626</v>
      </c>
      <c r="D1785" s="1" t="str">
        <f>IFERROR(__xludf.DUMMYFUNCTION("CONCATENATE(GOOGLETRANSLATE(C1785, ""en"", ""zh-cn""))
"),"Moto 360 第三代 2020 - Wear OS by Google - 触摸屏 - 豪华不锈钢智能手表 - 真皮和高强度运动表带 - 香槟金")</f>
        <v>Moto 360 第三代 2020 - Wear OS by Google - 触摸屏 - 豪华不锈钢智能手表 - 真皮和高强度运动表带 - 香槟金</v>
      </c>
      <c r="E1785" s="1" t="str">
        <f>IFERROR(__xludf.DUMMYFUNCTION("CONCATENATE(GOOGLETRANSLATE(C1785, ""en"", ""ko""))"),"Moto 360 3세대 2020 - Wear OS by Google - 터치 스크린 - 럭셔리 스테인리스 스틸 스마트워치 - 천연 가죽 및 고강도 스포츠 밴드 - 샴페인 골드")</f>
        <v>Moto 360 3세대 2020 - Wear OS by Google - 터치 스크린 - 럭셔리 스테인리스 스틸 스마트워치 - 천연 가죽 및 고강도 스포츠 밴드 - 샴페인 골드</v>
      </c>
      <c r="F1785" s="1" t="str">
        <f>IFERROR(__xludf.DUMMYFUNCTION("CONCATENATE(GOOGLETRANSLATE(C1785, ""en"", ""ja""))"),"Moto 360 第 3 世代 2020 - Wear OS by Google - タッチ スクリーン - 高級ステンレススチール スマートウォッチ - 本革とインパクトのあるスポーツバンド - シャンパンゴールド")</f>
        <v>Moto 360 第 3 世代 2020 - Wear OS by Google - タッチ スクリーン - 高級ステンレススチール スマートウォッチ - 本革とインパクトのあるスポーツバンド - シャンパンゴールド</v>
      </c>
    </row>
    <row r="1786" ht="15.75" customHeight="1">
      <c r="A1786" s="1">
        <v>4304.0</v>
      </c>
      <c r="B1786" s="1" t="s">
        <v>6</v>
      </c>
      <c r="C1786" s="1" t="s">
        <v>1627</v>
      </c>
      <c r="D1786" s="1" t="str">
        <f>IFERROR(__xludf.DUMMYFUNCTION("CONCATENATE(GOOGLETRANSLATE(C1786, ""en"", ""zh-cn""))
"),"DW-5600MW-7D 卡西欧 G-Shock 男士数字灰色运动石英卡西欧")</f>
        <v>DW-5600MW-7D 卡西欧 G-Shock 男士数字灰色运动石英卡西欧</v>
      </c>
      <c r="E1786" s="1" t="str">
        <f>IFERROR(__xludf.DUMMYFUNCTION("CONCATENATE(GOOGLETRANSLATE(C1786, ""en"", ""ko""))"),"DW-5600MW-7D Casio G-Shock 남성용 디지털 그레이 스포츠 쿼츠 Casio")</f>
        <v>DW-5600MW-7D Casio G-Shock 남성용 디지털 그레이 스포츠 쿼츠 Casio</v>
      </c>
      <c r="F1786" s="1" t="str">
        <f>IFERROR(__xludf.DUMMYFUNCTION("CONCATENATE(GOOGLETRANSLATE(C1786, ""en"", ""ja""))"),"DW-5600MW-7D カシオ G ショック メンズ デジタル グレー スポーツ クォーツ カシオ")</f>
        <v>DW-5600MW-7D カシオ G ショック メンズ デジタル グレー スポーツ クォーツ カシオ</v>
      </c>
    </row>
    <row r="1787" ht="15.75" customHeight="1">
      <c r="A1787" s="1">
        <v>4328.0</v>
      </c>
      <c r="B1787" s="1" t="s">
        <v>6</v>
      </c>
      <c r="C1787" s="1" t="s">
        <v>1628</v>
      </c>
      <c r="D1787" s="1" t="str">
        <f>IFERROR(__xludf.DUMMYFUNCTION("CONCATENATE(GOOGLETRANSLATE(C1787, ""en"", ""zh-cn""))
"),"精工男士 SNKN37 不锈钢自动上链手表带棕色皮革表带")</f>
        <v>精工男士 SNKN37 不锈钢自动上链手表带棕色皮革表带</v>
      </c>
      <c r="E1787" s="1" t="str">
        <f>IFERROR(__xludf.DUMMYFUNCTION("CONCATENATE(GOOGLETRANSLATE(C1787, ""en"", ""ko""))"),"세이코 남성용 SNKN37 스테인리스 스틸 자동 자동 태엽 시계, 브라운 가죽 밴드 포함")</f>
        <v>세이코 남성용 SNKN37 스테인리스 스틸 자동 자동 태엽 시계, 브라운 가죽 밴드 포함</v>
      </c>
      <c r="F1787" s="1" t="str">
        <f>IFERROR(__xludf.DUMMYFUNCTION("CONCATENATE(GOOGLETRANSLATE(C1787, ""en"", ""ja""))"),"セイコー メンズ SNKN37 ステンレススチール 自動巻き時計 ブラウンレザーバンド付き")</f>
        <v>セイコー メンズ SNKN37 ステンレススチール 自動巻き時計 ブラウンレザーバンド付き</v>
      </c>
    </row>
    <row r="1788" ht="15.75" customHeight="1">
      <c r="A1788" s="1">
        <v>4331.0</v>
      </c>
      <c r="B1788" s="1" t="s">
        <v>6</v>
      </c>
      <c r="C1788" s="1" t="s">
        <v>1629</v>
      </c>
      <c r="D1788" s="1" t="str">
        <f>IFERROR(__xludf.DUMMYFUNCTION("CONCATENATE(GOOGLETRANSLATE(C1788, ""en"", ""zh-cn""))
"),"施华洛世奇 Chroma 珠宝系列，镀铑饰面，粉色水晶，透明水晶")</f>
        <v>施华洛世奇 Chroma 珠宝系列，镀铑饰面，粉色水晶，透明水晶</v>
      </c>
      <c r="E1788" s="1" t="str">
        <f>IFERROR(__xludf.DUMMYFUNCTION("CONCATENATE(GOOGLETRANSLATE(C1788, ""en"", ""ko""))"),"스와로브스키 크로마 주얼리 컬렉션, 로듐 마감, 핑크 크리스탈, 클리어 크리스탈")</f>
        <v>스와로브스키 크로마 주얼리 컬렉션, 로듐 마감, 핑크 크리스탈, 클리어 크리스탈</v>
      </c>
      <c r="F1788" s="1" t="str">
        <f>IFERROR(__xludf.DUMMYFUNCTION("CONCATENATE(GOOGLETRANSLATE(C1788, ""en"", ""ja""))"),"スワロフスキー クロマ ジュエリー コレクション、ロジウム仕上げ、ピンク クリスタル、クリア クリスタル")</f>
        <v>スワロフスキー クロマ ジュエリー コレクション、ロジウム仕上げ、ピンク クリスタル、クリア クリスタル</v>
      </c>
    </row>
    <row r="1789" ht="15.75" customHeight="1">
      <c r="A1789" s="1">
        <v>4341.0</v>
      </c>
      <c r="B1789" s="1" t="s">
        <v>6</v>
      </c>
      <c r="C1789" s="1" t="s">
        <v>1630</v>
      </c>
      <c r="D1789" s="1" t="str">
        <f>IFERROR(__xludf.DUMMYFUNCTION("CONCATENATE(GOOGLETRANSLATE(C1789, ""en"", ""zh-cn""))
"),"MVMT Field 男士模拟手表")</f>
        <v>MVMT Field 男士模拟手表</v>
      </c>
      <c r="E1789" s="1" t="str">
        <f>IFERROR(__xludf.DUMMYFUNCTION("CONCATENATE(GOOGLETRANSLATE(C1789, ""en"", ""ko""))"),"MVMT 필드 남성용 아날로그 시계")</f>
        <v>MVMT 필드 남성용 아날로그 시계</v>
      </c>
      <c r="F1789" s="1" t="str">
        <f>IFERROR(__xludf.DUMMYFUNCTION("CONCATENATE(GOOGLETRANSLATE(C1789, ""en"", ""ja""))"),"MVMT フィールド メンズ アナログ時計")</f>
        <v>MVMT フィールド メンズ アナログ時計</v>
      </c>
    </row>
    <row r="1790" ht="15.75" customHeight="1">
      <c r="A1790" s="1">
        <v>4360.0</v>
      </c>
      <c r="B1790" s="1" t="s">
        <v>6</v>
      </c>
      <c r="C1790" s="1" t="s">
        <v>1631</v>
      </c>
      <c r="D1790" s="1" t="str">
        <f>IFERROR(__xludf.DUMMYFUNCTION("CONCATENATE(GOOGLETRANSLATE(C1790, ""en"", ""zh-cn""))
"),"LINSY HOME 拉出式沙发床，二合一可转换沙发床，带记忆海绵床垫，客厅两座双人沙发床，深灰色，全尺寸")</f>
        <v>LINSY HOME 拉出式沙发床，二合一可转换沙发床，带记忆海绵床垫，客厅两座双人沙发床，深灰色，全尺寸</v>
      </c>
      <c r="E1790" s="1" t="str">
        <f>IFERROR(__xludf.DUMMYFUNCTION("CONCATENATE(GOOGLETRANSLATE(C1790, ""en"", ""ko""))"),"LINSY 홈 풀아웃 소파 베드, 메모리 폼 매트리스가 포함된 2-in-1 컨버터블 슬리퍼 소파, 거실용 2인용 러브시트 슬리퍼 소파 베드, 다크 그레이, 풀 사이즈")</f>
        <v>LINSY 홈 풀아웃 소파 베드, 메모리 폼 매트리스가 포함된 2-in-1 컨버터블 슬리퍼 소파, 거실용 2인용 러브시트 슬리퍼 소파 베드, 다크 그레이, 풀 사이즈</v>
      </c>
      <c r="F1790" s="1" t="str">
        <f>IFERROR(__xludf.DUMMYFUNCTION("CONCATENATE(GOOGLETRANSLATE(C1790, ""en"", ""ja""))"),"LINSY HOME 引き出し式ソファベッド、2-in-1 コンバーチブルスリーパーソファ、低反発マットレス付き、2人掛け二人掛けスリーパーソファベッド、リビングルーム用、ダークグレー、フルサイズ")</f>
        <v>LINSY HOME 引き出し式ソファベッド、2-in-1 コンバーチブルスリーパーソファ、低反発マットレス付き、2人掛け二人掛けスリーパーソファベッド、リビングルーム用、ダークグレー、フルサイズ</v>
      </c>
    </row>
    <row r="1791" ht="15.75" customHeight="1">
      <c r="A1791" s="1">
        <v>4363.0</v>
      </c>
      <c r="B1791" s="1" t="s">
        <v>6</v>
      </c>
      <c r="C1791" s="1" t="s">
        <v>1632</v>
      </c>
      <c r="D1791" s="1" t="str">
        <f>IFERROR(__xludf.DUMMYFUNCTION("CONCATENATE(GOOGLETRANSLATE(C1791, ""en"", ""zh-cn""))
"),"Melpomene 可转换模块化组合沙发，现代简约 94.5 DIY L 形双面夏尔巴布艺沙发，适用于客厅、公寓、办公室（橙色）")</f>
        <v>Melpomene 可转换模块化组合沙发，现代简约 94.5 DIY L 形双面夏尔巴布艺沙发，适用于客厅、公寓、办公室（橙色）</v>
      </c>
      <c r="E1791" s="1" t="str">
        <f>IFERROR(__xludf.DUMMYFUNCTION("CONCATENATE(GOOGLETRANSLATE(C1791, ""en"", ""ko""))"),"Melpomene 컨버터블 모듈식 단면 소파, 현대적인 미니멀리스트 94.5 DIY L 모양의 가역 셰르파 패브릭 소파 소파, 거실, 아파트, 사무실(오렌지)")</f>
        <v>Melpomene 컨버터블 모듈식 단면 소파, 현대적인 미니멀리스트 94.5 DIY L 모양의 가역 셰르파 패브릭 소파 소파, 거실, 아파트, 사무실(오렌지)</v>
      </c>
      <c r="F1791" s="1" t="str">
        <f>IFERROR(__xludf.DUMMYFUNCTION("CONCATENATE(GOOGLETRANSLATE(C1791, ""en"", ""ja""))"),"Melpomene コンバーチブルモジュール式セクショナルソファ、モダンなミニマリスト 94.5 DIY L 字型リバーシブルシェルパ生地ソファソファ、リビングルーム、アパート、オフィス用 (オレンジ)")</f>
        <v>Melpomene コンバーチブルモジュール式セクショナルソファ、モダンなミニマリスト 94.5 DIY L 字型リバーシブルシェルパ生地ソファソファ、リビングルーム、アパート、オフィス用 (オレンジ)</v>
      </c>
    </row>
    <row r="1792" ht="15.75" customHeight="1">
      <c r="A1792" s="1">
        <v>4367.0</v>
      </c>
      <c r="B1792" s="1" t="s">
        <v>6</v>
      </c>
      <c r="C1792" s="1" t="s">
        <v>1049</v>
      </c>
      <c r="D1792" s="1" t="str">
        <f>IFERROR(__xludf.DUMMYFUNCTION("CONCATENATE(GOOGLETRANSLATE(C1792, ""en"", ""zh-cn""))
"),"亚马逊品牌 – Stone &amp; Beam Blaine 现代软垫客厅特色椅子，32.3W，海军蓝")</f>
        <v>亚马逊品牌 – Stone &amp; Beam Blaine 现代软垫客厅特色椅子，32.3W，海军蓝</v>
      </c>
      <c r="E1792" s="1" t="str">
        <f>IFERROR(__xludf.DUMMYFUNCTION("CONCATENATE(GOOGLETRANSLATE(C1792, ""en"", ""ko""))"),"Amazon 브랜드 – Stone &amp; Beam Blaine 모던한 덮개를 씌운 거실용 악센트 의자, 32.3W, 네이비 블루")</f>
        <v>Amazon 브랜드 – Stone &amp; Beam Blaine 모던한 덮개를 씌운 거실용 악센트 의자, 32.3W, 네이비 블루</v>
      </c>
      <c r="F1792" s="1" t="str">
        <f>IFERROR(__xludf.DUMMYFUNCTION("CONCATENATE(GOOGLETRANSLATE(C1792, ""en"", ""ja""))"),"Amazon ブランド – Stone &amp; Beam Blaine モダン布張りリビングルームアクセントチェア、32.3W、ネイビーブルー")</f>
        <v>Amazon ブランド – Stone &amp; Beam Blaine モダン布張りリビングルームアクセントチェア、32.3W、ネイビーブルー</v>
      </c>
    </row>
    <row r="1793" ht="15.75" customHeight="1">
      <c r="A1793" s="1">
        <v>4388.0</v>
      </c>
      <c r="B1793" s="1" t="s">
        <v>6</v>
      </c>
      <c r="C1793" s="1" t="s">
        <v>1633</v>
      </c>
      <c r="D1793" s="1" t="str">
        <f>IFERROR(__xludf.DUMMYFUNCTION("CONCATENATE(GOOGLETRANSLATE(C1793, ""en"", ""zh-cn""))
"),"DM 家具 360° 旋转吧凳 4 件套亚麻布 27 柜台高度吧凳带靠背/木腿软垫凳子适合家庭/厨房岛/早餐吧，灰色")</f>
        <v>DM 家具 360° 旋转吧凳 4 件套亚麻布 27 柜台高度吧凳带靠背/木腿软垫凳子适合家庭/厨房岛/早餐吧，灰色</v>
      </c>
      <c r="E1793" s="1" t="str">
        <f>IFERROR(__xludf.DUMMYFUNCTION("CONCATENATE(GOOGLETRANSLATE(C1793, ""en"", ""ko""))"),"DM 가구 360°회전 바 스툴 4개 세트 리넨 패브릭 27 카운터 높이 바스툴(등받이/나무 다리 포함) 가정용/주방 아일랜드/아침 식사용 바용 천을 씌운 스툴 의자, 그레이")</f>
        <v>DM 가구 360°회전 바 스툴 4개 세트 리넨 패브릭 27 카운터 높이 바스툴(등받이/나무 다리 포함) 가정용/주방 아일랜드/아침 식사용 바용 천을 씌운 스툴 의자, 그레이</v>
      </c>
      <c r="F1793" s="1" t="str">
        <f>IFERROR(__xludf.DUMMYFUNCTION("CONCATENATE(GOOGLETRANSLATE(C1793, ""en"", ""ja""))"),"DM Furniture 360​​°回転バースツール 4 個セット リネン生地 27 カウンター高さのバースツール 背もたれ/木製脚付き 布張りスツールチェア 家庭/キッチンアイランド/朝食バー用 グレー")</f>
        <v>DM Furniture 360​​°回転バースツール 4 個セット リネン生地 27 カウンター高さのバースツール 背もたれ/木製脚付き 布張りスツールチェア 家庭/キッチンアイランド/朝食バー用 グレー</v>
      </c>
    </row>
    <row r="1794" ht="15.75" customHeight="1">
      <c r="A1794" s="1">
        <v>4415.0</v>
      </c>
      <c r="B1794" s="1" t="s">
        <v>6</v>
      </c>
      <c r="C1794" s="1" t="s">
        <v>537</v>
      </c>
      <c r="D1794" s="1" t="str">
        <f>IFERROR(__xludf.DUMMYFUNCTION("CONCATENATE(GOOGLETRANSLATE(C1794, ""en"", ""zh-cn""))
"),"JOMEED 敞篷组合沙发，现代超大天鹅绒面料 L 形沙发床，带可调节靠背，适合客厅、公寓")</f>
        <v>JOMEED 敞篷组合沙发，现代超大天鹅绒面料 L 形沙发床，带可调节靠背，适合客厅、公寓</v>
      </c>
      <c r="E1794" s="1" t="str">
        <f>IFERROR(__xludf.DUMMYFUNCTION("CONCATENATE(GOOGLETRANSLATE(C1794, ""en"", ""ko""))"),"JOMEED 컨버터블 단면 소파 소파, 거실용 조절 가능한 등받이가 있는 현대적인 대형 벨벳 패브릭 L자형 소파 소파 베드, 아파트")</f>
        <v>JOMEED 컨버터블 단면 소파 소파, 거실용 조절 가능한 등받이가 있는 현대적인 대형 벨벳 패브릭 L자형 소파 소파 베드, 아파트</v>
      </c>
      <c r="F1794" s="1" t="str">
        <f>IFERROR(__xludf.DUMMYFUNCTION("CONCATENATE(GOOGLETRANSLATE(C1794, ""en"", ""ja""))"),"JOMEED コンバーチブルセクショナルソファカウチ、モダンな特大ベルベット生地 L 字型カウチソファベッド、調節可能な背もたれ付き、リビングルーム、アパート用")</f>
        <v>JOMEED コンバーチブルセクショナルソファカウチ、モダンな特大ベルベット生地 L 字型カウチソファベッド、調節可能な背もたれ付き、リビングルーム、アパート用</v>
      </c>
    </row>
    <row r="1795" ht="15.75" customHeight="1">
      <c r="A1795" s="1">
        <v>4421.0</v>
      </c>
      <c r="B1795" s="1" t="s">
        <v>6</v>
      </c>
      <c r="C1795" s="1" t="s">
        <v>1634</v>
      </c>
      <c r="D1795" s="1" t="str">
        <f>IFERROR(__xludf.DUMMYFUNCTION("CONCATENATE(GOOGLETRANSLATE(C1795, ""en"", ""zh-cn""))
"),"Naomi Home Jenny 簇绒组合沙发床带储物躺椅，拉出式沙发带储物，组合沙发床，L 形双面沙发床带储物，空气皮革，灰色")</f>
        <v>Naomi Home Jenny 簇绒组合沙发床带储物躺椅，拉出式沙发带储物，组合沙发床，L 形双面沙发床带储物，空气皮革，灰色</v>
      </c>
      <c r="E1795" s="1" t="str">
        <f>IFERROR(__xludf.DUMMYFUNCTION("CONCATENATE(GOOGLETRANSLATE(C1795, ""en"", ""ko""))"),"나오미 홈 제니 터프트 단면 소파 슬리퍼(수납 의자 포함), 풀아웃 소파(수납 가능), 단면 소파 베드, L자형 양면 슬리퍼 소파(수납 포함), 에어 가죽, 그레이")</f>
        <v>나오미 홈 제니 터프트 단면 소파 슬리퍼(수납 의자 포함), 풀아웃 소파(수납 가능), 단면 소파 베드, L자형 양면 슬리퍼 소파(수납 포함), 에어 가죽, 그레이</v>
      </c>
      <c r="F1795" s="1" t="str">
        <f>IFERROR(__xludf.DUMMYFUNCTION("CONCATENATE(GOOGLETRANSLATE(C1795, ""en"", ""ja""))"),"ナオミ ホーム ジェニー タフテッド セクショナル ソファ スリーパー 収納長椅子付き、引き出し式ソファ 収納付き、セクショナル ソファベッド、L 字型リバーシブル スリーパー ソファ 収納付き、エア レザー、グレー")</f>
        <v>ナオミ ホーム ジェニー タフテッド セクショナル ソファ スリーパー 収納長椅子付き、引き出し式ソファ 収納付き、セクショナル ソファベッド、L 字型リバーシブル スリーパー ソファ 収納付き、エア レザー、グレー</v>
      </c>
    </row>
    <row r="1796" ht="15.75" customHeight="1">
      <c r="A1796" s="1">
        <v>4425.0</v>
      </c>
      <c r="B1796" s="1" t="s">
        <v>6</v>
      </c>
      <c r="C1796" s="1" t="s">
        <v>1635</v>
      </c>
      <c r="D1796" s="1" t="str">
        <f>IFERROR(__xludf.DUMMYFUNCTION("CONCATENATE(GOOGLETRANSLATE(C1796, ""en"", ""zh-cn""))
"),"Lilola Home 亚麻双面组合沙发带储物躺椅，深灰色")</f>
        <v>Lilola Home 亚麻双面组合沙发带储物躺椅，深灰色</v>
      </c>
      <c r="E1796" s="1" t="str">
        <f>IFERROR(__xludf.DUMMYFUNCTION("CONCATENATE(GOOGLETRANSLATE(C1796, ""en"", ""ko""))"),"Lilola 홈 리넨 양면 슬리퍼 단면 소파(수납 의자 포함), 다크 그레이")</f>
        <v>Lilola 홈 리넨 양면 슬리퍼 단면 소파(수납 의자 포함), 다크 그레이</v>
      </c>
      <c r="F1796" s="1" t="str">
        <f>IFERROR(__xludf.DUMMYFUNCTION("CONCATENATE(GOOGLETRANSLATE(C1796, ""en"", ""ja""))"),"リロラ ホーム リネン リバーシブル スリーパー セクショナル ソファ 収納長椅子付き ダークグレー")</f>
        <v>リロラ ホーム リネン リバーシブル スリーパー セクショナル ソファ 収納長椅子付き ダークグレー</v>
      </c>
    </row>
    <row r="1797" ht="15.75" customHeight="1">
      <c r="A1797" s="1">
        <v>4430.0</v>
      </c>
      <c r="B1797" s="1" t="s">
        <v>6</v>
      </c>
      <c r="C1797" s="1" t="s">
        <v>1562</v>
      </c>
      <c r="D1797" s="1" t="str">
        <f>IFERROR(__xludf.DUMMYFUNCTION("CONCATENATE(GOOGLETRANSLATE(C1797, ""en"", ""zh-cn""))
"),"Belffin 组合式大组合沙发带储物座椅超大 U 形沙发带双面躺椅组合式沙发套装带奥斯曼天鹅绒蓝色")</f>
        <v>Belffin 组合式大组合沙发带储物座椅超大 U 形沙发带双面躺椅组合式沙发套装带奥斯曼天鹅绒蓝色</v>
      </c>
      <c r="E1797" s="1" t="str">
        <f>IFERROR(__xludf.DUMMYFUNCTION("CONCATENATE(GOOGLETRANSLATE(C1797, ""en"", ""ko""))"),"수납 시트가 있는 Belffin 모듈식 대형 단면 소파 양면 긴 의자가 있는 대형 U자형 소파 오토만 벨벳 블루가 포함된 모듈형 소파 세트")</f>
        <v>수납 시트가 있는 Belffin 모듈식 대형 단면 소파 양면 긴 의자가 있는 대형 U자형 소파 오토만 벨벳 블루가 포함된 모듈형 소파 세트</v>
      </c>
      <c r="F1797" s="1" t="str">
        <f>IFERROR(__xludf.DUMMYFUNCTION("CONCATENATE(GOOGLETRANSLATE(C1797, ""en"", ""ja""))"),"Belffin モジュラー大型セクショナルソファ 収納シート付き 特大U字型ソファ リバーシブル長椅子付き モジュラーソファセット オットマン付き ベルベットブルー")</f>
        <v>Belffin モジュラー大型セクショナルソファ 収納シート付き 特大U字型ソファ リバーシブル長椅子付き モジュラーソファセット オットマン付き ベルベットブルー</v>
      </c>
    </row>
    <row r="1798" ht="15.75" customHeight="1">
      <c r="A1798" s="1">
        <v>4474.0</v>
      </c>
      <c r="B1798" s="1" t="s">
        <v>6</v>
      </c>
      <c r="C1798" s="1" t="s">
        <v>1636</v>
      </c>
      <c r="D1798" s="1" t="str">
        <f>IFERROR(__xludf.DUMMYFUNCTION("CONCATENATE(GOOGLETRANSLATE(C1798, ""en"", ""zh-cn""))
"),"Sisley Sisley Sisleya Le Teint 抗衰老粉底 - #3r，桃色，30 毫升/1 盎司，1 盎司")</f>
        <v>Sisley Sisley Sisleya Le Teint 抗衰老粉底 - #3r，桃色，30 毫升/1 盎司，1 盎司</v>
      </c>
      <c r="E1798" s="1" t="str">
        <f>IFERROR(__xludf.DUMMYFUNCTION("CONCATENATE(GOOGLETRANSLATE(C1798, ""en"", ""ko""))"),"시슬리 시슬리 시슬리야 르 떼 안티 에이징 파운데이션 - #3r, 복숭아, 30 Ml/1 온스, 1 온스")</f>
        <v>시슬리 시슬리 시슬리야 르 떼 안티 에이징 파운데이션 - #3r, 복숭아, 30 Ml/1 온스, 1 온스</v>
      </c>
      <c r="F1798" s="1" t="str">
        <f>IFERROR(__xludf.DUMMYFUNCTION("CONCATENATE(GOOGLETRANSLATE(C1798, ""en"", ""ja""))"),"シスレー シスレー シスレーヤ ル タ​​ン アンチ エイジング ファンデーション - #3r、ピーチ、30 ml/1 オンス、1 オンス")</f>
        <v>シスレー シスレー シスレーヤ ル タ​​ン アンチ エイジング ファンデーション - #3r、ピーチ、30 ml/1 オンス、1 オンス</v>
      </c>
    </row>
    <row r="1799" ht="15.75" customHeight="1">
      <c r="A1799" s="1">
        <v>4477.0</v>
      </c>
      <c r="B1799" s="1" t="s">
        <v>6</v>
      </c>
      <c r="C1799" s="1" t="s">
        <v>1637</v>
      </c>
      <c r="D1799" s="1" t="str">
        <f>IFERROR(__xludf.DUMMYFUNCTION("CONCATENATE(GOOGLETRANSLATE(C1799, ""en"", ""zh-cn""))
"),"香奈儿 Hydra Beauty 微量精华液，男女皆宜，1.7 液量盎司")</f>
        <v>香奈儿 Hydra Beauty 微量精华液，男女皆宜，1.7 液量盎司</v>
      </c>
      <c r="E1799" s="1" t="str">
        <f>IFERROR(__xludf.DUMMYFUNCTION("CONCATENATE(GOOGLETRANSLATE(C1799, ""en"", ""ko""))"),"CHANEL 이드라 뷰티 마이크로 세럼 인텐스 리플레니싱 하이드레이션 남녀공용, 1.7 Fl Oz")</f>
        <v>CHANEL 이드라 뷰티 마이크로 세럼 인텐스 리플레니싱 하이드레이션 남녀공용, 1.7 Fl Oz</v>
      </c>
      <c r="F1799" s="1" t="str">
        <f>IFERROR(__xludf.DUMMYFUNCTION("CONCATENATE(GOOGLETRANSLATE(C1799, ""en"", ""ja""))"),"シャネル イドラ ビューティ マイクロ セラム インテンス リプレニシング 水分補給 ユニセックス用、1.7 液量オンス")</f>
        <v>シャネル イドラ ビューティ マイクロ セラム インテンス リプレニシング 水分補給 ユニセックス用、1.7 液量オンス</v>
      </c>
    </row>
    <row r="1800" ht="15.75" customHeight="1">
      <c r="A1800" s="1">
        <v>4551.0</v>
      </c>
      <c r="B1800" s="1" t="s">
        <v>6</v>
      </c>
      <c r="C1800" s="1" t="s">
        <v>1638</v>
      </c>
      <c r="D1800" s="1" t="str">
        <f>IFERROR(__xludf.DUMMYFUNCTION("CONCATENATE(GOOGLETRANSLATE(C1800, ""en"", ""zh-cn""))
"),"Hanacure® 多效合一面部护理 - 入门级")</f>
        <v>Hanacure® 多效合一面部护理 - 入门级</v>
      </c>
      <c r="E1800" s="1" t="str">
        <f>IFERROR(__xludf.DUMMYFUNCTION("CONCATENATE(GOOGLETRANSLATE(C1800, ""en"", ""ko""))"),"Hanacure® 올인원 페이셜 - 스타터")</f>
        <v>Hanacure® 올인원 페이셜 - 스타터</v>
      </c>
      <c r="F1800" s="1" t="str">
        <f>IFERROR(__xludf.DUMMYFUNCTION("CONCATENATE(GOOGLETRANSLATE(C1800, ""en"", ""ja""))"),"ハナキュア® オールインワン フェイシャル - スターター")</f>
        <v>ハナキュア® オールインワン フェイシャル - スターター</v>
      </c>
    </row>
    <row r="1801" ht="15.75" customHeight="1">
      <c r="A1801" s="1">
        <v>4568.0</v>
      </c>
      <c r="B1801" s="1" t="s">
        <v>6</v>
      </c>
      <c r="C1801" s="1" t="s">
        <v>1639</v>
      </c>
      <c r="D1801" s="1" t="str">
        <f>IFERROR(__xludf.DUMMYFUNCTION("CONCATENATE(GOOGLETRANSLATE(C1801, ""en"", ""zh-cn""))
"),"MaryRuth's 维生素酶面膜（植物性） - 74% 有机成分、维生素和乙醇酸温和去除死皮细胞，让新皮肤组织出现 4 盎司男女适用")</f>
        <v>MaryRuth's 维生素酶面膜（植物性） - 74% 有机成分、维生素和乙醇酸温和去除死皮细胞，让新皮肤组织出现 4 盎司男女适用</v>
      </c>
      <c r="E1801" s="1" t="str">
        <f>IFERROR(__xludf.DUMMYFUNCTION("CONCATENATE(GOOGLETRANSLATE(C1801, ""en"", ""ko""))"),"MaryRuth's의 비타민 효소 마스크(식물 기반) - 74% 유기농 성분, 비타민 및 글리콜산이 죽은 피부 세포를 부드럽게 제거하여 새로운 피부 조직이 나타나도록 합니다 4oz For Men &amp; Women")</f>
        <v>MaryRuth's의 비타민 효소 마스크(식물 기반) - 74% 유기농 성분, 비타민 및 글리콜산이 죽은 피부 세포를 부드럽게 제거하여 새로운 피부 조직이 나타나도록 합니다 4oz For Men &amp; Women</v>
      </c>
      <c r="F1801" s="1" t="str">
        <f>IFERROR(__xludf.DUMMYFUNCTION("CONCATENATE(GOOGLETRANSLATE(C1801, ""en"", ""ja""))"),"MaryRuth’s のビタミン酵素マスク (植物ベース) - 74% オーガニック成分、ビタミンとグリコール酸が死んだ皮膚細胞を優しく取り除き、新しい皮膚組織を出現させます 4オンス 男性 &amp; 女性用")</f>
        <v>MaryRuth’s のビタミン酵素マスク (植物ベース) - 74% オーガニック成分、ビタミンとグリコール酸が死んだ皮膚細胞を優しく取り除き、新しい皮膚組織を出現させます 4オンス 男性 &amp; 女性用</v>
      </c>
    </row>
    <row r="1802" ht="15.75" customHeight="1">
      <c r="A1802" s="1">
        <v>4669.0</v>
      </c>
      <c r="B1802" s="1" t="s">
        <v>6</v>
      </c>
      <c r="C1802" s="1" t="s">
        <v>1640</v>
      </c>
      <c r="D1802" s="1" t="str">
        <f>IFERROR(__xludf.DUMMYFUNCTION("CONCATENATE(GOOGLETRANSLATE(C1802, ""en"", ""zh-cn""))
"),"Fizik - Infinito R3，男女通用铁人三项鞋 - 成人")</f>
        <v>Fizik - Infinito R3，男女通用铁人三项鞋 - 成人</v>
      </c>
      <c r="E1802" s="1" t="str">
        <f>IFERROR(__xludf.DUMMYFUNCTION("CONCATENATE(GOOGLETRANSLATE(C1802, ""en"", ""ko""))"),"Fizik - Infinito R3, 남녀공용 트라이애슬론 신발 - 성인용")</f>
        <v>Fizik - Infinito R3, 남녀공용 트라이애슬론 신발 - 성인용</v>
      </c>
      <c r="F1802" s="1" t="str">
        <f>IFERROR(__xludf.DUMMYFUNCTION("CONCATENATE(GOOGLETRANSLATE(C1802, ""en"", ""ja""))"),"Fizik - Infinito R3、ユニセックス トライアスロン シューズ - 大人用")</f>
        <v>Fizik - Infinito R3、ユニセックス トライアスロン シューズ - 大人用</v>
      </c>
    </row>
    <row r="1803" ht="15.75" customHeight="1">
      <c r="A1803" s="1">
        <v>4706.0</v>
      </c>
      <c r="B1803" s="1" t="s">
        <v>6</v>
      </c>
      <c r="C1803" s="1" t="s">
        <v>82</v>
      </c>
      <c r="D1803" s="1" t="str">
        <f>IFERROR(__xludf.DUMMYFUNCTION("CONCATENATE(GOOGLETRANSLATE(C1803, ""en"", ""zh-cn""))
"),"带金属腿和盖子的拼图桌 - 拼图桌 36 英寸 x 27 英寸 - 1500 块可拆卸拼图板，带彩色抽屉 - 拼图存储分类托盘")</f>
        <v>带金属腿和盖子的拼图桌 - 拼图桌 36 英寸 x 27 英寸 - 1500 块可拆卸拼图板，带彩色抽屉 - 拼图存储分类托盘</v>
      </c>
      <c r="E1803" s="1" t="str">
        <f>IFERROR(__xludf.DUMMYFUNCTION("CONCATENATE(GOOGLETRANSLATE(C1803, ""en"", ""ko""))"),"금속 다리와 커버가 있는 퍼즐 테이블 - 직소 퍼즐 테이블 36"" x 27"" - 다채로운 서랍이 있는 탈착식 퍼즐 보드 1500개 - 퍼즐 보관함 정렬 트레이")</f>
        <v>금속 다리와 커버가 있는 퍼즐 테이블 - 직소 퍼즐 테이블 36" x 27" - 다채로운 서랍이 있는 탈착식 퍼즐 보드 1500개 - 퍼즐 보관함 정렬 트레이</v>
      </c>
      <c r="F1803" s="1" t="str">
        <f>IFERROR(__xludf.DUMMYFUNCTION("CONCATENATE(GOOGLETRANSLATE(C1803, ""en"", ""ja""))"),"金属製の脚とカバー付きパズルテーブル - ジグソーパズルテーブル 36インチ x 27インチ - 1500ピースの取り外し可能なパズルボード、カラフルな引き出し付き - パズル収納仕分けトレイ")</f>
        <v>金属製の脚とカバー付きパズルテーブル - ジグソーパズルテーブル 36インチ x 27インチ - 1500ピースの取り外し可能なパズルボード、カラフルな引き出し付き - パズル収納仕分けトレイ</v>
      </c>
    </row>
    <row r="1804" ht="15.75" customHeight="1">
      <c r="A1804" s="1">
        <v>4724.0</v>
      </c>
      <c r="B1804" s="1" t="s">
        <v>6</v>
      </c>
      <c r="C1804" s="1" t="s">
        <v>65</v>
      </c>
      <c r="D1804" s="1" t="str">
        <f>IFERROR(__xludf.DUMMYFUNCTION("CONCATENATE(GOOGLETRANSLATE(C1804, ""en"", ""zh-cn""))
"),"LiangCuber GAN 13磁悬浮旗舰磁力3x3无贴纸GAN13 M速度魔方（磨砂版）")</f>
        <v>LiangCuber GAN 13磁悬浮旗舰磁力3x3无贴纸GAN13 M速度魔方（磨砂版）</v>
      </c>
      <c r="E1804" s="1" t="str">
        <f>IFERROR(__xludf.DUMMYFUNCTION("CONCATENATE(GOOGLETRANSLATE(C1804, ""en"", ""ko""))"),"LiangCuber GAN 13 자기 부상 플래그십 마그네틱 3x3 스티커 없는 GAN13 M 스피드 큐브(반투명 버전)")</f>
        <v>LiangCuber GAN 13 자기 부상 플래그십 마그네틱 3x3 스티커 없는 GAN13 M 스피드 큐브(반투명 버전)</v>
      </c>
      <c r="F1804" s="1" t="str">
        <f>IFERROR(__xludf.DUMMYFUNCTION("CONCATENATE(GOOGLETRANSLATE(C1804, ""en"", ""ja""))"),"LiangCuber GAN 13 マグレブ旗艦 磁気 3x3 ステッカーレス GAN13 M スピード キューブ (つや消しバージョン)")</f>
        <v>LiangCuber GAN 13 マグレブ旗艦 磁気 3x3 ステッカーレス GAN13 M スピード キューブ (つや消しバージョン)</v>
      </c>
    </row>
    <row r="1805" ht="15.75" customHeight="1">
      <c r="A1805" s="1">
        <v>4770.0</v>
      </c>
      <c r="B1805" s="1" t="s">
        <v>6</v>
      </c>
      <c r="C1805" s="1" t="s">
        <v>1641</v>
      </c>
      <c r="D1805" s="1" t="str">
        <f>IFERROR(__xludf.DUMMYFUNCTION("CONCATENATE(GOOGLETRANSLATE(C1805, ""en"", ""zh-cn""))
"),"香奈儿 Sublimage 基础精华 40 毫升")</f>
        <v>香奈儿 Sublimage 基础精华 40 毫升</v>
      </c>
      <c r="E1805" s="1" t="str">
        <f>IFERROR(__xludf.DUMMYFUNCTION("CONCATENATE(GOOGLETRANSLATE(C1805, ""en"", ""ko""))"),"샤넬 수블리마지 레상스 퐁다멘탈 40ml")</f>
        <v>샤넬 수블리마지 레상스 퐁다멘탈 40ml</v>
      </c>
      <c r="F1805" s="1" t="str">
        <f>IFERROR(__xludf.DUMMYFUNCTION("CONCATENATE(GOOGLETRANSLATE(C1805, ""en"", ""ja""))"),"シャネル サブリマージュ レサンス フォンダメンターレ 40ml")</f>
        <v>シャネル サブリマージュ レサンス フォンダメンターレ 40ml</v>
      </c>
    </row>
    <row r="1806" ht="15.75" customHeight="1">
      <c r="A1806" s="1">
        <v>4816.0</v>
      </c>
      <c r="B1806" s="1" t="s">
        <v>6</v>
      </c>
      <c r="C1806" s="1" t="s">
        <v>1642</v>
      </c>
      <c r="D1806" s="1" t="str">
        <f>IFERROR(__xludf.DUMMYFUNCTION("CONCATENATE(GOOGLETRANSLATE(C1806, ""en"", ""zh-cn""))
"),"Apple 2023 款 MacBook Pro 笔记本电脑 M3 芯片，配备 8 核 CPU、10 核 GPU：14.2 英寸 Liquid Retina XDR 显示屏、8GB 统一内存、512GB SSD 存储。适用于 iPhone/iPad；深空灰色")</f>
        <v>Apple 2023 款 MacBook Pro 笔记本电脑 M3 芯片，配备 8 核 CPU、10 核 GPU：14.2 英寸 Liquid Retina XDR 显示屏、8GB 统一内存、512GB SSD 存储。适用于 iPhone/iPad；深空灰色</v>
      </c>
      <c r="E1806" s="1" t="str">
        <f>IFERROR(__xludf.DUMMYFUNCTION("CONCATENATE(GOOGLETRANSLATE(C1806, ""en"", ""ko""))"),"8코어 CPU, 10코어 GPU를 탑재한 Apple 2023 MacBook Pro 노트북 M3 칩: 14.2인치 Liquid Retina XDR 디스플레이, 8GB 통합 메모리, 512GB SSD 스토리지. iPhone/iPad에서 작동합니다. 스페이스 그레이")</f>
        <v>8코어 CPU, 10코어 GPU를 탑재한 Apple 2023 MacBook Pro 노트북 M3 칩: 14.2인치 Liquid Retina XDR 디스플레이, 8GB 통합 메모리, 512GB SSD 스토리지. iPhone/iPad에서 작동합니다. 스페이스 그레이</v>
      </c>
      <c r="F1806" s="1" t="str">
        <f>IFERROR(__xludf.DUMMYFUNCTION("CONCATENATE(GOOGLETRANSLATE(C1806, ""en"", ""ja""))"),"8 コア CPU、10 コア GPU を搭載した Apple 2023 MacBook Pro ラップトップ M3 チップ: 14.2 インチ Liquid Retina XDR ディスプレイ、8 GB ユニファイド メモリ、512 GB SSD ストレージ。 iPhone/iPad で動作します。スペースグレイ")</f>
        <v>8 コア CPU、10 コア GPU を搭載した Apple 2023 MacBook Pro ラップトップ M3 チップ: 14.2 インチ Liquid Retina XDR ディスプレイ、8 GB ユニファイド メモリ、512 GB SSD ストレージ。 iPhone/iPad で動作します。スペースグレイ</v>
      </c>
    </row>
    <row r="1807" ht="15.75" customHeight="1">
      <c r="A1807" s="1">
        <v>5063.0</v>
      </c>
      <c r="B1807" s="1" t="s">
        <v>51</v>
      </c>
      <c r="C1807" s="1" t="s">
        <v>938</v>
      </c>
      <c r="D1807" s="1" t="str">
        <f>IFERROR(__xludf.DUMMYFUNCTION("CONCATENATE(GOOGLETRANSLATE(C1807, ""en"", ""zh-cn""))
"),"男士笑脸刺绣灯芯绒抽绳连帽衬衫夹克")</f>
        <v>男士笑脸刺绣灯芯绒抽绳连帽衬衫夹克</v>
      </c>
      <c r="E1807" s="1" t="str">
        <f>IFERROR(__xludf.DUMMYFUNCTION("CONCATENATE(GOOGLETRANSLATE(C1807, ""en"", ""ko""))"),"남성용 스마일 페이스 자수 코듀로이 드로스트링 후드 셔츠 재킷")</f>
        <v>남성용 스마일 페이스 자수 코듀로이 드로스트링 후드 셔츠 재킷</v>
      </c>
      <c r="F1807" s="1" t="str">
        <f>IFERROR(__xludf.DUMMYFUNCTION("CONCATENATE(GOOGLETRANSLATE(C1807, ""en"", ""ja""))"),"メンズスマイルフェイス刺繍コーデュロイ巾着フード付きシャツジャケット")</f>
        <v>メンズスマイルフェイス刺繍コーデュロイ巾着フード付きシャツジャケット</v>
      </c>
    </row>
    <row r="1808" ht="15.75" customHeight="1">
      <c r="A1808" s="1">
        <v>5068.0</v>
      </c>
      <c r="B1808" s="1" t="s">
        <v>51</v>
      </c>
      <c r="C1808" s="1" t="s">
        <v>1311</v>
      </c>
      <c r="D1808" s="1" t="str">
        <f>IFERROR(__xludf.DUMMYFUNCTION("CONCATENATE(GOOGLETRANSLATE(C1808, ""en"", ""zh-cn""))
"),"男式不规则几何印花弧形下摆纹理长袖 T 恤")</f>
        <v>男式不规则几何印花弧形下摆纹理长袖 T 恤</v>
      </c>
      <c r="E1808" s="1" t="str">
        <f>IFERROR(__xludf.DUMMYFUNCTION("CONCATENATE(GOOGLETRANSLATE(C1808, ""en"", ""ko""))"),"남성용 불규칙한 기하학적 프린트 곡선 밑단 텍스처 긴소매 티셔츠")</f>
        <v>남성용 불규칙한 기하학적 프린트 곡선 밑단 텍스처 긴소매 티셔츠</v>
      </c>
      <c r="F1808" s="1" t="str">
        <f>IFERROR(__xludf.DUMMYFUNCTION("CONCATENATE(GOOGLETRANSLATE(C1808, ""en"", ""ja""))"),"メンズ不規則な幾何学模様のプリント湾曲した裾のテクスチャ長袖 T シャツ")</f>
        <v>メンズ不規則な幾何学模様のプリント湾曲した裾のテクスチャ長袖 T シャツ</v>
      </c>
    </row>
    <row r="1809" ht="15.75" customHeight="1">
      <c r="A1809" s="1">
        <v>5084.0</v>
      </c>
      <c r="B1809" s="1" t="s">
        <v>6</v>
      </c>
      <c r="C1809" s="1" t="s">
        <v>1120</v>
      </c>
      <c r="D1809" s="1" t="str">
        <f>IFERROR(__xludf.DUMMYFUNCTION("CONCATENATE(GOOGLETRANSLATE(C1809, ""en"", ""zh-cn""))
"),"PVC RV 橡胶屋顶套件 45 百万 | 9’6’’宽x 10’-40’长房车（露营车）屋顶维修（40’），白色，（RVK45PVCW95）")</f>
        <v>PVC RV 橡胶屋顶套件 45 百万 | 9’6’’宽x 10’-40’长房车（露营车）屋顶维修（40’），白色，（RVK45PVCW95）</v>
      </c>
      <c r="E1809" s="1" t="str">
        <f>IFERROR(__xludf.DUMMYFUNCTION("CONCATENATE(GOOGLETRANSLATE(C1809, ""en"", ""ko""))"),"PVC RV 고무 지붕 키트 45mil | 9'6'' 너비 x 10'-40' 길이 RV(캠퍼) 지붕 수리(40'), 흰색, (RVK45PVCW95)")</f>
        <v>PVC RV 고무 지붕 키트 45mil | 9'6'' 너비 x 10'-40' 길이 RV(캠퍼) 지붕 수리(40'), 흰색, (RVK45PVCW95)</v>
      </c>
      <c r="F1809" s="1" t="str">
        <f>IFERROR(__xludf.DUMMYFUNCTION("CONCATENATE(GOOGLETRANSLATE(C1809, ""en"", ""ja""))"),"PVC RV ラバー ルーフ キット 45 mil |幅9'6'' x 長さ10'-40' RV (キャンピングカー) 屋根修理 (40')、白、(RVK45PVCW95)")</f>
        <v>PVC RV ラバー ルーフ キット 45 mil |幅9'6'' x 長さ10'-40' RV (キャンピングカー) 屋根修理 (40')、白、(RVK45PVCW95)</v>
      </c>
    </row>
    <row r="1810" ht="15.75" customHeight="1">
      <c r="A1810" s="1">
        <v>5140.0</v>
      </c>
      <c r="B1810" s="1" t="s">
        <v>6</v>
      </c>
      <c r="C1810" s="1" t="s">
        <v>1643</v>
      </c>
      <c r="D1810" s="1" t="str">
        <f>IFERROR(__xludf.DUMMYFUNCTION("CONCATENATE(GOOGLETRANSLATE(C1810, ""en"", ""zh-cn""))
"),"Apple iPhone 13 Pro Max，128GB，阿尔卑斯绿 - T-Mobile（续订）")</f>
        <v>Apple iPhone 13 Pro Max，128GB，阿尔卑斯绿 - T-Mobile（续订）</v>
      </c>
      <c r="E1810" s="1" t="str">
        <f>IFERROR(__xludf.DUMMYFUNCTION("CONCATENATE(GOOGLETRANSLATE(C1810, ""en"", ""ko""))"),"Apple iPhone 13 Pro Max, 128GB, 알파인 그린 - T-Mobile(리뉴얼)")</f>
        <v>Apple iPhone 13 Pro Max, 128GB, 알파인 그린 - T-Mobile(리뉴얼)</v>
      </c>
      <c r="F1810" s="1" t="str">
        <f>IFERROR(__xludf.DUMMYFUNCTION("CONCATENATE(GOOGLETRANSLATE(C1810, ""en"", ""ja""))"),"Apple iPhone 13 Pro Max、128GB、アルパイングリーン - T-Mobile (リニューアル)")</f>
        <v>Apple iPhone 13 Pro Max、128GB、アルパイングリーン - T-Mobile (リニューアル)</v>
      </c>
    </row>
    <row r="1811" ht="15.75" customHeight="1">
      <c r="A1811" s="1">
        <v>5190.0</v>
      </c>
      <c r="B1811" s="1" t="s">
        <v>51</v>
      </c>
      <c r="C1811" s="1" t="s">
        <v>1112</v>
      </c>
      <c r="D1811" s="1" t="str">
        <f>IFERROR(__xludf.DUMMYFUNCTION("CONCATENATE(GOOGLETRANSLATE(C1811, ""en"", ""zh-cn""))
"),"男士格子拼布多口袋休闲连帽夹克")</f>
        <v>男士格子拼布多口袋休闲连帽夹克</v>
      </c>
      <c r="E1811" s="1" t="str">
        <f>IFERROR(__xludf.DUMMYFUNCTION("CONCATENATE(GOOGLETRANSLATE(C1811, ""en"", ""ko""))"),"남성 체크 무늬 패치워크 멀티 포켓 캐주얼 후드 재킷")</f>
        <v>남성 체크 무늬 패치워크 멀티 포켓 캐주얼 후드 재킷</v>
      </c>
      <c r="F1811" s="1" t="str">
        <f>IFERROR(__xludf.DUMMYFUNCTION("CONCATENATE(GOOGLETRANSLATE(C1811, ""en"", ""ja""))"),"メンズチェック柄パッチワークマルチポケットカジュアルフード付きジャケット")</f>
        <v>メンズチェック柄パッチワークマルチポケットカジュアルフード付きジャケット</v>
      </c>
    </row>
    <row r="1812" ht="15.75" customHeight="1">
      <c r="A1812" s="1">
        <v>5266.0</v>
      </c>
      <c r="B1812" s="1" t="s">
        <v>51</v>
      </c>
      <c r="C1812" s="1" t="s">
        <v>1644</v>
      </c>
      <c r="D1812" s="1" t="str">
        <f>IFERROR(__xludf.DUMMYFUNCTION("CONCATENATE(GOOGLETRANSLATE(C1812, ""en"", ""zh-cn""))
"),"男士休闲长袖上衣圆领宽松基本款 T 恤")</f>
        <v>男士休闲长袖上衣圆领宽松基本款 T 恤</v>
      </c>
      <c r="E1812" s="1" t="str">
        <f>IFERROR(__xludf.DUMMYFUNCTION("CONCATENATE(GOOGLETRANSLATE(C1812, ""en"", ""ko""))"),"남성 캐주얼 긴팔 탑 크루넥 루즈 기본 티셔츠")</f>
        <v>남성 캐주얼 긴팔 탑 크루넥 루즈 기본 티셔츠</v>
      </c>
      <c r="F1812" s="1" t="str">
        <f>IFERROR(__xludf.DUMMYFUNCTION("CONCATENATE(GOOGLETRANSLATE(C1812, ""en"", ""ja""))"),"メンズカジュアル長袖トップスクルーネックルーズベーシックTシャツ")</f>
        <v>メンズカジュアル長袖トップスクルーネックルーズベーシックTシャツ</v>
      </c>
    </row>
    <row r="1813" ht="15.75" customHeight="1">
      <c r="A1813" s="1">
        <v>5313.0</v>
      </c>
      <c r="B1813" s="1" t="s">
        <v>6</v>
      </c>
      <c r="C1813" s="1" t="s">
        <v>1645</v>
      </c>
      <c r="D1813" s="1" t="str">
        <f>IFERROR(__xludf.DUMMYFUNCTION("CONCATENATE(GOOGLETRANSLATE(C1813, ""en"", ""zh-cn""))
"),"Giro Empire SLX 男士公路骑行鞋")</f>
        <v>Giro Empire SLX 男士公路骑行鞋</v>
      </c>
      <c r="E1813" s="1" t="str">
        <f>IFERROR(__xludf.DUMMYFUNCTION("CONCATENATE(GOOGLETRANSLATE(C1813, ""en"", ""ko""))"),"Giro Empire SLX 남성용 로드 사이클링 신발")</f>
        <v>Giro Empire SLX 남성용 로드 사이클링 신발</v>
      </c>
      <c r="F1813" s="1" t="str">
        <f>IFERROR(__xludf.DUMMYFUNCTION("CONCATENATE(GOOGLETRANSLATE(C1813, ""en"", ""ja""))"),"Giro Empire SLX メンズ ロード サイクリング シューズ")</f>
        <v>Giro Empire SLX メンズ ロード サイクリング シューズ</v>
      </c>
    </row>
    <row r="1814" ht="15.75" customHeight="1">
      <c r="A1814" s="1">
        <v>5332.0</v>
      </c>
      <c r="B1814" s="1" t="s">
        <v>6</v>
      </c>
      <c r="C1814" s="1" t="s">
        <v>1065</v>
      </c>
      <c r="D1814" s="1" t="str">
        <f>IFERROR(__xludf.DUMMYFUNCTION("CONCATENATE(GOOGLETRANSLATE(C1814, ""en"", ""zh-cn""))
"),"索尼 CFexpress A 型存储卡 320GB")</f>
        <v>索尼 CFexpress A 型存储卡 320GB</v>
      </c>
      <c r="E1814" s="1" t="str">
        <f>IFERROR(__xludf.DUMMYFUNCTION("CONCATENATE(GOOGLETRANSLATE(C1814, ""en"", ""ko""))"),"소니 CFexpress Type A 메모리 카드 320GB")</f>
        <v>소니 CFexpress Type A 메모리 카드 320GB</v>
      </c>
      <c r="F1814" s="1" t="str">
        <f>IFERROR(__xludf.DUMMYFUNCTION("CONCATENATE(GOOGLETRANSLATE(C1814, ""en"", ""ja""))"),"ソニー CFexpress タイプ A メモリーカード 320GB")</f>
        <v>ソニー CFexpress タイプ A メモリーカード 320GB</v>
      </c>
    </row>
    <row r="1815" ht="15.75" customHeight="1">
      <c r="A1815" s="1">
        <v>5334.0</v>
      </c>
      <c r="B1815" s="1" t="s">
        <v>6</v>
      </c>
      <c r="C1815" s="1" t="s">
        <v>1593</v>
      </c>
      <c r="D1815" s="1" t="str">
        <f>IFERROR(__xludf.DUMMYFUNCTION("CONCATENATE(GOOGLETRANSLATE(C1815, ""en"", ""zh-cn""))
"),"垂直电缆门禁电缆静压室：22AWG/3 对屏蔽 + 18AWG/4 导线 + 22AWG/4 导线 + 22AWG/2 导线，多股裸铜导线，500 英尺线轴，黄色")</f>
        <v>垂直电缆门禁电缆静压室：22AWG/3 对屏蔽 + 18AWG/4 导线 + 22AWG/4 导线 + 22AWG/2 导线，多股裸铜导线，500 英尺线轴，黄色</v>
      </c>
      <c r="E1815" s="1" t="str">
        <f>IFERROR(__xludf.DUMMYFUNCTION("CONCATENATE(GOOGLETRANSLATE(C1815, ""en"", ""ko""))"),"수직 케이블 액세스 제어 케이블 플레넘: 22AWG/3쌍 차폐 + 18AWG/4 도체 + 22AWG/4 도체 + 22AWG/2 도체, 연선 구리 도체, 500피트 스풀, 노란색")</f>
        <v>수직 케이블 액세스 제어 케이블 플레넘: 22AWG/3쌍 차폐 + 18AWG/4 도체 + 22AWG/4 도체 + 22AWG/2 도체, 연선 구리 도체, 500피트 스풀, 노란색</v>
      </c>
      <c r="F1815" s="1" t="str">
        <f>IFERROR(__xludf.DUMMYFUNCTION("CONCATENATE(GOOGLETRANSLATE(C1815, ""en"", ""ja""))"),"垂直ケーブルアクセス制御ケーブルプレナム: 22AWG/3 ペアシールド + 18AWG/4 導体 + 22AWG/4 導体 + 22AWG/2 導体、撚り線裸銅導体、500 フィートスプール、黄色")</f>
        <v>垂直ケーブルアクセス制御ケーブルプレナム: 22AWG/3 ペアシールド + 18AWG/4 導体 + 22AWG/4 導体 + 22AWG/2 導体、撚り線裸銅導体、500 フィートスプール、黄色</v>
      </c>
    </row>
    <row r="1816" ht="15.75" customHeight="1">
      <c r="A1816" s="1">
        <v>5353.0</v>
      </c>
      <c r="B1816" s="1" t="s">
        <v>6</v>
      </c>
      <c r="C1816" s="1" t="s">
        <v>615</v>
      </c>
      <c r="D1816" s="1" t="str">
        <f>IFERROR(__xludf.DUMMYFUNCTION("CONCATENATE(GOOGLETRANSLATE(C1816, ""en"", ""zh-cn""))
"),"Bukefuno GAN 12 Maglev 3x3 磁性魔方 GAN12Maglev Speed GAN 12Maglev 拼图魔方 GAN12 Maglev 3x3 魔方（磨砂表面无贴纸）")</f>
        <v>Bukefuno GAN 12 Maglev 3x3 磁性魔方 GAN12Maglev Speed GAN 12Maglev 拼图魔方 GAN12 Maglev 3x3 魔方（磨砂表面无贴纸）</v>
      </c>
      <c r="E1816" s="1" t="str">
        <f>IFERROR(__xludf.DUMMYFUNCTION("CONCATENATE(GOOGLETRANSLATE(C1816, ""en"", ""ko""))"),"Bukefuno GAN 12 자기 부상 3x3 자기 매직 큐브 GAN12Maglev 속도 GAN 12 자기 부상 퍼즐 매직 큐브 GAN12 자기 부상 3x3 큐브(반투명 표면 스티커 없음)")</f>
        <v>Bukefuno GAN 12 자기 부상 3x3 자기 매직 큐브 GAN12Maglev 속도 GAN 12 자기 부상 퍼즐 매직 큐브 GAN12 자기 부상 3x3 큐브(반투명 표면 스티커 없음)</v>
      </c>
      <c r="F1816" s="1" t="str">
        <f>IFERROR(__xludf.DUMMYFUNCTION("CONCATENATE(GOOGLETRANSLATE(C1816, ""en"", ""ja""))"),"Bukefuno GAN 12 Maglev 3x3 Magnetic Magic Cube GAN12Maglev Speed GAN 12Maglev Puzzle Magic Cubes GAN12 Maglev 3x3 Cube (つや消し表面ステッカーなし)")</f>
        <v>Bukefuno GAN 12 Maglev 3x3 Magnetic Magic Cube GAN12Maglev Speed GAN 12Maglev Puzzle Magic Cubes GAN12 Maglev 3x3 Cube (つや消し表面ステッカーなし)</v>
      </c>
    </row>
    <row r="1817" ht="15.75" customHeight="1">
      <c r="A1817" s="1">
        <v>5367.0</v>
      </c>
      <c r="B1817" s="1" t="s">
        <v>6</v>
      </c>
      <c r="C1817" s="1" t="s">
        <v>436</v>
      </c>
      <c r="D1817" s="1" t="str">
        <f>IFERROR(__xludf.DUMMYFUNCTION("CONCATENATE(GOOGLETRANSLATE(C1817, ""en"", ""zh-cn""))
"),"SHARGEEK 的 SHARGE USB C 充电器，带数字雨功率显示的复古 67 GaN 充电器，67W 可折叠快速壁式充电器，适用于 iPhone 14/Pro/Pro Max/13、iPad、MacBook、Galaxy、Google Pixel 礼品创意")</f>
        <v>SHARGEEK 的 SHARGE USB C 充电器，带数字雨功率显示的复古 67 GaN 充电器，67W 可折叠快速壁式充电器，适用于 iPhone 14/Pro/Pro Max/13、iPad、MacBook、Galaxy、Google Pixel 礼品创意</v>
      </c>
      <c r="E1817" s="1" t="str">
        <f>IFERROR(__xludf.DUMMYFUNCTION("CONCATENATE(GOOGLETRANSLATE(C1817, ""en"", ""ko""))"),"SHARGEEK의 SHARGE USB C 충전기, 디지털 레인 파워 디스플레이를 갖춘 레트로 67 GaN 충전기, iPhone 14/Pro/Pro Max/13, iPad, MacBook, Galaxy, Google Pixel 선물용 아이디어를 위한 67W 접이식 고속 벽 충전기")</f>
        <v>SHARGEEK의 SHARGE USB C 충전기, 디지털 레인 파워 디스플레이를 갖춘 레트로 67 GaN 충전기, iPhone 14/Pro/Pro Max/13, iPad, MacBook, Galaxy, Google Pixel 선물용 아이디어를 위한 67W 접이식 고속 벽 충전기</v>
      </c>
      <c r="F1817" s="1" t="str">
        <f>IFERROR(__xludf.DUMMYFUNCTION("CONCATENATE(GOOGLETRANSLATE(C1817, ""en"", ""ja""))"),"SHARGEEK の SHARGE USB C 充電器、デジタルレインパワーディスプレイ付きレトロ 67 GaN 充電器、iPhone 14/Pro/Pro Max/13、iPad、MacBook、Galaxy、Google Pixel ギフトアイデア用の 67W 折りたたみ式高速壁充電器")</f>
        <v>SHARGEEK の SHARGE USB C 充電器、デジタルレインパワーディスプレイ付きレトロ 67 GaN 充電器、iPhone 14/Pro/Pro Max/13、iPad、MacBook、Galaxy、Google Pixel ギフトアイデア用の 67W 折りたたみ式高速壁充電器</v>
      </c>
    </row>
    <row r="1818" ht="15.75" customHeight="1">
      <c r="A1818" s="1">
        <v>5401.0</v>
      </c>
      <c r="B1818" s="1" t="s">
        <v>51</v>
      </c>
      <c r="C1818" s="1" t="s">
        <v>1646</v>
      </c>
      <c r="D1818" s="1" t="str">
        <f>IFERROR(__xludf.DUMMYFUNCTION("CONCATENATE(GOOGLETRANSLATE(C1818, ""en"", ""zh-cn""))
"),"无袖圆领宽松休闲花卉印花超长连衣裙")</f>
        <v>无袖圆领宽松休闲花卉印花超长连衣裙</v>
      </c>
      <c r="E1818" s="1" t="str">
        <f>IFERROR(__xludf.DUMMYFUNCTION("CONCATENATE(GOOGLETRANSLATE(C1818, ""en"", ""ko""))"),"민소매 O 넥 루즈 캐쥬얼 플로럴 프린트 맥시 드레스")</f>
        <v>민소매 O 넥 루즈 캐쥬얼 플로럴 프린트 맥시 드레스</v>
      </c>
      <c r="F1818" s="1" t="str">
        <f>IFERROR(__xludf.DUMMYFUNCTION("CONCATENATE(GOOGLETRANSLATE(C1818, ""en"", ""ja""))"),"ノースリーブ O ネック ルーズ カジュアル フローラル プリント マキシ ドレス")</f>
        <v>ノースリーブ O ネック ルーズ カジュアル フローラル プリント マキシ ドレス</v>
      </c>
    </row>
    <row r="1819" ht="15.75" customHeight="1">
      <c r="A1819" s="1">
        <v>5408.0</v>
      </c>
      <c r="B1819" s="1" t="s">
        <v>6</v>
      </c>
      <c r="C1819" s="1" t="s">
        <v>42</v>
      </c>
      <c r="D1819" s="1" t="str">
        <f>IFERROR(__xludf.DUMMYFUNCTION("CONCATENATE(GOOGLETRANSLATE(C1819, ""en"", ""zh-cn""))
"),"Ravensburger Space Odyssey 5000 片成人拼图 - 16720 - 每一块都是独一无二的，Softclick 技术意味着各块完美地组合在一起")</f>
        <v>Ravensburger Space Odyssey 5000 片成人拼图 - 16720 - 每一块都是独一无二的，Softclick 技术意味着各块完美地组合在一起</v>
      </c>
      <c r="E1819" s="1" t="str">
        <f>IFERROR(__xludf.DUMMYFUNCTION("CONCATENATE(GOOGLETRANSLATE(C1819, ""en"", ""ko""))"),"Ravensburger Space Odyssey 성인용 5000피스 직소 퍼즐 - 16720 - 모든 조각은 독특하며 소프트클릭 기술로 조각이 완벽하게 들어맞습니다.")</f>
        <v>Ravensburger Space Odyssey 성인용 5000피스 직소 퍼즐 - 16720 - 모든 조각은 독특하며 소프트클릭 기술로 조각이 완벽하게 들어맞습니다.</v>
      </c>
      <c r="F1819" s="1" t="str">
        <f>IFERROR(__xludf.DUMMYFUNCTION("CONCATENATE(GOOGLETRANSLATE(C1819, ""en"", ""ja""))"),"Ravensburger 宇宙の旅 大人用 5000 ピース ジグソーパズル - 16720 - すべてのピースはユニークで、ソフトクリックテクノロジーによりピースが完璧にフィットします。")</f>
        <v>Ravensburger 宇宙の旅 大人用 5000 ピース ジグソーパズル - 16720 - すべてのピースはユニークで、ソフトクリックテクノロジーによりピースが完璧にフィットします。</v>
      </c>
    </row>
    <row r="1820" ht="15.75" customHeight="1">
      <c r="A1820" s="1">
        <v>5409.0</v>
      </c>
      <c r="B1820" s="1" t="s">
        <v>6</v>
      </c>
      <c r="C1820" s="1" t="s">
        <v>454</v>
      </c>
      <c r="D1820" s="1" t="str">
        <f>IFERROR(__xludf.DUMMYFUNCTION("CONCATENATE(GOOGLETRANSLATE(C1820, ""en"", ""zh-cn""))
"),"GAN 460 M 速度魔方， 4x4 磁性魔方 Gans 460M 拼图玩具（无贴纸）")</f>
        <v>GAN 460 M 速度魔方， 4x4 磁性魔方 Gans 460M 拼图玩具（无贴纸）</v>
      </c>
      <c r="E1820" s="1" t="str">
        <f>IFERROR(__xludf.DUMMYFUNCTION("CONCATENATE(GOOGLETRANSLATE(C1820, ""en"", ""ko""))"),"GAN 460 M 스피드 큐브, 4x4 마그네틱 마스터 큐브 Gans 460M 퍼즐 장난감(스티커 없음)")</f>
        <v>GAN 460 M 스피드 큐브, 4x4 마그네틱 마스터 큐브 Gans 460M 퍼즐 장난감(스티커 없음)</v>
      </c>
      <c r="F1820" s="1" t="str">
        <f>IFERROR(__xludf.DUMMYFUNCTION("CONCATENATE(GOOGLETRANSLATE(C1820, ""en"", ""ja""))"),"GAN 460 M スピード キューブ、4x4 磁気マスター キューブ Gans 460M パズルおもちゃ (ステッカーなし)")</f>
        <v>GAN 460 M スピード キューブ、4x4 磁気マスター キューブ Gans 460M パズルおもちゃ (ステッカーなし)</v>
      </c>
    </row>
    <row r="1821" ht="15.75" customHeight="1">
      <c r="A1821" s="1">
        <v>5418.0</v>
      </c>
      <c r="B1821" s="1" t="s">
        <v>6</v>
      </c>
      <c r="C1821" s="1" t="s">
        <v>268</v>
      </c>
      <c r="D1821" s="1" t="str">
        <f>IFERROR(__xludf.DUMMYFUNCTION("CONCATENATE(GOOGLETRANSLATE(C1821, ""en"", ""zh-cn""))
"),"Roxenda [15 件装] 速度立方体套装 - 2x2x2 3x3x3 4x4x4 2x2x3 X 立方体六点立方体斜轴风车费舍尔镜子 2x2-Megaminx 3x3-Megaminx 金字塔常春藤立方体光滑魔方拼图系列")</f>
        <v>Roxenda [15 件装] 速度立方体套装 - 2x2x2 3x3x3 4x4x4 2x2x3 X 立方体六点立方体斜轴风车费舍尔镜子 2x2-Megaminx 3x3-Megaminx 金字塔常春藤立方体光滑魔方拼图系列</v>
      </c>
      <c r="E1821" s="1" t="str">
        <f>IFERROR(__xludf.DUMMYFUNCTION("CONCATENATE(GOOGLETRANSLATE(C1821, ""en"", ""ko""))"),"Roxenda [15 팩] 스피드 큐브 세트 - 2x2x2 3x3x3 4x4x4 2x2x3 X-Cube 6스팟 큐브 Skew Axis Windmill Fisher Mirror 2x2-Megaminx 3x3-Megaminx Pyramid Ivy Cube Smooth Magic Cube 퍼즐 컬렉션")</f>
        <v>Roxenda [15 팩] 스피드 큐브 세트 - 2x2x2 3x3x3 4x4x4 2x2x3 X-Cube 6스팟 큐브 Skew Axis Windmill Fisher Mirror 2x2-Megaminx 3x3-Megaminx Pyramid Ivy Cube Smooth Magic Cube 퍼즐 컬렉션</v>
      </c>
      <c r="F1821" s="1" t="str">
        <f>IFERROR(__xludf.DUMMYFUNCTION("CONCATENATE(GOOGLETRANSLATE(C1821, ""en"", ""ja""))"),"Roxenda [15 パック] スピード キューブ セット - 2x2x2 3x3x3 4x4x4 2x2x3 X-Cube 6 スポット キューブ スキュー軸 風車 フィッシャー ミラー 2x2-メガミンクス 3x3-メガミンクス ピラミッド アイビー キューブ スムーズ マジック キューブ パズル コレクション")</f>
        <v>Roxenda [15 パック] スピード キューブ セット - 2x2x2 3x3x3 4x4x4 2x2x3 X-Cube 6 スポット キューブ スキュー軸 風車 フィッシャー ミラー 2x2-メガミンクス 3x3-メガミンクス ピラミッド アイビー キューブ スムーズ マジック キューブ パズル コレクション</v>
      </c>
    </row>
    <row r="1822" ht="15.75" customHeight="1">
      <c r="A1822" s="1">
        <v>5437.0</v>
      </c>
      <c r="B1822" s="1" t="s">
        <v>6</v>
      </c>
      <c r="C1822" s="1" t="s">
        <v>1301</v>
      </c>
      <c r="D1822" s="1" t="str">
        <f>IFERROR(__xludf.DUMMYFUNCTION("CONCATENATE(GOOGLETRANSLATE(C1822, ""en"", ""zh-cn""))
"),"Lake CX241 骑行鞋 - 男士")</f>
        <v>Lake CX241 骑行鞋 - 男士</v>
      </c>
      <c r="E1822" s="1" t="str">
        <f>IFERROR(__xludf.DUMMYFUNCTION("CONCATENATE(GOOGLETRANSLATE(C1822, ""en"", ""ko""))"),"Lake CX241 사이클링 신발 - 남성용")</f>
        <v>Lake CX241 사이클링 신발 - 남성용</v>
      </c>
      <c r="F1822" s="1" t="str">
        <f>IFERROR(__xludf.DUMMYFUNCTION("CONCATENATE(GOOGLETRANSLATE(C1822, ""en"", ""ja""))"),"Lake CX241 サイクリング シューズ - メンズ")</f>
        <v>Lake CX241 サイクリング シューズ - メンズ</v>
      </c>
    </row>
    <row r="1823" ht="15.75" customHeight="1">
      <c r="A1823" s="1">
        <v>5439.0</v>
      </c>
      <c r="B1823" s="1" t="s">
        <v>6</v>
      </c>
      <c r="C1823" s="1" t="s">
        <v>234</v>
      </c>
      <c r="D1823" s="1" t="str">
        <f>IFERROR(__xludf.DUMMYFUNCTION("CONCATENATE(GOOGLETRANSLATE(C1823, ""en"", ""zh-cn""))
"),"罗林斯| Renegade 系列棒球接球手套装 | NOCSAE 认证 |成人 |中级|青年|多种颜色")</f>
        <v>罗林斯| Renegade 系列棒球接球手套装 | NOCSAE 认证 |成人 |中级|青年|多种颜色</v>
      </c>
      <c r="E1823" s="1" t="str">
        <f>IFERROR(__xludf.DUMMYFUNCTION("CONCATENATE(GOOGLETRANSLATE(C1823, ""en"", ""ko""))"),"롤링스 | 레니게이드 시리즈 야구 포수 세트 | NOCSAE 인증 | 성인 | 중급 | 청소년 | 다양한 색상")</f>
        <v>롤링스 | 레니게이드 시리즈 야구 포수 세트 | NOCSAE 인증 | 성인 | 중급 | 청소년 | 다양한 색상</v>
      </c>
      <c r="F1823" s="1" t="str">
        <f>IFERROR(__xludf.DUMMYFUNCTION("CONCATENATE(GOOGLETRANSLATE(C1823, ""en"", ""ja""))"),"ローリングス | Renegade シリーズ野球キャッチャーセット | NOCSAE 認定 |アダルト |中級 |若者 |複数の色")</f>
        <v>ローリングス | Renegade シリーズ野球キャッチャーセット | NOCSAE 認定 |アダルト |中級 |若者 |複数の色</v>
      </c>
    </row>
    <row r="1824" ht="15.75" customHeight="1">
      <c r="A1824" s="1">
        <v>5472.0</v>
      </c>
      <c r="B1824" s="1" t="s">
        <v>6</v>
      </c>
      <c r="C1824" s="1" t="s">
        <v>38</v>
      </c>
      <c r="D1824" s="1" t="str">
        <f>IFERROR(__xludf.DUMMYFUNCTION("CONCATENATE(GOOGLETRANSLATE(C1824, ""en"", ""zh-cn""))
"),"60uP 家庭平衡板计划训练系统，适合老年人，恢复或保持平衡、力量、协调性和神经大脑连接")</f>
        <v>60uP 家庭平衡板计划训练系统，适合老年人，恢复或保持平衡、力量、协调性和神经大脑连接</v>
      </c>
      <c r="E1824" s="1" t="str">
        <f>IFERROR(__xludf.DUMMYFUNCTION("CONCATENATE(GOOGLETRANSLATE(C1824, ""en"", ""ko""))"),"노인을 위한 60uP 홈 밸런스 보드 프로그램 교육 시스템, 균형 회복 또는 유지, 힘, 정렬 및 신경 뇌 연결")</f>
        <v>노인을 위한 60uP 홈 밸런스 보드 프로그램 교육 시스템, 균형 회복 또는 유지, 힘, 정렬 및 신경 뇌 연결</v>
      </c>
      <c r="F1824" s="1" t="str">
        <f>IFERROR(__xludf.DUMMYFUNCTION("CONCATENATE(GOOGLETRANSLATE(C1824, ""en"", ""ja""))"),"60uP 高齢者向けホームバランスボードプログラムトレーニングシステム、バランス、筋力、調整、神経脳の接続を回復または維持")</f>
        <v>60uP 高齢者向けホームバランスボードプログラムトレーニングシステム、バランス、筋力、調整、神経脳の接続を回復または維持</v>
      </c>
    </row>
    <row r="1825" ht="15.75" customHeight="1">
      <c r="A1825" s="1">
        <v>5531.0</v>
      </c>
      <c r="B1825" s="1" t="s">
        <v>6</v>
      </c>
      <c r="C1825" s="1" t="s">
        <v>1647</v>
      </c>
      <c r="D1825" s="1" t="str">
        <f>IFERROR(__xludf.DUMMYFUNCTION("CONCATENATE(GOOGLETRANSLATE(C1825, ""en"", ""zh-cn""))
"),"HP 一体式台式机 22 位 Pentium J5040")</f>
        <v>HP 一体式台式机 22 位 Pentium J5040</v>
      </c>
      <c r="E1825" s="1" t="str">
        <f>IFERROR(__xludf.DUMMYFUNCTION("CONCATENATE(GOOGLETRANSLATE(C1825, ""en"", ""ko""))"),"HP 올인원 데스크탑 22 펜티엄 J5040")</f>
        <v>HP 올인원 데스크탑 22 펜티엄 J5040</v>
      </c>
      <c r="F1825" s="1" t="str">
        <f>IFERROR(__xludf.DUMMYFUNCTION("CONCATENATE(GOOGLETRANSLATE(C1825, ""en"", ""ja""))"),"HP オールインワン デスクトップ 22 Pentium J5040")</f>
        <v>HP オールインワン デスクトップ 22 Pentium J5040</v>
      </c>
    </row>
    <row r="1826" ht="15.75" customHeight="1">
      <c r="A1826" s="1">
        <v>5532.0</v>
      </c>
      <c r="B1826" s="1" t="s">
        <v>6</v>
      </c>
      <c r="C1826" s="1" t="s">
        <v>1648</v>
      </c>
      <c r="D1826" s="1" t="str">
        <f>IFERROR(__xludf.DUMMYFUNCTION("CONCATENATE(GOOGLETRANSLATE(C1826, ""en"", ""zh-cn""))
"),"Eureka 符合人体工程学的高度可调节照明面板 CPU 推车")</f>
        <v>Eureka 符合人体工程学的高度可调节照明面板 CPU 推车</v>
      </c>
      <c r="E1826" s="1" t="str">
        <f>IFERROR(__xludf.DUMMYFUNCTION("CONCATENATE(GOOGLETRANSLATE(C1826, ""en"", ""ko""))"),"Eureka 인체공학적 높이 조절이 가능한 조명 패널 CPU 카트")</f>
        <v>Eureka 인체공학적 높이 조절이 가능한 조명 패널 CPU 카트</v>
      </c>
      <c r="F1826" s="1" t="str">
        <f>IFERROR(__xludf.DUMMYFUNCTION("CONCATENATE(GOOGLETRANSLATE(C1826, ""en"", ""ja""))"),"Eureka 人間工学に基づいた高さ調整可能な照明パネル CPU カート")</f>
        <v>Eureka 人間工学に基づいた高さ調整可能な照明パネル CPU カート</v>
      </c>
    </row>
    <row r="1827" ht="15.75" customHeight="1">
      <c r="A1827" s="1">
        <v>5543.0</v>
      </c>
      <c r="B1827" s="1" t="s">
        <v>6</v>
      </c>
      <c r="C1827" s="1" t="s">
        <v>1649</v>
      </c>
      <c r="D1827" s="1" t="str">
        <f>IFERROR(__xludf.DUMMYFUNCTION("CONCATENATE(GOOGLETRANSLATE(C1827, ""en"", ""zh-cn""))
"),"Razer Tomahawk Mini-ITX 电脑机箱")</f>
        <v>Razer Tomahawk Mini-ITX 电脑机箱</v>
      </c>
      <c r="E1827" s="1" t="str">
        <f>IFERROR(__xludf.DUMMYFUNCTION("CONCATENATE(GOOGLETRANSLATE(C1827, ""en"", ""ko""))"),"Razer Tomahawk Mini-ITX 컴퓨터 케이스")</f>
        <v>Razer Tomahawk Mini-ITX 컴퓨터 케이스</v>
      </c>
      <c r="F1827" s="1" t="str">
        <f>IFERROR(__xludf.DUMMYFUNCTION("CONCATENATE(GOOGLETRANSLATE(C1827, ""en"", ""ja""))"),"Razer Tomahawk Mini-ITX コンピューター ケース")</f>
        <v>Razer Tomahawk Mini-ITX コンピューター ケース</v>
      </c>
    </row>
    <row r="1828" ht="15.75" customHeight="1">
      <c r="A1828" s="1">
        <v>5555.0</v>
      </c>
      <c r="B1828" s="1" t="s">
        <v>6</v>
      </c>
      <c r="C1828" s="1" t="s">
        <v>1650</v>
      </c>
      <c r="D1828" s="1" t="str">
        <f>IFERROR(__xludf.DUMMYFUNCTION("CONCATENATE(GOOGLETRANSLATE(C1828, ""en"", ""zh-cn""))
"),"联想 ThinkPad 通用 USB-C 扩展坞")</f>
        <v>联想 ThinkPad 通用 USB-C 扩展坞</v>
      </c>
      <c r="E1828" s="1" t="str">
        <f>IFERROR(__xludf.DUMMYFUNCTION("CONCATENATE(GOOGLETRANSLATE(C1828, ""en"", ""ko""))"),"Lenovo ThinkPad 범용 USB-C 독")</f>
        <v>Lenovo ThinkPad 범용 USB-C 독</v>
      </c>
      <c r="F1828" s="1" t="str">
        <f>IFERROR(__xludf.DUMMYFUNCTION("CONCATENATE(GOOGLETRANSLATE(C1828, ""en"", ""ja""))"),"Lenovo ThinkPad ユニバーサル USB-C ドック")</f>
        <v>Lenovo ThinkPad ユニバーサル USB-C ドック</v>
      </c>
    </row>
    <row r="1829" ht="15.75" customHeight="1">
      <c r="A1829" s="1">
        <v>5568.0</v>
      </c>
      <c r="B1829" s="1" t="s">
        <v>6</v>
      </c>
      <c r="C1829" s="1" t="s">
        <v>1651</v>
      </c>
      <c r="D1829" s="1" t="str">
        <f>IFERROR(__xludf.DUMMYFUNCTION("CONCATENATE(GOOGLETRANSLATE(C1829, ""en"", ""zh-cn""))
"),"Fiona 棉质中长连衣裙")</f>
        <v>Fiona 棉质中长连衣裙</v>
      </c>
      <c r="E1829" s="1" t="str">
        <f>IFERROR(__xludf.DUMMYFUNCTION("CONCATENATE(GOOGLETRANSLATE(C1829, ""en"", ""ko""))"),"피오나 코튼 미디 드레스")</f>
        <v>피오나 코튼 미디 드레스</v>
      </c>
      <c r="F1829" s="1" t="str">
        <f>IFERROR(__xludf.DUMMYFUNCTION("CONCATENATE(GOOGLETRANSLATE(C1829, ""en"", ""ja""))"),"フィオナ コットン ミディドレス")</f>
        <v>フィオナ コットン ミディドレス</v>
      </c>
    </row>
    <row r="1830" ht="15.75" customHeight="1">
      <c r="A1830" s="1">
        <v>5585.0</v>
      </c>
      <c r="B1830" s="1" t="s">
        <v>6</v>
      </c>
      <c r="C1830" s="1" t="s">
        <v>1652</v>
      </c>
      <c r="D1830" s="1" t="str">
        <f>IFERROR(__xludf.DUMMYFUNCTION("CONCATENATE(GOOGLETRANSLATE(C1830, ""en"", ""zh-cn""))
"),"Madewell 女式收紧长袖上衣")</f>
        <v>Madewell 女式收紧长袖上衣</v>
      </c>
      <c r="E1830" s="1" t="str">
        <f>IFERROR(__xludf.DUMMYFUNCTION("CONCATENATE(GOOGLETRANSLATE(C1830, ""en"", ""ko""))"),"Madewell 여성용 신치드 긴소매 탑")</f>
        <v>Madewell 여성용 신치드 긴소매 탑</v>
      </c>
      <c r="F1830" s="1" t="str">
        <f>IFERROR(__xludf.DUMMYFUNCTION("CONCATENATE(GOOGLETRANSLATE(C1830, ""en"", ""ja""))"),"Madewell レディース シンチド ロングスリーブ トップ")</f>
        <v>Madewell レディース シンチド ロングスリーブ トップ</v>
      </c>
    </row>
    <row r="1831" ht="15.75" customHeight="1">
      <c r="A1831" s="1">
        <v>5588.0</v>
      </c>
      <c r="B1831" s="1" t="s">
        <v>6</v>
      </c>
      <c r="C1831" s="1" t="s">
        <v>1653</v>
      </c>
      <c r="D1831" s="1" t="str">
        <f>IFERROR(__xludf.DUMMYFUNCTION("CONCATENATE(GOOGLETRANSLATE(C1831, ""en"", ""zh-cn""))
"),"SHEIN 女式休闲套装，前拉链长袖 T 恤和喇叭裤")</f>
        <v>SHEIN 女式休闲套装，前拉链长袖 T 恤和喇叭裤</v>
      </c>
      <c r="E1831" s="1" t="str">
        <f>IFERROR(__xludf.DUMMYFUNCTION("CONCATENATE(GOOGLETRANSLATE(C1831, ""en"", ""ko""))"),"SHEIN 전면 지퍼 긴 소매 티셔츠와 플레어 팬츠가 있는 여성 캐주얼 세트")</f>
        <v>SHEIN 전면 지퍼 긴 소매 티셔츠와 플레어 팬츠가 있는 여성 캐주얼 세트</v>
      </c>
      <c r="F1831" s="1" t="str">
        <f>IFERROR(__xludf.DUMMYFUNCTION("CONCATENATE(GOOGLETRANSLATE(C1831, ""en"", ""ja""))"),"SHEIN フロントジップ長袖Tシャツとフレアパンツのカジュアルセット レディース")</f>
        <v>SHEIN フロントジップ長袖Tシャツとフレアパンツのカジュアルセット レディース</v>
      </c>
    </row>
    <row r="1832" ht="15.75" customHeight="1">
      <c r="A1832" s="1">
        <v>5600.0</v>
      </c>
      <c r="B1832" s="1" t="s">
        <v>6</v>
      </c>
      <c r="C1832" s="1" t="s">
        <v>68</v>
      </c>
      <c r="D1832" s="1" t="str">
        <f>IFERROR(__xludf.DUMMYFUNCTION("CONCATENATE(GOOGLETRANSLATE(C1832, ""en"", ""zh-cn""))
"),"Cuberspeed GAN 13 uv 涂层 MagLev 无贴纸 3x3 速度立方拼图 gan13 maglev uv 涂层旗舰拼图")</f>
        <v>Cuberspeed GAN 13 uv 涂层 MagLev 无贴纸 3x3 速度立方拼图 gan13 maglev uv 涂层旗舰拼图</v>
      </c>
      <c r="E1832" s="1" t="str">
        <f>IFERROR(__xludf.DUMMYFUNCTION("CONCATENATE(GOOGLETRANSLATE(C1832, ""en"", ""ko""))"),"Cuberspeed GAN 13 uv 코팅 MagLev 스티커가 없는 3x3 스피드 큐브 퍼즐 gan13 maglev uv 코팅 플래그십 퍼즐")</f>
        <v>Cuberspeed GAN 13 uv 코팅 MagLev 스티커가 없는 3x3 스피드 큐브 퍼즐 gan13 maglev uv 코팅 플래그십 퍼즐</v>
      </c>
      <c r="F1832" s="1" t="str">
        <f>IFERROR(__xludf.DUMMYFUNCTION("CONCATENATE(GOOGLETRANSLATE(C1832, ""en"", ""ja""))"),"Cuberspeed GAN 13 uv コーティングされた MagLev ステッカーレス 3x3 スピード キューブ パズル gan13 maglev uv コーティングされたフラッグシップ パズル")</f>
        <v>Cuberspeed GAN 13 uv コーティングされた MagLev ステッカーレス 3x3 スピード キューブ パズル gan13 maglev uv コーティングされたフラッグシップ パズル</v>
      </c>
    </row>
    <row r="1833" ht="15.75" customHeight="1">
      <c r="A1833" s="1">
        <v>5603.0</v>
      </c>
      <c r="B1833" s="1" t="s">
        <v>6</v>
      </c>
      <c r="C1833" s="1" t="s">
        <v>1654</v>
      </c>
      <c r="D1833" s="1" t="str">
        <f>IFERROR(__xludf.DUMMYFUNCTION("CONCATENATE(GOOGLETRANSLATE(C1833, ""en"", ""zh-cn""))
"),"Anne Klein 女士石英水晶手镯套装")</f>
        <v>Anne Klein 女士石英水晶手镯套装</v>
      </c>
      <c r="E1833" s="1" t="str">
        <f>IFERROR(__xludf.DUMMYFUNCTION("CONCATENATE(GOOGLETRANSLATE(C1833, ""en"", ""ko""))"),"Anne Klein 여성용 쿼츠 크리스탈 팔찌 팔찌 세트")</f>
        <v>Anne Klein 여성용 쿼츠 크리스탈 팔찌 팔찌 세트</v>
      </c>
      <c r="F1833" s="1" t="str">
        <f>IFERROR(__xludf.DUMMYFUNCTION("CONCATENATE(GOOGLETRANSLATE(C1833, ""en"", ""ja""))"),"Anne Klein レディース クォーツ クリスタル バングル ブレスレット セット")</f>
        <v>Anne Klein レディース クォーツ クリスタル バングル ブレスレット セット</v>
      </c>
    </row>
    <row r="1834" ht="15.75" customHeight="1">
      <c r="A1834" s="1">
        <v>5607.0</v>
      </c>
      <c r="B1834" s="1" t="s">
        <v>6</v>
      </c>
      <c r="C1834" s="1" t="s">
        <v>1655</v>
      </c>
      <c r="D1834" s="1" t="str">
        <f>IFERROR(__xludf.DUMMYFUNCTION("CONCATENATE(GOOGLETRANSLATE(C1834, ""en"", ""zh-cn""))
"),"Invicta 男士 Pro Diver 26970 石英手表")</f>
        <v>Invicta 男士 Pro Diver 26970 石英手表</v>
      </c>
      <c r="E1834" s="1" t="str">
        <f>IFERROR(__xludf.DUMMYFUNCTION("CONCATENATE(GOOGLETRANSLATE(C1834, ""en"", ""ko""))"),"인빅타 남성용 프로 다이버 26970 쿼츠 시계")</f>
        <v>인빅타 남성용 프로 다이버 26970 쿼츠 시계</v>
      </c>
      <c r="F1834" s="1" t="str">
        <f>IFERROR(__xludf.DUMMYFUNCTION("CONCATENATE(GOOGLETRANSLATE(C1834, ""en"", ""ja""))"),"インヴィクタ メンズ プロ ダイバー 26970 クォーツ時計")</f>
        <v>インヴィクタ メンズ プロ ダイバー 26970 クォーツ時計</v>
      </c>
    </row>
    <row r="1835" ht="15.75" customHeight="1">
      <c r="A1835" s="1">
        <v>5616.0</v>
      </c>
      <c r="B1835" s="1" t="s">
        <v>6</v>
      </c>
      <c r="C1835" s="1" t="s">
        <v>1656</v>
      </c>
      <c r="D1835" s="1" t="str">
        <f>IFERROR(__xludf.DUMMYFUNCTION("CONCATENATE(GOOGLETRANSLATE(C1835, ""en"", ""zh-cn""))
"),"九西女士艾美特经典圆形拉丝金手链手表")</f>
        <v>九西女士艾美特经典圆形拉丝金手链手表</v>
      </c>
      <c r="E1835" s="1" t="str">
        <f>IFERROR(__xludf.DUMMYFUNCTION("CONCATENATE(GOOGLETRANSLATE(C1835, ""en"", ""ko""))"),"Nine West 여성용 Emmett 클래식 라운드 브러시드 골드 팔찌 시계")</f>
        <v>Nine West 여성용 Emmett 클래식 라운드 브러시드 골드 팔찌 시계</v>
      </c>
      <c r="F1835" s="1" t="str">
        <f>IFERROR(__xludf.DUMMYFUNCTION("CONCATENATE(GOOGLETRANSLATE(C1835, ""en"", ""ja""))"),"Nine West レディース エメット クラシック ラウンド ブラッシュゴールド ブレスレット ウォッチ")</f>
        <v>Nine West レディース エメット クラシック ラウンド ブラッシュゴールド ブレスレット ウォッチ</v>
      </c>
    </row>
    <row r="1836" ht="15.75" customHeight="1">
      <c r="A1836" s="1">
        <v>5623.0</v>
      </c>
      <c r="B1836" s="1" t="s">
        <v>6</v>
      </c>
      <c r="C1836" s="1" t="s">
        <v>1657</v>
      </c>
      <c r="D1836" s="1" t="str">
        <f>IFERROR(__xludf.DUMMYFUNCTION("CONCATENATE(GOOGLETRANSLATE(C1836, ""en"", ""zh-cn""))
"),"Anne Klein 女士圆形珍珠母贝表盘施华洛世奇水晶手表套装")</f>
        <v>Anne Klein 女士圆形珍珠母贝表盘施华洛世奇水晶手表套装</v>
      </c>
      <c r="E1836" s="1" t="str">
        <f>IFERROR(__xludf.DUMMYFUNCTION("CONCATENATE(GOOGLETRANSLATE(C1836, ""en"", ""ko""))"),"Anne Klein 여성용 라운드 마더 오브 펄 다이얼 스와로브스키 크리스탈 시계 세트")</f>
        <v>Anne Klein 여성용 라운드 마더 오브 펄 다이얼 스와로브스키 크리스탈 시계 세트</v>
      </c>
      <c r="F1836" s="1" t="str">
        <f>IFERROR(__xludf.DUMMYFUNCTION("CONCATENATE(GOOGLETRANSLATE(C1836, ""en"", ""ja""))"),"アン クライン レディース ラウンド マザー オブ パール ダイヤル スワロフスキー クリスタル ウォッチ セット")</f>
        <v>アン クライン レディース ラウンド マザー オブ パール ダイヤル スワロフスキー クリスタル ウォッチ セット</v>
      </c>
    </row>
    <row r="1837" ht="15.75" customHeight="1">
      <c r="A1837" s="1">
        <v>5633.0</v>
      </c>
      <c r="B1837" s="1" t="s">
        <v>6</v>
      </c>
      <c r="C1837" s="1" t="s">
        <v>1658</v>
      </c>
      <c r="D1837" s="1" t="str">
        <f>IFERROR(__xludf.DUMMYFUNCTION("CONCATENATE(GOOGLETRANSLATE(C1837, ""en"", ""zh-cn""))
"),"施华洛世奇矩阵手镯手表瑞士制造")</f>
        <v>施华洛世奇矩阵手镯手表瑞士制造</v>
      </c>
      <c r="E1837" s="1" t="str">
        <f>IFERROR(__xludf.DUMMYFUNCTION("CONCATENATE(GOOGLETRANSLATE(C1837, ""en"", ""ko""))"),"스와로브스키 매트릭스 뱅글 시계 스위스 메이드")</f>
        <v>스와로브스키 매트릭스 뱅글 시계 스위스 메이드</v>
      </c>
      <c r="F1837" s="1" t="str">
        <f>IFERROR(__xludf.DUMMYFUNCTION("CONCATENATE(GOOGLETRANSLATE(C1837, ""en"", ""ja""))"),"スワロフスキー マトリックス バングル ウォッチ スイス製")</f>
        <v>スワロフスキー マトリックス バングル ウォッチ スイス製</v>
      </c>
    </row>
    <row r="1838" ht="15.75" customHeight="1">
      <c r="A1838" s="1">
        <v>5643.0</v>
      </c>
      <c r="B1838" s="1" t="s">
        <v>6</v>
      </c>
      <c r="C1838" s="1" t="s">
        <v>68</v>
      </c>
      <c r="D1838" s="1" t="str">
        <f>IFERROR(__xludf.DUMMYFUNCTION("CONCATENATE(GOOGLETRANSLATE(C1838, ""en"", ""zh-cn""))
"),"Cuberspeed GAN 13 uv 涂层 MagLev 无贴纸 3x3 速度立方拼图 gan13 maglev uv 涂层旗舰拼图")</f>
        <v>Cuberspeed GAN 13 uv 涂层 MagLev 无贴纸 3x3 速度立方拼图 gan13 maglev uv 涂层旗舰拼图</v>
      </c>
      <c r="E1838" s="1" t="str">
        <f>IFERROR(__xludf.DUMMYFUNCTION("CONCATENATE(GOOGLETRANSLATE(C1838, ""en"", ""ko""))"),"Cuberspeed GAN 13 uv 코팅 MagLev 스티커가 없는 3x3 스피드 큐브 퍼즐 gan13 maglev uv 코팅 플래그십 퍼즐")</f>
        <v>Cuberspeed GAN 13 uv 코팅 MagLev 스티커가 없는 3x3 스피드 큐브 퍼즐 gan13 maglev uv 코팅 플래그십 퍼즐</v>
      </c>
      <c r="F1838" s="1" t="str">
        <f>IFERROR(__xludf.DUMMYFUNCTION("CONCATENATE(GOOGLETRANSLATE(C1838, ""en"", ""ja""))"),"Cuberspeed GAN 13 uv コーティングされた MagLev ステッカーレス 3x3 スピード キューブ パズル gan13 maglev uv コーティングされたフラッグシップ パズル")</f>
        <v>Cuberspeed GAN 13 uv コーティングされた MagLev ステッカーレス 3x3 スピード キューブ パズル gan13 maglev uv コーティングされたフラッグシップ パズル</v>
      </c>
    </row>
    <row r="1839" ht="15.75" customHeight="1">
      <c r="A1839" s="1">
        <v>5645.0</v>
      </c>
      <c r="B1839" s="1" t="s">
        <v>6</v>
      </c>
      <c r="C1839" s="1" t="s">
        <v>800</v>
      </c>
      <c r="D1839" s="1" t="str">
        <f>IFERROR(__xludf.DUMMYFUNCTION("CONCATENATE(GOOGLETRANSLATE(C1839, ""en"", ""zh-cn""))
"),"BroMocube 的 GAN 11M Pro 3x3 速度魔方 GAN 11 磁性拼图魔方 Gan11M 魔方（GAN 11 M Pro 磨砂无贴纸（黑色））")</f>
        <v>BroMocube 的 GAN 11M Pro 3x3 速度魔方 GAN 11 磁性拼图魔方 Gan11M 魔方（GAN 11 M Pro 磨砂无贴纸（黑色））</v>
      </c>
      <c r="E1839" s="1" t="str">
        <f>IFERROR(__xludf.DUMMYFUNCTION("CONCATENATE(GOOGLETRANSLATE(C1839, ""en"", ""ko""))"),"GAN 11M Pro 3x3 스피드 큐브 by BroMocube GAN 11 마그네틱 퍼즐 큐브 Gan11M 매직 큐브 (GAN 11 M Pro Frosted 스티커리스(검은색))")</f>
        <v>GAN 11M Pro 3x3 스피드 큐브 by BroMocube GAN 11 마그네틱 퍼즐 큐브 Gan11M 매직 큐브 (GAN 11 M Pro Frosted 스티커리스(검은색))</v>
      </c>
      <c r="F1839" s="1" t="str">
        <f>IFERROR(__xludf.DUMMYFUNCTION("CONCATENATE(GOOGLETRANSLATE(C1839, ""en"", ""ja""))"),"GAN 11M Pro 3x3 スピード キューブ by BroMocube GAN 11 磁気パズル キューブ Gan11M マジック キューブ (GAN 11 M Pro つや消しステッカーなし (ブラック))")</f>
        <v>GAN 11M Pro 3x3 スピード キューブ by BroMocube GAN 11 磁気パズル キューブ Gan11M マジック キューブ (GAN 11 M Pro つや消しステッカーなし (ブラック))</v>
      </c>
    </row>
    <row r="1840" ht="15.75" customHeight="1">
      <c r="A1840" s="1">
        <v>5646.0</v>
      </c>
      <c r="B1840" s="1" t="s">
        <v>6</v>
      </c>
      <c r="C1840" s="1" t="s">
        <v>441</v>
      </c>
      <c r="D1840" s="1" t="str">
        <f>IFERROR(__xludf.DUMMYFUNCTION("CONCATENATE(GOOGLETRANSLATE(C1840, ""en"", ""zh-cn""))
"),"1500 块木制拼图桌 - 6 个抽屉，拼图板 | 27” X 35” 便携式拼图板 - 便携式拼图桌 |适合成人和儿童")</f>
        <v>1500 块木制拼图桌 - 6 个抽屉，拼图板 | 27” X 35” 便携式拼图板 - 便携式拼图桌 |适合成人和儿童</v>
      </c>
      <c r="E1840" s="1" t="str">
        <f>IFERROR(__xludf.DUMMYFUNCTION("CONCATENATE(GOOGLETRANSLATE(C1840, ""en"", ""ko""))"),"1500피스 나무 직소 퍼즐 테이블 - 서랍 6개, 퍼즐 보드 | 27"" X 35"" 직소 퍼즐 보드 휴대용 - 휴대용 퍼즐 테이블 | 성인과 어린이를 위한")</f>
        <v>1500피스 나무 직소 퍼즐 테이블 - 서랍 6개, 퍼즐 보드 | 27" X 35" 직소 퍼즐 보드 휴대용 - 휴대용 퍼즐 테이블 | 성인과 어린이를 위한</v>
      </c>
      <c r="F1840" s="1" t="str">
        <f>IFERROR(__xludf.DUMMYFUNCTION("CONCATENATE(GOOGLETRANSLATE(C1840, ""en"", ""ja""))"),"1500 ピース木製ジグソーパズルテーブル - 引き出し 6 個、パズルボード | 27 インチ x 35 インチのジグソーパズル ボード ポータブル - ポータブル パズル テーブル |大人と子供向け")</f>
        <v>1500 ピース木製ジグソーパズルテーブル - 引き出し 6 個、パズルボード | 27 インチ x 35 インチのジグソーパズル ボード ポータブル - ポータブル パズル テーブル |大人と子供向け</v>
      </c>
    </row>
    <row r="1841" ht="15.75" customHeight="1">
      <c r="A1841" s="1">
        <v>5671.0</v>
      </c>
      <c r="B1841" s="1" t="s">
        <v>6</v>
      </c>
      <c r="C1841" s="1" t="s">
        <v>253</v>
      </c>
      <c r="D1841" s="1" t="str">
        <f>IFERROR(__xludf.DUMMYFUNCTION("CONCATENATE(GOOGLETRANSLATE(C1841, ""en"", ""zh-cn""))
"),"GAN 13 磁悬浮 UV 涂层，磁性速度魔方 3x3 无贴纸 56 毫米磁铁魔方拼图玩具，GAN 2022 旗舰")</f>
        <v>GAN 13 磁悬浮 UV 涂层，磁性速度魔方 3x3 无贴纸 56 毫米磁铁魔方拼图玩具，GAN 2022 旗舰</v>
      </c>
      <c r="E1841" s="1" t="str">
        <f>IFERROR(__xludf.DUMMYFUNCTION("CONCATENATE(GOOGLETRANSLATE(C1841, ""en"", ""ko""))"),"GAN 13 자기 부상 UV 코팅, 자기 속도 큐브 3x3 스티커 없는 56mm 자석 매직 큐브 퍼즐 장난감, GAN 2022 플래그십")</f>
        <v>GAN 13 자기 부상 UV 코팅, 자기 속도 큐브 3x3 스티커 없는 56mm 자석 매직 큐브 퍼즐 장난감, GAN 2022 플래그십</v>
      </c>
      <c r="F1841" s="1" t="str">
        <f>IFERROR(__xludf.DUMMYFUNCTION("CONCATENATE(GOOGLETRANSLATE(C1841, ""en"", ""ja""))"),"GAN 13 リニアモーターカー UV コーティング、磁気スピード キューブ 3x3 ステッカーレス 56mm マグネット マジック キューブ パズル おもちゃ、GAN 2022 フラッグシップ")</f>
        <v>GAN 13 リニアモーターカー UV コーティング、磁気スピード キューブ 3x3 ステッカーレス 56mm マグネット マジック キューブ パズル おもちゃ、GAN 2022 フラッグシップ</v>
      </c>
    </row>
    <row r="1842" ht="15.75" customHeight="1">
      <c r="A1842" s="1">
        <v>5672.0</v>
      </c>
      <c r="B1842" s="1" t="s">
        <v>6</v>
      </c>
      <c r="C1842" s="1" t="s">
        <v>268</v>
      </c>
      <c r="D1842" s="1" t="str">
        <f>IFERROR(__xludf.DUMMYFUNCTION("CONCATENATE(GOOGLETRANSLATE(C1842, ""en"", ""zh-cn""))
"),"Roxenda [15 件装] 速度立方体套装 - 2x2x2 3x3x3 4x4x4 2x2x3 X 立方体六点立方体斜轴风车费舍尔镜子 2x2-Megaminx 3x3-Megaminx 金字塔常春藤立方体光滑魔方拼图系列")</f>
        <v>Roxenda [15 件装] 速度立方体套装 - 2x2x2 3x3x3 4x4x4 2x2x3 X 立方体六点立方体斜轴风车费舍尔镜子 2x2-Megaminx 3x3-Megaminx 金字塔常春藤立方体光滑魔方拼图系列</v>
      </c>
      <c r="E1842" s="1" t="str">
        <f>IFERROR(__xludf.DUMMYFUNCTION("CONCATENATE(GOOGLETRANSLATE(C1842, ""en"", ""ko""))"),"Roxenda [15 팩] 스피드 큐브 세트 - 2x2x2 3x3x3 4x4x4 2x2x3 X-Cube 6스팟 큐브 Skew Axis Windmill Fisher Mirror 2x2-Megaminx 3x3-Megaminx Pyramid Ivy Cube Smooth Magic Cube 퍼즐 컬렉션")</f>
        <v>Roxenda [15 팩] 스피드 큐브 세트 - 2x2x2 3x3x3 4x4x4 2x2x3 X-Cube 6스팟 큐브 Skew Axis Windmill Fisher Mirror 2x2-Megaminx 3x3-Megaminx Pyramid Ivy Cube Smooth Magic Cube 퍼즐 컬렉션</v>
      </c>
      <c r="F1842" s="1" t="str">
        <f>IFERROR(__xludf.DUMMYFUNCTION("CONCATENATE(GOOGLETRANSLATE(C1842, ""en"", ""ja""))"),"Roxenda [15 パック] スピード キューブ セット - 2x2x2 3x3x3 4x4x4 2x2x3 X-Cube 6 スポット キューブ スキュー軸 風車 フィッシャー ミラー 2x2-メガミンクス 3x3-メガミンクス ピラミッド アイビー キューブ スムーズ マジック キューブ パズル コレクション")</f>
        <v>Roxenda [15 パック] スピード キューブ セット - 2x2x2 3x3x3 4x4x4 2x2x3 X-Cube 6 スポット キューブ スキュー軸 風車 フィッシャー ミラー 2x2-メガミンクス 3x3-メガミンクス ピラミッド アイビー キューブ スムーズ マジック キューブ パズル コレクション</v>
      </c>
    </row>
    <row r="1843" ht="15.75" customHeight="1">
      <c r="A1843" s="1">
        <v>5680.0</v>
      </c>
      <c r="B1843" s="1" t="s">
        <v>6</v>
      </c>
      <c r="C1843" s="1" t="s">
        <v>249</v>
      </c>
      <c r="D1843" s="1" t="str">
        <f>IFERROR(__xludf.DUMMYFUNCTION("CONCATENATE(GOOGLETRANSLATE(C1843, ""en"", ""zh-cn""))
"),"博克芬诺 GAN12 磁悬浮 UV 速度魔方 3x3 磁性无贴纸 GAN12 M MagLev 紫外线拼图魔术 3x3x3 儿童玩具立方体 UV 涂层光面")</f>
        <v>博克芬诺 GAN12 磁悬浮 UV 速度魔方 3x3 磁性无贴纸 GAN12 M MagLev 紫外线拼图魔术 3x3x3 儿童玩具立方体 UV 涂层光面</v>
      </c>
      <c r="E1843" s="1" t="str">
        <f>IFERROR(__xludf.DUMMYFUNCTION("CONCATENATE(GOOGLETRANSLATE(C1843, ""en"", ""ko""))"),"Bokefenuo GAN12 자기 부상 UV 스피드 큐브 3x3 자기 스티커가 없는 GAN12 M 자기 부상 UV 퍼즐 매직 3x3x3 장난감 키즈 큐브 UV 코팅 광택")</f>
        <v>Bokefenuo GAN12 자기 부상 UV 스피드 큐브 3x3 자기 스티커가 없는 GAN12 M 자기 부상 UV 퍼즐 매직 3x3x3 장난감 키즈 큐브 UV 코팅 광택</v>
      </c>
      <c r="F1843" s="1" t="str">
        <f>IFERROR(__xludf.DUMMYFUNCTION("CONCATENATE(GOOGLETRANSLATE(C1843, ""en"", ""ja""))"),"Bokefenuo GAN12 マグレブ UV スピードキューブ 3x3 磁気ステッカーレス GAN12 M MagLev UV パズルマジック 3x3x3 おもちゃ子供キューブ UV コーティングされた光沢のある")</f>
        <v>Bokefenuo GAN12 マグレブ UV スピードキューブ 3x3 磁気ステッカーレス GAN12 M MagLev UV パズルマジック 3x3x3 おもちゃ子供キューブ UV コーティングされた光沢のある</v>
      </c>
    </row>
    <row r="1844" ht="15.75" customHeight="1">
      <c r="A1844" s="1">
        <v>5714.0</v>
      </c>
      <c r="B1844" s="1" t="s">
        <v>6</v>
      </c>
      <c r="C1844" s="1" t="s">
        <v>1659</v>
      </c>
      <c r="D1844" s="1" t="str">
        <f>IFERROR(__xludf.DUMMYFUNCTION("CONCATENATE(GOOGLETRANSLATE(C1844, ""en"", ""zh-cn""))
"),"女式宽松长袖圆领上衣")</f>
        <v>女式宽松长袖圆领上衣</v>
      </c>
      <c r="E1844" s="1" t="str">
        <f>IFERROR(__xludf.DUMMYFUNCTION("CONCATENATE(GOOGLETRANSLATE(C1844, ""en"", ""ko""))"),"여성용 루즈핏 긴팔 크루넥 탑")</f>
        <v>여성용 루즈핏 긴팔 크루넥 탑</v>
      </c>
      <c r="F1844" s="1" t="str">
        <f>IFERROR(__xludf.DUMMYFUNCTION("CONCATENATE(GOOGLETRANSLATE(C1844, ""en"", ""ja""))"),"レディース ルーズフィット 長袖 クルーネック トップ")</f>
        <v>レディース ルーズフィット 長袖 クルーネック トップ</v>
      </c>
    </row>
    <row r="1845" ht="15.75" customHeight="1">
      <c r="A1845" s="1">
        <v>5717.0</v>
      </c>
      <c r="B1845" s="1" t="s">
        <v>6</v>
      </c>
      <c r="C1845" s="1" t="s">
        <v>1660</v>
      </c>
      <c r="D1845" s="1" t="str">
        <f>IFERROR(__xludf.DUMMYFUNCTION("CONCATENATE(GOOGLETRANSLATE(C1845, ""en"", ""zh-cn""))
"),"EVALESS 女式圆领短袖纹理 T 恤")</f>
        <v>EVALESS 女式圆领短袖纹理 T 恤</v>
      </c>
      <c r="E1845" s="1" t="str">
        <f>IFERROR(__xludf.DUMMYFUNCTION("CONCATENATE(GOOGLETRANSLATE(C1845, ""en"", ""ko""))"),"EVALESS 여성용 크루넥 반소매 질감 티셔츠")</f>
        <v>EVALESS 여성용 크루넥 반소매 질감 티셔츠</v>
      </c>
      <c r="F1845" s="1" t="str">
        <f>IFERROR(__xludf.DUMMYFUNCTION("CONCATENATE(GOOGLETRANSLATE(C1845, ""en"", ""ja""))"),"EVALESS レディース クルーネック 半袖 テクスチャード Tシャツ")</f>
        <v>EVALESS レディース クルーネック 半袖 テクスチャード Tシャツ</v>
      </c>
    </row>
    <row r="1846" ht="15.75" customHeight="1">
      <c r="A1846" s="1">
        <v>5721.0</v>
      </c>
      <c r="B1846" s="1" t="s">
        <v>6</v>
      </c>
      <c r="C1846" s="1" t="s">
        <v>1661</v>
      </c>
      <c r="D1846" s="1" t="str">
        <f>IFERROR(__xludf.DUMMYFUNCTION("CONCATENATE(GOOGLETRANSLATE(C1846, ""en"", ""zh-cn""))
"),"PRETTYGARDEN 女式休闲长袖 V 领瑞士圆点褶裥中长连衣裙")</f>
        <v>PRETTYGARDEN 女式休闲长袖 V 领瑞士圆点褶裥中长连衣裙</v>
      </c>
      <c r="E1846" s="1" t="str">
        <f>IFERROR(__xludf.DUMMYFUNCTION("CONCATENATE(GOOGLETRANSLATE(C1846, ""en"", ""ko""))"),"PRETTYGARDEN 여성 캐주얼 긴팔 V 넥 스위스 도트 플리츠 미디 드레스")</f>
        <v>PRETTYGARDEN 여성 캐주얼 긴팔 V 넥 스위스 도트 플리츠 미디 드레스</v>
      </c>
      <c r="F1846" s="1" t="str">
        <f>IFERROR(__xludf.DUMMYFUNCTION("CONCATENATE(GOOGLETRANSLATE(C1846, ""en"", ""ja""))"),"PRETTYGARDEN レディース カジュアル 長袖 V ネック スイス ドット プリーツ ミディドレス")</f>
        <v>PRETTYGARDEN レディース カジュアル 長袖 V ネック スイス ドット プリーツ ミディドレス</v>
      </c>
    </row>
    <row r="1847" ht="15.75" customHeight="1">
      <c r="A1847" s="1">
        <v>5728.0</v>
      </c>
      <c r="B1847" s="1" t="s">
        <v>6</v>
      </c>
      <c r="C1847" s="1" t="s">
        <v>1662</v>
      </c>
      <c r="D1847" s="1" t="str">
        <f>IFERROR(__xludf.DUMMYFUNCTION("CONCATENATE(GOOGLETRANSLATE(C1847, ""en"", ""zh-cn""))
"),"Michael Michael Kors 女式 Michael 束带连帽羽绒服")</f>
        <v>Michael Michael Kors 女式 Michael 束带连帽羽绒服</v>
      </c>
      <c r="E1847" s="1" t="str">
        <f>IFERROR(__xludf.DUMMYFUNCTION("CONCATENATE(GOOGLETRANSLATE(C1847, ""en"", ""ko""))"),"Michael Michael Kors 여성용 마이클 벨트 후드 퍼퍼 코트")</f>
        <v>Michael Michael Kors 여성용 마이클 벨트 후드 퍼퍼 코트</v>
      </c>
      <c r="F1847" s="1" t="str">
        <f>IFERROR(__xludf.DUMMYFUNCTION("CONCATENATE(GOOGLETRANSLATE(C1847, ""en"", ""ja""))"),"マイケル マイケル コース レディース Michael ベルテッド フード付き パファー コート")</f>
        <v>マイケル マイケル コース レディース Michael ベルテッド フード付き パファー コート</v>
      </c>
    </row>
    <row r="1848" ht="15.75" customHeight="1">
      <c r="A1848" s="1">
        <v>5734.0</v>
      </c>
      <c r="B1848" s="1" t="s">
        <v>6</v>
      </c>
      <c r="C1848" s="1" t="s">
        <v>1663</v>
      </c>
      <c r="D1848" s="1" t="str">
        <f>IFERROR(__xludf.DUMMYFUNCTION("CONCATENATE(GOOGLETRANSLATE(C1848, ""en"", ""zh-cn""))
"),"Donna Karan 女式单扣夹克")</f>
        <v>Donna Karan 女式单扣夹克</v>
      </c>
      <c r="E1848" s="1" t="str">
        <f>IFERROR(__xludf.DUMMYFUNCTION("CONCATENATE(GOOGLETRANSLATE(C1848, ""en"", ""ko""))"),"Donna Karan 여성 싱글 버튼 재킷")</f>
        <v>Donna Karan 여성 싱글 버튼 재킷</v>
      </c>
      <c r="F1848" s="1" t="str">
        <f>IFERROR(__xludf.DUMMYFUNCTION("CONCATENATE(GOOGLETRANSLATE(C1848, ""en"", ""ja""))"),"ダナ キャラン レディース シングルボタン ジャケット")</f>
        <v>ダナ キャラン レディース シングルボタン ジャケット</v>
      </c>
    </row>
    <row r="1849" ht="15.75" customHeight="1">
      <c r="A1849" s="1">
        <v>5772.0</v>
      </c>
      <c r="B1849" s="1" t="s">
        <v>6</v>
      </c>
      <c r="C1849" s="1" t="s">
        <v>1664</v>
      </c>
      <c r="D1849" s="1" t="str">
        <f>IFERROR(__xludf.DUMMYFUNCTION("CONCATENATE(GOOGLETRANSLATE(C1849, ""en"", ""zh-cn""))
"),"Nautica 男士现代版型双弹力套装")</f>
        <v>Nautica 男士现代版型双弹力套装</v>
      </c>
      <c r="E1849" s="1" t="str">
        <f>IFERROR(__xludf.DUMMYFUNCTION("CONCATENATE(GOOGLETRANSLATE(C1849, ""en"", ""ko""))"),"Nautica 남성용 모던 핏 바이 스트레치 수트")</f>
        <v>Nautica 남성용 모던 핏 바이 스트레치 수트</v>
      </c>
      <c r="F1849" s="1" t="str">
        <f>IFERROR(__xludf.DUMMYFUNCTION("CONCATENATE(GOOGLETRANSLATE(C1849, ""en"", ""ja""))"),"Nautica メンズ モダンフィット バイストレッチ スーツ")</f>
        <v>Nautica メンズ モダンフィット バイストレッチ スーツ</v>
      </c>
    </row>
    <row r="1850" ht="15.75" customHeight="1">
      <c r="A1850" s="1">
        <v>5777.0</v>
      </c>
      <c r="B1850" s="1" t="s">
        <v>6</v>
      </c>
      <c r="C1850" s="1" t="s">
        <v>1665</v>
      </c>
      <c r="D1850" s="1" t="str">
        <f>IFERROR(__xludf.DUMMYFUNCTION("CONCATENATE(GOOGLETRANSLATE(C1850, ""en"", ""zh-cn""))
"),"Michael Kors 男士经典版型羊毛羊绒混纺大衣")</f>
        <v>Michael Kors 男士经典版型羊毛羊绒混纺大衣</v>
      </c>
      <c r="E1850" s="1" t="str">
        <f>IFERROR(__xludf.DUMMYFUNCTION("CONCATENATE(GOOGLETRANSLATE(C1850, ""en"", ""ko""))"),"마이클 코어스 남성 클래식핏 울 캐시미어 블렌드 오버코트")</f>
        <v>마이클 코어스 남성 클래식핏 울 캐시미어 블렌드 오버코트</v>
      </c>
      <c r="F1850" s="1" t="str">
        <f>IFERROR(__xludf.DUMMYFUNCTION("CONCATENATE(GOOGLETRANSLATE(C1850, ""en"", ""ja""))"),"Michael Kors メンズ クラシック フィット ウール カシミア ブレンド オーバーコート")</f>
        <v>Michael Kors メンズ クラシック フィット ウール カシミア ブレンド オーバーコート</v>
      </c>
    </row>
    <row r="1851" ht="15.75" customHeight="1">
      <c r="A1851" s="1">
        <v>5790.0</v>
      </c>
      <c r="B1851" s="1" t="s">
        <v>6</v>
      </c>
      <c r="C1851" s="1" t="s">
        <v>1666</v>
      </c>
      <c r="D1851" s="1" t="str">
        <f>IFERROR(__xludf.DUMMYFUNCTION("CONCATENATE(GOOGLETRANSLATE(C1851, ""en"", ""zh-cn""))
"),"COOFANDY 男式弹力长袖防皱纽扣正装衬衫")</f>
        <v>COOFANDY 男式弹力长袖防皱纽扣正装衬衫</v>
      </c>
      <c r="E1851" s="1" t="str">
        <f>IFERROR(__xludf.DUMMYFUNCTION("CONCATENATE(GOOGLETRANSLATE(C1851, ""en"", ""ko""))"),"COOFANDY 남성 스트레치 긴팔 링클 프리 버튼다운 드레스 셔츠")</f>
        <v>COOFANDY 남성 스트레치 긴팔 링클 프리 버튼다운 드레스 셔츠</v>
      </c>
      <c r="F1851" s="1" t="str">
        <f>IFERROR(__xludf.DUMMYFUNCTION("CONCATENATE(GOOGLETRANSLATE(C1851, ""en"", ""ja""))"),"COOFANDY メンズ ストレッチ 長袖 シワフリー ボタンダウン ドレスシャツ")</f>
        <v>COOFANDY メンズ ストレッチ 長袖 シワフリー ボタンダウン ドレスシャツ</v>
      </c>
    </row>
    <row r="1852" ht="15.75" customHeight="1">
      <c r="A1852" s="1">
        <v>5872.0</v>
      </c>
      <c r="B1852" s="1" t="s">
        <v>6</v>
      </c>
      <c r="C1852" s="1" t="s">
        <v>1667</v>
      </c>
      <c r="D1852" s="1" t="str">
        <f>IFERROR(__xludf.DUMMYFUNCTION("CONCATENATE(GOOGLETRANSLATE(C1852, ""en"", ""zh-cn""))
"),"semour 手势感应遥控机器人玩具，适合 5-7 岁儿童 |可编程和交互式|送给男孩和女孩的完美圣诞生日礼物")</f>
        <v>semour 手势感应遥控机器人玩具，适合 5-7 岁儿童 |可编程和交互式|送给男孩和女孩的完美圣诞生日礼物</v>
      </c>
      <c r="E1852" s="1" t="str">
        <f>IFERROR(__xludf.DUMMYFUNCTION("CONCATENATE(GOOGLETRANSLATE(C1852, ""en"", ""ko""))"),"5-7세 어린이를 위한 제스처 감지 RC 로봇 장난감 | 프로그래밍 가능 및 대화형 | 남자아이와 여자아이를 위한 완벽한 크리스마스 생일 선물")</f>
        <v>5-7세 어린이를 위한 제스처 감지 RC 로봇 장난감 | 프로그래밍 가능 및 대화형 | 남자아이와 여자아이를 위한 완벽한 크리스마스 생일 선물</v>
      </c>
      <c r="F1852" s="1" t="str">
        <f>IFERROR(__xludf.DUMMYFUNCTION("CONCATENATE(GOOGLETRANSLATE(C1852, ""en"", ""ja""))"),"semour ジェスチャーセンシング RC ロボットおもちゃ 5 ～ 7 歳の子供向け |プログラム可能でインタラクティブ |男の子にも女の子にもぴったりなクリスマス誕生日プレゼント")</f>
        <v>semour ジェスチャーセンシング RC ロボットおもちゃ 5 ～ 7 歳の子供向け |プログラム可能でインタラクティブ |男の子にも女の子にもぴったりなクリスマス誕生日プレゼント</v>
      </c>
    </row>
    <row r="1853" ht="15.75" customHeight="1">
      <c r="A1853" s="1">
        <v>5873.0</v>
      </c>
      <c r="B1853" s="1" t="s">
        <v>6</v>
      </c>
      <c r="C1853" s="1" t="s">
        <v>1668</v>
      </c>
      <c r="D1853" s="1" t="str">
        <f>IFERROR(__xludf.DUMMYFUNCTION("CONCATENATE(GOOGLETRANSLATE(C1853, ""en"", ""zh-cn""))
"),"DKZ 坐立不安玩具套装 1000 件")</f>
        <v>DKZ 坐立不安玩具套装 1000 件</v>
      </c>
      <c r="E1853" s="1" t="str">
        <f>IFERROR(__xludf.DUMMYFUNCTION("CONCATENATE(GOOGLETRANSLATE(C1853, ""en"", ""ko""))"),"DKZ 안절부절 장난감 팩 1000Pcs")</f>
        <v>DKZ 안절부절 장난감 팩 1000Pcs</v>
      </c>
      <c r="F1853" s="1" t="str">
        <f>IFERROR(__xludf.DUMMYFUNCTION("CONCATENATE(GOOGLETRANSLATE(C1853, ""en"", ""ja""))"),"DKZ フィジェットトイパック 1000 個")</f>
        <v>DKZ フィジェットトイパック 1000 個</v>
      </c>
    </row>
    <row r="1854" ht="15.75" customHeight="1">
      <c r="A1854" s="1">
        <v>5898.0</v>
      </c>
      <c r="B1854" s="1" t="s">
        <v>6</v>
      </c>
      <c r="C1854" s="1" t="s">
        <v>1669</v>
      </c>
      <c r="D1854" s="1" t="str">
        <f>IFERROR(__xludf.DUMMYFUNCTION("CONCATENATE(GOOGLETRANSLATE(C1854, ""en"", ""zh-cn""))
"),"Melissa &amp; Doug 珠子迷宫经典玩具")</f>
        <v>Melissa &amp; Doug 珠子迷宫经典玩具</v>
      </c>
      <c r="E1854" s="1" t="str">
        <f>IFERROR(__xludf.DUMMYFUNCTION("CONCATENATE(GOOGLETRANSLATE(C1854, ""en"", ""ko""))"),"멜리사 &amp; 더그 비드 미로 클래식 장난감")</f>
        <v>멜리사 &amp; 더그 비드 미로 클래식 장난감</v>
      </c>
      <c r="F1854" s="1" t="str">
        <f>IFERROR(__xludf.DUMMYFUNCTION("CONCATENATE(GOOGLETRANSLATE(C1854, ""en"", ""ja""))"),"メリッサとダグのビーズ迷路クラシックおもちゃ")</f>
        <v>メリッサとダグのビーズ迷路クラシックおもちゃ</v>
      </c>
    </row>
    <row r="1855" ht="15.75" customHeight="1">
      <c r="A1855" s="1">
        <v>5911.0</v>
      </c>
      <c r="B1855" s="1" t="s">
        <v>6</v>
      </c>
      <c r="C1855" s="1" t="s">
        <v>1670</v>
      </c>
      <c r="D1855" s="1" t="str">
        <f>IFERROR(__xludf.DUMMYFUNCTION("CONCATENATE(GOOGLETRANSLATE(C1855, ""en"", ""zh-cn""))
"),"幼儿用 Feoxialy 磁性积木")</f>
        <v>幼儿用 Feoxialy 磁性积木</v>
      </c>
      <c r="E1855" s="1" t="str">
        <f>IFERROR(__xludf.DUMMYFUNCTION("CONCATENATE(GOOGLETRANSLATE(C1855, ""en"", ""ko""))"),"유아용 Feoxialy 자석 블록")</f>
        <v>유아용 Feoxialy 자석 블록</v>
      </c>
      <c r="F1855" s="1" t="str">
        <f>IFERROR(__xludf.DUMMYFUNCTION("CONCATENATE(GOOGLETRANSLATE(C1855, ""en"", ""ja""))"),"Feoxialy 幼児用磁気ブロック")</f>
        <v>Feoxialy 幼児用磁気ブロック</v>
      </c>
    </row>
    <row r="1856" ht="15.75" customHeight="1">
      <c r="A1856" s="1">
        <v>5922.0</v>
      </c>
      <c r="B1856" s="1" t="s">
        <v>6</v>
      </c>
      <c r="C1856" s="1" t="s">
        <v>1671</v>
      </c>
      <c r="D1856" s="1" t="str">
        <f>IFERROR(__xludf.DUMMYFUNCTION("CONCATENATE(GOOGLETRANSLATE(C1856, ""en"", ""zh-cn""))
"),"Zimtown 8' x 5' 便携式足球门网")</f>
        <v>Zimtown 8' x 5' 便携式足球门网</v>
      </c>
      <c r="E1856" s="1" t="str">
        <f>IFERROR(__xludf.DUMMYFUNCTION("CONCATENATE(GOOGLETRANSLATE(C1856, ""en"", ""ko""))"),"짐타운 8' x 5' 휴대용 축구 골대")</f>
        <v>짐타운 8' x 5' 휴대용 축구 골대</v>
      </c>
      <c r="F1856" s="1" t="str">
        <f>IFERROR(__xludf.DUMMYFUNCTION("CONCATENATE(GOOGLETRANSLATE(C1856, ""en"", ""ja""))"),"Zimtown 8フィート x 5フィート ポータブルサッカーゴールネット")</f>
        <v>Zimtown 8フィート x 5フィート ポータブルサッカーゴールネット</v>
      </c>
    </row>
    <row r="1857" ht="15.75" customHeight="1">
      <c r="A1857" s="1">
        <v>5931.0</v>
      </c>
      <c r="B1857" s="1" t="s">
        <v>6</v>
      </c>
      <c r="C1857" s="1" t="s">
        <v>1672</v>
      </c>
      <c r="D1857" s="1" t="str">
        <f>IFERROR(__xludf.DUMMYFUNCTION("CONCATENATE(GOOGLETRANSLATE(C1857, ""en"", ""zh-cn""))
"),"G GX9 儿童篮球框")</f>
        <v>G GX9 儿童篮球框</v>
      </c>
      <c r="E1857" s="1" t="str">
        <f>IFERROR(__xludf.DUMMYFUNCTION("CONCATENATE(GOOGLETRANSLATE(C1857, ""en"", ""ko""))"),"G GX9 어린이 농구대")</f>
        <v>G GX9 어린이 농구대</v>
      </c>
      <c r="F1857" s="1" t="str">
        <f>IFERROR(__xludf.DUMMYFUNCTION("CONCATENATE(GOOGLETRANSLATE(C1857, ""en"", ""ja""))"),"G GX9 キッズバスケットボールフープ")</f>
        <v>G GX9 キッズバスケットボールフープ</v>
      </c>
    </row>
    <row r="1858" ht="15.75" customHeight="1">
      <c r="A1858" s="1">
        <v>5942.0</v>
      </c>
      <c r="B1858" s="1" t="s">
        <v>6</v>
      </c>
      <c r="C1858" s="1" t="s">
        <v>1673</v>
      </c>
      <c r="D1858" s="1" t="str">
        <f>IFERROR(__xludf.DUMMYFUNCTION("CONCATENATE(GOOGLETRANSLATE(C1858, ""en"", ""zh-cn""))
"),"篮球框 10 英尺可调节高度便携式球门场系统 45 英寸儿童防碎篮板")</f>
        <v>篮球框 10 英尺可调节高度便携式球门场系统 45 英寸儿童防碎篮板</v>
      </c>
      <c r="E1858" s="1" t="str">
        <f>IFERROR(__xludf.DUMMYFUNCTION("CONCATENATE(GOOGLETRANSLATE(C1858, ""en"", ""ko""))"),"농구 골대 10피트 조절 가능한 높이 휴대용 골 코트 시스템 45인치 어린이를 위한 비산 방지 백보드")</f>
        <v>농구 골대 10피트 조절 가능한 높이 휴대용 골 코트 시스템 45인치 어린이를 위한 비산 방지 백보드</v>
      </c>
      <c r="F1858" s="1" t="str">
        <f>IFERROR(__xludf.DUMMYFUNCTION("CONCATENATE(GOOGLETRANSLATE(C1858, ""en"", ""ja""))"),"バスケットボールフープ 10フィート 高さ調節可能 ポータブルゴールコートシステム 45インチ 飛散防止バックボード 子供用")</f>
        <v>バスケットボールフープ 10フィート 高さ調節可能 ポータブルゴールコートシステム 45インチ 飛散防止バックボード 子供用</v>
      </c>
    </row>
    <row r="1859" ht="15.75" customHeight="1">
      <c r="A1859" s="1">
        <v>5944.0</v>
      </c>
      <c r="B1859" s="1" t="s">
        <v>6</v>
      </c>
      <c r="C1859" s="1" t="s">
        <v>1674</v>
      </c>
      <c r="D1859" s="1" t="str">
        <f>IFERROR(__xludf.DUMMYFUNCTION("CONCATENATE(GOOGLETRANSLATE(C1859, ""en"", ""zh-cn""))
"),"通用便携式户外运动工具羽毛球网球排球网")</f>
        <v>通用便携式户外运动工具羽毛球网球排球网</v>
      </c>
      <c r="E1859" s="1" t="str">
        <f>IFERROR(__xludf.DUMMYFUNCTION("CONCATENATE(GOOGLETRANSLATE(C1859, ""en"", ""ko""))"),"일반 휴대용 야외 스포츠 도구 배드민턴 테니스 배구 네트")</f>
        <v>일반 휴대용 야외 스포츠 도구 배드민턴 테니스 배구 네트</v>
      </c>
      <c r="F1859" s="1" t="str">
        <f>IFERROR(__xludf.DUMMYFUNCTION("CONCATENATE(GOOGLETRANSLATE(C1859, ""en"", ""ja""))"),"汎用ポータブルアウトドアスポーツツールバドミントンテニスバレーボールネット")</f>
        <v>汎用ポータブルアウトドアスポーツツールバドミントンテニスバレーボールネット</v>
      </c>
    </row>
    <row r="1860" ht="15.75" customHeight="1">
      <c r="A1860" s="1">
        <v>5950.0</v>
      </c>
      <c r="B1860" s="1" t="s">
        <v>6</v>
      </c>
      <c r="C1860" s="1" t="s">
        <v>1675</v>
      </c>
      <c r="D1860" s="1" t="str">
        <f>IFERROR(__xludf.DUMMYFUNCTION("CONCATENATE(GOOGLETRANSLATE(C1860, ""en"", ""zh-cn""))
"),"Champion Sports 救腿本垒板")</f>
        <v>Champion Sports 救腿本垒板</v>
      </c>
      <c r="E1860" s="1" t="str">
        <f>IFERROR(__xludf.DUMMYFUNCTION("CONCATENATE(GOOGLETRANSLATE(C1860, ""en"", ""ko""))"),"챔피언 스포츠 다리 보호 홈 플레이트")</f>
        <v>챔피언 스포츠 다리 보호 홈 플레이트</v>
      </c>
      <c r="F1860" s="1" t="str">
        <f>IFERROR(__xludf.DUMMYFUNCTION("CONCATENATE(GOOGLETRANSLATE(C1860, ""en"", ""ja""))"),"Champion Sports Save-A-Leg ホームプレート")</f>
        <v>Champion Sports Save-A-Leg ホームプレート</v>
      </c>
    </row>
    <row r="1861" ht="15.75" customHeight="1">
      <c r="A1861" s="1">
        <v>5957.0</v>
      </c>
      <c r="B1861" s="1" t="s">
        <v>6</v>
      </c>
      <c r="C1861" s="1" t="s">
        <v>1676</v>
      </c>
      <c r="D1861" s="1" t="str">
        <f>IFERROR(__xludf.DUMMYFUNCTION("CONCATENATE(GOOGLETRANSLATE(C1861, ""en"", ""zh-cn""))
"),"卡地亚 Panthère 女士不锈钢钻石腕表")</f>
        <v>卡地亚 Panthère 女士不锈钢钻石腕表</v>
      </c>
      <c r="E1861" s="1" t="str">
        <f>IFERROR(__xludf.DUMMYFUNCTION("CONCATENATE(GOOGLETRANSLATE(C1861, ""en"", ""ko""))"),"Cartier Panthère 여성용 스테인레스 스틸 다이아몬드 시계")</f>
        <v>Cartier Panthère 여성용 스테인레스 스틸 다이아몬드 시계</v>
      </c>
      <c r="F1861" s="1" t="str">
        <f>IFERROR(__xludf.DUMMYFUNCTION("CONCATENATE(GOOGLETRANSLATE(C1861, ""en"", ""ja""))"),"カルティエ パンテール レディース ステンレススチール ダイヤモンド ウォッチ")</f>
        <v>カルティエ パンテール レディース ステンレススチール ダイヤモンド ウォッチ</v>
      </c>
    </row>
    <row r="1862" ht="15.75" customHeight="1">
      <c r="A1862" s="1">
        <v>5960.0</v>
      </c>
      <c r="B1862" s="1" t="s">
        <v>6</v>
      </c>
      <c r="C1862" s="1" t="s">
        <v>1677</v>
      </c>
      <c r="D1862" s="1" t="str">
        <f>IFERROR(__xludf.DUMMYFUNCTION("CONCATENATE(GOOGLETRANSLATE(C1862, ""en"", ""zh-cn""))
"),"九西女士银色网眼手表")</f>
        <v>九西女士银色网眼手表</v>
      </c>
      <c r="E1862" s="1" t="str">
        <f>IFERROR(__xludf.DUMMYFUNCTION("CONCATENATE(GOOGLETRANSLATE(C1862, ""en"", ""ko""))"),"Nine West 여성용 실버 톤 메시 시계")</f>
        <v>Nine West 여성용 실버 톤 메시 시계</v>
      </c>
      <c r="F1862" s="1" t="str">
        <f>IFERROR(__xludf.DUMMYFUNCTION("CONCATENATE(GOOGLETRANSLATE(C1862, ""en"", ""ja""))"),"Nine West レディース シルバートーン メッシュ ウォッチ")</f>
        <v>Nine West レディース シルバートーン メッシュ ウォッチ</v>
      </c>
    </row>
    <row r="1863" ht="15.75" customHeight="1">
      <c r="A1863" s="1">
        <v>5969.0</v>
      </c>
      <c r="B1863" s="1" t="s">
        <v>6</v>
      </c>
      <c r="C1863" s="1" t="s">
        <v>1678</v>
      </c>
      <c r="D1863" s="1" t="str">
        <f>IFERROR(__xludf.DUMMYFUNCTION("CONCATENATE(GOOGLETRANSLATE(C1863, ""en"", ""zh-cn""))
"),"Anne Klein 女士正品钻石表盘手镯手表")</f>
        <v>Anne Klein 女士正品钻石表盘手镯手表</v>
      </c>
      <c r="E1863" s="1" t="str">
        <f>IFERROR(__xludf.DUMMYFUNCTION("CONCATENATE(GOOGLETRANSLATE(C1863, ""en"", ""ko""))"),"Anne Klein 여성용 정품 다이아몬드 다이얼 뱅글 시계")</f>
        <v>Anne Klein 여성용 정품 다이아몬드 다이얼 뱅글 시계</v>
      </c>
      <c r="F1863" s="1" t="str">
        <f>IFERROR(__xludf.DUMMYFUNCTION("CONCATENATE(GOOGLETRANSLATE(C1863, ""en"", ""ja""))"),"アン クライン レディース 純正ダイヤモンド ダイヤル バングル ウォッチ")</f>
        <v>アン クライン レディース 純正ダイヤモンド ダイヤル バングル ウォッチ</v>
      </c>
    </row>
    <row r="1864" ht="15.75" customHeight="1">
      <c r="A1864" s="1">
        <v>5993.0</v>
      </c>
      <c r="B1864" s="1" t="s">
        <v>6</v>
      </c>
      <c r="C1864" s="1" t="s">
        <v>1679</v>
      </c>
      <c r="D1864" s="1" t="str">
        <f>IFERROR(__xludf.DUMMYFUNCTION("CONCATENATE(GOOGLETRANSLATE(C1864, ""en"", ""zh-cn""))
"),"Case-Mate 可调节斜挎挂绳")</f>
        <v>Case-Mate 可调节斜挎挂绳</v>
      </c>
      <c r="E1864" s="1" t="str">
        <f>IFERROR(__xludf.DUMMYFUNCTION("CONCATENATE(GOOGLETRANSLATE(C1864, ""en"", ""ko""))"),"Case-Mate 조절 가능한 크로스바디 끈")</f>
        <v>Case-Mate 조절 가능한 크로스바디 끈</v>
      </c>
      <c r="F1864" s="1" t="str">
        <f>IFERROR(__xludf.DUMMYFUNCTION("CONCATENATE(GOOGLETRANSLATE(C1864, ""en"", ""ja""))"),"Case-Mate 調節可能なクロスボディ ストラップ")</f>
        <v>Case-Mate 調節可能なクロスボディ ストラップ</v>
      </c>
    </row>
    <row r="1865" ht="15.75" customHeight="1">
      <c r="A1865" s="1">
        <v>6029.0</v>
      </c>
      <c r="B1865" s="1" t="s">
        <v>6</v>
      </c>
      <c r="C1865" s="1" t="s">
        <v>1680</v>
      </c>
      <c r="D1865" s="1" t="str">
        <f>IFERROR(__xludf.DUMMYFUNCTION("CONCATENATE(GOOGLETRANSLATE(C1865, ""en"", ""zh-cn""))
"),"PHOOZY Apollo II + 抗菌剂")</f>
        <v>PHOOZY Apollo II + 抗菌剂</v>
      </c>
      <c r="E1865" s="1" t="str">
        <f>IFERROR(__xludf.DUMMYFUNCTION("CONCATENATE(GOOGLETRANSLATE(C1865, ""en"", ""ko""))"),"PHOOZY Apollo II + 항균제")</f>
        <v>PHOOZY Apollo II + 항균제</v>
      </c>
      <c r="F1865" s="1" t="str">
        <f>IFERROR(__xludf.DUMMYFUNCTION("CONCATENATE(GOOGLETRANSLATE(C1865, ""en"", ""ja""))"),"PHOOZY アポロ II + 抗菌")</f>
        <v>PHOOZY アポロ II + 抗菌</v>
      </c>
    </row>
    <row r="1866" ht="15.75" customHeight="1">
      <c r="A1866" s="1">
        <v>6033.0</v>
      </c>
      <c r="B1866" s="1" t="s">
        <v>6</v>
      </c>
      <c r="C1866" s="1" t="s">
        <v>1681</v>
      </c>
      <c r="D1866" s="1" t="str">
        <f>IFERROR(__xludf.DUMMYFUNCTION("CONCATENATE(GOOGLETRANSLATE(C1866, ""en"", ""zh-cn""))
"),"Frigidaire Gallery 30 英寸壁挂式烤箱和微波炉组合")</f>
        <v>Frigidaire Gallery 30 英寸壁挂式烤箱和微波炉组合</v>
      </c>
      <c r="E1866" s="1" t="str">
        <f>IFERROR(__xludf.DUMMYFUNCTION("CONCATENATE(GOOGLETRANSLATE(C1866, ""en"", ""ko""))"),"Frigidaire Gallery 30인치 벽면 오븐과 전자레인지 조합")</f>
        <v>Frigidaire Gallery 30인치 벽면 오븐과 전자레인지 조합</v>
      </c>
      <c r="F1866" s="1" t="str">
        <f>IFERROR(__xludf.DUMMYFUNCTION("CONCATENATE(GOOGLETRANSLATE(C1866, ""en"", ""ja""))"),"Frigidaire Gallery 30 インチ ウォール オーブンと電子レンジの組み合わせ")</f>
        <v>Frigidaire Gallery 30 インチ ウォール オーブンと電子レンジの組み合わせ</v>
      </c>
    </row>
    <row r="1867" ht="15.75" customHeight="1">
      <c r="A1867" s="1">
        <v>6068.0</v>
      </c>
      <c r="B1867" s="1" t="s">
        <v>6</v>
      </c>
      <c r="C1867" s="1" t="s">
        <v>1682</v>
      </c>
      <c r="D1867" s="1" t="str">
        <f>IFERROR(__xludf.DUMMYFUNCTION("CONCATENATE(GOOGLETRANSLATE(C1867, ""en"", ""zh-cn""))
"),"Haden Dorset 4 片烤面包机和电热水壶")</f>
        <v>Haden Dorset 4 片烤面包机和电热水壶</v>
      </c>
      <c r="E1867" s="1" t="str">
        <f>IFERROR(__xludf.DUMMYFUNCTION("CONCATENATE(GOOGLETRANSLATE(C1867, ""en"", ""ko""))"),"Haden Dorset 4슬라이스 토스터 및 전기 주전자")</f>
        <v>Haden Dorset 4슬라이스 토스터 및 전기 주전자</v>
      </c>
      <c r="F1867" s="1" t="str">
        <f>IFERROR(__xludf.DUMMYFUNCTION("CONCATENATE(GOOGLETRANSLATE(C1867, ""en"", ""ja""))"),"Haden Dorset 4スライストースターと電気ケトル")</f>
        <v>Haden Dorset 4スライストースターと電気ケトル</v>
      </c>
    </row>
    <row r="1868" ht="15.75" customHeight="1">
      <c r="A1868" s="1">
        <v>6087.0</v>
      </c>
      <c r="B1868" s="1" t="s">
        <v>6</v>
      </c>
      <c r="C1868" s="1" t="s">
        <v>1683</v>
      </c>
      <c r="D1868" s="1" t="str">
        <f>IFERROR(__xludf.DUMMYFUNCTION("CONCATENATE(GOOGLETRANSLATE(C1868, ""en"", ""zh-cn""))
"),"Botanic Hearth 生物素洗发水和护发素")</f>
        <v>Botanic Hearth 生物素洗发水和护发素</v>
      </c>
      <c r="E1868" s="1" t="str">
        <f>IFERROR(__xludf.DUMMYFUNCTION("CONCATENATE(GOOGLETRANSLATE(C1868, ""en"", ""ko""))"),"보타닉 허스 비오틴 샴푸 및 컨디셔너")</f>
        <v>보타닉 허스 비오틴 샴푸 및 컨디셔너</v>
      </c>
      <c r="F1868" s="1" t="str">
        <f>IFERROR(__xludf.DUMMYFUNCTION("CONCATENATE(GOOGLETRANSLATE(C1868, ""en"", ""ja""))"),"ボタニック ハース ビオチン シャンプー &amp; コンディショナー")</f>
        <v>ボタニック ハース ビオチン シャンプー &amp; コンディショナー</v>
      </c>
    </row>
    <row r="1869" ht="15.75" customHeight="1">
      <c r="A1869" s="1">
        <v>6133.0</v>
      </c>
      <c r="B1869" s="1" t="s">
        <v>6</v>
      </c>
      <c r="C1869" s="1" t="s">
        <v>1684</v>
      </c>
      <c r="D1869" s="1" t="str">
        <f>IFERROR(__xludf.DUMMYFUNCTION("CONCATENATE(GOOGLETRANSLATE(C1869, ""en"", ""zh-cn""))
"),"双贝赫兹健康 皮肤 头发")</f>
        <v>双贝赫兹健康 皮肤 头发</v>
      </c>
      <c r="E1869" s="1" t="str">
        <f>IFERROR(__xludf.DUMMYFUNCTION("CONCATENATE(GOOGLETRANSLATE(C1869, ""en"", ""ko""))"),"Doppelherz 건강 피부 모발")</f>
        <v>Doppelherz 건강 피부 모발</v>
      </c>
      <c r="F1869" s="1" t="str">
        <f>IFERROR(__xludf.DUMMYFUNCTION("CONCATENATE(GOOGLETRANSLATE(C1869, ""en"", ""ja""))"),"ドッペルヘルツ ヘルス スキン ヘア")</f>
        <v>ドッペルヘルツ ヘルス スキン ヘア</v>
      </c>
    </row>
    <row r="1870" ht="15.75" customHeight="1">
      <c r="A1870" s="1">
        <v>6137.0</v>
      </c>
      <c r="B1870" s="1" t="s">
        <v>6</v>
      </c>
      <c r="C1870" s="1" t="s">
        <v>1685</v>
      </c>
      <c r="D1870" s="1" t="str">
        <f>IFERROR(__xludf.DUMMYFUNCTION("CONCATENATE(GOOGLETRANSLATE(C1870, ""en"", ""zh-cn""))
"),"海藻提取物美容直发面膜基底的功效")</f>
        <v>海藻提取物美容直发面膜基底的功效</v>
      </c>
      <c r="E1870" s="1" t="str">
        <f>IFERROR(__xludf.DUMMYFUNCTION("CONCATENATE(GOOGLETRANSLATE(C1870, ""en"", ""ko""))"),"해조추출물을 함유한 뷰티 스트레이트 헤어 마스크 베이스의 기능")</f>
        <v>해조추출물을 함유한 뷰티 스트레이트 헤어 마스크 베이스의 기능</v>
      </c>
      <c r="F1870" s="1" t="str">
        <f>IFERROR(__xludf.DUMMYFUNCTION("CONCATENATE(GOOGLETRANSLATE(C1870, ""en"", ""ja""))"),"海藻エキス配合ビューティストレートヘアマスクベースの働き")</f>
        <v>海藻エキス配合ビューティストレートヘアマスクベースの働き</v>
      </c>
    </row>
    <row r="1871" ht="15.75" customHeight="1">
      <c r="A1871" s="1">
        <v>6147.0</v>
      </c>
      <c r="B1871" s="1" t="s">
        <v>6</v>
      </c>
      <c r="C1871" s="1" t="s">
        <v>1686</v>
      </c>
      <c r="D1871" s="1" t="str">
        <f>IFERROR(__xludf.DUMMYFUNCTION("CONCATENATE(GOOGLETRANSLATE(C1871, ""en"", ""zh-cn""))
"),"Beauty Pro Bond修复定制洗发水的功能")</f>
        <v>Beauty Pro Bond修复定制洗发水的功能</v>
      </c>
      <c r="E1871" s="1" t="str">
        <f>IFERROR(__xludf.DUMMYFUNCTION("CONCATENATE(GOOGLETRANSLATE(C1871, ""en"", ""ko""))"),"뷰티 프로 본드 리페어 커스텀 샴푸의 기능")</f>
        <v>뷰티 프로 본드 리페어 커스텀 샴푸의 기능</v>
      </c>
      <c r="F1871" s="1" t="str">
        <f>IFERROR(__xludf.DUMMYFUNCTION("CONCATENATE(GOOGLETRANSLATE(C1871, ""en"", ""ja""))"),"ビューティプロ ボンドリペア カスタム シャンプーの働き")</f>
        <v>ビューティプロ ボンドリペア カスタム シャンプーの働き</v>
      </c>
    </row>
    <row r="1872" ht="15.75" customHeight="1">
      <c r="A1872" s="1">
        <v>6153.0</v>
      </c>
      <c r="C1872" s="1" t="s">
        <v>338</v>
      </c>
      <c r="D1872" s="1" t="str">
        <f>IFERROR(__xludf.DUMMYFUNCTION("CONCATENATE(GOOGLETRANSLATE(C1872, ""en"", ""zh-cn""))
"),"蒙娜丽莎卡")</f>
        <v>蒙娜丽莎卡</v>
      </c>
      <c r="E1872" s="1" t="str">
        <f>IFERROR(__xludf.DUMMYFUNCTION("CONCATENATE(GOOGLETRANSLATE(C1872, ""en"", ""ko""))"),"모나리 카드")</f>
        <v>모나리 카드</v>
      </c>
      <c r="F1872" s="1" t="str">
        <f>IFERROR(__xludf.DUMMYFUNCTION("CONCATENATE(GOOGLETRANSLATE(C1872, ""en"", ""ja""))"),"モナリカード")</f>
        <v>モナリカード</v>
      </c>
    </row>
    <row r="1873" ht="15.75" customHeight="1">
      <c r="A1873" s="1">
        <v>6210.0</v>
      </c>
      <c r="B1873" s="1" t="s">
        <v>6</v>
      </c>
      <c r="C1873" s="1" t="s">
        <v>1687</v>
      </c>
      <c r="D1873" s="1" t="str">
        <f>IFERROR(__xludf.DUMMYFUNCTION("CONCATENATE(GOOGLETRANSLATE(C1873, ""en"", ""zh-cn""))
"),"职位")</f>
        <v>职位</v>
      </c>
      <c r="E1873" s="1" t="str">
        <f>IFERROR(__xludf.DUMMYFUNCTION("CONCATENATE(GOOGLETRANSLATE(C1873, ""en"", ""ko""))"),"위치")</f>
        <v>위치</v>
      </c>
      <c r="F1873" s="1" t="str">
        <f>IFERROR(__xludf.DUMMYFUNCTION("CONCATENATE(GOOGLETRANSLATE(C1873, ""en"", ""ja""))"),"立場")</f>
        <v>立場</v>
      </c>
    </row>
    <row r="1874" ht="15.75" customHeight="1">
      <c r="A1874" s="1">
        <v>6227.0</v>
      </c>
      <c r="B1874" s="1" t="s">
        <v>6</v>
      </c>
      <c r="C1874" s="1" t="s">
        <v>1688</v>
      </c>
      <c r="D1874" s="1" t="str">
        <f>IFERROR(__xludf.DUMMYFUNCTION("CONCATENATE(GOOGLETRANSLATE(C1874, ""en"", ""zh-cn""))
"),"找到我：一本小说")</f>
        <v>找到我：一本小说</v>
      </c>
      <c r="E1874" s="1" t="str">
        <f>IFERROR(__xludf.DUMMYFUNCTION("CONCATENATE(GOOGLETRANSLATE(C1874, ""en"", ""ko""))"),"나를 찾아라: 소설")</f>
        <v>나를 찾아라: 소설</v>
      </c>
      <c r="F1874" s="1" t="str">
        <f>IFERROR(__xludf.DUMMYFUNCTION("CONCATENATE(GOOGLETRANSLATE(C1874, ""en"", ""ja""))"),"私を見つけて: 小説")</f>
        <v>私を見つけて: 小説</v>
      </c>
    </row>
    <row r="1875" ht="15.75" customHeight="1">
      <c r="A1875" s="1">
        <v>6263.0</v>
      </c>
      <c r="B1875" s="1" t="s">
        <v>6</v>
      </c>
      <c r="C1875" s="1" t="s">
        <v>1689</v>
      </c>
      <c r="D1875" s="1" t="str">
        <f>IFERROR(__xludf.DUMMYFUNCTION("CONCATENATE(GOOGLETRANSLATE(C1875, ""en"", ""zh-cn""))
"),"Apple 200 美元美国礼品卡")</f>
        <v>Apple 200 美元美国礼品卡</v>
      </c>
      <c r="E1875" s="1" t="str">
        <f>IFERROR(__xludf.DUMMYFUNCTION("CONCATENATE(GOOGLETRANSLATE(C1875, ""en"", ""ko""))"),"Apple $200 기프트 카드(미국)")</f>
        <v>Apple $200 기프트 카드(미국)</v>
      </c>
      <c r="F1875" s="1" t="str">
        <f>IFERROR(__xludf.DUMMYFUNCTION("CONCATENATE(GOOGLETRANSLATE(C1875, ""en"", ""ja""))"),"Apple $200 ギフトカード 米国")</f>
        <v>Apple $200 ギフトカード 米国</v>
      </c>
    </row>
    <row r="1876" ht="15.75" customHeight="1">
      <c r="A1876" s="1">
        <v>6281.0</v>
      </c>
      <c r="B1876" s="1" t="s">
        <v>6</v>
      </c>
      <c r="C1876" s="1" t="s">
        <v>1690</v>
      </c>
      <c r="D1876" s="1" t="str">
        <f>IFERROR(__xludf.DUMMYFUNCTION("CONCATENATE(GOOGLETRANSLATE(C1876, ""en"", ""zh-cn""))
"),"150 美元 PlayStation 商店礼品卡 [数字代码]")</f>
        <v>150 美元 PlayStation 商店礼品卡 [数字代码]</v>
      </c>
      <c r="E1876" s="1" t="str">
        <f>IFERROR(__xludf.DUMMYFUNCTION("CONCATENATE(GOOGLETRANSLATE(C1876, ""en"", ""ko""))"),"$150 PlayStation Store 기프트 카드 [디지털 코드]")</f>
        <v>$150 PlayStation Store 기프트 카드 [디지털 코드]</v>
      </c>
      <c r="F1876" s="1" t="str">
        <f>IFERROR(__xludf.DUMMYFUNCTION("CONCATENATE(GOOGLETRANSLATE(C1876, ""en"", ""ja""))"),"$150 PlayStation Store ギフトカード [デジタルコード]")</f>
        <v>$150 PlayStation Store ギフトカード [デジタルコード]</v>
      </c>
    </row>
    <row r="1877" ht="15.75" customHeight="1">
      <c r="A1877" s="1">
        <v>6284.0</v>
      </c>
      <c r="B1877" s="1" t="s">
        <v>6</v>
      </c>
      <c r="C1877" s="1" t="s">
        <v>1691</v>
      </c>
      <c r="D1877" s="1" t="str">
        <f>IFERROR(__xludf.DUMMYFUNCTION("CONCATENATE(GOOGLETRANSLATE(C1877, ""en"", ""zh-cn""))
"),"Grand Theft Auto V：高级版 - Sony PlayStation 4 [数字下载]")</f>
        <v>Grand Theft Auto V：高级版 - Sony PlayStation 4 [数字下载]</v>
      </c>
      <c r="E1877" s="1" t="str">
        <f>IFERROR(__xludf.DUMMYFUNCTION("CONCATENATE(GOOGLETRANSLATE(C1877, ""en"", ""ko""))"),"Grand Theft Auto V: 프리미엄 에디션 - Sony PlayStation 4 [디지털 다운로드]")</f>
        <v>Grand Theft Auto V: 프리미엄 에디션 - Sony PlayStation 4 [디지털 다운로드]</v>
      </c>
      <c r="F1877" s="1" t="str">
        <f>IFERROR(__xludf.DUMMYFUNCTION("CONCATENATE(GOOGLETRANSLATE(C1877, ""en"", ""ja""))"),"グランド・セフト・オート V: プレミアム・エディション - Sony PlayStation 4 [デジタルダウンロード]")</f>
        <v>グランド・セフト・オート V: プレミアム・エディション - Sony PlayStation 4 [デジタルダウンロード]</v>
      </c>
    </row>
    <row r="1878" ht="15.75" customHeight="1">
      <c r="A1878" s="1">
        <v>6287.0</v>
      </c>
      <c r="B1878" s="1" t="s">
        <v>6</v>
      </c>
      <c r="C1878" s="1" t="s">
        <v>1692</v>
      </c>
      <c r="D1878" s="1" t="str">
        <f>IFERROR(__xludf.DUMMYFUNCTION("CONCATENATE(GOOGLETRANSLATE(C1878, ""en"", ""zh-cn""))
"),"索尼 ZV-E10 II 无反光镜相机")</f>
        <v>索尼 ZV-E10 II 无反光镜相机</v>
      </c>
      <c r="E1878" s="1" t="str">
        <f>IFERROR(__xludf.DUMMYFUNCTION("CONCATENATE(GOOGLETRANSLATE(C1878, ""en"", ""ko""))"),"Sony ZV-E10 II 미러리스 카메라")</f>
        <v>Sony ZV-E10 II 미러리스 카메라</v>
      </c>
      <c r="F1878" s="1" t="str">
        <f>IFERROR(__xludf.DUMMYFUNCTION("CONCATENATE(GOOGLETRANSLATE(C1878, ""en"", ""ja""))"),"ソニー ZV-E10 II ミラーレスカメラ")</f>
        <v>ソニー ZV-E10 II ミラーレスカメラ</v>
      </c>
    </row>
    <row r="1879" ht="15.75" customHeight="1">
      <c r="A1879" s="1">
        <v>6320.0</v>
      </c>
      <c r="B1879" s="1" t="s">
        <v>6</v>
      </c>
      <c r="C1879" s="1" t="s">
        <v>1693</v>
      </c>
      <c r="D1879" s="1" t="str">
        <f>IFERROR(__xludf.DUMMYFUNCTION("CONCATENATE(GOOGLETRANSLATE(C1879, ""en"", ""zh-cn""))
"),"令人毛骨悚然的争吵者")</f>
        <v>令人毛骨悚然的争吵者</v>
      </c>
      <c r="E1879" s="1" t="str">
        <f>IFERROR(__xludf.DUMMYFUNCTION("CONCATENATE(GOOGLETRANSLATE(C1879, ""en"", ""ko""))"),"소름 끼치는 싸움꾼")</f>
        <v>소름 끼치는 싸움꾼</v>
      </c>
      <c r="F1879" s="1" t="str">
        <f>IFERROR(__xludf.DUMMYFUNCTION("CONCATENATE(GOOGLETRANSLATE(C1879, ""en"", ""ja""))"),"不気味な喧嘩屋")</f>
        <v>不気味な喧嘩屋</v>
      </c>
    </row>
    <row r="1880" ht="15.75" customHeight="1">
      <c r="A1880" s="1">
        <v>6330.0</v>
      </c>
      <c r="B1880" s="1" t="s">
        <v>6</v>
      </c>
      <c r="C1880" s="1" t="s">
        <v>1694</v>
      </c>
      <c r="D1880" s="1" t="str">
        <f>IFERROR(__xludf.DUMMYFUNCTION("CONCATENATE(GOOGLETRANSLATE(C1880, ""en"", ""zh-cn""))
"),"eCash - 任天堂 eShop 礼品卡 [数字下载]")</f>
        <v>eCash - 任天堂 eShop 礼品卡 [数字下载]</v>
      </c>
      <c r="E1880" s="1" t="str">
        <f>IFERROR(__xludf.DUMMYFUNCTION("CONCATENATE(GOOGLETRANSLATE(C1880, ""en"", ""ko""))"),"eCash - Nintendo eShop 기프트 카드 [디지털 다운로드]")</f>
        <v>eCash - Nintendo eShop 기프트 카드 [디지털 다운로드]</v>
      </c>
      <c r="F1880" s="1" t="str">
        <f>IFERROR(__xludf.DUMMYFUNCTION("CONCATENATE(GOOGLETRANSLATE(C1880, ""en"", ""ja""))"),"eCash - ニンテンドー eショップ ギフトカード [デジタルダウンロード]")</f>
        <v>eCash - ニンテンドー eショップ ギフトカード [デジタルダウンロード]</v>
      </c>
    </row>
    <row r="1881" ht="15.75" customHeight="1">
      <c r="A1881" s="1">
        <v>6353.0</v>
      </c>
      <c r="B1881" s="1" t="s">
        <v>6</v>
      </c>
      <c r="C1881" s="1" t="s">
        <v>1695</v>
      </c>
      <c r="D1881" s="1" t="str">
        <f>IFERROR(__xludf.DUMMYFUNCTION("CONCATENATE(GOOGLETRANSLATE(C1881, ""en"", ""zh-cn""))
"),"恶魔城主宰合集")</f>
        <v>恶魔城主宰合集</v>
      </c>
      <c r="E1881" s="1" t="str">
        <f>IFERROR(__xludf.DUMMYFUNCTION("CONCATENATE(GOOGLETRANSLATE(C1881, ""en"", ""ko""))"),"캐슬바니아 도미누스 컬렉션")</f>
        <v>캐슬바니아 도미누스 컬렉션</v>
      </c>
      <c r="F1881" s="1" t="str">
        <f>IFERROR(__xludf.DUMMYFUNCTION("CONCATENATE(GOOGLETRANSLATE(C1881, ""en"", ""ja""))"),"悪魔城ドラキュラ ドミナス コレクション")</f>
        <v>悪魔城ドラキュラ ドミナス コレクション</v>
      </c>
    </row>
    <row r="1882" ht="15.75" customHeight="1">
      <c r="A1882" s="1">
        <v>6366.0</v>
      </c>
      <c r="B1882" s="1" t="s">
        <v>6</v>
      </c>
      <c r="C1882" s="1" t="s">
        <v>1696</v>
      </c>
      <c r="D1882" s="1" t="str">
        <f>IFERROR(__xludf.DUMMYFUNCTION("CONCATENATE(GOOGLETRANSLATE(C1882, ""en"", ""zh-cn""))
"),"阿迪达斯 (adidas) 女式 Cloudfoam Pure 低帮跑鞋")</f>
        <v>阿迪达斯 (adidas) 女式 Cloudfoam Pure 低帮跑鞋</v>
      </c>
      <c r="E1882" s="1" t="str">
        <f>IFERROR(__xludf.DUMMYFUNCTION("CONCATENATE(GOOGLETRANSLATE(C1882, ""en"", ""ko""))"),"아디다스 여성용 Cloudfoam 퓨어 로우탑 러닝화")</f>
        <v>아디다스 여성용 Cloudfoam 퓨어 로우탑 러닝화</v>
      </c>
      <c r="F1882" s="1" t="str">
        <f>IFERROR(__xludf.DUMMYFUNCTION("CONCATENATE(GOOGLETRANSLATE(C1882, ""en"", ""ja""))"),"アディダス レディース クラウドフォーム ピュア ロートップ ランニング シューズ")</f>
        <v>アディダス レディース クラウドフォーム ピュア ロートップ ランニング シューズ</v>
      </c>
    </row>
    <row r="1883" ht="15.75" customHeight="1">
      <c r="A1883" s="1">
        <v>6377.0</v>
      </c>
      <c r="B1883" s="1" t="s">
        <v>6</v>
      </c>
      <c r="C1883" s="1" t="s">
        <v>1697</v>
      </c>
      <c r="D1883" s="1" t="str">
        <f>IFERROR(__xludf.DUMMYFUNCTION("CONCATENATE(GOOGLETRANSLATE(C1883, ""en"", ""zh-cn""))
"),"阿迪达斯 Originals Adibreak 女式长裤")</f>
        <v>阿迪达斯 Originals Adibreak 女式长裤</v>
      </c>
      <c r="E1883" s="1" t="str">
        <f>IFERROR(__xludf.DUMMYFUNCTION("CONCATENATE(GOOGLETRANSLATE(C1883, ""en"", ""ko""))"),"아디다스 여성 오리지널 Adibreak 팬츠")</f>
        <v>아디다스 여성 오리지널 Adibreak 팬츠</v>
      </c>
      <c r="F1883" s="1" t="str">
        <f>IFERROR(__xludf.DUMMYFUNCTION("CONCATENATE(GOOGLETRANSLATE(C1883, ""en"", ""ja""))"),"アディダス レディース オリジナル アディブレイク パンツ")</f>
        <v>アディダス レディース オリジナル アディブレイク パンツ</v>
      </c>
    </row>
    <row r="1884" ht="15.75" customHeight="1">
      <c r="A1884" s="1">
        <v>6378.0</v>
      </c>
      <c r="B1884" s="1" t="s">
        <v>6</v>
      </c>
      <c r="C1884" s="1" t="s">
        <v>1698</v>
      </c>
      <c r="D1884" s="1" t="str">
        <f>IFERROR(__xludf.DUMMYFUNCTION("CONCATENATE(GOOGLETRANSLATE(C1884, ""en"", ""zh-cn""))
"),"阿迪达斯女式 Hyperglam 全长罗纹 HIIT 长裤")</f>
        <v>阿迪达斯女式 Hyperglam 全长罗纹 HIIT 长裤</v>
      </c>
      <c r="E1884" s="1" t="str">
        <f>IFERROR(__xludf.DUMMYFUNCTION("CONCATENATE(GOOGLETRANSLATE(C1884, ""en"", ""ko""))"),"adidas 여성용 하이퍼글램 전장 골지 HIIT 바지")</f>
        <v>adidas 여성용 하이퍼글램 전장 골지 HIIT 바지</v>
      </c>
      <c r="F1884" s="1" t="str">
        <f>IFERROR(__xludf.DUMMYFUNCTION("CONCATENATE(GOOGLETRANSLATE(C1884, ""en"", ""ja""))"),"アディダス レディース ハイパーグラム フルレングス リブ HIIT パンツ")</f>
        <v>アディダス レディース ハイパーグラム フルレングス リブ HIIT パンツ</v>
      </c>
    </row>
    <row r="1885" ht="15.75" customHeight="1">
      <c r="A1885" s="1">
        <v>6420.0</v>
      </c>
      <c r="B1885" s="1" t="s">
        <v>6</v>
      </c>
      <c r="C1885" s="1" t="s">
        <v>1699</v>
      </c>
      <c r="D1885" s="1" t="str">
        <f>IFERROR(__xludf.DUMMYFUNCTION("CONCATENATE(GOOGLETRANSLATE(C1885, ""en"", ""zh-cn""))
"),"Asics 男士长袖核心上衣")</f>
        <v>Asics 男士长袖核心上衣</v>
      </c>
      <c r="E1885" s="1" t="str">
        <f>IFERROR(__xludf.DUMMYFUNCTION("CONCATENATE(GOOGLETRANSLATE(C1885, ""en"", ""ko""))"),"아식스 남성 긴팔 코어 탑")</f>
        <v>아식스 남성 긴팔 코어 탑</v>
      </c>
      <c r="F1885" s="1" t="str">
        <f>IFERROR(__xludf.DUMMYFUNCTION("CONCATENATE(GOOGLETRANSLATE(C1885, ""en"", ""ja""))"),"アシックス メンズ 長袖コアトップ")</f>
        <v>アシックス メンズ 長袖コアトップ</v>
      </c>
    </row>
    <row r="1886" ht="15.75" customHeight="1">
      <c r="A1886" s="1">
        <v>6425.0</v>
      </c>
      <c r="B1886" s="1" t="s">
        <v>6</v>
      </c>
      <c r="C1886" s="1" t="s">
        <v>1700</v>
      </c>
      <c r="D1886" s="1" t="str">
        <f>IFERROR(__xludf.DUMMYFUNCTION("CONCATENATE(GOOGLETRANSLATE(C1886, ""en"", ""zh-cn""))
"),"ASICS 男士 Court 9 英寸短裤")</f>
        <v>ASICS 男士 Court 9 英寸短裤</v>
      </c>
      <c r="E1886" s="1" t="str">
        <f>IFERROR(__xludf.DUMMYFUNCTION("CONCATENATE(GOOGLETRANSLATE(C1886, ""en"", ""ko""))"),"아식스 남성 코트 9인치 반바지")</f>
        <v>아식스 남성 코트 9인치 반바지</v>
      </c>
      <c r="F1886" s="1" t="str">
        <f>IFERROR(__xludf.DUMMYFUNCTION("CONCATENATE(GOOGLETRANSLATE(C1886, ""en"", ""ja""))"),"アシックス メンズ コート 9インチ ショーツ")</f>
        <v>アシックス メンズ コート 9インチ ショーツ</v>
      </c>
    </row>
    <row r="1887" ht="15.75" customHeight="1">
      <c r="A1887" s="1">
        <v>6431.0</v>
      </c>
      <c r="B1887" s="1" t="s">
        <v>6</v>
      </c>
      <c r="C1887" s="1" t="s">
        <v>1701</v>
      </c>
      <c r="D1887" s="1" t="str">
        <f>IFERROR(__xludf.DUMMYFUNCTION("CONCATENATE(GOOGLETRANSLATE(C1887, ""en"", ""zh-cn""))
"),"ASICS 男士活动针织夹克")</f>
        <v>ASICS 男士活动针织夹克</v>
      </c>
      <c r="E1887" s="1" t="str">
        <f>IFERROR(__xludf.DUMMYFUNCTION("CONCATENATE(GOOGLETRANSLATE(C1887, ""en"", ""ko""))"),"ASICS 남성 모빌리티 니트 재킷")</f>
        <v>ASICS 남성 모빌리티 니트 재킷</v>
      </c>
      <c r="F1887" s="1" t="str">
        <f>IFERROR(__xludf.DUMMYFUNCTION("CONCATENATE(GOOGLETRANSLATE(C1887, ""en"", ""ja""))"),"アシックス モビリティニットジャケット メンズ")</f>
        <v>アシックス モビリティニットジャケット メンズ</v>
      </c>
    </row>
    <row r="1888" ht="15.75" customHeight="1">
      <c r="A1888" s="1">
        <v>6437.0</v>
      </c>
      <c r="B1888" s="1" t="s">
        <v>6</v>
      </c>
      <c r="C1888" s="1" t="s">
        <v>1702</v>
      </c>
      <c r="D1888" s="1" t="str">
        <f>IFERROR(__xludf.DUMMYFUNCTION("CONCATENATE(GOOGLETRANSLATE(C1888, ""en"", ""zh-cn""))
"),"Gymshark 女式加高网布弹力梭织上衣")</f>
        <v>Gymshark 女式加高网布弹力梭织上衣</v>
      </c>
      <c r="E1888" s="1" t="str">
        <f>IFERROR(__xludf.DUMMYFUNCTION("CONCATENATE(GOOGLETRANSLATE(C1888, ""en"", ""ko""))"),"Gymshark 여성용 Elevate 메쉬 패널 스트레치 우븐 탑")</f>
        <v>Gymshark 여성용 Elevate 메쉬 패널 스트레치 우븐 탑</v>
      </c>
      <c r="F1888" s="1" t="str">
        <f>IFERROR(__xludf.DUMMYFUNCTION("CONCATENATE(GOOGLETRANSLATE(C1888, ""en"", ""ja""))"),"Gymshark レディース エレベート メッシュパネル ストレッチウーブン トップ")</f>
        <v>Gymshark レディース エレベート メッシュパネル ストレッチウーブン トップ</v>
      </c>
    </row>
    <row r="1889" ht="15.75" customHeight="1">
      <c r="A1889" s="1">
        <v>6444.0</v>
      </c>
      <c r="B1889" s="1" t="s">
        <v>6</v>
      </c>
      <c r="C1889" s="1" t="s">
        <v>1703</v>
      </c>
      <c r="D1889" s="1" t="str">
        <f>IFERROR(__xludf.DUMMYFUNCTION("CONCATENATE(GOOGLETRANSLATE(C1889, ""en"", ""zh-cn""))
"),"Gymshark 女式日常无缝弹力梭织打底裤")</f>
        <v>Gymshark 女式日常无缝弹力梭织打底裤</v>
      </c>
      <c r="E1889" s="1" t="str">
        <f>IFERROR(__xludf.DUMMYFUNCTION("CONCATENATE(GOOGLETRANSLATE(C1889, ""en"", ""ko""))"),"Gymshark 여성용 데일리 심리스 스트레치 우븐 레깅스")</f>
        <v>Gymshark 여성용 데일리 심리스 스트레치 우븐 레깅스</v>
      </c>
      <c r="F1889" s="1" t="str">
        <f>IFERROR(__xludf.DUMMYFUNCTION("CONCATENATE(GOOGLETRANSLATE(C1889, ""en"", ""ja""))"),"Gymshark レディース エブリデイ シームレス ストレッチ織りレギンス")</f>
        <v>Gymshark レディース エブリデイ シームレス ストレッチ織りレギンス</v>
      </c>
    </row>
    <row r="1890" ht="15.75" customHeight="1">
      <c r="A1890" s="1">
        <v>6458.0</v>
      </c>
      <c r="B1890" s="1" t="s">
        <v>6</v>
      </c>
      <c r="C1890" s="1" t="s">
        <v>1704</v>
      </c>
      <c r="D1890" s="1" t="str">
        <f>IFERROR(__xludf.DUMMYFUNCTION("CONCATENATE(GOOGLETRANSLATE(C1890, ""en"", ""zh-cn""))
"),"Gymshark 力量 T 恤")</f>
        <v>Gymshark 力量 T 恤</v>
      </c>
      <c r="E1890" s="1" t="str">
        <f>IFERROR(__xludf.DUMMYFUNCTION("CONCATENATE(GOOGLETRANSLATE(C1890, ""en"", ""ko""))"),"Gymshark 파워 티셔츠")</f>
        <v>Gymshark 파워 티셔츠</v>
      </c>
      <c r="F1890" s="1" t="str">
        <f>IFERROR(__xludf.DUMMYFUNCTION("CONCATENATE(GOOGLETRANSLATE(C1890, ""en"", ""ja""))"),"ジムシャーク パワー T シャツ")</f>
        <v>ジムシャーク パワー T シャツ</v>
      </c>
    </row>
    <row r="1891" ht="15.75" customHeight="1">
      <c r="A1891" s="1">
        <v>6461.0</v>
      </c>
      <c r="B1891" s="1" t="s">
        <v>6</v>
      </c>
      <c r="C1891" s="1" t="s">
        <v>1705</v>
      </c>
      <c r="D1891" s="1" t="str">
        <f>IFERROR(__xludf.DUMMYFUNCTION("CONCATENATE(GOOGLETRANSLATE(C1891, ""en"", ""zh-cn""))
"),"Gymshark Vital 无缝低圆领上衣")</f>
        <v>Gymshark Vital 无缝低圆领上衣</v>
      </c>
      <c r="E1891" s="1" t="str">
        <f>IFERROR(__xludf.DUMMYFUNCTION("CONCATENATE(GOOGLETRANSLATE(C1891, ""en"", ""ko""))"),"Gymshark Vital 심리스 스쿠프 넥 탑")</f>
        <v>Gymshark Vital 심리스 스쿠프 넥 탑</v>
      </c>
      <c r="F1891" s="1" t="str">
        <f>IFERROR(__xludf.DUMMYFUNCTION("CONCATENATE(GOOGLETRANSLATE(C1891, ""en"", ""ja""))"),"Gymshark Vital シームレス スクープ ネック トップ")</f>
        <v>Gymshark Vital シームレス スクープ ネック トップ</v>
      </c>
    </row>
    <row r="1892" ht="15.75" customHeight="1">
      <c r="A1892" s="1">
        <v>6508.0</v>
      </c>
      <c r="B1892" s="1" t="s">
        <v>6</v>
      </c>
      <c r="C1892" s="1" t="s">
        <v>1706</v>
      </c>
      <c r="D1892" s="1" t="str">
        <f>IFERROR(__xludf.DUMMYFUNCTION("CONCATENATE(GOOGLETRANSLATE(C1892, ""en"", ""zh-cn""))
"),"Lululemon 女式 Softstreme 高腰短裤")</f>
        <v>Lululemon 女式 Softstreme 高腰短裤</v>
      </c>
      <c r="E1892" s="1" t="str">
        <f>IFERROR(__xludf.DUMMYFUNCTION("CONCATENATE(GOOGLETRANSLATE(C1892, ""en"", ""ko""))"),"Lululemon 여성용 Softstreme 하이라이즈 팬츠 반바지")</f>
        <v>Lululemon 여성용 Softstreme 하이라이즈 팬츠 반바지</v>
      </c>
      <c r="F1892" s="1" t="str">
        <f>IFERROR(__xludf.DUMMYFUNCTION("CONCATENATE(GOOGLETRANSLATE(C1892, ""en"", ""ja""))"),"ルルレモン レディース ソフトストリーム ハイライズ パンツ ショーツ")</f>
        <v>ルルレモン レディース ソフトストリーム ハイライズ パンツ ショーツ</v>
      </c>
    </row>
    <row r="1893" ht="15.75" customHeight="1">
      <c r="A1893" s="1">
        <v>6518.0</v>
      </c>
      <c r="B1893" s="1" t="s">
        <v>6</v>
      </c>
      <c r="C1893" s="1" t="s">
        <v>1707</v>
      </c>
      <c r="D1893" s="1" t="str">
        <f>IFERROR(__xludf.DUMMYFUNCTION("CONCATENATE(GOOGLETRANSLATE(C1893, ""en"", ""zh-cn""))
"),"耐克男士运动服俱乐部抓绒夹克")</f>
        <v>耐克男士运动服俱乐部抓绒夹克</v>
      </c>
      <c r="E1893" s="1" t="str">
        <f>IFERROR(__xludf.DUMMYFUNCTION("CONCATENATE(GOOGLETRANSLATE(C1893, ""en"", ""ko""))"),"나이키 남성 스포츠웨어 클럽 플리스 재킷")</f>
        <v>나이키 남성 스포츠웨어 클럽 플리스 재킷</v>
      </c>
      <c r="F1893" s="1" t="str">
        <f>IFERROR(__xludf.DUMMYFUNCTION("CONCATENATE(GOOGLETRANSLATE(C1893, ""en"", ""ja""))"),"ナイキ メンズ スポーツウェア クラブ フリース ジャケット")</f>
        <v>ナイキ メンズ スポーツウェア クラブ フリース ジャケット</v>
      </c>
    </row>
    <row r="1894" ht="15.75" customHeight="1">
      <c r="A1894" s="1">
        <v>6526.0</v>
      </c>
      <c r="B1894" s="1" t="s">
        <v>6</v>
      </c>
      <c r="C1894" s="1" t="s">
        <v>1708</v>
      </c>
      <c r="D1894" s="1" t="str">
        <f>IFERROR(__xludf.DUMMYFUNCTION("CONCATENATE(GOOGLETRANSLATE(C1894, ""en"", ""zh-cn""))
"),"女式 Nike Sportswear 经典梭织宽松防紫外线连帽夹克")</f>
        <v>女式 Nike Sportswear 经典梭织宽松防紫外线连帽夹克</v>
      </c>
      <c r="E1894" s="1" t="str">
        <f>IFERROR(__xludf.DUMMYFUNCTION("CONCATENATE(GOOGLETRANSLATE(C1894, ""en"", ""ko""))"),"여성용 나이키 스포츠웨어 클래식 우븐 루즈 UV 후드 재킷")</f>
        <v>여성용 나이키 스포츠웨어 클래식 우븐 루즈 UV 후드 재킷</v>
      </c>
      <c r="F1894" s="1" t="str">
        <f>IFERROR(__xludf.DUMMYFUNCTION("CONCATENATE(GOOGLETRANSLATE(C1894, ""en"", ""ja""))"),"レディース ナイキ スポーツウェア クラシック ウーブン ルーズ UV フード付きジャケット")</f>
        <v>レディース ナイキ スポーツウェア クラシック ウーブン ルーズ UV フード付きジャケット</v>
      </c>
    </row>
    <row r="1895" ht="15.75" customHeight="1">
      <c r="A1895" s="1">
        <v>6527.0</v>
      </c>
      <c r="B1895" s="1" t="s">
        <v>6</v>
      </c>
      <c r="C1895" s="1" t="s">
        <v>1709</v>
      </c>
      <c r="D1895" s="1" t="str">
        <f>IFERROR(__xludf.DUMMYFUNCTION("CONCATENATE(GOOGLETRANSLATE(C1895, ""en"", ""zh-cn""))
"),"耐克男士 Club 针织慢跑裤")</f>
        <v>耐克男士 Club 针织慢跑裤</v>
      </c>
      <c r="E1895" s="1" t="str">
        <f>IFERROR(__xludf.DUMMYFUNCTION("CONCATENATE(GOOGLETRANSLATE(C1895, ""en"", ""ko""))"),"나이키 남성 클럽 니트 조거")</f>
        <v>나이키 남성 클럽 니트 조거</v>
      </c>
      <c r="F1895" s="1" t="str">
        <f>IFERROR(__xludf.DUMMYFUNCTION("CONCATENATE(GOOGLETRANSLATE(C1895, ""en"", ""ja""))"),"ナイキ メンズ クラブ ニット ジョガー")</f>
        <v>ナイキ メンズ クラブ ニット ジョガー</v>
      </c>
    </row>
    <row r="1896" ht="15.75" customHeight="1">
      <c r="A1896" s="1">
        <v>6540.0</v>
      </c>
      <c r="B1896" s="1" t="s">
        <v>6</v>
      </c>
      <c r="C1896" s="1" t="s">
        <v>1710</v>
      </c>
      <c r="D1896" s="1" t="str">
        <f>IFERROR(__xludf.DUMMYFUNCTION("CONCATENATE(GOOGLETRANSLATE(C1896, ""en"", ""zh-cn""))
"),"耐克女式高腰褶皱羊毛长裤")</f>
        <v>耐克女式高腰褶皱羊毛长裤</v>
      </c>
      <c r="E1896" s="1" t="str">
        <f>IFERROR(__xludf.DUMMYFUNCTION("CONCATENATE(GOOGLETRANSLATE(C1896, ""en"", ""ko""))"),"나이키 여성용 하이웨이스트 플리츠 플리스 팬츠")</f>
        <v>나이키 여성용 하이웨이스트 플리츠 플리스 팬츠</v>
      </c>
      <c r="F1896" s="1" t="str">
        <f>IFERROR(__xludf.DUMMYFUNCTION("CONCATENATE(GOOGLETRANSLATE(C1896, ""en"", ""ja""))"),"ナイキ レディース ハイウエスト プリーツ フリース パンツ")</f>
        <v>ナイキ レディース ハイウエスト プリーツ フリース パンツ</v>
      </c>
    </row>
    <row r="1897" ht="15.75" customHeight="1">
      <c r="A1897" s="1">
        <v>6542.0</v>
      </c>
      <c r="B1897" s="1" t="s">
        <v>6</v>
      </c>
      <c r="C1897" s="1" t="s">
        <v>1711</v>
      </c>
      <c r="D1897" s="1" t="str">
        <f>IFERROR(__xludf.DUMMYFUNCTION("CONCATENATE(GOOGLETRANSLATE(C1897, ""en"", ""zh-cn""))
"),"耐克男士高科技梭织长裤")</f>
        <v>耐克男士高科技梭织长裤</v>
      </c>
      <c r="E1897" s="1" t="str">
        <f>IFERROR(__xludf.DUMMYFUNCTION("CONCATENATE(GOOGLETRANSLATE(C1897, ""en"", ""ko""))"),"나이키 남성 테크 우븐 팬츠")</f>
        <v>나이키 남성 테크 우븐 팬츠</v>
      </c>
      <c r="F1897" s="1" t="str">
        <f>IFERROR(__xludf.DUMMYFUNCTION("CONCATENATE(GOOGLETRANSLATE(C1897, ""en"", ""ja""))"),"ナイキ メンズ テック ウーブン パンツ")</f>
        <v>ナイキ メンズ テック ウーブン パンツ</v>
      </c>
    </row>
    <row r="1898" ht="15.75" customHeight="1">
      <c r="A1898" s="1">
        <v>6561.0</v>
      </c>
      <c r="B1898" s="1" t="s">
        <v>6</v>
      </c>
      <c r="C1898" s="1" t="s">
        <v>1712</v>
      </c>
      <c r="D1898" s="1" t="str">
        <f>IFERROR(__xludf.DUMMYFUNCTION("CONCATENATE(GOOGLETRANSLATE(C1898, ""en"", ""zh-cn""))
"),"PUMA 女式轻质运动夹克")</f>
        <v>PUMA 女式轻质运动夹克</v>
      </c>
      <c r="E1898" s="1" t="str">
        <f>IFERROR(__xludf.DUMMYFUNCTION("CONCATENATE(GOOGLETRANSLATE(C1898, ""en"", ""ko""))"),"PUMA 여성용 경량 트랙 재킷")</f>
        <v>PUMA 여성용 경량 트랙 재킷</v>
      </c>
      <c r="F1898" s="1" t="str">
        <f>IFERROR(__xludf.DUMMYFUNCTION("CONCATENATE(GOOGLETRANSLATE(C1898, ""en"", ""ja""))"),"プーマ レディース ライトウェイト トラック ジャケット")</f>
        <v>プーマ レディース ライトウェイト トラック ジャケット</v>
      </c>
    </row>
    <row r="1899" ht="15.75" customHeight="1">
      <c r="A1899" s="1">
        <v>6582.0</v>
      </c>
      <c r="B1899" s="1" t="s">
        <v>6</v>
      </c>
      <c r="C1899" s="1" t="s">
        <v>1713</v>
      </c>
      <c r="D1899" s="1" t="str">
        <f>IFERROR(__xludf.DUMMYFUNCTION("CONCATENATE(GOOGLETRANSLATE(C1899, ""en"", ""zh-cn""))
"),"PUMA 男士速度裤")</f>
        <v>PUMA 男士速度裤</v>
      </c>
      <c r="E1899" s="1" t="str">
        <f>IFERROR(__xludf.DUMMYFUNCTION("CONCATENATE(GOOGLETRANSLATE(C1899, ""en"", ""ko""))"),"PUMA 남성용 스피드 팬츠")</f>
        <v>PUMA 남성용 스피드 팬츠</v>
      </c>
      <c r="F1899" s="1" t="str">
        <f>IFERROR(__xludf.DUMMYFUNCTION("CONCATENATE(GOOGLETRANSLATE(C1899, ""en"", ""ja""))"),"プーマ メンズ スピード パンツ")</f>
        <v>プーマ メンズ スピード パンツ</v>
      </c>
    </row>
    <row r="1900" ht="15.75" customHeight="1">
      <c r="A1900" s="1">
        <v>6614.0</v>
      </c>
      <c r="B1900" s="1" t="s">
        <v>6</v>
      </c>
      <c r="C1900" s="1" t="s">
        <v>1714</v>
      </c>
      <c r="D1900" s="1" t="str">
        <f>IFERROR(__xludf.DUMMYFUNCTION("CONCATENATE(GOOGLETRANSLATE(C1900, ""en"", ""zh-cn""))
"),"Reebok 男士 Active Collective DreamBlend 长裤")</f>
        <v>Reebok 男士 Active Collective DreamBlend 长裤</v>
      </c>
      <c r="E1900" s="1" t="str">
        <f>IFERROR(__xludf.DUMMYFUNCTION("CONCATENATE(GOOGLETRANSLATE(C1900, ""en"", ""ko""))"),"Reebok 남성 액티브 콜렉티브 DreamBlend 바지")</f>
        <v>Reebok 남성 액티브 콜렉티브 DreamBlend 바지</v>
      </c>
      <c r="F1900" s="1" t="str">
        <f>IFERROR(__xludf.DUMMYFUNCTION("CONCATENATE(GOOGLETRANSLATE(C1900, ""en"", ""ja""))"),"Reebok メンズ アクティブ コレクティブ ドリームブレンド パンツ")</f>
        <v>Reebok メンズ アクティブ コレクティブ ドリームブレンド パンツ</v>
      </c>
    </row>
    <row r="1901" ht="15.75" customHeight="1">
      <c r="A1901" s="1">
        <v>6640.0</v>
      </c>
      <c r="B1901" s="1" t="s">
        <v>6</v>
      </c>
      <c r="C1901" s="1" t="s">
        <v>1715</v>
      </c>
      <c r="D1901" s="1" t="str">
        <f>IFERROR(__xludf.DUMMYFUNCTION("CONCATENATE(GOOGLETRANSLATE(C1901, ""en"", ""zh-cn""))
"),"Home Decorators Collection 那不勒斯 60 英寸浴室梳妆台柜")</f>
        <v>Home Decorators Collection 那不勒斯 60 英寸浴室梳妆台柜</v>
      </c>
      <c r="E1901" s="1" t="str">
        <f>IFERROR(__xludf.DUMMYFUNCTION("CONCATENATE(GOOGLETRANSLATE(C1901, ""en"", ""ko""))"),"홈 데코레이터 컬렉션 나폴리 60인치 욕실 세면대 캐비닛")</f>
        <v>홈 데코레이터 컬렉션 나폴리 60인치 욕실 세면대 캐비닛</v>
      </c>
      <c r="F1901" s="1" t="str">
        <f>IFERROR(__xludf.DUMMYFUNCTION("CONCATENATE(GOOGLETRANSLATE(C1901, ""en"", ""ja""))"),"ホーム デコレーターズ コレクション ナポリ 60 インチ 洗面化粧台キャビネット")</f>
        <v>ホーム デコレーターズ コレクション ナポリ 60 インチ 洗面化粧台キャビネット</v>
      </c>
    </row>
    <row r="1902" ht="15.75" customHeight="1">
      <c r="A1902" s="1">
        <v>6656.0</v>
      </c>
      <c r="B1902" s="1" t="s">
        <v>6</v>
      </c>
      <c r="C1902" s="1" t="s">
        <v>1716</v>
      </c>
      <c r="D1902" s="1" t="str">
        <f>IFERROR(__xludf.DUMMYFUNCTION("CONCATENATE(GOOGLETRANSLATE(C1902, ""en"", ""zh-cn""))
"),"Homfa浴室落地储物柜")</f>
        <v>Homfa浴室落地储物柜</v>
      </c>
      <c r="E1902" s="1" t="str">
        <f>IFERROR(__xludf.DUMMYFUNCTION("CONCATENATE(GOOGLETRANSLATE(C1902, ""en"", ""ko""))"),"Homfa 욕실 바닥 수납장")</f>
        <v>Homfa 욕실 바닥 수납장</v>
      </c>
      <c r="F1902" s="1" t="str">
        <f>IFERROR(__xludf.DUMMYFUNCTION("CONCATENATE(GOOGLETRANSLATE(C1902, ""en"", ""ja""))"),"Homfa 浴室床収納キャビネット")</f>
        <v>Homfa 浴室床収納キャビネット</v>
      </c>
    </row>
    <row r="1903" ht="15.75" customHeight="1">
      <c r="A1903" s="1">
        <v>6661.0</v>
      </c>
      <c r="B1903" s="1" t="s">
        <v>6</v>
      </c>
      <c r="C1903" s="1" t="s">
        <v>1717</v>
      </c>
      <c r="D1903" s="1" t="str">
        <f>IFERROR(__xludf.DUMMYFUNCTION("CONCATENATE(GOOGLETRANSLATE(C1903, ""en"", ""zh-cn""))
"),"Homfa 58 英寸高浴室柜，带门和架子")</f>
        <v>Homfa 58 英寸高浴室柜，带门和架子</v>
      </c>
      <c r="E1903" s="1" t="str">
        <f>IFERROR(__xludf.DUMMYFUNCTION("CONCATENATE(GOOGLETRANSLATE(C1903, ""en"", ""ko""))"),"Homfa 58인치 높이의 욕실 캐비닛(문과 선반 포함)")</f>
        <v>Homfa 58인치 높이의 욕실 캐비닛(문과 선반 포함)</v>
      </c>
      <c r="F1903" s="1" t="str">
        <f>IFERROR(__xludf.DUMMYFUNCTION("CONCATENATE(GOOGLETRANSLATE(C1903, ""en"", ""ja""))"),"Homfa 高さ 58 インチのバスルームキャビネット、ドアと棚付き")</f>
        <v>Homfa 高さ 58 インチのバスルームキャビネット、ドアと棚付き</v>
      </c>
    </row>
    <row r="1904" ht="15.75" customHeight="1">
      <c r="A1904" s="1">
        <v>6670.0</v>
      </c>
      <c r="B1904" s="1" t="s">
        <v>6</v>
      </c>
      <c r="C1904" s="1" t="s">
        <v>1718</v>
      </c>
      <c r="D1904" s="1" t="str">
        <f>IFERROR(__xludf.DUMMYFUNCTION("CONCATENATE(GOOGLETRANSLATE(C1904, ""en"", ""zh-cn""))
"),"汉普顿湾汉普顿浴室梳妆台底柜")</f>
        <v>汉普顿湾汉普顿浴室梳妆台底柜</v>
      </c>
      <c r="E1904" s="1" t="str">
        <f>IFERROR(__xludf.DUMMYFUNCTION("CONCATENATE(GOOGLETRANSLATE(C1904, ""en"", ""ko""))"),"Hampton Bay Hampton 욕실 세면대 기본 캐비닛")</f>
        <v>Hampton Bay Hampton 욕실 세면대 기본 캐비닛</v>
      </c>
      <c r="F1904" s="1" t="str">
        <f>IFERROR(__xludf.DUMMYFUNCTION("CONCATENATE(GOOGLETRANSLATE(C1904, ""en"", ""ja""))"),"ハンプトン ベイ ハンプトン 洗面化粧台 ベース キャビネット")</f>
        <v>ハンプトン ベイ ハンプトン 洗面化粧台 ベース キャビネット</v>
      </c>
    </row>
    <row r="1905" ht="15.75" customHeight="1">
      <c r="A1905" s="1">
        <v>6681.0</v>
      </c>
      <c r="B1905" s="1" t="s">
        <v>6</v>
      </c>
      <c r="C1905" s="1" t="s">
        <v>1719</v>
      </c>
      <c r="D1905" s="1" t="str">
        <f>IFERROR(__xludf.DUMMYFUNCTION("CONCATENATE(GOOGLETRANSLATE(C1905, ""en"", ""zh-cn""))
"),"Ktaxon 浴室梳妆柜")</f>
        <v>Ktaxon 浴室梳妆柜</v>
      </c>
      <c r="E1905" s="1" t="str">
        <f>IFERROR(__xludf.DUMMYFUNCTION("CONCATENATE(GOOGLETRANSLATE(C1905, ""en"", ""ko""))"),"Ktaxon 욕실 세면대 캐비닛")</f>
        <v>Ktaxon 욕실 세면대 캐비닛</v>
      </c>
      <c r="F1905" s="1" t="str">
        <f>IFERROR(__xludf.DUMMYFUNCTION("CONCATENATE(GOOGLETRANSLATE(C1905, ""en"", ""ja""))"),"Ktaxon 洗面化粧台キャビネット")</f>
        <v>Ktaxon 洗面化粧台キャビネット</v>
      </c>
    </row>
    <row r="1906" ht="15.75" customHeight="1">
      <c r="A1906" s="1">
        <v>6686.0</v>
      </c>
      <c r="B1906" s="1" t="s">
        <v>6</v>
      </c>
      <c r="C1906" s="1" t="s">
        <v>1720</v>
      </c>
      <c r="D1906" s="1" t="str">
        <f>IFERROR(__xludf.DUMMYFUNCTION("CONCATENATE(GOOGLETRANSLATE(C1906, ""en"", ""zh-cn""))
"),"大型浴室地柜，带 4 个抽屉和单门")</f>
        <v>大型浴室地柜，带 4 个抽屉和单门</v>
      </c>
      <c r="E1906" s="1" t="str">
        <f>IFERROR(__xludf.DUMMYFUNCTION("CONCATENATE(GOOGLETRANSLATE(C1906, ""en"", ""ko""))"),"4개의 서랍과 단일 도어가 있는 대형 욕실 바닥 캐비닛")</f>
        <v>4개의 서랍과 단일 도어가 있는 대형 욕실 바닥 캐비닛</v>
      </c>
      <c r="F1906" s="1" t="str">
        <f>IFERROR(__xludf.DUMMYFUNCTION("CONCATENATE(GOOGLETRANSLATE(C1906, ""en"", ""ja""))"),"4 つの引き出しと 1 つのドアを備えた大型バスルーム フロア キャビネット")</f>
        <v>4 つの引き出しと 1 つのドアを備えた大型バスルーム フロア キャビネット</v>
      </c>
    </row>
    <row r="1907" ht="15.75" customHeight="1">
      <c r="A1907" s="1">
        <v>6700.0</v>
      </c>
      <c r="B1907" s="1" t="s">
        <v>6</v>
      </c>
      <c r="C1907" s="1" t="s">
        <v>1721</v>
      </c>
      <c r="D1907" s="1" t="str">
        <f>IFERROR(__xludf.DUMMYFUNCTION("CONCATENATE(GOOGLETRANSLATE(C1907, ""en"", ""zh-cn""))
"),"Costway 浴室储物木质 4 抽屉柜橱柜 2 层架独立式")</f>
        <v>Costway 浴室储物木质 4 抽屉柜橱柜 2 层架独立式</v>
      </c>
      <c r="E1907" s="1" t="str">
        <f>IFERROR(__xludf.DUMMYFUNCTION("CONCATENATE(GOOGLETRANSLATE(C1907, ""en"", ""ko""))"),"Costway 욕실 보관함 목재 4개 서랍 캐비닛 찬장 2개 선반 독립형")</f>
        <v>Costway 욕실 보관함 목재 4개 서랍 캐비닛 찬장 2개 선반 독립형</v>
      </c>
      <c r="F1907" s="1" t="str">
        <f>IFERROR(__xludf.DUMMYFUNCTION("CONCATENATE(GOOGLETRANSLATE(C1907, ""en"", ""ja""))"),"Costway バスルーム収納 木製 4 引き出しキャビネット 食器棚 2 棚 自立式")</f>
        <v>Costway バスルーム収納 木製 4 引き出しキャビネット 食器棚 2 棚 自立式</v>
      </c>
    </row>
    <row r="1908" ht="15.75" customHeight="1">
      <c r="A1908" s="1">
        <v>6738.0</v>
      </c>
      <c r="B1908" s="1" t="s">
        <v>6</v>
      </c>
      <c r="C1908" s="1" t="s">
        <v>1722</v>
      </c>
      <c r="D1908" s="1" t="str">
        <f>IFERROR(__xludf.DUMMYFUNCTION("CONCATENATE(GOOGLETRANSLATE(C1908, ""en"", ""zh-cn""))
"),"Fluidmaster PRO45B 填充阀")</f>
        <v>Fluidmaster PRO45B 填充阀</v>
      </c>
      <c r="E1908" s="1" t="str">
        <f>IFERROR(__xludf.DUMMYFUNCTION("CONCATENATE(GOOGLETRANSLATE(C1908, ""en"", ""ko""))"),"Fluidmaster PRO45B 충전 밸브")</f>
        <v>Fluidmaster PRO45B 충전 밸브</v>
      </c>
      <c r="F1908" s="1" t="str">
        <f>IFERROR(__xludf.DUMMYFUNCTION("CONCATENATE(GOOGLETRANSLATE(C1908, ""en"", ""ja""))"),"Fluidmaster PRO45B 充填バルブ")</f>
        <v>Fluidmaster PRO45B 充填バルブ</v>
      </c>
    </row>
    <row r="1909" ht="15.75" customHeight="1">
      <c r="A1909" s="1">
        <v>6746.0</v>
      </c>
      <c r="B1909" s="1" t="s">
        <v>6</v>
      </c>
      <c r="C1909" s="1" t="s">
        <v>1723</v>
      </c>
      <c r="D1909" s="1" t="str">
        <f>IFERROR(__xludf.DUMMYFUNCTION("CONCATENATE(GOOGLETRANSLATE(C1909, ""en"", ""zh-cn""))
"),"Fluidmaster PerforMAX 冲洗阀套件红色/黑色橡胶")</f>
        <v>Fluidmaster PerforMAX 冲洗阀套件红色/黑色橡胶</v>
      </c>
      <c r="E1909" s="1" t="str">
        <f>IFERROR(__xludf.DUMMYFUNCTION("CONCATENATE(GOOGLETRANSLATE(C1909, ""en"", ""ko""))"),"Fluidmaster PerforMAX 플러시 밸브 키트 빨간색/검은색 고무")</f>
        <v>Fluidmaster PerforMAX 플러시 밸브 키트 빨간색/검은색 고무</v>
      </c>
      <c r="F1909" s="1" t="str">
        <f>IFERROR(__xludf.DUMMYFUNCTION("CONCATENATE(GOOGLETRANSLATE(C1909, ""en"", ""ja""))"),"Fluidmaster PerforMAX フラッシュ バルブ キット レッド/ブラック ラバー")</f>
        <v>Fluidmaster PerforMAX フラッシュ バルブ キット レッド/ブラック ラバー</v>
      </c>
    </row>
    <row r="1910" ht="15.75" customHeight="1">
      <c r="A1910" s="1">
        <v>6748.0</v>
      </c>
      <c r="B1910" s="1" t="s">
        <v>6</v>
      </c>
      <c r="C1910" s="1" t="s">
        <v>1724</v>
      </c>
      <c r="D1910" s="1" t="str">
        <f>IFERROR(__xludf.DUMMYFUNCTION("CONCATENATE(GOOGLETRANSLATE(C1910, ""en"", ""zh-cn""))
"),"Fluidmaster Flush 'n' Sparkle 马桶补充墨盒")</f>
        <v>Fluidmaster Flush 'n' Sparkle 马桶补充墨盒</v>
      </c>
      <c r="E1910" s="1" t="str">
        <f>IFERROR(__xludf.DUMMYFUNCTION("CONCATENATE(GOOGLETRANSLATE(C1910, ""en"", ""ko""))"),"Fluidmaster Flush 'n' Sparkle 변기 리필 카트리지")</f>
        <v>Fluidmaster Flush 'n' Sparkle 변기 리필 카트리지</v>
      </c>
      <c r="F1910" s="1" t="str">
        <f>IFERROR(__xludf.DUMMYFUNCTION("CONCATENATE(GOOGLETRANSLATE(C1910, ""en"", ""ja""))"),"Fluidmaster Flush 'n' Sparkle トイレボウル詰め替えカートリッジ")</f>
        <v>Fluidmaster Flush 'n' Sparkle トイレボウル詰め替えカートリッジ</v>
      </c>
    </row>
    <row r="1911" ht="15.75" customHeight="1">
      <c r="A1911" s="1">
        <v>6754.0</v>
      </c>
      <c r="B1911" s="1" t="s">
        <v>6</v>
      </c>
      <c r="C1911" s="1" t="s">
        <v>1725</v>
      </c>
      <c r="D1911" s="1" t="str">
        <f>IFERROR(__xludf.DUMMYFUNCTION("CONCATENATE(GOOGLETRANSLATE(C1911, ""en"", ""zh-cn""))
"),"Fluidmaster 冲洗阀")</f>
        <v>Fluidmaster 冲洗阀</v>
      </c>
      <c r="E1911" s="1" t="str">
        <f>IFERROR(__xludf.DUMMYFUNCTION("CONCATENATE(GOOGLETRANSLATE(C1911, ""en"", ""ko""))"),"Fluidmaster 플러시 밸브")</f>
        <v>Fluidmaster 플러시 밸브</v>
      </c>
      <c r="F1911" s="1" t="str">
        <f>IFERROR(__xludf.DUMMYFUNCTION("CONCATENATE(GOOGLETRANSLATE(C1911, ""en"", ""ja""))"),"フルードマスター フラッシュ バルブ")</f>
        <v>フルードマスター フラッシュ バルブ</v>
      </c>
    </row>
    <row r="1912" ht="15.75" customHeight="1">
      <c r="A1912" s="1">
        <v>6757.0</v>
      </c>
      <c r="B1912" s="1" t="s">
        <v>6</v>
      </c>
      <c r="C1912" s="1" t="s">
        <v>1726</v>
      </c>
      <c r="D1912" s="1" t="str">
        <f>IFERROR(__xludf.DUMMYFUNCTION("CONCATENATE(GOOGLETRANSLATE(C1912, ""en"", ""zh-cn""))
"),"Brita Hub 即时强大的台面水过滤")</f>
        <v>Brita Hub 即时强大的台面水过滤</v>
      </c>
      <c r="E1912" s="1" t="str">
        <f>IFERROR(__xludf.DUMMYFUNCTION("CONCATENATE(GOOGLETRANSLATE(C1912, ""en"", ""ko""))"),"브리타 허브 즉각적이고 강력한 조리대 물 여과")</f>
        <v>브리타 허브 즉각적이고 강력한 조리대 물 여과</v>
      </c>
      <c r="F1912" s="1" t="str">
        <f>IFERROR(__xludf.DUMMYFUNCTION("CONCATENATE(GOOGLETRANSLATE(C1912, ""en"", ""ja""))"),"Brita Hub インスタント強力なカウンタートップ水ろ過")</f>
        <v>Brita Hub インスタント強力なカウンタートップ水ろ過</v>
      </c>
    </row>
    <row r="1913" ht="15.75" customHeight="1">
      <c r="A1913" s="1">
        <v>6776.0</v>
      </c>
      <c r="B1913" s="1" t="s">
        <v>6</v>
      </c>
      <c r="C1913" s="1" t="s">
        <v>1727</v>
      </c>
      <c r="D1913" s="1" t="str">
        <f>IFERROR(__xludf.DUMMYFUNCTION("CONCATENATE(GOOGLETRANSLATE(C1913, ""en"", ""zh-cn""))
"),"Brita Stream 过滤水罐")</f>
        <v>Brita Stream 过滤水罐</v>
      </c>
      <c r="E1913" s="1" t="str">
        <f>IFERROR(__xludf.DUMMYFUNCTION("CONCATENATE(GOOGLETRANSLATE(C1913, ""en"", ""ko""))"),"브리타 스트림 필터 피처")</f>
        <v>브리타 스트림 필터 피처</v>
      </c>
      <c r="F1913" s="1" t="str">
        <f>IFERROR(__xludf.DUMMYFUNCTION("CONCATENATE(GOOGLETRANSLATE(C1913, ""en"", ""ja""))"),"ブリタ ストリームフィルターピッチャー")</f>
        <v>ブリタ ストリームフィルターピッチャー</v>
      </c>
    </row>
    <row r="1914" ht="15.75" customHeight="1">
      <c r="A1914" s="1">
        <v>6809.0</v>
      </c>
      <c r="B1914" s="1" t="s">
        <v>6</v>
      </c>
      <c r="C1914" s="1" t="s">
        <v>1728</v>
      </c>
      <c r="D1914" s="1" t="str">
        <f>IFERROR(__xludf.DUMMYFUNCTION("CONCATENATE(GOOGLETRANSLATE(C1914, ""en"", ""zh-cn""))
"),"PUR 7 杯蓝色水过滤壶")</f>
        <v>PUR 7 杯蓝色水过滤壶</v>
      </c>
      <c r="E1914" s="1" t="str">
        <f>IFERROR(__xludf.DUMMYFUNCTION("CONCATENATE(GOOGLETRANSLATE(C1914, ""en"", ""ko""))"),"PUR 7컵 블루 워터 여과 피처")</f>
        <v>PUR 7컵 블루 워터 여과 피처</v>
      </c>
      <c r="F1914" s="1" t="str">
        <f>IFERROR(__xludf.DUMMYFUNCTION("CONCATENATE(GOOGLETRANSLATE(C1914, ""en"", ""ja""))"),"PUR 7 カップ ブルー水ろ過ピッチャー")</f>
        <v>PUR 7 カップ ブルー水ろ過ピッチャー</v>
      </c>
    </row>
    <row r="1915" ht="15.75" customHeight="1">
      <c r="A1915" s="1">
        <v>6821.0</v>
      </c>
      <c r="B1915" s="1" t="s">
        <v>6</v>
      </c>
      <c r="C1915" s="1" t="s">
        <v>1729</v>
      </c>
      <c r="D1915" s="1" t="str">
        <f>IFERROR(__xludf.DUMMYFUNCTION("CONCATENATE(GOOGLETRANSLATE(C1915, ""en"", ""zh-cn""))
"),"PUR Plus 11 杯水罐过滤系统 PPT110WA")</f>
        <v>PUR Plus 11 杯水罐过滤系统 PPT110WA</v>
      </c>
      <c r="E1915" s="1" t="str">
        <f>IFERROR(__xludf.DUMMYFUNCTION("CONCATENATE(GOOGLETRANSLATE(C1915, ""en"", ""ko""))"),"PUR Plus 11컵 물 투수 여과 시스템 PPT110WA")</f>
        <v>PUR Plus 11컵 물 투수 여과 시스템 PPT110WA</v>
      </c>
      <c r="F1915" s="1" t="str">
        <f>IFERROR(__xludf.DUMMYFUNCTION("CONCATENATE(GOOGLETRANSLATE(C1915, ""en"", ""ja""))"),"PUR Plus 11 カップウォーターピッチャー濾過システム PPT110WA")</f>
        <v>PUR Plus 11 カップウォーターピッチャー濾過システム PPT110WA</v>
      </c>
    </row>
    <row r="1916" ht="15.75" customHeight="1">
      <c r="A1916" s="1">
        <v>6850.0</v>
      </c>
      <c r="B1916" s="1" t="s">
        <v>6</v>
      </c>
      <c r="C1916" s="1" t="s">
        <v>1730</v>
      </c>
      <c r="D1916" s="1" t="str">
        <f>IFERROR(__xludf.DUMMYFUNCTION("CONCATENATE(GOOGLETRANSLATE(C1916, ""en"", ""zh-cn""))
"),"Equate Beauty 高级治疗软膏")</f>
        <v>Equate Beauty 高级治疗软膏</v>
      </c>
      <c r="E1916" s="1" t="str">
        <f>IFERROR(__xludf.DUMMYFUNCTION("CONCATENATE(GOOGLETRANSLATE(C1916, ""en"", ""ko""))"),"이퀘이트 뷰티 어드밴스드 힐링 연고")</f>
        <v>이퀘이트 뷰티 어드밴스드 힐링 연고</v>
      </c>
      <c r="F1916" s="1" t="str">
        <f>IFERROR(__xludf.DUMMYFUNCTION("CONCATENATE(GOOGLETRANSLATE(C1916, ""en"", ""ja""))"),"エクエイト ビューティー アドバンスト ヒーリング 軟膏")</f>
        <v>エクエイト ビューティー アドバンスト ヒーリング 軟膏</v>
      </c>
    </row>
    <row r="1917" ht="15.75" customHeight="1">
      <c r="A1917" s="1">
        <v>6883.0</v>
      </c>
      <c r="B1917" s="1" t="s">
        <v>6</v>
      </c>
      <c r="C1917" s="1" t="s">
        <v>344</v>
      </c>
      <c r="D1917" s="1" t="str">
        <f>IFERROR(__xludf.DUMMYFUNCTION("CONCATENATE(GOOGLETRANSLATE(C1917, ""en"", ""zh-cn""))
"),"Hi Pro Pac 深层修复发膜摩洛哥修复摩洛哥坚果油")</f>
        <v>Hi Pro Pac 深层修复发膜摩洛哥修复摩洛哥坚果油</v>
      </c>
      <c r="E1917" s="1" t="str">
        <f>IFERROR(__xludf.DUMMYFUNCTION("CONCATENATE(GOOGLETRANSLATE(C1917, ""en"", ""ko""))"),"하이프로팩 ​​딥 리페어 헤어 마스크 모로칸 멘드 아르간 오일")</f>
        <v>하이프로팩 ​​딥 리페어 헤어 마스크 모로칸 멘드 아르간 오일</v>
      </c>
      <c r="F1917" s="1" t="str">
        <f>IFERROR(__xludf.DUMMYFUNCTION("CONCATENATE(GOOGLETRANSLATE(C1917, ""en"", ""ja""))"),"ハイプロパックディープリペアヘアマスクモロッカンメンドアルガンオイル")</f>
        <v>ハイプロパックディープリペアヘアマスクモロッカンメンドアルガンオイル</v>
      </c>
    </row>
    <row r="1918" ht="15.75" customHeight="1">
      <c r="A1918" s="1">
        <v>6896.0</v>
      </c>
      <c r="B1918" s="1" t="s">
        <v>6</v>
      </c>
      <c r="C1918" s="1" t="s">
        <v>1731</v>
      </c>
      <c r="D1918" s="1" t="str">
        <f>IFERROR(__xludf.DUMMYFUNCTION("CONCATENATE(GOOGLETRANSLATE(C1918, ""en"", ""zh-cn""))
"),"Demert Hi-Pro-Pac 椰子油和非洲乳木果油发膜")</f>
        <v>Demert Hi-Pro-Pac 椰子油和非洲乳木果油发膜</v>
      </c>
      <c r="E1918" s="1" t="str">
        <f>IFERROR(__xludf.DUMMYFUNCTION("CONCATENATE(GOOGLETRANSLATE(C1918, ""en"", ""ko""))"),"Demert Hi-Pro-Pac 코코넛 오일 &amp; 아프리카 시어 버터 헤어 마스크")</f>
        <v>Demert Hi-Pro-Pac 코코넛 오일 &amp; 아프리카 시어 버터 헤어 마스크</v>
      </c>
      <c r="F1918" s="1" t="str">
        <f>IFERROR(__xludf.DUMMYFUNCTION("CONCATENATE(GOOGLETRANSLATE(C1918, ""en"", ""ja""))"),"デマート ハイプロパック ココナッツオイル &amp; アフリカン シアバター ヘアマスク")</f>
        <v>デマート ハイプロパック ココナッツオイル &amp; アフリカン シアバター ヘアマスク</v>
      </c>
    </row>
    <row r="1919" ht="15.75" customHeight="1">
      <c r="A1919" s="1">
        <v>6914.0</v>
      </c>
      <c r="B1919" s="1" t="s">
        <v>6</v>
      </c>
      <c r="C1919" s="1" t="s">
        <v>1732</v>
      </c>
      <c r="D1919" s="1" t="str">
        <f>IFERROR(__xludf.DUMMYFUNCTION("CONCATENATE(GOOGLETRANSLATE(C1919, ""en"", ""zh-cn""))
"),"Hi Pro Pac 澳洲坚果油滋养洗发水")</f>
        <v>Hi Pro Pac 澳洲坚果油滋养洗发水</v>
      </c>
      <c r="E1919" s="1" t="str">
        <f>IFERROR(__xludf.DUMMYFUNCTION("CONCATENATE(GOOGLETRANSLATE(C1919, ""en"", ""ko""))"),"하이프로팩 ​​마카다미아 넛 오일 너리싱 샴푸")</f>
        <v>하이프로팩 ​​마카다미아 넛 오일 너리싱 샴푸</v>
      </c>
      <c r="F1919" s="1" t="str">
        <f>IFERROR(__xludf.DUMMYFUNCTION("CONCATENATE(GOOGLETRANSLATE(C1919, ""en"", ""ja""))"),"ハイプロパック マカダミアナッツオイルナリッシングシャンプー")</f>
        <v>ハイプロパック マカダミアナッツオイルナリッシングシャンプー</v>
      </c>
    </row>
  </sheetData>
  <printOptions/>
  <pageMargins bottom="0.75" footer="0.0" header="0.0" left="0.7" right="0.7" top="0.75"/>
  <pageSetup orientation="portrait"/>
  <drawing r:id="rId1"/>
</worksheet>
</file>