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ySheet" sheetId="1" r:id="rId4"/>
  </sheets>
  <definedNames/>
  <calcPr/>
</workbook>
</file>

<file path=xl/sharedStrings.xml><?xml version="1.0" encoding="utf-8"?>
<sst xmlns="http://schemas.openxmlformats.org/spreadsheetml/2006/main" count="5845" uniqueCount="5574">
  <si>
    <t>Lang Key</t>
  </si>
  <si>
    <t>Lang En</t>
  </si>
  <si>
    <t>Lang Cn</t>
  </si>
  <si>
    <t>Lang kr</t>
  </si>
  <si>
    <t>Lang Jp</t>
  </si>
  <si>
    <t>Withdraw_Requests</t>
  </si>
  <si>
    <t>Withdraw Requests</t>
  </si>
  <si>
    <t>all</t>
  </si>
  <si>
    <t>All</t>
  </si>
  <si>
    <t>flash_sale</t>
  </si>
  <si>
    <t>Flash Sale</t>
  </si>
  <si>
    <t>view_more</t>
  </si>
  <si>
    <t>View More</t>
  </si>
  <si>
    <t>add_to_wishlist</t>
  </si>
  <si>
    <t>Add to wishlist</t>
  </si>
  <si>
    <t>add_to_compare</t>
  </si>
  <si>
    <t>Add to compare</t>
  </si>
  <si>
    <t>add_to_cart</t>
  </si>
  <si>
    <t>Add to cart</t>
  </si>
  <si>
    <t>club_point</t>
  </si>
  <si>
    <t>Club Point</t>
  </si>
  <si>
    <t>classified_ads</t>
  </si>
  <si>
    <t>Classified Ads</t>
  </si>
  <si>
    <t>used</t>
  </si>
  <si>
    <t>Used</t>
  </si>
  <si>
    <t>top_10_categories</t>
  </si>
  <si>
    <t>Top 10 Categories</t>
  </si>
  <si>
    <t>view_all_categories</t>
  </si>
  <si>
    <t>View All Categories</t>
  </si>
  <si>
    <t>top_10_brands</t>
  </si>
  <si>
    <t>Top 10 Brands</t>
  </si>
  <si>
    <t>view_all_brands</t>
  </si>
  <si>
    <t>View All Brands</t>
  </si>
  <si>
    <t>terms__conditions</t>
  </si>
  <si>
    <t>Terms &amp; conditions</t>
  </si>
  <si>
    <t>best_selling</t>
  </si>
  <si>
    <t>Best Selling</t>
  </si>
  <si>
    <t>top_20</t>
  </si>
  <si>
    <t>Top 20</t>
  </si>
  <si>
    <t>featured_products</t>
  </si>
  <si>
    <t>Featured Products</t>
  </si>
  <si>
    <t>best_sellers</t>
  </si>
  <si>
    <t>Best Sellers</t>
  </si>
  <si>
    <t>visit_store</t>
  </si>
  <si>
    <t>Visit Store</t>
  </si>
  <si>
    <t>popular_suggestions</t>
  </si>
  <si>
    <t>Popular Suggestions</t>
  </si>
  <si>
    <t>category_suggestions</t>
  </si>
  <si>
    <t>Category Suggestions</t>
  </si>
  <si>
    <t>automobile__motorcycle</t>
  </si>
  <si>
    <t>Automobile &amp; Motorcycle</t>
  </si>
  <si>
    <t>price_range</t>
  </si>
  <si>
    <t>Price range</t>
  </si>
  <si>
    <t>filter_by_color</t>
  </si>
  <si>
    <t>Filter by color</t>
  </si>
  <si>
    <t>home</t>
  </si>
  <si>
    <t>Home</t>
  </si>
  <si>
    <t>newest</t>
  </si>
  <si>
    <t>Newest</t>
  </si>
  <si>
    <t>oldest</t>
  </si>
  <si>
    <t>Oldest</t>
  </si>
  <si>
    <t>price_low_to_high</t>
  </si>
  <si>
    <t>Price low to high</t>
  </si>
  <si>
    <t>price_high_to_low</t>
  </si>
  <si>
    <t>Price high to low</t>
  </si>
  <si>
    <t>brands</t>
  </si>
  <si>
    <t>Brands</t>
  </si>
  <si>
    <t>all_brands</t>
  </si>
  <si>
    <t>All Brands</t>
  </si>
  <si>
    <t>all_sellers</t>
  </si>
  <si>
    <t>All Sellers</t>
  </si>
  <si>
    <t>inhouse_product</t>
  </si>
  <si>
    <t>Inhouse product</t>
  </si>
  <si>
    <t>message_seller</t>
  </si>
  <si>
    <t>Message Seller</t>
  </si>
  <si>
    <t>price</t>
  </si>
  <si>
    <t>Price</t>
  </si>
  <si>
    <t>discount_price</t>
  </si>
  <si>
    <t>Discount Price</t>
  </si>
  <si>
    <t>color</t>
  </si>
  <si>
    <t>Color</t>
  </si>
  <si>
    <t>quantity</t>
  </si>
  <si>
    <t>Quantity</t>
  </si>
  <si>
    <t>available</t>
  </si>
  <si>
    <t>total_price</t>
  </si>
  <si>
    <t>Total Price</t>
  </si>
  <si>
    <t>out_of_stock</t>
  </si>
  <si>
    <t>Out of Stock</t>
  </si>
  <si>
    <t>refund</t>
  </si>
  <si>
    <t>Refund</t>
  </si>
  <si>
    <t>share</t>
  </si>
  <si>
    <t>Share</t>
  </si>
  <si>
    <t>sold_by</t>
  </si>
  <si>
    <t>Sold By</t>
  </si>
  <si>
    <t>customer_reviews</t>
  </si>
  <si>
    <t>customer reviews</t>
  </si>
  <si>
    <t>top_selling_products</t>
  </si>
  <si>
    <t>Top Selling Products</t>
  </si>
  <si>
    <t>description</t>
  </si>
  <si>
    <t>Description</t>
  </si>
  <si>
    <t>video</t>
  </si>
  <si>
    <t>Video</t>
  </si>
  <si>
    <t>reviews</t>
  </si>
  <si>
    <t>Reviews</t>
  </si>
  <si>
    <t>download</t>
  </si>
  <si>
    <t>Download</t>
  </si>
  <si>
    <t>there_have_been_no_reviews_for_this_product_yet</t>
  </si>
  <si>
    <t>There have been no reviews for this product yet.</t>
  </si>
  <si>
    <t>related_products</t>
  </si>
  <si>
    <t>Related products</t>
  </si>
  <si>
    <t>any_query_about_this_product</t>
  </si>
  <si>
    <t>Any query about this product</t>
  </si>
  <si>
    <t>product_name</t>
  </si>
  <si>
    <t>Product Name</t>
  </si>
  <si>
    <t>your_question</t>
  </si>
  <si>
    <t>Your Question</t>
  </si>
  <si>
    <t>send</t>
  </si>
  <si>
    <t>Send</t>
  </si>
  <si>
    <t>use_country_code_before_number</t>
  </si>
  <si>
    <t>Use country code before number</t>
  </si>
  <si>
    <t>remember_me</t>
  </si>
  <si>
    <t>Remember Me</t>
  </si>
  <si>
    <t>dont_have_an_account</t>
  </si>
  <si>
    <t>Dont have an account?</t>
  </si>
  <si>
    <t>register_now</t>
  </si>
  <si>
    <t>Register Now</t>
  </si>
  <si>
    <t>or_login_with</t>
  </si>
  <si>
    <t>Or Login With</t>
  </si>
  <si>
    <t>oops</t>
  </si>
  <si>
    <t>oops..</t>
  </si>
  <si>
    <t>this_item_is_out_of_stock</t>
  </si>
  <si>
    <t>This item is out of stock!</t>
  </si>
  <si>
    <t>back_to_shopping</t>
  </si>
  <si>
    <t>Back to shopping</t>
  </si>
  <si>
    <t>login_to_your_account</t>
  </si>
  <si>
    <t>Login to your account.</t>
  </si>
  <si>
    <t>purchase_history</t>
  </si>
  <si>
    <t>Purchase History</t>
  </si>
  <si>
    <t>new</t>
  </si>
  <si>
    <t>New</t>
  </si>
  <si>
    <t>downloads</t>
  </si>
  <si>
    <t>Downloads</t>
  </si>
  <si>
    <t>sent_refund_request</t>
  </si>
  <si>
    <t>Sent Refund Request</t>
  </si>
  <si>
    <t>product_bulk_upload</t>
  </si>
  <si>
    <t>Product Bulk Upload</t>
  </si>
  <si>
    <t>orders</t>
  </si>
  <si>
    <t>Orders</t>
  </si>
  <si>
    <t>recieved_refund_request</t>
  </si>
  <si>
    <t>Recieved Refund Request</t>
  </si>
  <si>
    <t>shop_setting</t>
  </si>
  <si>
    <t>Shop Setting</t>
  </si>
  <si>
    <t>payment_history</t>
  </si>
  <si>
    <t>Payment History</t>
  </si>
  <si>
    <t>money_withdraw</t>
  </si>
  <si>
    <t>Money Withdraw</t>
  </si>
  <si>
    <t>conversations</t>
  </si>
  <si>
    <t>Conversations</t>
  </si>
  <si>
    <t>my_wallet</t>
  </si>
  <si>
    <t>My Wallet</t>
  </si>
  <si>
    <t>earning_points</t>
  </si>
  <si>
    <t>Earning Points</t>
  </si>
  <si>
    <t>support_ticket</t>
  </si>
  <si>
    <t>Support Ticket</t>
  </si>
  <si>
    <t>manage_profile</t>
  </si>
  <si>
    <t>Manage Profile</t>
  </si>
  <si>
    <t>sold_amount</t>
  </si>
  <si>
    <t>Sold Amount</t>
  </si>
  <si>
    <t>your_sold_amount_current_month</t>
  </si>
  <si>
    <t>Your sold amount (current month)</t>
  </si>
  <si>
    <t>total_sold</t>
  </si>
  <si>
    <t>Total Sold</t>
  </si>
  <si>
    <t>last_month_sold</t>
  </si>
  <si>
    <t>Last Month Sold</t>
  </si>
  <si>
    <t>total_sale</t>
  </si>
  <si>
    <t>Total sale</t>
  </si>
  <si>
    <t>total_earnings</t>
  </si>
  <si>
    <t>Total earnings</t>
  </si>
  <si>
    <t>successful_orders</t>
  </si>
  <si>
    <t>Successful orders</t>
  </si>
  <si>
    <t>total_orders</t>
  </si>
  <si>
    <t>Total orders</t>
  </si>
  <si>
    <t>pending_orders</t>
  </si>
  <si>
    <t>Pending orders</t>
  </si>
  <si>
    <t>cancelled_orders</t>
  </si>
  <si>
    <t>Cancelled orders</t>
  </si>
  <si>
    <t>product</t>
  </si>
  <si>
    <t>Product</t>
  </si>
  <si>
    <t>purchased_package</t>
  </si>
  <si>
    <t>Purchased Package</t>
  </si>
  <si>
    <t>package_not_found</t>
  </si>
  <si>
    <t>Package Not Found</t>
  </si>
  <si>
    <t>upgrade_package</t>
  </si>
  <si>
    <t>Upgrade Package</t>
  </si>
  <si>
    <t>shop</t>
  </si>
  <si>
    <t>Shop</t>
  </si>
  <si>
    <t>manage__organize_your_shop</t>
  </si>
  <si>
    <t>Manage &amp; organize your shop</t>
  </si>
  <si>
    <t>go_to_setting</t>
  </si>
  <si>
    <t>Go to setting</t>
  </si>
  <si>
    <t>payment</t>
  </si>
  <si>
    <t>Payment</t>
  </si>
  <si>
    <t>configure_your_payment_method</t>
  </si>
  <si>
    <t>Configure your payment method</t>
  </si>
  <si>
    <t>my_panel</t>
  </si>
  <si>
    <t>My Panel</t>
  </si>
  <si>
    <t>item_has_been_added_to_wishlist</t>
  </si>
  <si>
    <t>Item has been added to wishlist</t>
  </si>
  <si>
    <t>my_points</t>
  </si>
  <si>
    <t>My Points</t>
  </si>
  <si>
    <t>_points</t>
  </si>
  <si>
    <t>Points</t>
  </si>
  <si>
    <t>wallet_money</t>
  </si>
  <si>
    <t>Wallet Money</t>
  </si>
  <si>
    <t>exchange_rate</t>
  </si>
  <si>
    <t>Exchange Rate</t>
  </si>
  <si>
    <t>point_earning_history</t>
  </si>
  <si>
    <t>Point Earning history</t>
  </si>
  <si>
    <t>date</t>
  </si>
  <si>
    <t>Date</t>
  </si>
  <si>
    <t>points</t>
  </si>
  <si>
    <t>converted</t>
  </si>
  <si>
    <t>Converted</t>
  </si>
  <si>
    <t>action</t>
  </si>
  <si>
    <t>Action</t>
  </si>
  <si>
    <t>no_history_found</t>
  </si>
  <si>
    <t>No history found.</t>
  </si>
  <si>
    <t>convert_has_been_done_successfully_check_your_wallets</t>
  </si>
  <si>
    <t>Convert has been done successfully Check your Wallets</t>
  </si>
  <si>
    <t>something_went_wrong</t>
  </si>
  <si>
    <t>Something went wrong</t>
  </si>
  <si>
    <t>remaining_uploads</t>
  </si>
  <si>
    <t>Remaining Uploads</t>
  </si>
  <si>
    <t>no_package_found</t>
  </si>
  <si>
    <t>No Package Found</t>
  </si>
  <si>
    <t>search_product</t>
  </si>
  <si>
    <t>Search product</t>
  </si>
  <si>
    <t>name</t>
  </si>
  <si>
    <t>Name</t>
  </si>
  <si>
    <t>current_qty</t>
  </si>
  <si>
    <t>Current Qty</t>
  </si>
  <si>
    <t>base_price</t>
  </si>
  <si>
    <t>Base Price</t>
  </si>
  <si>
    <t>published</t>
  </si>
  <si>
    <t>Published</t>
  </si>
  <si>
    <t>featured</t>
  </si>
  <si>
    <t>Featured</t>
  </si>
  <si>
    <t>options</t>
  </si>
  <si>
    <t>Options</t>
  </si>
  <si>
    <t>edit</t>
  </si>
  <si>
    <t>Edit</t>
  </si>
  <si>
    <t>duplicate</t>
  </si>
  <si>
    <t>Duplicate</t>
  </si>
  <si>
    <t>1_download_the_skeleton_file_and_fill_it_with_data</t>
  </si>
  <si>
    <t>1. Download the skeleton file and fill it with data.</t>
  </si>
  <si>
    <t>2_you_can_download_the_example_file_to_understand_how_the_data_must_be_filled</t>
  </si>
  <si>
    <t>2. You can download the example file to understand how the data must be filled.</t>
  </si>
  <si>
    <t>3_once_you_have_downloaded_and_filled_the_skeleton_file_upload_it_in_the_form_below_and_submit</t>
  </si>
  <si>
    <t>3. Once you have downloaded and filled the skeleton file, upload it in the form below and submit.</t>
  </si>
  <si>
    <t>4_after_uploading_products_you_need_to_edit_them_and_set_products_images_and_choices</t>
  </si>
  <si>
    <t>4. After uploading products you need to edit them and set products images and choices.</t>
  </si>
  <si>
    <t>download_csv</t>
  </si>
  <si>
    <t>Download CSV</t>
  </si>
  <si>
    <t>1_categorysub_categorysub_sub_category_and_brand_should_be_in_numerical_ids</t>
  </si>
  <si>
    <t>1. Category,Sub category,Sub Sub category and Brand should be in numerical ids.</t>
  </si>
  <si>
    <t>2_you_can_download_the_pdf_to_get_categorysub_categorysub_sub_category_and_brand_id</t>
  </si>
  <si>
    <t>2. You can download the pdf to get Category,Sub category,Sub Sub category and Brand id.</t>
  </si>
  <si>
    <t>download_category</t>
  </si>
  <si>
    <t>Download Category</t>
  </si>
  <si>
    <t>download_sub_category</t>
  </si>
  <si>
    <t>Download Sub category</t>
  </si>
  <si>
    <t>download_sub_sub_category</t>
  </si>
  <si>
    <t>Download Sub Sub category</t>
  </si>
  <si>
    <t>download_brand</t>
  </si>
  <si>
    <t>Download Brand</t>
  </si>
  <si>
    <t>upload_csv_file</t>
  </si>
  <si>
    <t>Upload CSV File</t>
  </si>
  <si>
    <t>csv</t>
  </si>
  <si>
    <t>CSV</t>
  </si>
  <si>
    <t>choose_csv_file</t>
  </si>
  <si>
    <t>Choose CSV File</t>
  </si>
  <si>
    <t>upload</t>
  </si>
  <si>
    <t>Upload</t>
  </si>
  <si>
    <t>add_new_digital_product</t>
  </si>
  <si>
    <t>Add New Digital Product</t>
  </si>
  <si>
    <t>available_status</t>
  </si>
  <si>
    <t>Available Status</t>
  </si>
  <si>
    <t>admin_status</t>
  </si>
  <si>
    <t>Admin Status</t>
  </si>
  <si>
    <t>pending_balance</t>
  </si>
  <si>
    <t>Pending Balance</t>
  </si>
  <si>
    <t>send_withdraw_request</t>
  </si>
  <si>
    <t>Send Withdraw Request</t>
  </si>
  <si>
    <t>withdraw_request_history</t>
  </si>
  <si>
    <t>Withdraw Request history</t>
  </si>
  <si>
    <t>amount</t>
  </si>
  <si>
    <t>Amount</t>
  </si>
  <si>
    <t>status</t>
  </si>
  <si>
    <t>Status</t>
  </si>
  <si>
    <t>message</t>
  </si>
  <si>
    <t>Message</t>
  </si>
  <si>
    <t>send_a_withdraw_request</t>
  </si>
  <si>
    <t>Send A Withdraw Request</t>
  </si>
  <si>
    <t>basic_info</t>
  </si>
  <si>
    <t>Basic Info</t>
  </si>
  <si>
    <t>your_phone</t>
  </si>
  <si>
    <t>Your Phone</t>
  </si>
  <si>
    <t>photo</t>
  </si>
  <si>
    <t>Photo</t>
  </si>
  <si>
    <t>browse</t>
  </si>
  <si>
    <t>Browse</t>
  </si>
  <si>
    <t>your_password</t>
  </si>
  <si>
    <t>Your Password</t>
  </si>
  <si>
    <t>new_password</t>
  </si>
  <si>
    <t>New Password</t>
  </si>
  <si>
    <t>confirm_password</t>
  </si>
  <si>
    <t>Confirm Password</t>
  </si>
  <si>
    <t>add_new_address</t>
  </si>
  <si>
    <t>Add New Address</t>
  </si>
  <si>
    <t>payment_setting</t>
  </si>
  <si>
    <t>Payment Setting</t>
  </si>
  <si>
    <t>cash_payment</t>
  </si>
  <si>
    <t>Cash Payment</t>
  </si>
  <si>
    <t>bank_payment</t>
  </si>
  <si>
    <t>Bank Payment</t>
  </si>
  <si>
    <t>bank_name</t>
  </si>
  <si>
    <t>Bank Name</t>
  </si>
  <si>
    <t>bank_account_name</t>
  </si>
  <si>
    <t>Bank Account Name</t>
  </si>
  <si>
    <t>bank_account_number</t>
  </si>
  <si>
    <t>Bank Account Number</t>
  </si>
  <si>
    <t>bank_routing_number</t>
  </si>
  <si>
    <t>Bank Routing Number</t>
  </si>
  <si>
    <t>update_profile</t>
  </si>
  <si>
    <t>Update Profile</t>
  </si>
  <si>
    <t>change_your_email</t>
  </si>
  <si>
    <t>Change your email</t>
  </si>
  <si>
    <t>your_email</t>
  </si>
  <si>
    <t>Your Email</t>
  </si>
  <si>
    <t>sending_email</t>
  </si>
  <si>
    <t>Sending Email...</t>
  </si>
  <si>
    <t>verify</t>
  </si>
  <si>
    <t>Verify</t>
  </si>
  <si>
    <t>update_email</t>
  </si>
  <si>
    <t>Update Email</t>
  </si>
  <si>
    <t>new_address</t>
  </si>
  <si>
    <t>New Address</t>
  </si>
  <si>
    <t>your_address</t>
  </si>
  <si>
    <t>Your Address</t>
  </si>
  <si>
    <t>country</t>
  </si>
  <si>
    <t>Country</t>
  </si>
  <si>
    <t>select_your_country</t>
  </si>
  <si>
    <t>Select your country</t>
  </si>
  <si>
    <t>city</t>
  </si>
  <si>
    <t>City</t>
  </si>
  <si>
    <t>your_city</t>
  </si>
  <si>
    <t>Your City</t>
  </si>
  <si>
    <t>your_postal_code</t>
  </si>
  <si>
    <t>Your Postal Code</t>
  </si>
  <si>
    <t>880</t>
  </si>
  <si>
    <t>+880</t>
  </si>
  <si>
    <t>save</t>
  </si>
  <si>
    <t>Save</t>
  </si>
  <si>
    <t>received_refund_request</t>
  </si>
  <si>
    <t>Received Refund Request</t>
  </si>
  <si>
    <t>delete_confirmation</t>
  </si>
  <si>
    <t>Delete Confirmation</t>
  </si>
  <si>
    <t>are_you_sure_to_delete_this</t>
  </si>
  <si>
    <t>Are you sure to delete this?</t>
  </si>
  <si>
    <t>premium_packages_for_sellers</t>
  </si>
  <si>
    <t>Premium Packages for Sellers</t>
  </si>
  <si>
    <t>product_upload</t>
  </si>
  <si>
    <t>Product Upload</t>
  </si>
  <si>
    <t>digital_product_upload</t>
  </si>
  <si>
    <t>Digital Product Upload</t>
  </si>
  <si>
    <t>purchase_package</t>
  </si>
  <si>
    <t>Purchase Package</t>
  </si>
  <si>
    <t>select_payment_type</t>
  </si>
  <si>
    <t>Select Payment Type</t>
  </si>
  <si>
    <t>payment_type</t>
  </si>
  <si>
    <t>Payment Type</t>
  </si>
  <si>
    <t>select_one</t>
  </si>
  <si>
    <t>Select One</t>
  </si>
  <si>
    <t>online_payment</t>
  </si>
  <si>
    <t>Online payment</t>
  </si>
  <si>
    <t>offline_payment</t>
  </si>
  <si>
    <t>Offline payment</t>
  </si>
  <si>
    <t>purchase_your_package</t>
  </si>
  <si>
    <t>Purchase Your Package</t>
  </si>
  <si>
    <t>paypal</t>
  </si>
  <si>
    <t>Paypal</t>
  </si>
  <si>
    <t>stripe</t>
  </si>
  <si>
    <t>Stripe</t>
  </si>
  <si>
    <t>sslcommerz</t>
  </si>
  <si>
    <t>confirm</t>
  </si>
  <si>
    <t>Confirm</t>
  </si>
  <si>
    <t>offline_package_payment</t>
  </si>
  <si>
    <t>Offline Package Payment</t>
  </si>
  <si>
    <t>transaction_id</t>
  </si>
  <si>
    <t>Transaction ID</t>
  </si>
  <si>
    <t>choose_image</t>
  </si>
  <si>
    <t>Choose image</t>
  </si>
  <si>
    <t>code</t>
  </si>
  <si>
    <t>Code</t>
  </si>
  <si>
    <t>delivery_status</t>
  </si>
  <si>
    <t>Delivery Status</t>
  </si>
  <si>
    <t>payment_status</t>
  </si>
  <si>
    <t>Payment Status</t>
  </si>
  <si>
    <t>paid</t>
  </si>
  <si>
    <t>Paid</t>
  </si>
  <si>
    <t>order_details</t>
  </si>
  <si>
    <t>Order Details</t>
  </si>
  <si>
    <t>download_invoice</t>
  </si>
  <si>
    <t>Download Invoice</t>
  </si>
  <si>
    <t>unpaid</t>
  </si>
  <si>
    <t>Unpaid</t>
  </si>
  <si>
    <t>order_placed</t>
  </si>
  <si>
    <t>Order placed</t>
  </si>
  <si>
    <t>confirmed</t>
  </si>
  <si>
    <t>Confirmed</t>
  </si>
  <si>
    <t>on_delivery</t>
  </si>
  <si>
    <t>On delivery</t>
  </si>
  <si>
    <t>delivered</t>
  </si>
  <si>
    <t>Delivered</t>
  </si>
  <si>
    <t>order_summary</t>
  </si>
  <si>
    <t>Order Summary</t>
  </si>
  <si>
    <t>order_code</t>
  </si>
  <si>
    <t>Order Code</t>
  </si>
  <si>
    <t>customer</t>
  </si>
  <si>
    <t>Customer</t>
  </si>
  <si>
    <t>total_order_amount</t>
  </si>
  <si>
    <t>Total order amount</t>
  </si>
  <si>
    <t>shipping_metdod</t>
  </si>
  <si>
    <t>Shipping metdod</t>
  </si>
  <si>
    <t>flat_shipping_rate</t>
  </si>
  <si>
    <t>Flat shipping rate</t>
  </si>
  <si>
    <t>payment_metdod</t>
  </si>
  <si>
    <t>Payment metdod</t>
  </si>
  <si>
    <t>variation</t>
  </si>
  <si>
    <t>Variation</t>
  </si>
  <si>
    <t>delivery_type</t>
  </si>
  <si>
    <t>Delivery Type</t>
  </si>
  <si>
    <t>home_delivery</t>
  </si>
  <si>
    <t>Home Delivery</t>
  </si>
  <si>
    <t>order_ammount</t>
  </si>
  <si>
    <t>Order Ammount</t>
  </si>
  <si>
    <t>subtotal</t>
  </si>
  <si>
    <t>Subtotal</t>
  </si>
  <si>
    <t>shipping</t>
  </si>
  <si>
    <t>Shipping</t>
  </si>
  <si>
    <t>coupon_discount</t>
  </si>
  <si>
    <t>Coupon Discount</t>
  </si>
  <si>
    <t>na</t>
  </si>
  <si>
    <t>N/A</t>
  </si>
  <si>
    <t>in_stock</t>
  </si>
  <si>
    <t>In stock</t>
  </si>
  <si>
    <t>buy_now</t>
  </si>
  <si>
    <t>Buy Now</t>
  </si>
  <si>
    <t>item_added_to_your_cart</t>
  </si>
  <si>
    <t>Item added to your cart!</t>
  </si>
  <si>
    <t>proceed_to_checkout</t>
  </si>
  <si>
    <t>Proceed to Checkout</t>
  </si>
  <si>
    <t>cart_items</t>
  </si>
  <si>
    <t>Cart Items</t>
  </si>
  <si>
    <t>1_my_cart</t>
  </si>
  <si>
    <t>1. My Cart</t>
  </si>
  <si>
    <t>view_cart</t>
  </si>
  <si>
    <t>View cart</t>
  </si>
  <si>
    <t>2_shipping_info</t>
  </si>
  <si>
    <t>2. Shipping info</t>
  </si>
  <si>
    <t>checkout</t>
  </si>
  <si>
    <t>Checkout</t>
  </si>
  <si>
    <t>3_delivery_info</t>
  </si>
  <si>
    <t>3. Delivery info</t>
  </si>
  <si>
    <t>4_payment</t>
  </si>
  <si>
    <t>4. Payment</t>
  </si>
  <si>
    <t>5_confirmation</t>
  </si>
  <si>
    <t>5. Confirmation</t>
  </si>
  <si>
    <t>remove</t>
  </si>
  <si>
    <t>Remove</t>
  </si>
  <si>
    <t>return_to_shop</t>
  </si>
  <si>
    <t>Return to shop</t>
  </si>
  <si>
    <t>continue_to_shipping</t>
  </si>
  <si>
    <t>Continue to Shipping</t>
  </si>
  <si>
    <t>or</t>
  </si>
  <si>
    <t>Or</t>
  </si>
  <si>
    <t>guest_checkout</t>
  </si>
  <si>
    <t>Guest Checkout</t>
  </si>
  <si>
    <t>continue_to_delivery_info</t>
  </si>
  <si>
    <t>Continue to Delivery Info</t>
  </si>
  <si>
    <t>postal_code</t>
  </si>
  <si>
    <t>Postal Code</t>
  </si>
  <si>
    <t>choose_delivery_type</t>
  </si>
  <si>
    <t>Choose Delivery Type</t>
  </si>
  <si>
    <t>local_pickup</t>
  </si>
  <si>
    <t>Local Pickup</t>
  </si>
  <si>
    <t>select_your_nearest_pickup_point</t>
  </si>
  <si>
    <t>Select your nearest pickup point</t>
  </si>
  <si>
    <t>continue_to_payment</t>
  </si>
  <si>
    <t>Continue to Payment</t>
  </si>
  <si>
    <t>select_a_payment_option</t>
  </si>
  <si>
    <t>Select a payment option</t>
  </si>
  <si>
    <t>razorpay</t>
  </si>
  <si>
    <t>Razorpay</t>
  </si>
  <si>
    <t>paystack</t>
  </si>
  <si>
    <t>Paystack</t>
  </si>
  <si>
    <t>voguepay</t>
  </si>
  <si>
    <t>VoguePay</t>
  </si>
  <si>
    <t>payhere</t>
  </si>
  <si>
    <t>ngenius</t>
  </si>
  <si>
    <t>paytm</t>
  </si>
  <si>
    <t>Paytm</t>
  </si>
  <si>
    <t>cash_on_delivery</t>
  </si>
  <si>
    <t>Cash on Delivery</t>
  </si>
  <si>
    <t>your_wallet_balance_</t>
  </si>
  <si>
    <t>Your wallet balance :</t>
  </si>
  <si>
    <t>insufficient_balance</t>
  </si>
  <si>
    <t>Insufficient balance</t>
  </si>
  <si>
    <t>i_agree_to_the</t>
  </si>
  <si>
    <t>I agree to the</t>
  </si>
  <si>
    <t>complete_order</t>
  </si>
  <si>
    <t>Complete Order</t>
  </si>
  <si>
    <t>summary</t>
  </si>
  <si>
    <t>Summary</t>
  </si>
  <si>
    <t>items</t>
  </si>
  <si>
    <t>Items</t>
  </si>
  <si>
    <t>total_club_point</t>
  </si>
  <si>
    <t>Total Club point</t>
  </si>
  <si>
    <t>total_shipping</t>
  </si>
  <si>
    <t>Total Shipping</t>
  </si>
  <si>
    <t>have_coupon_code_enter_here</t>
  </si>
  <si>
    <t>Have coupon code? Enter here</t>
  </si>
  <si>
    <t>apply</t>
  </si>
  <si>
    <t>Apply</t>
  </si>
  <si>
    <t>you_need_to_agree_with_our_policies</t>
  </si>
  <si>
    <t>You need to agree with our policies</t>
  </si>
  <si>
    <t>forgot_password</t>
  </si>
  <si>
    <t>Forgot password</t>
  </si>
  <si>
    <t>seo_setting</t>
  </si>
  <si>
    <t>SEO Setting</t>
  </si>
  <si>
    <t>system_update</t>
  </si>
  <si>
    <t>System Update</t>
  </si>
  <si>
    <t>add_new_payment_method</t>
  </si>
  <si>
    <t>Add New Payment Method</t>
  </si>
  <si>
    <t>manual_payment_method</t>
  </si>
  <si>
    <t>Manual Payment Method</t>
  </si>
  <si>
    <t>heading</t>
  </si>
  <si>
    <t>Heading</t>
  </si>
  <si>
    <t>logo</t>
  </si>
  <si>
    <t>Logo</t>
  </si>
  <si>
    <t>manual_payment_information</t>
  </si>
  <si>
    <t>Manual Payment Information</t>
  </si>
  <si>
    <t>type</t>
  </si>
  <si>
    <t>Type</t>
  </si>
  <si>
    <t>custom_payment</t>
  </si>
  <si>
    <t>Custom Payment</t>
  </si>
  <si>
    <t>check_payment</t>
  </si>
  <si>
    <t>Check Payment</t>
  </si>
  <si>
    <t>checkout_thumbnail</t>
  </si>
  <si>
    <t>Checkout Thumbnail</t>
  </si>
  <si>
    <t>payment_instruction</t>
  </si>
  <si>
    <t>Payment Instruction</t>
  </si>
  <si>
    <t>bank_information</t>
  </si>
  <si>
    <t>Bank Information</t>
  </si>
  <si>
    <t>select_file</t>
  </si>
  <si>
    <t>Select File</t>
  </si>
  <si>
    <t>upload_new</t>
  </si>
  <si>
    <t>Upload New</t>
  </si>
  <si>
    <t>sort_by_newest</t>
  </si>
  <si>
    <t>Sort by newest</t>
  </si>
  <si>
    <t>sort_by_oldest</t>
  </si>
  <si>
    <t>Sort by oldest</t>
  </si>
  <si>
    <t>sort_by_smallest</t>
  </si>
  <si>
    <t>Sort by smallest</t>
  </si>
  <si>
    <t>sort_by_largest</t>
  </si>
  <si>
    <t>Sort by largest</t>
  </si>
  <si>
    <t>selected_only</t>
  </si>
  <si>
    <t>Selected Only</t>
  </si>
  <si>
    <t>no_files_found</t>
  </si>
  <si>
    <t>No files found</t>
  </si>
  <si>
    <t>0_file_selected</t>
  </si>
  <si>
    <t>0 File selected</t>
  </si>
  <si>
    <t>clear</t>
  </si>
  <si>
    <t>Clear</t>
  </si>
  <si>
    <t>prev</t>
  </si>
  <si>
    <t>Prev</t>
  </si>
  <si>
    <t>next</t>
  </si>
  <si>
    <t>Next</t>
  </si>
  <si>
    <t>add_files</t>
  </si>
  <si>
    <t>Add Files</t>
  </si>
  <si>
    <t>method_has_been_inserted_successfully</t>
  </si>
  <si>
    <t>Method has been inserted successfully</t>
  </si>
  <si>
    <t>order_date</t>
  </si>
  <si>
    <t>Order Date</t>
  </si>
  <si>
    <t>bill_to</t>
  </si>
  <si>
    <t>Bill to</t>
  </si>
  <si>
    <t>sub_total</t>
  </si>
  <si>
    <t>Sub Total</t>
  </si>
  <si>
    <t>total_tax</t>
  </si>
  <si>
    <t>Total Tax</t>
  </si>
  <si>
    <t>grand_total</t>
  </si>
  <si>
    <t>Grand Total</t>
  </si>
  <si>
    <t>your_order_has_been_placed_successfully_please_submit_payment_information_from_purchase_history</t>
  </si>
  <si>
    <t>Your order has been placed successfully. Please submit payment information from purchase history</t>
  </si>
  <si>
    <t>thank_you_for_your_order</t>
  </si>
  <si>
    <t>Thank You for Your Order!</t>
  </si>
  <si>
    <t>Order Code:</t>
  </si>
  <si>
    <t>a_copy_or_your_order_summary_has_been_sent_to</t>
  </si>
  <si>
    <t>A copy or your order summary has been sent to</t>
  </si>
  <si>
    <t>make_payment</t>
  </si>
  <si>
    <t>Make Payment</t>
  </si>
  <si>
    <t>payment_screenshot</t>
  </si>
  <si>
    <t>Payment screenshot</t>
  </si>
  <si>
    <t>paypal_credential</t>
  </si>
  <si>
    <t>Paypal Credential</t>
  </si>
  <si>
    <t>paypal_client_id</t>
  </si>
  <si>
    <t>Paypal Client ID</t>
  </si>
  <si>
    <t>paypal_client_secret</t>
  </si>
  <si>
    <t>Paypal Client Secret</t>
  </si>
  <si>
    <t>paypal_sandbox_mode</t>
  </si>
  <si>
    <t>Paypal Sandbox Mode</t>
  </si>
  <si>
    <t>sslcommerz_credential</t>
  </si>
  <si>
    <t>Sslcommerz Credential</t>
  </si>
  <si>
    <t>sslcz_store_id</t>
  </si>
  <si>
    <t>Sslcz Store Id</t>
  </si>
  <si>
    <t>sslcz_store_password</t>
  </si>
  <si>
    <t>Sslcz store password</t>
  </si>
  <si>
    <t>sslcommerz_sandbox_mode</t>
  </si>
  <si>
    <t>Sslcommerz Sandbox Mode</t>
  </si>
  <si>
    <t>stripe_credential</t>
  </si>
  <si>
    <t>Stripe Credential</t>
  </si>
  <si>
    <t>stripe_key</t>
  </si>
  <si>
    <t>STRIPE KEY</t>
  </si>
  <si>
    <t>stripe_secret</t>
  </si>
  <si>
    <t>STRIPE SECRET</t>
  </si>
  <si>
    <t>razorpay_credential</t>
  </si>
  <si>
    <t>RazorPay Credential</t>
  </si>
  <si>
    <t>razor_key</t>
  </si>
  <si>
    <t>RAZOR KEY</t>
  </si>
  <si>
    <t>razor_secret</t>
  </si>
  <si>
    <t>RAZOR SECRET</t>
  </si>
  <si>
    <t>instamojo_credential</t>
  </si>
  <si>
    <t>Instamojo Credential</t>
  </si>
  <si>
    <t>api_key</t>
  </si>
  <si>
    <t>API KEY</t>
  </si>
  <si>
    <t>im_api_key</t>
  </si>
  <si>
    <t>IM API KEY</t>
  </si>
  <si>
    <t>auth_token</t>
  </si>
  <si>
    <t>AUTH TOKEN</t>
  </si>
  <si>
    <t>im_auth_token</t>
  </si>
  <si>
    <t>IM AUTH TOKEN</t>
  </si>
  <si>
    <t>instamojo_sandbox_mode</t>
  </si>
  <si>
    <t>Instamojo Sandbox Mode</t>
  </si>
  <si>
    <t>paystack_credential</t>
  </si>
  <si>
    <t>PayStack Credential</t>
  </si>
  <si>
    <t>public_key</t>
  </si>
  <si>
    <t>PUBLIC KEY</t>
  </si>
  <si>
    <t>secret_key</t>
  </si>
  <si>
    <t>SECRET KEY</t>
  </si>
  <si>
    <t>merchant_email</t>
  </si>
  <si>
    <t>MERCHANT EMAIL</t>
  </si>
  <si>
    <t>voguepay_credential</t>
  </si>
  <si>
    <t>VoguePay Credential</t>
  </si>
  <si>
    <t>merchant_id</t>
  </si>
  <si>
    <t>MERCHANT ID</t>
  </si>
  <si>
    <t>sandbox_mode</t>
  </si>
  <si>
    <t>Sandbox Mode</t>
  </si>
  <si>
    <t>payhere_credential</t>
  </si>
  <si>
    <t>Payhere Credential</t>
  </si>
  <si>
    <t>payhere_merchant_id</t>
  </si>
  <si>
    <t>PAYHERE MERCHANT ID</t>
  </si>
  <si>
    <t>payhere_secret</t>
  </si>
  <si>
    <t>PAYHERE SECRET</t>
  </si>
  <si>
    <t>payhere_currency</t>
  </si>
  <si>
    <t>PAYHERE CURRENCY</t>
  </si>
  <si>
    <t>payhere_sandbox_mode</t>
  </si>
  <si>
    <t>Payhere Sandbox Mode</t>
  </si>
  <si>
    <t>ngenius_credential</t>
  </si>
  <si>
    <t>Ngenius Credential</t>
  </si>
  <si>
    <t>ngenius_outlet_id</t>
  </si>
  <si>
    <t>NGENIUS OUTLET ID</t>
  </si>
  <si>
    <t>ngenius_api_key</t>
  </si>
  <si>
    <t>NGENIUS API KEY</t>
  </si>
  <si>
    <t>ngenius_currency</t>
  </si>
  <si>
    <t>NGENIUS CURRENCY</t>
  </si>
  <si>
    <t>mpesa_credential</t>
  </si>
  <si>
    <t>Mpesa Credential</t>
  </si>
  <si>
    <t>mpesa_consumer_key</t>
  </si>
  <si>
    <t>MPESA CONSUMER KEY</t>
  </si>
  <si>
    <t>MPESA_CONSUMER_KEY</t>
  </si>
  <si>
    <t>mpesa_consumer_secret</t>
  </si>
  <si>
    <t>MPESA CONSUMER SECRET</t>
  </si>
  <si>
    <t>MPESA_CONSUMER_SECRET</t>
  </si>
  <si>
    <t>mpesa_short_code</t>
  </si>
  <si>
    <t>MPESA SHORT CODE</t>
  </si>
  <si>
    <t>MPESA_SHORT_CODE</t>
  </si>
  <si>
    <t>mpesa_sandbox_activation</t>
  </si>
  <si>
    <t>MPESA SANDBOX ACTIVATION</t>
  </si>
  <si>
    <t>flutterwave_credential</t>
  </si>
  <si>
    <t>Flutterwave Credential</t>
  </si>
  <si>
    <t>rave_public_key</t>
  </si>
  <si>
    <t>RAVE_PUBLIC_KEY</t>
  </si>
  <si>
    <t>rave_secret_key</t>
  </si>
  <si>
    <t>RAVE_SECRET_KEY</t>
  </si>
  <si>
    <t>rave_title</t>
  </si>
  <si>
    <t>RAVE_TITLE</t>
  </si>
  <si>
    <t>stagin_activation</t>
  </si>
  <si>
    <t>STAGIN ACTIVATION</t>
  </si>
  <si>
    <t>all_product</t>
  </si>
  <si>
    <t>All Product</t>
  </si>
  <si>
    <t>sort_by</t>
  </si>
  <si>
    <t>Sort By</t>
  </si>
  <si>
    <t>rating_high__low</t>
  </si>
  <si>
    <t>Rating (High &gt; Low)</t>
  </si>
  <si>
    <t>rating_low__high</t>
  </si>
  <si>
    <t>Rating (Low &gt; High)</t>
  </si>
  <si>
    <t>num_of_sale_high__low</t>
  </si>
  <si>
    <t>Num of Sale (High &gt; Low)</t>
  </si>
  <si>
    <t>num_of_sale_low__high</t>
  </si>
  <si>
    <t>Num of Sale (Low &gt; High)</t>
  </si>
  <si>
    <t>base_price_high__low</t>
  </si>
  <si>
    <t>Base Price (High &gt; Low)</t>
  </si>
  <si>
    <t>base_price_low__high</t>
  </si>
  <si>
    <t>Base Price (Low &gt; High)</t>
  </si>
  <si>
    <t>type__enter</t>
  </si>
  <si>
    <t>Type &amp; Enter</t>
  </si>
  <si>
    <t>added_by</t>
  </si>
  <si>
    <t>Added By</t>
  </si>
  <si>
    <t>num_of_sale</t>
  </si>
  <si>
    <t>Num of Sale</t>
  </si>
  <si>
    <t>total_stock</t>
  </si>
  <si>
    <t>Total Stock</t>
  </si>
  <si>
    <t>todays_deal</t>
  </si>
  <si>
    <t>Todays Deal</t>
  </si>
  <si>
    <t>rating</t>
  </si>
  <si>
    <t>Rating</t>
  </si>
  <si>
    <t>times</t>
  </si>
  <si>
    <t>add_nerw_product</t>
  </si>
  <si>
    <t>Add Nerw Product</t>
  </si>
  <si>
    <t>product_information</t>
  </si>
  <si>
    <t>Product Information</t>
  </si>
  <si>
    <t>unit</t>
  </si>
  <si>
    <t>Unit</t>
  </si>
  <si>
    <t>unit_eg_kg_pc_etc</t>
  </si>
  <si>
    <t>Unit (e.g. KG, Pc etc)</t>
  </si>
  <si>
    <t>minimum_qty</t>
  </si>
  <si>
    <t>Minimum Qty</t>
  </si>
  <si>
    <t>tags</t>
  </si>
  <si>
    <t>Tags</t>
  </si>
  <si>
    <t>type_and_hit_enter_to_add_a_tag</t>
  </si>
  <si>
    <t>Type and hit enter to add a tag</t>
  </si>
  <si>
    <t>barcode</t>
  </si>
  <si>
    <t>Barcode</t>
  </si>
  <si>
    <t>refundable</t>
  </si>
  <si>
    <t>Refundable</t>
  </si>
  <si>
    <t>product_images</t>
  </si>
  <si>
    <t>Product Images</t>
  </si>
  <si>
    <t>gallery_images</t>
  </si>
  <si>
    <t>Gallery Images</t>
  </si>
  <si>
    <t>todays_deal_updated_successfully</t>
  </si>
  <si>
    <t>Todays Deal updated successfully</t>
  </si>
  <si>
    <t>published_products_updated_successfully</t>
  </si>
  <si>
    <t>Published products updated successfully</t>
  </si>
  <si>
    <t>thumbnail_image</t>
  </si>
  <si>
    <t>Thumbnail Image</t>
  </si>
  <si>
    <t>featured_products_updated_successfully</t>
  </si>
  <si>
    <t>Featured products updated successfully</t>
  </si>
  <si>
    <t>product_videos</t>
  </si>
  <si>
    <t>Product Videos</t>
  </si>
  <si>
    <t>video_provider</t>
  </si>
  <si>
    <t>Video Provider</t>
  </si>
  <si>
    <t>youtube</t>
  </si>
  <si>
    <t>Youtube</t>
  </si>
  <si>
    <t>dailymotion</t>
  </si>
  <si>
    <t>Dailymotion</t>
  </si>
  <si>
    <t>vimeo</t>
  </si>
  <si>
    <t>Vimeo</t>
  </si>
  <si>
    <t>video_link</t>
  </si>
  <si>
    <t>Video Link</t>
  </si>
  <si>
    <t>product_variation</t>
  </si>
  <si>
    <t>Product Variation</t>
  </si>
  <si>
    <t>colors</t>
  </si>
  <si>
    <t>Colors</t>
  </si>
  <si>
    <t>attributes</t>
  </si>
  <si>
    <t>Attributes</t>
  </si>
  <si>
    <t>choose_attributes</t>
  </si>
  <si>
    <t>Choose Attributes</t>
  </si>
  <si>
    <t>choose_the_attributes_of_this_product_and_then_input_values_of_each_attribute</t>
  </si>
  <si>
    <t>Choose the attributes of this product and then input values of each attribute</t>
  </si>
  <si>
    <t>product_price__stock</t>
  </si>
  <si>
    <t>Product price + stock</t>
  </si>
  <si>
    <t>unit_price</t>
  </si>
  <si>
    <t>Unit price</t>
  </si>
  <si>
    <t>purchase_price</t>
  </si>
  <si>
    <t>Purchase price</t>
  </si>
  <si>
    <t>flat</t>
  </si>
  <si>
    <t>Flat</t>
  </si>
  <si>
    <t>percent</t>
  </si>
  <si>
    <t>Percent</t>
  </si>
  <si>
    <t>discount</t>
  </si>
  <si>
    <t>Discount</t>
  </si>
  <si>
    <t>product_description</t>
  </si>
  <si>
    <t>Product Description</t>
  </si>
  <si>
    <t>product_shipping_cost</t>
  </si>
  <si>
    <t>Product Shipping Cost</t>
  </si>
  <si>
    <t>free_shipping</t>
  </si>
  <si>
    <t>Free Shipping</t>
  </si>
  <si>
    <t>flat_rate</t>
  </si>
  <si>
    <t>Flat Rate</t>
  </si>
  <si>
    <t>shipping_cost</t>
  </si>
  <si>
    <t>Shipping cost</t>
  </si>
  <si>
    <t>pdf_specification</t>
  </si>
  <si>
    <t>PDF Specification</t>
  </si>
  <si>
    <t>seo_meta_tags</t>
  </si>
  <si>
    <t>SEO Meta Tags</t>
  </si>
  <si>
    <t>meta_title</t>
  </si>
  <si>
    <t>Meta Title</t>
  </si>
  <si>
    <t>meta_image</t>
  </si>
  <si>
    <t>Meta Image</t>
  </si>
  <si>
    <t>choice_title</t>
  </si>
  <si>
    <t>Choice Title</t>
  </si>
  <si>
    <t>enter_choice_values</t>
  </si>
  <si>
    <t>Enter choice values</t>
  </si>
  <si>
    <t>all_categories</t>
  </si>
  <si>
    <t>All categories A</t>
  </si>
  <si>
    <t>add_new_category</t>
  </si>
  <si>
    <t>Add New category</t>
  </si>
  <si>
    <t>type_name__enter</t>
  </si>
  <si>
    <t>Type name &amp; Enter</t>
  </si>
  <si>
    <t>banner</t>
  </si>
  <si>
    <t>Banner</t>
  </si>
  <si>
    <t>commission</t>
  </si>
  <si>
    <t>Commission</t>
  </si>
  <si>
    <t>icon</t>
  </si>
  <si>
    <t>featured_categories_updated_successfully</t>
  </si>
  <si>
    <t>Featured categories updated successfully</t>
  </si>
  <si>
    <t>hot</t>
  </si>
  <si>
    <t>Hot</t>
  </si>
  <si>
    <t>filter_by_payment_status</t>
  </si>
  <si>
    <t>Filter by Payment Status</t>
  </si>
  <si>
    <t>Un-Paid</t>
  </si>
  <si>
    <t>filter_by_deliver_status</t>
  </si>
  <si>
    <t>Filter by Deliver Status</t>
  </si>
  <si>
    <t>pending</t>
  </si>
  <si>
    <t>Pending</t>
  </si>
  <si>
    <t>type_order_code__hit_enter</t>
  </si>
  <si>
    <t>Type Order code &amp; hit Enter</t>
  </si>
  <si>
    <t>num_of_products</t>
  </si>
  <si>
    <t>Num. of Products</t>
  </si>
  <si>
    <t>walk_in_customer</t>
  </si>
  <si>
    <t>Walk In Customer</t>
  </si>
  <si>
    <t>qty</t>
  </si>
  <si>
    <t>QTY</t>
  </si>
  <si>
    <t>without_shipping_charge</t>
  </si>
  <si>
    <t>Without Shipping Charge</t>
  </si>
  <si>
    <t>with_shipping_charge</t>
  </si>
  <si>
    <t>With Shipping Charge</t>
  </si>
  <si>
    <t>pay_with_cash</t>
  </si>
  <si>
    <t>Pay With Cash</t>
  </si>
  <si>
    <t>shipping_address</t>
  </si>
  <si>
    <t>Shipping Address</t>
  </si>
  <si>
    <t>close</t>
  </si>
  <si>
    <t>Close</t>
  </si>
  <si>
    <t>select_country</t>
  </si>
  <si>
    <t>Select country</t>
  </si>
  <si>
    <t>order_confirmation</t>
  </si>
  <si>
    <t>Order Confirmation</t>
  </si>
  <si>
    <t>are_you_sure_to_confirm_this_order</t>
  </si>
  <si>
    <t>Are you sure to confirm this order?</t>
  </si>
  <si>
    <t>comfirm_order</t>
  </si>
  <si>
    <t>Comfirm Order</t>
  </si>
  <si>
    <t>personal_info</t>
  </si>
  <si>
    <t>Personal Info</t>
  </si>
  <si>
    <t>repeat_password</t>
  </si>
  <si>
    <t>Repeat Password</t>
  </si>
  <si>
    <t>shop_name</t>
  </si>
  <si>
    <t>Shop Name</t>
  </si>
  <si>
    <t>register_your_shop</t>
  </si>
  <si>
    <t>Register Your Shop</t>
  </si>
  <si>
    <t>affiliate_informations</t>
  </si>
  <si>
    <t>Affiliate Informations</t>
  </si>
  <si>
    <t>affiliate</t>
  </si>
  <si>
    <t>Affiliate</t>
  </si>
  <si>
    <t>user_info</t>
  </si>
  <si>
    <t>User Info</t>
  </si>
  <si>
    <t>installed_addon</t>
  </si>
  <si>
    <t>Installed Addon</t>
  </si>
  <si>
    <t>available_addon</t>
  </si>
  <si>
    <t>Available Addon</t>
  </si>
  <si>
    <t>install_new_addon</t>
  </si>
  <si>
    <t>Install New Addon</t>
  </si>
  <si>
    <t>version</t>
  </si>
  <si>
    <t>Version</t>
  </si>
  <si>
    <t>activated</t>
  </si>
  <si>
    <t>Activated</t>
  </si>
  <si>
    <t>deactivated</t>
  </si>
  <si>
    <t>Deactivated</t>
  </si>
  <si>
    <t>activate_otp</t>
  </si>
  <si>
    <t>Activate OTP</t>
  </si>
  <si>
    <t>otp_will_be_used_for</t>
  </si>
  <si>
    <t>OTP will be Used For</t>
  </si>
  <si>
    <t>settings_updated_successfully</t>
  </si>
  <si>
    <t>Settings updated successfully</t>
  </si>
  <si>
    <t>product_owner</t>
  </si>
  <si>
    <t>Product Owner</t>
  </si>
  <si>
    <t>point</t>
  </si>
  <si>
    <t>Point</t>
  </si>
  <si>
    <t>set_point_for_product_within_a_range</t>
  </si>
  <si>
    <t>Set Point for Product Within a Range</t>
  </si>
  <si>
    <t>set_point_for_multiple_products</t>
  </si>
  <si>
    <t>Set Point for multiple products</t>
  </si>
  <si>
    <t>min_price</t>
  </si>
  <si>
    <t>Min Price</t>
  </si>
  <si>
    <t>max_price</t>
  </si>
  <si>
    <t>Max Price</t>
  </si>
  <si>
    <t>set_point_for_all_products</t>
  </si>
  <si>
    <t>Set Point for all Products</t>
  </si>
  <si>
    <t>set_point_for_</t>
  </si>
  <si>
    <t>Set Point For</t>
  </si>
  <si>
    <t>convert_status</t>
  </si>
  <si>
    <t>Convert Status</t>
  </si>
  <si>
    <t>earned_at</t>
  </si>
  <si>
    <t>Earned At</t>
  </si>
  <si>
    <t>seller_based_selling_report</t>
  </si>
  <si>
    <t>Seller Based Selling Report</t>
  </si>
  <si>
    <t>sort_by_verificarion_status</t>
  </si>
  <si>
    <t>Sort by verificarion status</t>
  </si>
  <si>
    <t>approved</t>
  </si>
  <si>
    <t>Approved</t>
  </si>
  <si>
    <t>non_approved</t>
  </si>
  <si>
    <t>Non Approved</t>
  </si>
  <si>
    <t>filter</t>
  </si>
  <si>
    <t>Filter</t>
  </si>
  <si>
    <t>seller_name</t>
  </si>
  <si>
    <t>Seller Name</t>
  </si>
  <si>
    <t>number_of_product_sale</t>
  </si>
  <si>
    <t>Number of Product Sale</t>
  </si>
  <si>
    <t>order_amount</t>
  </si>
  <si>
    <t>Order Amount</t>
  </si>
  <si>
    <t>facebook_chat_setting</t>
  </si>
  <si>
    <t>Facebook Chat Setting</t>
  </si>
  <si>
    <t>facebook_page_id</t>
  </si>
  <si>
    <t>Facebook Page ID</t>
  </si>
  <si>
    <t>please_be_carefull_when_you_are_configuring_facebook_chat_for_incorrect_configuration_you_will_not_get_messenger_icon_on_your_userend_site</t>
  </si>
  <si>
    <t>Please be carefull when you are configuring Facebook chat. For incorrect configuration you will not get messenger icon on your user-end site.</t>
  </si>
  <si>
    <t>login_into_your_facebook_page</t>
  </si>
  <si>
    <t>Login into your facebook page</t>
  </si>
  <si>
    <t>find_the_about_option_of_your_facebook_page</t>
  </si>
  <si>
    <t>Find the About option of your facebook page</t>
  </si>
  <si>
    <t>at_the_very_bottom_you_can_find_the_facebook_page_id</t>
  </si>
  <si>
    <t>At the very bottom, you can find the \“Facebook Page ID\”</t>
  </si>
  <si>
    <t>go_to_settings_of_your_page_and_find_the_option_of_advance_messaging</t>
  </si>
  <si>
    <t>Go to Settings of your page and find the option of \"Advance Messaging\"</t>
  </si>
  <si>
    <t>scroll_down_that_page_and_you_will_get_white_listed_domain</t>
  </si>
  <si>
    <t>Scroll down that page and you will get \"white listed domain\"</t>
  </si>
  <si>
    <t>set_your_website_domain_name</t>
  </si>
  <si>
    <t>Set your website domain name</t>
  </si>
  <si>
    <t>google_recaptcha_setting</t>
  </si>
  <si>
    <t>Google reCAPTCHA Setting</t>
  </si>
  <si>
    <t>site_key</t>
  </si>
  <si>
    <t>Site KEY</t>
  </si>
  <si>
    <t>select_shipping_method</t>
  </si>
  <si>
    <t>Select Shipping Method</t>
  </si>
  <si>
    <t>product_wise_shipping_cost</t>
  </si>
  <si>
    <t>Product Wise Shipping Cost</t>
  </si>
  <si>
    <t>flat_rate_shipping_cost</t>
  </si>
  <si>
    <t>Flat Rate Shipping Cost</t>
  </si>
  <si>
    <t>seller_wise_flat_shipping_cost</t>
  </si>
  <si>
    <t>Seller Wise Flat Shipping Cost</t>
  </si>
  <si>
    <t>note</t>
  </si>
  <si>
    <t>Note</t>
  </si>
  <si>
    <t>product_wise_shipping_cost_calulation_shipping_cost_is_calculate_by_addition_of_each_product_shipping_cost</t>
  </si>
  <si>
    <t>Product Wise Shipping Cost calulation: Shipping cost is calculate by addition of each product shipping cost</t>
  </si>
  <si>
    <t>flat_rate_shipping_cost_calulation_how_many_products_a_customer_purchase_doesnt_matter_shipping_cost_is_fixed</t>
  </si>
  <si>
    <t>Flat Rate Shipping Cost calulation: How many products a customer purchase, doesn't matter. Shipping cost is fixed</t>
  </si>
  <si>
    <t>seller_wise_flat_shipping_cost_calulation_fixed_rate_for_each_seller_if_a_customer_purchase_2_product_from_two_seller_shipping_cost_is_calculate_by_addition_of_each_seller_flat_shipping_cost</t>
  </si>
  <si>
    <t>Seller Wise Flat Shipping Cost calulation: Fixed rate for each seller. If a customer purchase 2 product from two seller shipping cost is calculate by addition of each seller flat shipping cost</t>
  </si>
  <si>
    <t>flat_rate_cost</t>
  </si>
  <si>
    <t>Flat Rate Cost</t>
  </si>
  <si>
    <t>shipping_cost_for_admin_products</t>
  </si>
  <si>
    <t>Shipping Cost for Admin Products</t>
  </si>
  <si>
    <t>countries</t>
  </si>
  <si>
    <t>Countries</t>
  </si>
  <si>
    <t>showhide</t>
  </si>
  <si>
    <t>Show/Hide</t>
  </si>
  <si>
    <t>country_status_updated_successfully</t>
  </si>
  <si>
    <t>Country status updated successfully</t>
  </si>
  <si>
    <t>all_subcategories</t>
  </si>
  <si>
    <t>All Subcategories</t>
  </si>
  <si>
    <t>add_new_subcategory</t>
  </si>
  <si>
    <t>Add New Subcategory</t>
  </si>
  <si>
    <t>subcategories</t>
  </si>
  <si>
    <t>Sub-Categories</t>
  </si>
  <si>
    <t>sub_category_information</t>
  </si>
  <si>
    <t>Sub Category Information</t>
  </si>
  <si>
    <t>slug</t>
  </si>
  <si>
    <t>Slug</t>
  </si>
  <si>
    <t>all_sub_subcategories</t>
  </si>
  <si>
    <t>All Sub Subcategories</t>
  </si>
  <si>
    <t>add_new_sub_subcategory</t>
  </si>
  <si>
    <t>Add New Sub Subcategory</t>
  </si>
  <si>
    <t>subsubcategories</t>
  </si>
  <si>
    <t>Sub-Sub-categories</t>
  </si>
  <si>
    <t>make_this_default</t>
  </si>
  <si>
    <t>Make This Default</t>
  </si>
  <si>
    <t>shops</t>
  </si>
  <si>
    <t>Shops</t>
  </si>
  <si>
    <t>women_clothing__fashion</t>
  </si>
  <si>
    <t>Women Clothing &amp; Fashion</t>
  </si>
  <si>
    <t>cellphones__tabs</t>
  </si>
  <si>
    <t>Cellphones &amp; Tabs</t>
  </si>
  <si>
    <t>welcome_to</t>
  </si>
  <si>
    <t>Welcome to</t>
  </si>
  <si>
    <t>create_a_new_account</t>
  </si>
  <si>
    <t>Create a New Account</t>
  </si>
  <si>
    <t>full_name</t>
  </si>
  <si>
    <t>Full Name</t>
  </si>
  <si>
    <t>password</t>
  </si>
  <si>
    <t>confrim_password</t>
  </si>
  <si>
    <t>Confrim Password</t>
  </si>
  <si>
    <t>i_agree_with_the</t>
  </si>
  <si>
    <t>I agree with the</t>
  </si>
  <si>
    <t>terms_and_conditions</t>
  </si>
  <si>
    <t>Terms and Conditions</t>
  </si>
  <si>
    <t>register</t>
  </si>
  <si>
    <t>Register</t>
  </si>
  <si>
    <t>already_have_an_account</t>
  </si>
  <si>
    <t>Already have an account</t>
  </si>
  <si>
    <t>sign_up_with</t>
  </si>
  <si>
    <t>Sign Up with</t>
  </si>
  <si>
    <t>i_agree_with_the_terms_and_conditions</t>
  </si>
  <si>
    <t>I agree with the Terms and Conditions</t>
  </si>
  <si>
    <t>all_role</t>
  </si>
  <si>
    <t>All Role</t>
  </si>
  <si>
    <t>add_new_role</t>
  </si>
  <si>
    <t>Add New Role</t>
  </si>
  <si>
    <t>roles</t>
  </si>
  <si>
    <t>Roles</t>
  </si>
  <si>
    <t>add_new_staffs</t>
  </si>
  <si>
    <t>Add New Staffs</t>
  </si>
  <si>
    <t>role</t>
  </si>
  <si>
    <t>Role</t>
  </si>
  <si>
    <t>frontend_website_name</t>
  </si>
  <si>
    <t>Frontend Website Name</t>
  </si>
  <si>
    <t>website_name</t>
  </si>
  <si>
    <t>Website Name</t>
  </si>
  <si>
    <t>site_motto</t>
  </si>
  <si>
    <t>Site Motto</t>
  </si>
  <si>
    <t>best_ecommerce_website</t>
  </si>
  <si>
    <t>Best eCommerce Website</t>
  </si>
  <si>
    <t>site_icon</t>
  </si>
  <si>
    <t>Site Icon</t>
  </si>
  <si>
    <t>website_favicon_32x32_png</t>
  </si>
  <si>
    <t>Website favicon. 32x32 .png</t>
  </si>
  <si>
    <t>website_base_color</t>
  </si>
  <si>
    <t>Website Base Color</t>
  </si>
  <si>
    <t>hex_color_code</t>
  </si>
  <si>
    <t>Hex Color Code</t>
  </si>
  <si>
    <t>website_base_hover_color</t>
  </si>
  <si>
    <t>Website Base Hover Color</t>
  </si>
  <si>
    <t>update</t>
  </si>
  <si>
    <t>Update</t>
  </si>
  <si>
    <t>global_seo</t>
  </si>
  <si>
    <t>Global Seo</t>
  </si>
  <si>
    <t>meta_description</t>
  </si>
  <si>
    <t>Meta description</t>
  </si>
  <si>
    <t>keywords</t>
  </si>
  <si>
    <t>Keywords</t>
  </si>
  <si>
    <t>separate_with_coma</t>
  </si>
  <si>
    <t>Separate with coma</t>
  </si>
  <si>
    <t>website_pages</t>
  </si>
  <si>
    <t>Website Pages</t>
  </si>
  <si>
    <t>all_pages</t>
  </si>
  <si>
    <t>All Pages</t>
  </si>
  <si>
    <t>add_new_page</t>
  </si>
  <si>
    <t>Add New Page</t>
  </si>
  <si>
    <t>url</t>
  </si>
  <si>
    <t>URL</t>
  </si>
  <si>
    <t>actions</t>
  </si>
  <si>
    <t>Actions</t>
  </si>
  <si>
    <t>edit_page_information</t>
  </si>
  <si>
    <t>Edit Page Information</t>
  </si>
  <si>
    <t>page_content</t>
  </si>
  <si>
    <t>Page Content</t>
  </si>
  <si>
    <t>title</t>
  </si>
  <si>
    <t>Title</t>
  </si>
  <si>
    <t>link</t>
  </si>
  <si>
    <t>Link</t>
  </si>
  <si>
    <t>use_character_number_hypen_only</t>
  </si>
  <si>
    <t>Use character, number, hypen only</t>
  </si>
  <si>
    <t>add_content</t>
  </si>
  <si>
    <t>Add Content</t>
  </si>
  <si>
    <t>seo_fields</t>
  </si>
  <si>
    <t>Seo Fields</t>
  </si>
  <si>
    <t>update_page</t>
  </si>
  <si>
    <t>Update Page</t>
  </si>
  <si>
    <t>default_language</t>
  </si>
  <si>
    <t>Default Language</t>
  </si>
  <si>
    <t>add_new_language</t>
  </si>
  <si>
    <t>Add New Language</t>
  </si>
  <si>
    <t>rtl</t>
  </si>
  <si>
    <t>RTL</t>
  </si>
  <si>
    <t>translation</t>
  </si>
  <si>
    <t>Translation</t>
  </si>
  <si>
    <t>language_information</t>
  </si>
  <si>
    <t>Language Information</t>
  </si>
  <si>
    <t>save_page</t>
  </si>
  <si>
    <t>Save Page</t>
  </si>
  <si>
    <t>home_page_settings</t>
  </si>
  <si>
    <t>Home Page Settings</t>
  </si>
  <si>
    <t>home_slider</t>
  </si>
  <si>
    <t>Home Slider</t>
  </si>
  <si>
    <t>photos__links</t>
  </si>
  <si>
    <t>Photos &amp; Links</t>
  </si>
  <si>
    <t>add_new</t>
  </si>
  <si>
    <t>Add New</t>
  </si>
  <si>
    <t>home_categories</t>
  </si>
  <si>
    <t>Home Categories</t>
  </si>
  <si>
    <t>home_banner_1_max_3</t>
  </si>
  <si>
    <t>Home Banner 1 (Max 3)</t>
  </si>
  <si>
    <t>banner__links</t>
  </si>
  <si>
    <t>Banner &amp; Links</t>
  </si>
  <si>
    <t>home_banner_2_max_3</t>
  </si>
  <si>
    <t>Home Banner 2 (Max 3)</t>
  </si>
  <si>
    <t>top_10</t>
  </si>
  <si>
    <t>Top 10</t>
  </si>
  <si>
    <t>top_categories_max_10</t>
  </si>
  <si>
    <t>Top Categories (Max 10)</t>
  </si>
  <si>
    <t>top_brands_max_10</t>
  </si>
  <si>
    <t>Top Brands (Max 10)</t>
  </si>
  <si>
    <t>system_name</t>
  </si>
  <si>
    <t>System Name</t>
  </si>
  <si>
    <t>system_logo__white</t>
  </si>
  <si>
    <t>System Logo - White</t>
  </si>
  <si>
    <t>choose_files</t>
  </si>
  <si>
    <t>Choose Files</t>
  </si>
  <si>
    <t>will_be_used_in_admin_panel_side_menu</t>
  </si>
  <si>
    <t>Will be used in admin panel side menu</t>
  </si>
  <si>
    <t>system_logo__black</t>
  </si>
  <si>
    <t>System Logo - Black</t>
  </si>
  <si>
    <t>will_be_used_in_admin_panel_topbar_in_mobile__admin_login_page</t>
  </si>
  <si>
    <t>Will be used in admin panel topbar in mobile + Admin login page</t>
  </si>
  <si>
    <t>system_timezone</t>
  </si>
  <si>
    <t>System Timezone</t>
  </si>
  <si>
    <t>admin_login_page_background</t>
  </si>
  <si>
    <t>Admin login page background</t>
  </si>
  <si>
    <t>website_header</t>
  </si>
  <si>
    <t>Website Header</t>
  </si>
  <si>
    <t>header_setting</t>
  </si>
  <si>
    <t>Header Setting</t>
  </si>
  <si>
    <t>header_logo</t>
  </si>
  <si>
    <t>Header Logo</t>
  </si>
  <si>
    <t>show_language_switcher</t>
  </si>
  <si>
    <t>Show Language Switcher?</t>
  </si>
  <si>
    <t>show_currency_switcher</t>
  </si>
  <si>
    <t>Show Currency Switcher?</t>
  </si>
  <si>
    <t>enable_stikcy_header</t>
  </si>
  <si>
    <t>Enable stikcy header?</t>
  </si>
  <si>
    <t>website_footer</t>
  </si>
  <si>
    <t>Website Footer</t>
  </si>
  <si>
    <t>footer_widget</t>
  </si>
  <si>
    <t>Footer Widget</t>
  </si>
  <si>
    <t>about_widget</t>
  </si>
  <si>
    <t>About Widget</t>
  </si>
  <si>
    <t>footer_logo</t>
  </si>
  <si>
    <t>Footer Logo</t>
  </si>
  <si>
    <t>about_description</t>
  </si>
  <si>
    <t>About description</t>
  </si>
  <si>
    <t>contact_info_widget</t>
  </si>
  <si>
    <t>Contact Info Widget</t>
  </si>
  <si>
    <t>footer_contact_address</t>
  </si>
  <si>
    <t>Footer contact address</t>
  </si>
  <si>
    <t>footer_contact_phone</t>
  </si>
  <si>
    <t>Footer contact phone</t>
  </si>
  <si>
    <t>footer_contact_email</t>
  </si>
  <si>
    <t>Footer contact email</t>
  </si>
  <si>
    <t>link_widget_one</t>
  </si>
  <si>
    <t>Link Widget One</t>
  </si>
  <si>
    <t>links</t>
  </si>
  <si>
    <t>Links</t>
  </si>
  <si>
    <t>footer_bottom</t>
  </si>
  <si>
    <t>Footer Bottom</t>
  </si>
  <si>
    <t>copyright_widget_</t>
  </si>
  <si>
    <t>Copyright Widget</t>
  </si>
  <si>
    <t>copyright_text</t>
  </si>
  <si>
    <t>Copyright Text</t>
  </si>
  <si>
    <t>social_link_widget_</t>
  </si>
  <si>
    <t>Social Link Widget</t>
  </si>
  <si>
    <t>show_social_links</t>
  </si>
  <si>
    <t>Show Social Links?</t>
  </si>
  <si>
    <t>social_links</t>
  </si>
  <si>
    <t>Social Links</t>
  </si>
  <si>
    <t>payment_methods_widget_</t>
  </si>
  <si>
    <t>Payment Methods Widget</t>
  </si>
  <si>
    <t>rtl_status_updated_successfully</t>
  </si>
  <si>
    <t>RTL status updated successfully</t>
  </si>
  <si>
    <t>language_changed_to_</t>
  </si>
  <si>
    <t>Language changed to</t>
  </si>
  <si>
    <t>inhouse_product_sale_report</t>
  </si>
  <si>
    <t>Inhouse Product sale report</t>
  </si>
  <si>
    <t>sort_by_category</t>
  </si>
  <si>
    <t>Sort by Category</t>
  </si>
  <si>
    <t>product_wise_stock_report</t>
  </si>
  <si>
    <t>Product wise stock report</t>
  </si>
  <si>
    <t>currency_changed_to_</t>
  </si>
  <si>
    <t>Currency changed to</t>
  </si>
  <si>
    <t>avatar</t>
  </si>
  <si>
    <t>Avatar</t>
  </si>
  <si>
    <t>copy</t>
  </si>
  <si>
    <t>Copy</t>
  </si>
  <si>
    <t>variant</t>
  </si>
  <si>
    <t>Variant</t>
  </si>
  <si>
    <t>variant_price</t>
  </si>
  <si>
    <t>Variant Price</t>
  </si>
  <si>
    <t>sku</t>
  </si>
  <si>
    <t>SKU</t>
  </si>
  <si>
    <t>key</t>
  </si>
  <si>
    <t>Key</t>
  </si>
  <si>
    <t>value</t>
  </si>
  <si>
    <t>Value</t>
  </si>
  <si>
    <t>copy_translations</t>
  </si>
  <si>
    <t>Copy Translations</t>
  </si>
  <si>
    <t>all_pickup_points</t>
  </si>
  <si>
    <t>All Pick-up Points</t>
  </si>
  <si>
    <t>add_new_pickup_point</t>
  </si>
  <si>
    <t>Add New Pick-up Point</t>
  </si>
  <si>
    <t>manager</t>
  </si>
  <si>
    <t>Manager</t>
  </si>
  <si>
    <t>location</t>
  </si>
  <si>
    <t>Location</t>
  </si>
  <si>
    <t>pickup_station_contact</t>
  </si>
  <si>
    <t>Pickup Station Contact</t>
  </si>
  <si>
    <t>open</t>
  </si>
  <si>
    <t>Open</t>
  </si>
  <si>
    <t>pos_activation_for_seller</t>
  </si>
  <si>
    <t>POS Activation for Seller</t>
  </si>
  <si>
    <t>order_completed_successfully</t>
  </si>
  <si>
    <t>Order Completed Successfully.</t>
  </si>
  <si>
    <t>text_input</t>
  </si>
  <si>
    <t>Text Input</t>
  </si>
  <si>
    <t>select</t>
  </si>
  <si>
    <t>Select</t>
  </si>
  <si>
    <t>multiple_select</t>
  </si>
  <si>
    <t>Multiple Select</t>
  </si>
  <si>
    <t>radio</t>
  </si>
  <si>
    <t>Radio</t>
  </si>
  <si>
    <t>file</t>
  </si>
  <si>
    <t>File</t>
  </si>
  <si>
    <t>email_address</t>
  </si>
  <si>
    <t>Email Address</t>
  </si>
  <si>
    <t>verification_info</t>
  </si>
  <si>
    <t>Verification Info</t>
  </si>
  <si>
    <t>approval</t>
  </si>
  <si>
    <t>Approval</t>
  </si>
  <si>
    <t>due_amount</t>
  </si>
  <si>
    <t>Due Amount</t>
  </si>
  <si>
    <t>show</t>
  </si>
  <si>
    <t>Show</t>
  </si>
  <si>
    <t>pay_now</t>
  </si>
  <si>
    <t>Pay Now</t>
  </si>
  <si>
    <t>affiliate_user_verification</t>
  </si>
  <si>
    <t>Affiliate User Verification</t>
  </si>
  <si>
    <t>reject</t>
  </si>
  <si>
    <t>Reject</t>
  </si>
  <si>
    <t>accept</t>
  </si>
  <si>
    <t>Accept</t>
  </si>
  <si>
    <t>beauty_health__hair</t>
  </si>
  <si>
    <t>Beauty, Health &amp; Hair</t>
  </si>
  <si>
    <t>comparison</t>
  </si>
  <si>
    <t>Comparison</t>
  </si>
  <si>
    <t>reset_compare_list</t>
  </si>
  <si>
    <t>Reset Compare List</t>
  </si>
  <si>
    <t>your_comparison_list_is_empty</t>
  </si>
  <si>
    <t>Your comparison list is empty</t>
  </si>
  <si>
    <t>convert_point_to_wallet</t>
  </si>
  <si>
    <t>Convert Point To Wallet</t>
  </si>
  <si>
    <t>note_you_need_to_activate_wallet_option_first_before_using_club_point_addon</t>
  </si>
  <si>
    <t>Note: You need to activate wallet option first before using club point addon.</t>
  </si>
  <si>
    <t>create_an_account</t>
  </si>
  <si>
    <t>Create an account.</t>
  </si>
  <si>
    <t>use_email_instead</t>
  </si>
  <si>
    <t>Use Email Instead</t>
  </si>
  <si>
    <t>by_signing_up_you_agree_to_our_terms_and_conditions</t>
  </si>
  <si>
    <t>By signing up you agree to our terms and conditions.</t>
  </si>
  <si>
    <t>create_account</t>
  </si>
  <si>
    <t>Create Account</t>
  </si>
  <si>
    <t>or_join_with</t>
  </si>
  <si>
    <t>Or Join With</t>
  </si>
  <si>
    <t>Already have an account?</t>
  </si>
  <si>
    <t>log_in</t>
  </si>
  <si>
    <t>Log In</t>
  </si>
  <si>
    <t>computer__accessories</t>
  </si>
  <si>
    <t>Computer &amp; Accessories</t>
  </si>
  <si>
    <t>products</t>
  </si>
  <si>
    <t>Product(s)</t>
  </si>
  <si>
    <t>in_your_cart</t>
  </si>
  <si>
    <t>in your cart</t>
  </si>
  <si>
    <t>in_your_wishlist</t>
  </si>
  <si>
    <t>in your wishlist</t>
  </si>
  <si>
    <t>you_ordered</t>
  </si>
  <si>
    <t>you ordered</t>
  </si>
  <si>
    <t>default_shipping_address</t>
  </si>
  <si>
    <t>Default Shipping Address</t>
  </si>
  <si>
    <t>sports__outdoor</t>
  </si>
  <si>
    <t>Sports &amp; outdoor</t>
  </si>
  <si>
    <t>copied</t>
  </si>
  <si>
    <t>Copied</t>
  </si>
  <si>
    <t>copy_the_promote_link</t>
  </si>
  <si>
    <t>Copy the Promote Link</t>
  </si>
  <si>
    <t>write_a_review</t>
  </si>
  <si>
    <t>Write a review</t>
  </si>
  <si>
    <t>your_name</t>
  </si>
  <si>
    <t>Your name</t>
  </si>
  <si>
    <t>comment</t>
  </si>
  <si>
    <t>Comment</t>
  </si>
  <si>
    <t>your_review</t>
  </si>
  <si>
    <t>Your review</t>
  </si>
  <si>
    <t>submit_review</t>
  </si>
  <si>
    <t>Submit review</t>
  </si>
  <si>
    <t>claire_willis</t>
  </si>
  <si>
    <t>Claire Willis</t>
  </si>
  <si>
    <t>germaine_greene</t>
  </si>
  <si>
    <t>Germaine Greene</t>
  </si>
  <si>
    <t>product_file</t>
  </si>
  <si>
    <t>Product File</t>
  </si>
  <si>
    <t>choose_file</t>
  </si>
  <si>
    <t>Choose file</t>
  </si>
  <si>
    <t>type_to_add_a_tag</t>
  </si>
  <si>
    <t>Type to add a tag</t>
  </si>
  <si>
    <t>images</t>
  </si>
  <si>
    <t>Images</t>
  </si>
  <si>
    <t>main_images</t>
  </si>
  <si>
    <t>Main Images</t>
  </si>
  <si>
    <t>meta_tags</t>
  </si>
  <si>
    <t>Meta Tags</t>
  </si>
  <si>
    <t>digital_product_has_been_inserted_successfully</t>
  </si>
  <si>
    <t>Digital Product has been inserted successfully</t>
  </si>
  <si>
    <t>edit_digital_product</t>
  </si>
  <si>
    <t>Edit Digital Product</t>
  </si>
  <si>
    <t>select_an_option</t>
  </si>
  <si>
    <t>Select an option</t>
  </si>
  <si>
    <t>tax</t>
  </si>
  <si>
    <t>Tax</t>
  </si>
  <si>
    <t>any_question_about_this_product</t>
  </si>
  <si>
    <t>Any question about this product?</t>
  </si>
  <si>
    <t>sign_in</t>
  </si>
  <si>
    <t>Sign in</t>
  </si>
  <si>
    <t>login_with_google</t>
  </si>
  <si>
    <t>Login with Google</t>
  </si>
  <si>
    <t>login_with_facebook</t>
  </si>
  <si>
    <t>Login with Facebook</t>
  </si>
  <si>
    <t>login_with_twitter</t>
  </si>
  <si>
    <t>Login with Twitter</t>
  </si>
  <si>
    <t>click_to_show_phone_number</t>
  </si>
  <si>
    <t>Click to show phone number</t>
  </si>
  <si>
    <t>other_ads_of</t>
  </si>
  <si>
    <t>Other Ads of</t>
  </si>
  <si>
    <t>store_home</t>
  </si>
  <si>
    <t>Store Home</t>
  </si>
  <si>
    <t>top_selling</t>
  </si>
  <si>
    <t>Top Selling</t>
  </si>
  <si>
    <t>shop_settings</t>
  </si>
  <si>
    <t>Shop Settings</t>
  </si>
  <si>
    <t>visit_shop</t>
  </si>
  <si>
    <t>Visit Shop</t>
  </si>
  <si>
    <t>pickup_points</t>
  </si>
  <si>
    <t>Pickup Points</t>
  </si>
  <si>
    <t>select_pickup_point</t>
  </si>
  <si>
    <t>Select Pickup Point</t>
  </si>
  <si>
    <t>slider_settings</t>
  </si>
  <si>
    <t>Slider Settings</t>
  </si>
  <si>
    <t>social_media_link</t>
  </si>
  <si>
    <t>Social Media Link</t>
  </si>
  <si>
    <t>facebook</t>
  </si>
  <si>
    <t>Facebook</t>
  </si>
  <si>
    <t>twitter</t>
  </si>
  <si>
    <t>Twitter</t>
  </si>
  <si>
    <t>google</t>
  </si>
  <si>
    <t>Google</t>
  </si>
  <si>
    <t>new_arrival_products</t>
  </si>
  <si>
    <t>New Arrival Products</t>
  </si>
  <si>
    <t>check_your_order_status</t>
  </si>
  <si>
    <t>Check Your Order Status</t>
  </si>
  <si>
    <t>shipping_method</t>
  </si>
  <si>
    <t>Shipping method</t>
  </si>
  <si>
    <t>shipped_by</t>
  </si>
  <si>
    <t>Shipped By</t>
  </si>
  <si>
    <t>image</t>
  </si>
  <si>
    <t>Image</t>
  </si>
  <si>
    <t>sub_sub_category</t>
  </si>
  <si>
    <t>Sub Sub Category</t>
  </si>
  <si>
    <t>inhouse_products</t>
  </si>
  <si>
    <t>Inhouse Products</t>
  </si>
  <si>
    <t>Forgot Password?</t>
  </si>
  <si>
    <t>enter_your_email_address_to_recover_your_password</t>
  </si>
  <si>
    <t>Enter your email address to recover your password.</t>
  </si>
  <si>
    <t>email_or_phone</t>
  </si>
  <si>
    <t>Email or Phone</t>
  </si>
  <si>
    <t>send_password_reset_link</t>
  </si>
  <si>
    <t>Send Password Reset Link</t>
  </si>
  <si>
    <t>back_to_login</t>
  </si>
  <si>
    <t>Back to Login</t>
  </si>
  <si>
    <t>index</t>
  </si>
  <si>
    <t>download_your_product</t>
  </si>
  <si>
    <t>Download Your Product</t>
  </si>
  <si>
    <t>option</t>
  </si>
  <si>
    <t>Option</t>
  </si>
  <si>
    <t>applied_refund_request</t>
  </si>
  <si>
    <t>Applied Refund Request</t>
  </si>
  <si>
    <t>item_has_been_renoved_from_wishlist</t>
  </si>
  <si>
    <t>Item has been renoved from wishlist</t>
  </si>
  <si>
    <t>bulk_products_upload</t>
  </si>
  <si>
    <t>Bulk Products Upload</t>
  </si>
  <si>
    <t>upload_csv</t>
  </si>
  <si>
    <t>Upload CSV</t>
  </si>
  <si>
    <t>create_a_ticket</t>
  </si>
  <si>
    <t>Create a Ticket</t>
  </si>
  <si>
    <t>tickets</t>
  </si>
  <si>
    <t>Tickets</t>
  </si>
  <si>
    <t>ticket_id</t>
  </si>
  <si>
    <t>Ticket ID</t>
  </si>
  <si>
    <t>sending_date</t>
  </si>
  <si>
    <t>Sending Date</t>
  </si>
  <si>
    <t>subject</t>
  </si>
  <si>
    <t>Subject</t>
  </si>
  <si>
    <t>view_details</t>
  </si>
  <si>
    <t>View Details</t>
  </si>
  <si>
    <t>provide_a_detailed_description</t>
  </si>
  <si>
    <t>Provide a detailed description</t>
  </si>
  <si>
    <t>type_your_reply</t>
  </si>
  <si>
    <t>Type your reply</t>
  </si>
  <si>
    <t>send_ticket</t>
  </si>
  <si>
    <t>Send Ticket</t>
  </si>
  <si>
    <t>load_more</t>
  </si>
  <si>
    <t>Load More</t>
  </si>
  <si>
    <t>jewelry__watches</t>
  </si>
  <si>
    <t>Jewelry &amp; Watches</t>
  </si>
  <si>
    <t>filters</t>
  </si>
  <si>
    <t>Filters</t>
  </si>
  <si>
    <t>contact_address</t>
  </si>
  <si>
    <t>Contact address</t>
  </si>
  <si>
    <t>contact_phone</t>
  </si>
  <si>
    <t>Contact phone</t>
  </si>
  <si>
    <t>contact_email</t>
  </si>
  <si>
    <t>Contact email</t>
  </si>
  <si>
    <t>filter_by</t>
  </si>
  <si>
    <t>Filter by</t>
  </si>
  <si>
    <t>condition</t>
  </si>
  <si>
    <t>Condition</t>
  </si>
  <si>
    <t>all_type</t>
  </si>
  <si>
    <t>All Type</t>
  </si>
  <si>
    <t>pay_with_wallet</t>
  </si>
  <si>
    <t>Pay with wallet</t>
  </si>
  <si>
    <t>select_variation</t>
  </si>
  <si>
    <t>Select variation</t>
  </si>
  <si>
    <t>no_product_added</t>
  </si>
  <si>
    <t>No Product Added</t>
  </si>
  <si>
    <t>status_has_been_updated_successfully</t>
  </si>
  <si>
    <t>Status has been updated successfully</t>
  </si>
  <si>
    <t>all_seller_packages</t>
  </si>
  <si>
    <t>All Seller Packages</t>
  </si>
  <si>
    <t>add_new_package</t>
  </si>
  <si>
    <t>Add New Package</t>
  </si>
  <si>
    <t>package_logo</t>
  </si>
  <si>
    <t>Package Logo</t>
  </si>
  <si>
    <t>days</t>
  </si>
  <si>
    <t>create_new_seller_package</t>
  </si>
  <si>
    <t>Create New Seller Package</t>
  </si>
  <si>
    <t>package_name</t>
  </si>
  <si>
    <t>Package Name</t>
  </si>
  <si>
    <t>duration</t>
  </si>
  <si>
    <t>Duration</t>
  </si>
  <si>
    <t>validity_in_number_of_days</t>
  </si>
  <si>
    <t>Validity in number of days</t>
  </si>
  <si>
    <t>update_package_information</t>
  </si>
  <si>
    <t>Update Package Information</t>
  </si>
  <si>
    <t>package_has_been_inserted_successfully</t>
  </si>
  <si>
    <t>Package has been inserted successfully</t>
  </si>
  <si>
    <t>refund_request</t>
  </si>
  <si>
    <t>Refund Request</t>
  </si>
  <si>
    <t>reason</t>
  </si>
  <si>
    <t>Reason</t>
  </si>
  <si>
    <t>label</t>
  </si>
  <si>
    <t>Label</t>
  </si>
  <si>
    <t>select_label</t>
  </si>
  <si>
    <t>Select Label</t>
  </si>
  <si>
    <t>multiple_select_label</t>
  </si>
  <si>
    <t>Multiple Select Label</t>
  </si>
  <si>
    <t>radio_label</t>
  </si>
  <si>
    <t>Radio Label</t>
  </si>
  <si>
    <t>pickup_point_orders</t>
  </si>
  <si>
    <t>Pickup Point Orders</t>
  </si>
  <si>
    <t>view</t>
  </si>
  <si>
    <t>View</t>
  </si>
  <si>
    <t>order_</t>
  </si>
  <si>
    <t>Order #</t>
  </si>
  <si>
    <t>order_status</t>
  </si>
  <si>
    <t>Order Status</t>
  </si>
  <si>
    <t>total_amount</t>
  </si>
  <si>
    <t>Total amount</t>
  </si>
  <si>
    <t>total</t>
  </si>
  <si>
    <t>TOTAL</t>
  </si>
  <si>
    <t>delivery_status_has_been_updated</t>
  </si>
  <si>
    <t>Delivery status has been updated</t>
  </si>
  <si>
    <t>payment_status_has_been_updated</t>
  </si>
  <si>
    <t>Payment status has been updated</t>
  </si>
  <si>
    <t>invoice</t>
  </si>
  <si>
    <t>INVOICE</t>
  </si>
  <si>
    <t>set_refund_time</t>
  </si>
  <si>
    <t>Set Refund Time</t>
  </si>
  <si>
    <t>set_time_for_sending_refund_request</t>
  </si>
  <si>
    <t>Set Time for sending Refund Request</t>
  </si>
  <si>
    <t>set_refund_sticker</t>
  </si>
  <si>
    <t>Set Refund Sticker</t>
  </si>
  <si>
    <t>sticker</t>
  </si>
  <si>
    <t>Sticker</t>
  </si>
  <si>
    <t>refund_request_all</t>
  </si>
  <si>
    <t>Refund Request All</t>
  </si>
  <si>
    <t>order_id</t>
  </si>
  <si>
    <t>Order Id</t>
  </si>
  <si>
    <t>seller_approval</t>
  </si>
  <si>
    <t>Seller Approval</t>
  </si>
  <si>
    <t>admin_approval</t>
  </si>
  <si>
    <t>Admin Approval</t>
  </si>
  <si>
    <t>refund_status</t>
  </si>
  <si>
    <t>Refund Status</t>
  </si>
  <si>
    <t>no_refund</t>
  </si>
  <si>
    <t>No Refund</t>
  </si>
  <si>
    <t>status_updated_successfully</t>
  </si>
  <si>
    <t>Status updated successfully</t>
  </si>
  <si>
    <t>user_search_report</t>
  </si>
  <si>
    <t>User Search Report</t>
  </si>
  <si>
    <t>search_by</t>
  </si>
  <si>
    <t>Search By</t>
  </si>
  <si>
    <t>number_searches</t>
  </si>
  <si>
    <t>Number searches</t>
  </si>
  <si>
    <t>sender</t>
  </si>
  <si>
    <t>Sender</t>
  </si>
  <si>
    <t>receiver</t>
  </si>
  <si>
    <t>Receiver</t>
  </si>
  <si>
    <t>verification_form_updated_successfully</t>
  </si>
  <si>
    <t>Verification form updated successfully</t>
  </si>
  <si>
    <t>invalid_email_or_password</t>
  </si>
  <si>
    <t>Invalid email or password</t>
  </si>
  <si>
    <t>all_coupons</t>
  </si>
  <si>
    <t>All Coupons</t>
  </si>
  <si>
    <t>add_new_coupon</t>
  </si>
  <si>
    <t>Add New Coupon</t>
  </si>
  <si>
    <t>coupon_information</t>
  </si>
  <si>
    <t>Coupon Information</t>
  </si>
  <si>
    <t>start_date</t>
  </si>
  <si>
    <t>Start Date</t>
  </si>
  <si>
    <t>end_date</t>
  </si>
  <si>
    <t>End Date</t>
  </si>
  <si>
    <t>product_base</t>
  </si>
  <si>
    <t>Product Base</t>
  </si>
  <si>
    <t>send_newsletter</t>
  </si>
  <si>
    <t>Send Newsletter</t>
  </si>
  <si>
    <t>mobile_users</t>
  </si>
  <si>
    <t>Mobile Users</t>
  </si>
  <si>
    <t>sms_subject</t>
  </si>
  <si>
    <t>SMS subject</t>
  </si>
  <si>
    <t>sms_content</t>
  </si>
  <si>
    <t>SMS content</t>
  </si>
  <si>
    <t>all_flash_delas</t>
  </si>
  <si>
    <t>All Flash Delas</t>
  </si>
  <si>
    <t>create_new_flash_dela</t>
  </si>
  <si>
    <t>Create New Flash Dela</t>
  </si>
  <si>
    <t>page_link</t>
  </si>
  <si>
    <t>Page Link</t>
  </si>
  <si>
    <t>flash_deal_information</t>
  </si>
  <si>
    <t>Flash Deal Information</t>
  </si>
  <si>
    <t>background_color</t>
  </si>
  <si>
    <t>Background Color</t>
  </si>
  <si>
    <t>0000ff</t>
  </si>
  <si>
    <t>#0000ff</t>
  </si>
  <si>
    <t>text_color</t>
  </si>
  <si>
    <t>Text Color</t>
  </si>
  <si>
    <t>white</t>
  </si>
  <si>
    <t>White</t>
  </si>
  <si>
    <t>dark</t>
  </si>
  <si>
    <t>Dark</t>
  </si>
  <si>
    <t>choose_products</t>
  </si>
  <si>
    <t>Choose Products</t>
  </si>
  <si>
    <t>discounts</t>
  </si>
  <si>
    <t>Discounts</t>
  </si>
  <si>
    <t>discount_type</t>
  </si>
  <si>
    <t>Discount Type</t>
  </si>
  <si>
    <t>twillo_credential</t>
  </si>
  <si>
    <t>Twillo Credential</t>
  </si>
  <si>
    <t>twilio_sid</t>
  </si>
  <si>
    <t>TWILIO SID</t>
  </si>
  <si>
    <t>twilio_auth_token</t>
  </si>
  <si>
    <t>TWILIO AUTH TOKEN</t>
  </si>
  <si>
    <t>twilio_verify_sid</t>
  </si>
  <si>
    <t>TWILIO VERIFY SID</t>
  </si>
  <si>
    <t>valid_twillo_number</t>
  </si>
  <si>
    <t>VALID TWILLO NUMBER</t>
  </si>
  <si>
    <t>nexmo_credential</t>
  </si>
  <si>
    <t>Nexmo Credential</t>
  </si>
  <si>
    <t>nexmo_key</t>
  </si>
  <si>
    <t>NEXMO KEY</t>
  </si>
  <si>
    <t>nexmo_secret</t>
  </si>
  <si>
    <t>NEXMO SECRET</t>
  </si>
  <si>
    <t>ssl_wireless_credential</t>
  </si>
  <si>
    <t>SSL Wireless Credential</t>
  </si>
  <si>
    <t>ssl_sms_api_token</t>
  </si>
  <si>
    <t>SSL SMS API TOKEN</t>
  </si>
  <si>
    <t>ssl_sms_sid</t>
  </si>
  <si>
    <t>SSL SMS SID</t>
  </si>
  <si>
    <t>ssl_sms_url</t>
  </si>
  <si>
    <t>SSL SMS URL</t>
  </si>
  <si>
    <t>fast2sms_credential</t>
  </si>
  <si>
    <t>Fast2SMS Credential</t>
  </si>
  <si>
    <t>auth_key</t>
  </si>
  <si>
    <t>AUTH KEY</t>
  </si>
  <si>
    <t>route</t>
  </si>
  <si>
    <t>ROUTE</t>
  </si>
  <si>
    <t>promotional_use</t>
  </si>
  <si>
    <t>Promotional Use</t>
  </si>
  <si>
    <t>transactional_use</t>
  </si>
  <si>
    <t>Transactional Use</t>
  </si>
  <si>
    <t>sender_id</t>
  </si>
  <si>
    <t>SENDER ID</t>
  </si>
  <si>
    <t>nexmo_otp</t>
  </si>
  <si>
    <t>Nexmo OTP</t>
  </si>
  <si>
    <t>twillo_otp</t>
  </si>
  <si>
    <t>Twillo OTP</t>
  </si>
  <si>
    <t>ssl_wireless_otp</t>
  </si>
  <si>
    <t>SSL Wireless OTP</t>
  </si>
  <si>
    <t>fast2sms_otp</t>
  </si>
  <si>
    <t>Fast2SMS OTP</t>
  </si>
  <si>
    <t>order_placement</t>
  </si>
  <si>
    <t>Order Placement</t>
  </si>
  <si>
    <t>delivery_status_changing_time</t>
  </si>
  <si>
    <t>Delivery Status Changing Time</t>
  </si>
  <si>
    <t>paid_status_changing_time</t>
  </si>
  <si>
    <t>Paid Status Changing Time</t>
  </si>
  <si>
    <t>send_bulk_sms</t>
  </si>
  <si>
    <t>Send Bulk SMS</t>
  </si>
  <si>
    <t>all_subscribers</t>
  </si>
  <si>
    <t>All Subscribers</t>
  </si>
  <si>
    <t>coupon_information_adding</t>
  </si>
  <si>
    <t>Coupon Information Adding</t>
  </si>
  <si>
    <t>coupon_type</t>
  </si>
  <si>
    <t>Coupon Type</t>
  </si>
  <si>
    <t>for_products</t>
  </si>
  <si>
    <t>For Products</t>
  </si>
  <si>
    <t>for_total_orders</t>
  </si>
  <si>
    <t>For Total Orders</t>
  </si>
  <si>
    <t>add_your_product_base_coupon</t>
  </si>
  <si>
    <t>Add Your Product Base Coupon</t>
  </si>
  <si>
    <t>coupon_code</t>
  </si>
  <si>
    <t>Coupon code</t>
  </si>
  <si>
    <t>sub_category</t>
  </si>
  <si>
    <t>Sub Category</t>
  </si>
  <si>
    <t>add_more</t>
  </si>
  <si>
    <t>Add More</t>
  </si>
  <si>
    <t>add_your_cart_base_coupon</t>
  </si>
  <si>
    <t>Add Your Cart Base Coupon</t>
  </si>
  <si>
    <t>minimum_shopping</t>
  </si>
  <si>
    <t>Minimum Shopping</t>
  </si>
  <si>
    <t>maximum_discount_amount</t>
  </si>
  <si>
    <t>Maximum Discount Amount</t>
  </si>
  <si>
    <t>coupon_information_update</t>
  </si>
  <si>
    <t>Coupon Information Update</t>
  </si>
  <si>
    <t>please_configure_smtp_setting_to_work_all_email_sending_funtionality</t>
  </si>
  <si>
    <t>Please Configure SMTP Setting to work all email sending funtionality</t>
  </si>
  <si>
    <t>configure_now</t>
  </si>
  <si>
    <t>Configure Now</t>
  </si>
  <si>
    <t>total_published_products</t>
  </si>
  <si>
    <t>Total published products</t>
  </si>
  <si>
    <t>total_sellers_products</t>
  </si>
  <si>
    <t>Total sellers products</t>
  </si>
  <si>
    <t>total_admin_products</t>
  </si>
  <si>
    <t>Total admin products</t>
  </si>
  <si>
    <t>manage_products</t>
  </si>
  <si>
    <t>Manage Products</t>
  </si>
  <si>
    <t>total_product_category</t>
  </si>
  <si>
    <t>Total product category</t>
  </si>
  <si>
    <t>create_category</t>
  </si>
  <si>
    <t>Create Category</t>
  </si>
  <si>
    <t>total_product_sub_sub_category</t>
  </si>
  <si>
    <t>Total product sub sub category</t>
  </si>
  <si>
    <t>create_sub_sub_category</t>
  </si>
  <si>
    <t>Create Sub Sub Category</t>
  </si>
  <si>
    <t>total_product_sub_category</t>
  </si>
  <si>
    <t>Total product sub category</t>
  </si>
  <si>
    <t>create_sub_category</t>
  </si>
  <si>
    <t>Create Sub Category</t>
  </si>
  <si>
    <t>total_product_brand</t>
  </si>
  <si>
    <t>Total product brand</t>
  </si>
  <si>
    <t>create_brand</t>
  </si>
  <si>
    <t>Create Brand</t>
  </si>
  <si>
    <t>total_sellers</t>
  </si>
  <si>
    <t>Total sellers</t>
  </si>
  <si>
    <t>total_approved_sellers</t>
  </si>
  <si>
    <t>Total approved sellers</t>
  </si>
  <si>
    <t>total_pending_sellers</t>
  </si>
  <si>
    <t>Total pending sellers</t>
  </si>
  <si>
    <t>manage_sellers</t>
  </si>
  <si>
    <t>Manage Sellers</t>
  </si>
  <si>
    <t>category_wise_product_sale</t>
  </si>
  <si>
    <t>Category wise product sale</t>
  </si>
  <si>
    <t>sale</t>
  </si>
  <si>
    <t>Sale</t>
  </si>
  <si>
    <t>category_wise_product_stock</t>
  </si>
  <si>
    <t>Category wise product stock</t>
  </si>
  <si>
    <t>category_name</t>
  </si>
  <si>
    <t>Category Name</t>
  </si>
  <si>
    <t>stock</t>
  </si>
  <si>
    <t>Stock</t>
  </si>
  <si>
    <t>frontend</t>
  </si>
  <si>
    <t>Frontend</t>
  </si>
  <si>
    <t>home_page</t>
  </si>
  <si>
    <t>Home page</t>
  </si>
  <si>
    <t>setting</t>
  </si>
  <si>
    <t>policy_page</t>
  </si>
  <si>
    <t>Policy page</t>
  </si>
  <si>
    <t>general</t>
  </si>
  <si>
    <t>General</t>
  </si>
  <si>
    <t>click_here</t>
  </si>
  <si>
    <t>Click Here</t>
  </si>
  <si>
    <t>useful_link</t>
  </si>
  <si>
    <t>Useful link</t>
  </si>
  <si>
    <t>activation</t>
  </si>
  <si>
    <t>Activation</t>
  </si>
  <si>
    <t>smtp</t>
  </si>
  <si>
    <t>SMTP</t>
  </si>
  <si>
    <t>payment_method</t>
  </si>
  <si>
    <t>Payment method</t>
  </si>
  <si>
    <t>social_media</t>
  </si>
  <si>
    <t>Social media</t>
  </si>
  <si>
    <t>business</t>
  </si>
  <si>
    <t>Business</t>
  </si>
  <si>
    <t>seller_verification</t>
  </si>
  <si>
    <t>Seller verification</t>
  </si>
  <si>
    <t>form_setting</t>
  </si>
  <si>
    <t>form setting</t>
  </si>
  <si>
    <t>language</t>
  </si>
  <si>
    <t>Language</t>
  </si>
  <si>
    <t>dashboard</t>
  </si>
  <si>
    <t>Dashboard</t>
  </si>
  <si>
    <t>pos_system</t>
  </si>
  <si>
    <t>POS System</t>
  </si>
  <si>
    <t>pos_manager</t>
  </si>
  <si>
    <t>POS Manager</t>
  </si>
  <si>
    <t>pos_configuration</t>
  </si>
  <si>
    <t>POS Configuration</t>
  </si>
  <si>
    <t>Products</t>
  </si>
  <si>
    <t>add_new_product</t>
  </si>
  <si>
    <t>Add New product</t>
  </si>
  <si>
    <t>all_products</t>
  </si>
  <si>
    <t>All Products</t>
  </si>
  <si>
    <t>in_house_products</t>
  </si>
  <si>
    <t>In House Products</t>
  </si>
  <si>
    <t>seller_products</t>
  </si>
  <si>
    <t>Seller Products</t>
  </si>
  <si>
    <t>digital_products</t>
  </si>
  <si>
    <t>Digital Products</t>
  </si>
  <si>
    <t>bulk_import</t>
  </si>
  <si>
    <t>Bulk Import</t>
  </si>
  <si>
    <t>bulk_export</t>
  </si>
  <si>
    <t>Bulk Export</t>
  </si>
  <si>
    <t>category</t>
  </si>
  <si>
    <t>Category</t>
  </si>
  <si>
    <t>subcategory</t>
  </si>
  <si>
    <t>Subcategory</t>
  </si>
  <si>
    <t>sub_subcategory</t>
  </si>
  <si>
    <t>Sub Subcategory</t>
  </si>
  <si>
    <t>brand</t>
  </si>
  <si>
    <t>Brand</t>
  </si>
  <si>
    <t>attribute</t>
  </si>
  <si>
    <t>Attribute</t>
  </si>
  <si>
    <t>product_reviews</t>
  </si>
  <si>
    <t>Product Reviews</t>
  </si>
  <si>
    <t>sales</t>
  </si>
  <si>
    <t>Sales</t>
  </si>
  <si>
    <t>all_orders</t>
  </si>
  <si>
    <t>All Orders</t>
  </si>
  <si>
    <t>inhouse_orders</t>
  </si>
  <si>
    <t>Inhouse orders</t>
  </si>
  <si>
    <t>seller_orders</t>
  </si>
  <si>
    <t>Seller Orders</t>
  </si>
  <si>
    <t>pickup_point_order</t>
  </si>
  <si>
    <t>Pick-up Point Order</t>
  </si>
  <si>
    <t>refunds</t>
  </si>
  <si>
    <t>Refunds</t>
  </si>
  <si>
    <t>refund_requests</t>
  </si>
  <si>
    <t>Refund Requests</t>
  </si>
  <si>
    <t>approved_refund</t>
  </si>
  <si>
    <t>Approved Refund</t>
  </si>
  <si>
    <t>refund_configuration</t>
  </si>
  <si>
    <t>Refund Configuration</t>
  </si>
  <si>
    <t>customers</t>
  </si>
  <si>
    <t>Customers</t>
  </si>
  <si>
    <t>customer_list</t>
  </si>
  <si>
    <t>Customer list</t>
  </si>
  <si>
    <t>classified_products</t>
  </si>
  <si>
    <t>Classified Products</t>
  </si>
  <si>
    <t>classified_packages</t>
  </si>
  <si>
    <t>Classified Packages</t>
  </si>
  <si>
    <t>sellers</t>
  </si>
  <si>
    <t>Sellers</t>
  </si>
  <si>
    <t>all_seller</t>
  </si>
  <si>
    <t>All Seller</t>
  </si>
  <si>
    <t>payouts</t>
  </si>
  <si>
    <t>Payouts</t>
  </si>
  <si>
    <t>payout_requests</t>
  </si>
  <si>
    <t>Payout Requests</t>
  </si>
  <si>
    <t>seller_commission</t>
  </si>
  <si>
    <t>Seller Commission</t>
  </si>
  <si>
    <t>seller_packages</t>
  </si>
  <si>
    <t>Seller Packages</t>
  </si>
  <si>
    <t>seller_verification_form</t>
  </si>
  <si>
    <t>Seller Verification Form</t>
  </si>
  <si>
    <t>reports</t>
  </si>
  <si>
    <t>Reports</t>
  </si>
  <si>
    <t>in_house_product_sale</t>
  </si>
  <si>
    <t>In House Product Sale</t>
  </si>
  <si>
    <t>seller_products_sale</t>
  </si>
  <si>
    <t>Seller Products Sale</t>
  </si>
  <si>
    <t>products_stock</t>
  </si>
  <si>
    <t>Products Stock</t>
  </si>
  <si>
    <t>products_wishlist</t>
  </si>
  <si>
    <t>Products wishlist</t>
  </si>
  <si>
    <t>user_searches</t>
  </si>
  <si>
    <t>User Searches</t>
  </si>
  <si>
    <t>marketing</t>
  </si>
  <si>
    <t>Marketing</t>
  </si>
  <si>
    <t>flash_deals</t>
  </si>
  <si>
    <t>Flash deals</t>
  </si>
  <si>
    <t>newsletters</t>
  </si>
  <si>
    <t>Newsletters</t>
  </si>
  <si>
    <t>bulk_sms</t>
  </si>
  <si>
    <t>Bulk SMS</t>
  </si>
  <si>
    <t>subscribers</t>
  </si>
  <si>
    <t>Subscribers</t>
  </si>
  <si>
    <t>coupon</t>
  </si>
  <si>
    <t>Coupon</t>
  </si>
  <si>
    <t>support</t>
  </si>
  <si>
    <t>Support</t>
  </si>
  <si>
    <t>ticket</t>
  </si>
  <si>
    <t>Ticket</t>
  </si>
  <si>
    <t>product_queries</t>
  </si>
  <si>
    <t>Product Queries</t>
  </si>
  <si>
    <t>website_setup</t>
  </si>
  <si>
    <t>Website Setup</t>
  </si>
  <si>
    <t>header</t>
  </si>
  <si>
    <t>Header</t>
  </si>
  <si>
    <t>footer</t>
  </si>
  <si>
    <t>Footer</t>
  </si>
  <si>
    <t>pages</t>
  </si>
  <si>
    <t>Pages</t>
  </si>
  <si>
    <t>appearance</t>
  </si>
  <si>
    <t>Appearance</t>
  </si>
  <si>
    <t>setup__configurations</t>
  </si>
  <si>
    <t>Setup &amp; Configurations</t>
  </si>
  <si>
    <t>general_settings</t>
  </si>
  <si>
    <t>General Settings</t>
  </si>
  <si>
    <t>features_activation</t>
  </si>
  <si>
    <t>Features activation</t>
  </si>
  <si>
    <t>languages</t>
  </si>
  <si>
    <t>Languages</t>
  </si>
  <si>
    <t>currency</t>
  </si>
  <si>
    <t>Currency</t>
  </si>
  <si>
    <t>pickup_point</t>
  </si>
  <si>
    <t>Pickup point</t>
  </si>
  <si>
    <t>smtp_settings</t>
  </si>
  <si>
    <t>SMTP Settings</t>
  </si>
  <si>
    <t>payment_methods</t>
  </si>
  <si>
    <t>Payment Methods</t>
  </si>
  <si>
    <t>file_system_configuration</t>
  </si>
  <si>
    <t>File System Configuration</t>
  </si>
  <si>
    <t>social_media_logins</t>
  </si>
  <si>
    <t>Social media Logins</t>
  </si>
  <si>
    <t>analytics_tools</t>
  </si>
  <si>
    <t>Analytics Tools</t>
  </si>
  <si>
    <t>facebook_chat</t>
  </si>
  <si>
    <t>Facebook Chat</t>
  </si>
  <si>
    <t>google_recaptcha</t>
  </si>
  <si>
    <t>Google reCAPTCHA</t>
  </si>
  <si>
    <t>shipping_configuration</t>
  </si>
  <si>
    <t>Shipping Configuration</t>
  </si>
  <si>
    <t>shipping_countries</t>
  </si>
  <si>
    <t>Shipping Countries</t>
  </si>
  <si>
    <t>affiliate_system</t>
  </si>
  <si>
    <t>Affiliate System</t>
  </si>
  <si>
    <t>affiliate_registration_form</t>
  </si>
  <si>
    <t>Affiliate Registration Form</t>
  </si>
  <si>
    <t>affiliate_configurations</t>
  </si>
  <si>
    <t>Affiliate Configurations</t>
  </si>
  <si>
    <t>affiliate_users</t>
  </si>
  <si>
    <t>Affiliate Users</t>
  </si>
  <si>
    <t>referral_users</t>
  </si>
  <si>
    <t>Referral Users</t>
  </si>
  <si>
    <t>affiliate_withdraw_requests</t>
  </si>
  <si>
    <t>Affiliate Withdraw Requests</t>
  </si>
  <si>
    <t>offline_payment_system</t>
  </si>
  <si>
    <t>Offline Payment System</t>
  </si>
  <si>
    <t>manual_payment_methods</t>
  </si>
  <si>
    <t>Manual Payment Methods</t>
  </si>
  <si>
    <t>offline_wallet_recharge</t>
  </si>
  <si>
    <t>Offline Wallet Recharge</t>
  </si>
  <si>
    <t>offline_customer_package_payments</t>
  </si>
  <si>
    <t>Offline Customer Package Payments</t>
  </si>
  <si>
    <t>offline_seller_package_payments</t>
  </si>
  <si>
    <t>Offline Seller Package Payments</t>
  </si>
  <si>
    <t>paytm_payment_gateway</t>
  </si>
  <si>
    <t>Paytm Payment Gateway</t>
  </si>
  <si>
    <t>set_paytm_credentials</t>
  </si>
  <si>
    <t>Set Paytm Credentials</t>
  </si>
  <si>
    <t>club_point_system</t>
  </si>
  <si>
    <t>Club Point System</t>
  </si>
  <si>
    <t>club_point_configurations</t>
  </si>
  <si>
    <t>Club Point Configurations</t>
  </si>
  <si>
    <t>set_product_point</t>
  </si>
  <si>
    <t>Set Product Point</t>
  </si>
  <si>
    <t>user_points</t>
  </si>
  <si>
    <t>User Points</t>
  </si>
  <si>
    <t>otp_system</t>
  </si>
  <si>
    <t>OTP System</t>
  </si>
  <si>
    <t>otp_configurations</t>
  </si>
  <si>
    <t>OTP Configurations</t>
  </si>
  <si>
    <t>set_otp_credentials</t>
  </si>
  <si>
    <t>Set OTP Credentials</t>
  </si>
  <si>
    <t>staffs</t>
  </si>
  <si>
    <t>Staffs</t>
  </si>
  <si>
    <t>all_staffs</t>
  </si>
  <si>
    <t>All staffs</t>
  </si>
  <si>
    <t>staff_permissions</t>
  </si>
  <si>
    <t>Staff permissions</t>
  </si>
  <si>
    <t>addon_manager</t>
  </si>
  <si>
    <t>Addon Manager</t>
  </si>
  <si>
    <t>browse_website</t>
  </si>
  <si>
    <t>Browse Website</t>
  </si>
  <si>
    <t>pos</t>
  </si>
  <si>
    <t>POS</t>
  </si>
  <si>
    <t>notifications</t>
  </si>
  <si>
    <t>Notifications</t>
  </si>
  <si>
    <t>new_orders</t>
  </si>
  <si>
    <t>new orders</t>
  </si>
  <si>
    <t>userimage</t>
  </si>
  <si>
    <t>user-image</t>
  </si>
  <si>
    <t>profile</t>
  </si>
  <si>
    <t>Profile</t>
  </si>
  <si>
    <t>logout</t>
  </si>
  <si>
    <t>Logout</t>
  </si>
  <si>
    <t>page_not_found</t>
  </si>
  <si>
    <t>Page Not Found!</t>
  </si>
  <si>
    <t>the_page_you_are_looking_for_has_not_been_found_on_our_server</t>
  </si>
  <si>
    <t>The page you are looking for has not been found on our server.</t>
  </si>
  <si>
    <t>registration</t>
  </si>
  <si>
    <t>Registration</t>
  </si>
  <si>
    <t>i_am_shopping_for</t>
  </si>
  <si>
    <t>I am shopping for...</t>
  </si>
  <si>
    <t>compare</t>
  </si>
  <si>
    <t>Compare</t>
  </si>
  <si>
    <t>wishlist</t>
  </si>
  <si>
    <t>Wishlist</t>
  </si>
  <si>
    <t>cart</t>
  </si>
  <si>
    <t>Cart</t>
  </si>
  <si>
    <t>your_cart_is_empty</t>
  </si>
  <si>
    <t>Your Cart is empty</t>
  </si>
  <si>
    <t>categories</t>
  </si>
  <si>
    <t>Categories</t>
  </si>
  <si>
    <t>see_all</t>
  </si>
  <si>
    <t>See All</t>
  </si>
  <si>
    <t>seller_policy</t>
  </si>
  <si>
    <t>Seller Policy</t>
  </si>
  <si>
    <t>return_policy</t>
  </si>
  <si>
    <t>Return Policy</t>
  </si>
  <si>
    <t>support_policy</t>
  </si>
  <si>
    <t>Support Policy</t>
  </si>
  <si>
    <t>privacy_policy</t>
  </si>
  <si>
    <t>Privacy Policy</t>
  </si>
  <si>
    <t>your_email_address</t>
  </si>
  <si>
    <t>Your Email Address</t>
  </si>
  <si>
    <t>subscribe</t>
  </si>
  <si>
    <t>Subscribe</t>
  </si>
  <si>
    <t>contact_info</t>
  </si>
  <si>
    <t>Contact Info</t>
  </si>
  <si>
    <t>address</t>
  </si>
  <si>
    <t>Address</t>
  </si>
  <si>
    <t>phone</t>
  </si>
  <si>
    <t>Phone</t>
  </si>
  <si>
    <t>email</t>
  </si>
  <si>
    <t>Email</t>
  </si>
  <si>
    <t>login</t>
  </si>
  <si>
    <t>Login</t>
  </si>
  <si>
    <t>my_account</t>
  </si>
  <si>
    <t>My Account</t>
  </si>
  <si>
    <t>order_history</t>
  </si>
  <si>
    <t>Order History</t>
  </si>
  <si>
    <t>my_wishlist</t>
  </si>
  <si>
    <t>My Wishlist</t>
  </si>
  <si>
    <t>track_order</t>
  </si>
  <si>
    <t>Track Order</t>
  </si>
  <si>
    <t>be_an_affiliate_partner</t>
  </si>
  <si>
    <t>Be an affiliate partner</t>
  </si>
  <si>
    <t>be_a_seller</t>
  </si>
  <si>
    <t>Be a Seller</t>
  </si>
  <si>
    <t>apply_now</t>
  </si>
  <si>
    <t>Apply Now</t>
  </si>
  <si>
    <t>confirmation</t>
  </si>
  <si>
    <t>Confirmation</t>
  </si>
  <si>
    <t>delete_confirmation_message</t>
  </si>
  <si>
    <t>Delete confirmation message</t>
  </si>
  <si>
    <t>cancel</t>
  </si>
  <si>
    <t>Cancel</t>
  </si>
  <si>
    <t>delete</t>
  </si>
  <si>
    <t>Delete</t>
  </si>
  <si>
    <t>item_has_been_added_to_compare_list</t>
  </si>
  <si>
    <t>Item has been added to compare list</t>
  </si>
  <si>
    <t>please_login_first</t>
  </si>
  <si>
    <t>Please login first</t>
  </si>
  <si>
    <t>total_earnings_from</t>
  </si>
  <si>
    <t>Total Earnings From</t>
  </si>
  <si>
    <t>client_subscription</t>
  </si>
  <si>
    <t>Client Subscription</t>
  </si>
  <si>
    <t>product_category</t>
  </si>
  <si>
    <t>Product category</t>
  </si>
  <si>
    <t>product_sub_sub_category</t>
  </si>
  <si>
    <t>Product sub sub category</t>
  </si>
  <si>
    <t>product_sub_category</t>
  </si>
  <si>
    <t>Product sub category</t>
  </si>
  <si>
    <t>product_brand</t>
  </si>
  <si>
    <t>Product brand</t>
  </si>
  <si>
    <t>top_client_packages</t>
  </si>
  <si>
    <t>Top Client Packages</t>
  </si>
  <si>
    <t>top_freelancer_packages</t>
  </si>
  <si>
    <t>Top Freelancer Packages</t>
  </si>
  <si>
    <t>number_of_sale</t>
  </si>
  <si>
    <t>Number of sale</t>
  </si>
  <si>
    <t>number_of_stock</t>
  </si>
  <si>
    <t>Number of Stock</t>
  </si>
  <si>
    <t>top_10_products</t>
  </si>
  <si>
    <t>Top 10 Products</t>
  </si>
  <si>
    <t>top_12_products</t>
  </si>
  <si>
    <t>Top 12 Products</t>
  </si>
  <si>
    <t>admin_can_not_be_a_seller</t>
  </si>
  <si>
    <t>Admin can not be a seller</t>
  </si>
  <si>
    <t>filter_by_rating</t>
  </si>
  <si>
    <t>Filter by Rating</t>
  </si>
  <si>
    <t>published_reviews_updated_successfully</t>
  </si>
  <si>
    <t>Published reviews updated successfully</t>
  </si>
  <si>
    <t>refund_sticker_has_been_updated_successfully</t>
  </si>
  <si>
    <t>Refund Sticker has been updated successfully</t>
  </si>
  <si>
    <t>edit_product</t>
  </si>
  <si>
    <t>Edit Product</t>
  </si>
  <si>
    <t>meta_images</t>
  </si>
  <si>
    <t>Meta Images</t>
  </si>
  <si>
    <t>update_product</t>
  </si>
  <si>
    <t>Update Product</t>
  </si>
  <si>
    <t>product_has_been_deleted_successfully</t>
  </si>
  <si>
    <t>Product has been deleted successfully</t>
  </si>
  <si>
    <t>your_profile_has_been_updated_successfully</t>
  </si>
  <si>
    <t>Your Profile has been updated successfully!</t>
  </si>
  <si>
    <t>upload_limit_has_been_reached_please_upgrade_your_package</t>
  </si>
  <si>
    <t>Upload limit has been reached. Please upgrade your package.</t>
  </si>
  <si>
    <t>add_your_product</t>
  </si>
  <si>
    <t>Add Your Product</t>
  </si>
  <si>
    <t>select_a_category</t>
  </si>
  <si>
    <t>Select a category</t>
  </si>
  <si>
    <t>select_a_brand</t>
  </si>
  <si>
    <t>Select a brand</t>
  </si>
  <si>
    <t>product_unit</t>
  </si>
  <si>
    <t>Product Unit</t>
  </si>
  <si>
    <t>Minimum Qty.</t>
  </si>
  <si>
    <t>product_tag</t>
  </si>
  <si>
    <t>Product Tag</t>
  </si>
  <si>
    <t>type__hit_enter</t>
  </si>
  <si>
    <t>Type &amp; hit enter</t>
  </si>
  <si>
    <t>videos</t>
  </si>
  <si>
    <t>Videos</t>
  </si>
  <si>
    <t>video_from</t>
  </si>
  <si>
    <t>Video From</t>
  </si>
  <si>
    <t>video_url</t>
  </si>
  <si>
    <t>Video URL</t>
  </si>
  <si>
    <t>customer_choice</t>
  </si>
  <si>
    <t>Customer Choice</t>
  </si>
  <si>
    <t>pdf</t>
  </si>
  <si>
    <t>PDF</t>
  </si>
  <si>
    <t>choose_pdf</t>
  </si>
  <si>
    <t>Choose PDF</t>
  </si>
  <si>
    <t>select_category</t>
  </si>
  <si>
    <t>Select Category</t>
  </si>
  <si>
    <t>target_category</t>
  </si>
  <si>
    <t>Target Category</t>
  </si>
  <si>
    <t>subsubcategory</t>
  </si>
  <si>
    <t>search_category</t>
  </si>
  <si>
    <t>Search Category</t>
  </si>
  <si>
    <t>search_subcategory</t>
  </si>
  <si>
    <t>Search SubCategory</t>
  </si>
  <si>
    <t>search_subsubcategory</t>
  </si>
  <si>
    <t>Search SubSubCategory</t>
  </si>
  <si>
    <t>update_your_product</t>
  </si>
  <si>
    <t>Update your product</t>
  </si>
  <si>
    <t>product_has_been_updated_successfully</t>
  </si>
  <si>
    <t>Product has been updated successfully</t>
  </si>
  <si>
    <t>add_your_digital_product</t>
  </si>
  <si>
    <t>Add Your Digital Product</t>
  </si>
  <si>
    <t>active_ecommerce_cms_update_process</t>
  </si>
  <si>
    <t>Active eCommerce CMS Update Process</t>
  </si>
  <si>
    <t>codecanyon_purchase_code</t>
  </si>
  <si>
    <t>Codecanyon purchase code</t>
  </si>
  <si>
    <t>database_name</t>
  </si>
  <si>
    <t>Database Name</t>
  </si>
  <si>
    <t>database_username</t>
  </si>
  <si>
    <t>Database Username</t>
  </si>
  <si>
    <t>database_password</t>
  </si>
  <si>
    <t>Database Password</t>
  </si>
  <si>
    <t>database_hostname</t>
  </si>
  <si>
    <t>Database Hostname</t>
  </si>
  <si>
    <t>update_now</t>
  </si>
  <si>
    <t>Update Now</t>
  </si>
  <si>
    <t>congratulations</t>
  </si>
  <si>
    <t>Congratulations</t>
  </si>
  <si>
    <t>you_have_successfully_completed_the_updating_process_please_login_to_continue</t>
  </si>
  <si>
    <t>You have successfully completed the updating process. Please Login to continue</t>
  </si>
  <si>
    <t>go_to_home</t>
  </si>
  <si>
    <t>Go to Home</t>
  </si>
  <si>
    <t>login_to_admin_panel</t>
  </si>
  <si>
    <t>Login to Admin panel</t>
  </si>
  <si>
    <t>s3_file_system_credentials</t>
  </si>
  <si>
    <t>S3 File System Credentials</t>
  </si>
  <si>
    <t>aws_access_key_id</t>
  </si>
  <si>
    <t>AWS_ACCESS_KEY_ID</t>
  </si>
  <si>
    <t>aws_secret_access_key</t>
  </si>
  <si>
    <t>AWS_SECRET_ACCESS_KEY</t>
  </si>
  <si>
    <t>aws_default_region</t>
  </si>
  <si>
    <t>AWS_DEFAULT_REGION</t>
  </si>
  <si>
    <t>aws_bucket</t>
  </si>
  <si>
    <t>AWS_BUCKET</t>
  </si>
  <si>
    <t>aws_url</t>
  </si>
  <si>
    <t>AWS_URL</t>
  </si>
  <si>
    <t>s3_file_system_activation</t>
  </si>
  <si>
    <t>S3 File System Activation</t>
  </si>
  <si>
    <t>your_phone_number</t>
  </si>
  <si>
    <t>Your phone number</t>
  </si>
  <si>
    <t>zip_file</t>
  </si>
  <si>
    <t>Zip File</t>
  </si>
  <si>
    <t>install</t>
  </si>
  <si>
    <t>Install</t>
  </si>
  <si>
    <t>this_version_is_not_capable_of_installing_addons_please_update</t>
  </si>
  <si>
    <t>This version is not capable of installing Addons, Please update.</t>
  </si>
  <si>
    <t>search_in_menu</t>
  </si>
  <si>
    <t>Search in menu</t>
  </si>
  <si>
    <t>uploaded_files</t>
  </si>
  <si>
    <t>Uploaded Files</t>
  </si>
  <si>
    <t>shipping_cities</t>
  </si>
  <si>
    <t>Shipping Cities</t>
  </si>
  <si>
    <t>system</t>
  </si>
  <si>
    <t>System</t>
  </si>
  <si>
    <t>server_status</t>
  </si>
  <si>
    <t>Server status</t>
  </si>
  <si>
    <t>nothing_found</t>
  </si>
  <si>
    <t>Nothing Found</t>
  </si>
  <si>
    <t>parent_category</t>
  </si>
  <si>
    <t>Parent Category</t>
  </si>
  <si>
    <t>level</t>
  </si>
  <si>
    <t>Level</t>
  </si>
  <si>
    <t>category_information</t>
  </si>
  <si>
    <t>Category Information</t>
  </si>
  <si>
    <t>translatable</t>
  </si>
  <si>
    <t>Translatable</t>
  </si>
  <si>
    <t>no_parent</t>
  </si>
  <si>
    <t>No Parent</t>
  </si>
  <si>
    <t>physical</t>
  </si>
  <si>
    <t>Physical</t>
  </si>
  <si>
    <t>digital</t>
  </si>
  <si>
    <t>Digital</t>
  </si>
  <si>
    <t>200x200</t>
  </si>
  <si>
    <t>32x32</t>
  </si>
  <si>
    <t>search_your_files</t>
  </si>
  <si>
    <t>Search your files</t>
  </si>
  <si>
    <t>category_has_been_updated_successfully</t>
  </si>
  <si>
    <t>Category has been updated successfully</t>
  </si>
  <si>
    <t>all_uploaded_files</t>
  </si>
  <si>
    <t>All uploaded files</t>
  </si>
  <si>
    <t>upload_new_file</t>
  </si>
  <si>
    <t>Upload New File</t>
  </si>
  <si>
    <t>all_files</t>
  </si>
  <si>
    <t>All files</t>
  </si>
  <si>
    <t>search</t>
  </si>
  <si>
    <t>Search</t>
  </si>
  <si>
    <t>details_info</t>
  </si>
  <si>
    <t>Details Info</t>
  </si>
  <si>
    <t>copy_link</t>
  </si>
  <si>
    <t>Copy Link</t>
  </si>
  <si>
    <t>are_you_sure_to_delete_this_file</t>
  </si>
  <si>
    <t>Are you sure to delete this file?</t>
  </si>
  <si>
    <t>file_info</t>
  </si>
  <si>
    <t>File Info</t>
  </si>
  <si>
    <t>link_copied_to_clipboard</t>
  </si>
  <si>
    <t>Link copied to clipboard</t>
  </si>
  <si>
    <t>oops_unable_to_copy</t>
  </si>
  <si>
    <t>Oops, unable to copy</t>
  </si>
  <si>
    <t>file_deleted_successfully</t>
  </si>
  <si>
    <t>File deleted successfully</t>
  </si>
  <si>
    <t>add_new_brand</t>
  </si>
  <si>
    <t>Add New Brand</t>
  </si>
  <si>
    <t>120x80</t>
  </si>
  <si>
    <t>brand_information</t>
  </si>
  <si>
    <t>Brand Information</t>
  </si>
  <si>
    <t>brand_has_been_updated_successfully</t>
  </si>
  <si>
    <t>Brand has been updated successfully</t>
  </si>
  <si>
    <t>brand_has_been_deleted_successfully</t>
  </si>
  <si>
    <t>Brand has been deleted successfully</t>
  </si>
  <si>
    <t>this_is_used_for_search_input_those_words_by_which_cutomer_can_find_this_product</t>
  </si>
  <si>
    <t>This is used for search. Input those words by which cutomer can find this product.</t>
  </si>
  <si>
    <t>these_images_are_visible_in_product_details_page_gallery_use_600x600_sizes_images</t>
  </si>
  <si>
    <t>These images are visible in product details page gallery. Use 600x600 sizes images.</t>
  </si>
  <si>
    <t>this_image_is_visible_in_all_product_box_use_300x300_sizes_image_keep_some_blank_space_around_main_object_of_your_image_as_we_had_to_crop_some_edge_in_different_devices_to_make_it_responsive</t>
  </si>
  <si>
    <t>This image is visible in all product box. Use 300x300 sizes image. Keep some blank space around main object of your image as we had to crop some edge in different devices to make it responsive.</t>
  </si>
  <si>
    <t>use_proper_link_without_extra_parameter_dont_use_short_share_linkembeded_iframe_code</t>
  </si>
  <si>
    <t>Use proper link without extra parameter. Don't use short share link/embeded iframe code.</t>
  </si>
  <si>
    <t>save_product</t>
  </si>
  <si>
    <t>Save Product</t>
  </si>
  <si>
    <t>product_has_been_inserted_successfully</t>
  </si>
  <si>
    <t>Product has been inserted successfully</t>
  </si>
  <si>
    <t>Something went wrong!</t>
  </si>
  <si>
    <t>sorry_for_the_inconvenience_but_were_working_on_it</t>
  </si>
  <si>
    <t>Sorry for the inconvenience, but we're working on it.</t>
  </si>
  <si>
    <t>error_code</t>
  </si>
  <si>
    <t>Error code</t>
  </si>
  <si>
    <t>please_configure_smtp_setting_to_work_all_email_sending_functionality</t>
  </si>
  <si>
    <t>Please Configure SMTP Setting to work all email sending functionality</t>
  </si>
  <si>
    <t>order</t>
  </si>
  <si>
    <t>Order</t>
  </si>
  <si>
    <t>we_have_limited_banner_height_to_maintain_ui_we_had_to_crop_from_both_left__right_side_in_view_for_different_devices_to_make_it_responsive_before_designing_banner_keep_these_points_in_mind</t>
  </si>
  <si>
    <t>We have limited banner height to maintain UI. We had to crop from both left &amp; right side in view for different devices to make it responsive. Before designing banner keep these points in mind.</t>
  </si>
  <si>
    <t>home_banner_3_max_3</t>
  </si>
  <si>
    <t>Home Banner 3 (Max 3)</t>
  </si>
  <si>
    <t>add_new_seller</t>
  </si>
  <si>
    <t>Add New Seller</t>
  </si>
  <si>
    <t>filter_by_approval</t>
  </si>
  <si>
    <t>Filter by Approval</t>
  </si>
  <si>
    <t>nonapproved</t>
  </si>
  <si>
    <t>Non-Approved</t>
  </si>
  <si>
    <t>type_name_or_email__enter</t>
  </si>
  <si>
    <t>Type name or email &amp; Enter</t>
  </si>
  <si>
    <t>due_to_seller</t>
  </si>
  <si>
    <t>Due to seller</t>
  </si>
  <si>
    <t>log_in_as_this_seller</t>
  </si>
  <si>
    <t>Log in as this Seller</t>
  </si>
  <si>
    <t>go_to_payment</t>
  </si>
  <si>
    <t>Go to Payment</t>
  </si>
  <si>
    <t>ban_this_seller</t>
  </si>
  <si>
    <t>Ban this seller</t>
  </si>
  <si>
    <t>do_you_really_want_to_ban_this_seller</t>
  </si>
  <si>
    <t>Do you really want to ban this seller?</t>
  </si>
  <si>
    <t>proceed</t>
  </si>
  <si>
    <t>Proceed!</t>
  </si>
  <si>
    <t>approved_sellers_updated_successfully</t>
  </si>
  <si>
    <t>Approved sellers updated successfully</t>
  </si>
  <si>
    <t>seller_has_been_deleted_successfully</t>
  </si>
  <si>
    <t>Seller has been deleted successfully</t>
  </si>
  <si>
    <t>seller_information</t>
  </si>
  <si>
    <t>Seller Information</t>
  </si>
  <si>
    <t>seller_has_been_inserted_successfully</t>
  </si>
  <si>
    <t>Seller has been inserted successfully</t>
  </si>
  <si>
    <t>email_already_exists</t>
  </si>
  <si>
    <t>Email already exists!</t>
  </si>
  <si>
    <t>verify_your_email_address</t>
  </si>
  <si>
    <t>Verify Your Email Address</t>
  </si>
  <si>
    <t>before_proceeding_please_check_your_email_for_a_verification_link</t>
  </si>
  <si>
    <t>Before proceeding, please check your email for a verification link.</t>
  </si>
  <si>
    <t>if_you_did_not_receive_the_email</t>
  </si>
  <si>
    <t>If you did not receive the email.</t>
  </si>
  <si>
    <t>click_here_to_request_another</t>
  </si>
  <si>
    <t>Click here to request another</t>
  </si>
  <si>
    <t>email_verification</t>
  </si>
  <si>
    <t>Email Verification</t>
  </si>
  <si>
    <t>email_verification__</t>
  </si>
  <si>
    <t>Email Verification -</t>
  </si>
  <si>
    <t>https_activation</t>
  </si>
  <si>
    <t>HTTPS Activation</t>
  </si>
  <si>
    <t>maintenance_mode</t>
  </si>
  <si>
    <t>Maintenance Mode</t>
  </si>
  <si>
    <t>maintenance_mode_activation</t>
  </si>
  <si>
    <t>Maintenance Mode Activation</t>
  </si>
  <si>
    <t>classified_product_activate</t>
  </si>
  <si>
    <t>Classified Product Activate</t>
  </si>
  <si>
    <t>classified_product</t>
  </si>
  <si>
    <t>Classified Product</t>
  </si>
  <si>
    <t>business_related</t>
  </si>
  <si>
    <t>Business Related</t>
  </si>
  <si>
    <t>vendor_system_activation</t>
  </si>
  <si>
    <t>Vendor System Activation</t>
  </si>
  <si>
    <t>wallet_system_activation</t>
  </si>
  <si>
    <t>Wallet System Activation</t>
  </si>
  <si>
    <t>coupon_system_activation</t>
  </si>
  <si>
    <t>Coupon System Activation</t>
  </si>
  <si>
    <t>pickup_point_activation</t>
  </si>
  <si>
    <t>Pickup Point Activation</t>
  </si>
  <si>
    <t>conversation_activation</t>
  </si>
  <si>
    <t>Conversation Activation</t>
  </si>
  <si>
    <t>guest_checkout_activation</t>
  </si>
  <si>
    <t>Guest Checkout Activation</t>
  </si>
  <si>
    <t>categorybased_commission</t>
  </si>
  <si>
    <t>Category-based Commission</t>
  </si>
  <si>
    <t>after_activate_this_option_seller_commision_will_be_disabled_and_you_need_to_set_commission_on_each_category_otherwise_admin_will_not_get_any_commision</t>
  </si>
  <si>
    <t>After activate this option Seller commision will be disabled and You need to set commission on each category otherwise Admin will not get any commision</t>
  </si>
  <si>
    <t>set_commisssion_now</t>
  </si>
  <si>
    <t>Set Commisssion Now</t>
  </si>
  <si>
    <t>payment_related</t>
  </si>
  <si>
    <t>Payment Related</t>
  </si>
  <si>
    <t>paypal_payment_activation</t>
  </si>
  <si>
    <t>Paypal Payment Activation</t>
  </si>
  <si>
    <t>you_need_to_configure_paypal_correctly_to_enable_this_feature</t>
  </si>
  <si>
    <t>You need to configure Paypal correctly to enable this feature</t>
  </si>
  <si>
    <t>stripe_payment_activation</t>
  </si>
  <si>
    <t>Stripe Payment Activation</t>
  </si>
  <si>
    <t>sslcommerz_activation</t>
  </si>
  <si>
    <t>SSlCommerz Activation</t>
  </si>
  <si>
    <t>instamojo_payment_activation</t>
  </si>
  <si>
    <t>Instamojo Payment Activation</t>
  </si>
  <si>
    <t>you_need_to_configure_instamojo_payment_correctly_to_enable_this_feature</t>
  </si>
  <si>
    <t>You need to configure Instamojo Payment correctly to enable this feature</t>
  </si>
  <si>
    <t>razor_pay_activation</t>
  </si>
  <si>
    <t>Razor Pay Activation</t>
  </si>
  <si>
    <t>you_need_to_configure_razor_correctly_to_enable_this_feature</t>
  </si>
  <si>
    <t>You need to configure Razor correctly to enable this feature</t>
  </si>
  <si>
    <t>paystack_activation</t>
  </si>
  <si>
    <t>PayStack Activation</t>
  </si>
  <si>
    <t>you_need_to_configure_paystack_correctly_to_enable_this_feature</t>
  </si>
  <si>
    <t>You need to configure PayStack correctly to enable this feature</t>
  </si>
  <si>
    <t>voguepay_activation</t>
  </si>
  <si>
    <t>VoguePay Activation</t>
  </si>
  <si>
    <t>you_need_to_configure_voguepay_correctly_to_enable_this_feature</t>
  </si>
  <si>
    <t>You need to configure VoguePay correctly to enable this feature</t>
  </si>
  <si>
    <t>payhere_activation</t>
  </si>
  <si>
    <t>Payhere Activation</t>
  </si>
  <si>
    <t>ngenius_activation</t>
  </si>
  <si>
    <t>Ngenius Activation</t>
  </si>
  <si>
    <t>you_need_to_configure_ngenius_correctly_to_enable_this_feature</t>
  </si>
  <si>
    <t>You need to configure Ngenius correctly to enable this feature</t>
  </si>
  <si>
    <t>iyzico_activation</t>
  </si>
  <si>
    <t>Iyzico Activation</t>
  </si>
  <si>
    <t>you_need_to_configure_iyzico_correctly_to_enable_this_feature</t>
  </si>
  <si>
    <t>You need to configure iyzico correctly to enable this feature</t>
  </si>
  <si>
    <t>bkash_activation</t>
  </si>
  <si>
    <t>Bkash Activation</t>
  </si>
  <si>
    <t>you_need_to_configure_bkash_correctly_to_enable_this_feature</t>
  </si>
  <si>
    <t>You need to configure bkash correctly to enable this feature</t>
  </si>
  <si>
    <t>nagad_activation</t>
  </si>
  <si>
    <t>Nagad Activation</t>
  </si>
  <si>
    <t>you_need_to_configure_nagad_correctly_to_enable_this_feature</t>
  </si>
  <si>
    <t>You need to configure nagad correctly to enable this feature</t>
  </si>
  <si>
    <t>cash_payment_activation</t>
  </si>
  <si>
    <t>Cash Payment Activation</t>
  </si>
  <si>
    <t>social_media_login</t>
  </si>
  <si>
    <t>Social Media Login</t>
  </si>
  <si>
    <t>facebook_login</t>
  </si>
  <si>
    <t>Facebook login</t>
  </si>
  <si>
    <t>you_need_to_configure_facebook_client_correctly_to_enable_this_feature</t>
  </si>
  <si>
    <t>You need to configure Facebook Client correctly to enable this feature</t>
  </si>
  <si>
    <t>google_login</t>
  </si>
  <si>
    <t>Google login</t>
  </si>
  <si>
    <t>you_need_to_configure_google_client_correctly_to_enable_this_feature</t>
  </si>
  <si>
    <t>You need to configure Google Client correctly to enable this feature</t>
  </si>
  <si>
    <t>twitter_login</t>
  </si>
  <si>
    <t>Twitter login</t>
  </si>
  <si>
    <t>you_need_to_configure_twitter_client_correctly_to_enable_this_feature</t>
  </si>
  <si>
    <t>You need to configure Twitter Client correctly to enable this feature</t>
  </si>
  <si>
    <t>shop_logo</t>
  </si>
  <si>
    <t>Shop Logo</t>
  </si>
  <si>
    <t>shop_address</t>
  </si>
  <si>
    <t>Shop Address</t>
  </si>
  <si>
    <t>banner_settings</t>
  </si>
  <si>
    <t>Banner Settings</t>
  </si>
  <si>
    <t>banners</t>
  </si>
  <si>
    <t>Banners</t>
  </si>
  <si>
    <t>we_had_to_limit_height_to_maintian_consistancy_in_some_device_both_side_of_the_banner_might_be_cropped_for_height_limitation</t>
  </si>
  <si>
    <t>We had to limit height to maintian consistancy. In some device both side of the banner might be cropped for height limitation.</t>
  </si>
  <si>
    <t>insert_link_with_https_</t>
  </si>
  <si>
    <t>Insert link with https</t>
  </si>
  <si>
    <t>your_shop_has_been_updated_successfully</t>
  </si>
  <si>
    <t>Your Shop has been updated successfully!</t>
  </si>
  <si>
    <t>search_result_for_</t>
  </si>
  <si>
    <t>Search result for</t>
  </si>
  <si>
    <t>brand_has_been_inserted_successfully</t>
  </si>
  <si>
    <t>Brand has been inserted successfully</t>
  </si>
  <si>
    <t>about</t>
  </si>
  <si>
    <t>About</t>
  </si>
  <si>
    <t>payout_info</t>
  </si>
  <si>
    <t>Payout Info</t>
  </si>
  <si>
    <t>bank_acc_name</t>
  </si>
  <si>
    <t>Bank Acc Name</t>
  </si>
  <si>
    <t>bank_acc_number</t>
  </si>
  <si>
    <t>Bank Acc Number</t>
  </si>
  <si>
    <t>total_products</t>
  </si>
  <si>
    <t>Total Products</t>
  </si>
  <si>
    <t>total_sold_amount</t>
  </si>
  <si>
    <t>Total Sold Amount</t>
  </si>
  <si>
    <t>wallet_balance</t>
  </si>
  <si>
    <t>Wallet Balance</t>
  </si>
  <si>
    <t>cookies_agreement</t>
  </si>
  <si>
    <t>Cookies Agreement</t>
  </si>
  <si>
    <t>cookies_agreement_text</t>
  </si>
  <si>
    <t>Cookies Agreement Text</t>
  </si>
  <si>
    <t>show_cookies_agreement</t>
  </si>
  <si>
    <t>Show Cookies Agreement?</t>
  </si>
  <si>
    <t>custom_script</t>
  </si>
  <si>
    <t>Custom Script</t>
  </si>
  <si>
    <t>header_custom_script__before_head</t>
  </si>
  <si>
    <t>Header custom script - before &lt;/head&gt;</t>
  </si>
  <si>
    <t>write_script_with_script_tag</t>
  </si>
  <si>
    <t>Write script with &lt;script&gt; tag</t>
  </si>
  <si>
    <t>footer_custom_script__before_body</t>
  </si>
  <si>
    <t>Footer custom script - before &lt;/body&gt;</t>
  </si>
  <si>
    <t>category_has_been_inserted_successfully</t>
  </si>
  <si>
    <t>Category has been inserted successfully</t>
  </si>
  <si>
    <t>all_flash_deals</t>
  </si>
  <si>
    <t>All Flash Deals</t>
  </si>
  <si>
    <t>create_new_flash_deal</t>
  </si>
  <si>
    <t>Create New Flash Deal</t>
  </si>
  <si>
    <t>ffffff</t>
  </si>
  <si>
    <t>#FFFFFF</t>
  </si>
  <si>
    <t>this_image_is_shown_as_cover_banner_in_flash_deal_details_page</t>
  </si>
  <si>
    <t>This image is shown as cover banner in flash deal details page.</t>
  </si>
  <si>
    <t>flash_deal_has_been_inserted_successfully</t>
  </si>
  <si>
    <t>Flash Deal has been inserted successfully</t>
  </si>
  <si>
    <t>flash_deal_status_updated_successfully</t>
  </si>
  <si>
    <t>Flash deal status updated successfully</t>
  </si>
  <si>
    <t>flash_deal_has_been_updated_successfully</t>
  </si>
  <si>
    <t>Flash Deal has been updated successfully</t>
  </si>
  <si>
    <t>update_language_info</t>
  </si>
  <si>
    <t>update Language Info</t>
  </si>
  <si>
    <t>language_has_been_updated_successfully</t>
  </si>
  <si>
    <t>Language has been updated successfully</t>
  </si>
  <si>
    <t>type_key__enter</t>
  </si>
  <si>
    <t>Type key &amp; Enter</t>
  </si>
  <si>
    <t>translations_updated_for_</t>
  </si>
  <si>
    <t>Translations updated for</t>
  </si>
  <si>
    <t>language_has_been_inserted_successfully</t>
  </si>
  <si>
    <t>Language has been inserted successfully</t>
  </si>
  <si>
    <t>verify_now</t>
  </si>
  <si>
    <t>Verify Now</t>
  </si>
  <si>
    <t>iyzico</t>
  </si>
  <si>
    <t>Iyzico</t>
  </si>
  <si>
    <t>bkash_credential</t>
  </si>
  <si>
    <t>Bkash Credential</t>
  </si>
  <si>
    <t>bkash_checkout_app_key</t>
  </si>
  <si>
    <t>BKASH CHECKOUT APP KEY</t>
  </si>
  <si>
    <t>bkash_checkout_app_secret</t>
  </si>
  <si>
    <t>BKASH CHECKOUT APP SECRET</t>
  </si>
  <si>
    <t>bkash_checkout_user_name</t>
  </si>
  <si>
    <t>BKASH CHECKOUT USER NAME</t>
  </si>
  <si>
    <t>bkash_checkout_password</t>
  </si>
  <si>
    <t>BKASH CHECKOUT PASSWORD</t>
  </si>
  <si>
    <t>bkash_sandbox_mode</t>
  </si>
  <si>
    <t>Bkash Sandbox Mode</t>
  </si>
  <si>
    <t>nagad_credential</t>
  </si>
  <si>
    <t>Nagad Credential</t>
  </si>
  <si>
    <t>nagad_mode</t>
  </si>
  <si>
    <t>NAGAD MODE</t>
  </si>
  <si>
    <t>nagad_merchant_id</t>
  </si>
  <si>
    <t>NAGAD MERCHANT ID</t>
  </si>
  <si>
    <t>nagad_merchant_number</t>
  </si>
  <si>
    <t>NAGAD MERCHANT NUMBER</t>
  </si>
  <si>
    <t>nagad_pg_public_key</t>
  </si>
  <si>
    <t>NAGAD PG PUBLIC KEY</t>
  </si>
  <si>
    <t>nagad_merchant_private_key</t>
  </si>
  <si>
    <t>NAGAD MERCHANT PRIVATE KEY</t>
  </si>
  <si>
    <t>iyzico_credential</t>
  </si>
  <si>
    <t>Iyzico Credential</t>
  </si>
  <si>
    <t>iyzico_api_key</t>
  </si>
  <si>
    <t>IYZICO_API_KEY</t>
  </si>
  <si>
    <t>IYZICO API KEY</t>
  </si>
  <si>
    <t>iyzico_secret_key</t>
  </si>
  <si>
    <t>IYZICO_SECRET_KEY</t>
  </si>
  <si>
    <t>IYZICO SECRET KEY</t>
  </si>
  <si>
    <t>iyzico_sandbox_mode</t>
  </si>
  <si>
    <t>IYZICO Sandbox Mode</t>
  </si>
  <si>
    <t>instamojo</t>
  </si>
  <si>
    <t>Instamojo</t>
  </si>
  <si>
    <t>nagad</t>
  </si>
  <si>
    <t>Nagad</t>
  </si>
  <si>
    <t>bkash</t>
  </si>
  <si>
    <t>Bkash</t>
  </si>
  <si>
    <t>your_order_has_been_placed</t>
  </si>
  <si>
    <t>Your order has been placed</t>
  </si>
  <si>
    <t>your_order_has_been_placed_successfully</t>
  </si>
  <si>
    <t>Your order has been placed successfully</t>
  </si>
  <si>
    <t>product_image</t>
  </si>
  <si>
    <t>Product Image</t>
  </si>
  <si>
    <t>step_1</t>
  </si>
  <si>
    <t>Step 1</t>
  </si>
  <si>
    <t>download_the_skeleton_file_and_fill_it_with_proper_data</t>
  </si>
  <si>
    <t>Download the skeleton file and fill it with proper data</t>
  </si>
  <si>
    <t>you_can_download_the_example_file_to_understand_how_the_data_must_be_filled</t>
  </si>
  <si>
    <t>You can download the example file to understand how the data must be filled</t>
  </si>
  <si>
    <t>once_you_have_downloaded_and_filled_the_skeleton_file_upload_it_in_the_form_below_and_submit</t>
  </si>
  <si>
    <t>Once you have downloaded and filled the skeleton file, upload it in the form below and submit</t>
  </si>
  <si>
    <t>after_uploading_products_you_need_to_edit_them_and_set_products_images_and_choices</t>
  </si>
  <si>
    <t>After uploading products you need to edit them and set product's images and choices</t>
  </si>
  <si>
    <t>step_2</t>
  </si>
  <si>
    <t>Step 2</t>
  </si>
  <si>
    <t>category_and_brand_should_be_in_numerical_id</t>
  </si>
  <si>
    <t>Category and Brand should be in numerical id</t>
  </si>
  <si>
    <t>you_can_download_the_pdf_to_get_category_and_brand_id</t>
  </si>
  <si>
    <t>You can download the pdf to get Category and Brand id</t>
  </si>
  <si>
    <t>upload_product_file</t>
  </si>
  <si>
    <t>Upload Product File</t>
  </si>
  <si>
    <t>all_attributes</t>
  </si>
  <si>
    <t>All Attributes</t>
  </si>
  <si>
    <t>add_new_attribute</t>
  </si>
  <si>
    <t>Add New Attribute</t>
  </si>
  <si>
    <t>attribute_has_been_inserted_successfully</t>
  </si>
  <si>
    <t>Attribute has been inserted successfully</t>
  </si>
  <si>
    <t>attribute_has_been_deleted_successfully</t>
  </si>
  <si>
    <t>Attribute has been deleted successfully</t>
  </si>
  <si>
    <t>product_has_been_duplicated_successfully</t>
  </si>
  <si>
    <t>Product has been duplicated successfully</t>
  </si>
  <si>
    <t>filter_by_date</t>
  </si>
  <si>
    <t>Filter by date</t>
  </si>
  <si>
    <t>1_category_and_brand_should_be_in_numerical_id</t>
  </si>
  <si>
    <t>1. Category and Brand should be in numerical id.</t>
  </si>
  <si>
    <t>2_you_can_download_the_pdf_to_get_category_and_brand_id</t>
  </si>
  <si>
    <t>2. You can download the pdf to get Category and Brand id.</t>
  </si>
  <si>
    <t>payment_completed</t>
  </si>
  <si>
    <t>Payment completed</t>
  </si>
  <si>
    <t>contact</t>
  </si>
  <si>
    <t>Contact</t>
  </si>
  <si>
    <t>order_status_has_been_updated</t>
  </si>
  <si>
    <t>Order status has been updated</t>
  </si>
  <si>
    <t>review_has_been_submitted_successfully</t>
  </si>
  <si>
    <t>Review has been submitted successfully</t>
  </si>
  <si>
    <t>pay_to_seller</t>
  </si>
  <si>
    <t>Pay to seller</t>
  </si>
  <si>
    <t>txn_code</t>
  </si>
  <si>
    <t>Txn Code</t>
  </si>
  <si>
    <t>clear_due</t>
  </si>
  <si>
    <t>Clear due</t>
  </si>
  <si>
    <t>product_wish_report</t>
  </si>
  <si>
    <t>Product Wish Report</t>
  </si>
  <si>
    <t>number_of_wish</t>
  </si>
  <si>
    <t>Number of Wish</t>
  </si>
  <si>
    <t>all_customers</t>
  </si>
  <si>
    <t>All Customers</t>
  </si>
  <si>
    <t>type_email_or_name__enter</t>
  </si>
  <si>
    <t>Type email or name &amp; Enter</t>
  </si>
  <si>
    <t>package</t>
  </si>
  <si>
    <t>Package</t>
  </si>
  <si>
    <t>log_in_as_this_customer</t>
  </si>
  <si>
    <t>Log in as this Customer</t>
  </si>
  <si>
    <t>ban_this_customer</t>
  </si>
  <si>
    <t>Ban this Customer</t>
  </si>
  <si>
    <t>do_you_really_want_to_ban_this_customer</t>
  </si>
  <si>
    <t>Do you really want to ban this Customer?</t>
  </si>
  <si>
    <t>do_you_really_want_to_unban_this_customer</t>
  </si>
  <si>
    <t>Do you really want to unban this Customer?</t>
  </si>
  <si>
    <t>ticket_has_been_sent_successfully</t>
  </si>
  <si>
    <t>Ticket has been sent successfully</t>
  </si>
  <si>
    <t>send_reply</t>
  </si>
  <si>
    <t>Send Reply</t>
  </si>
  <si>
    <t>recharge_wallet</t>
  </si>
  <si>
    <t>Recharge Wallet</t>
  </si>
  <si>
    <t>wallet_recharge_history</t>
  </si>
  <si>
    <t>Wallet recharge history</t>
  </si>
  <si>
    <t>offline_recharge_wallet</t>
  </si>
  <si>
    <t>Offline Recharge Wallet</t>
  </si>
  <si>
    <t>message_has_been_send_to_seller</t>
  </si>
  <si>
    <t>Message has been send to seller</t>
  </si>
  <si>
    <t>your_classified_product_upload_limit_has_been_reached_please_buy_a_package</t>
  </si>
  <si>
    <t>Your classified product upload limit has been reached. Please buy a package.</t>
  </si>
  <si>
    <t>premium_packages_for_customers</t>
  </si>
  <si>
    <t>Premium Packages for Customers</t>
  </si>
  <si>
    <t>offline_package_purchase_</t>
  </si>
  <si>
    <t xml:space="preserve">Offline Package Purchase </t>
  </si>
  <si>
    <t>all_classifies_packages</t>
  </si>
  <si>
    <t>All Classifies Packages</t>
  </si>
  <si>
    <t>create_new_package</t>
  </si>
  <si>
    <t>Create New Package</t>
  </si>
  <si>
    <t>package_purchasing_successful</t>
  </si>
  <si>
    <t>Package purchasing successful</t>
  </si>
  <si>
    <t>product_upload_remaining</t>
  </si>
  <si>
    <t>Product Upload Remaining</t>
  </si>
  <si>
    <t>current_package</t>
  </si>
  <si>
    <t>Current Package</t>
  </si>
  <si>
    <t>select_a_condition</t>
  </si>
  <si>
    <t>Select a condition</t>
  </si>
  <si>
    <t>uploaded_by</t>
  </si>
  <si>
    <t>Uploaded By</t>
  </si>
  <si>
    <t>customer_status</t>
  </si>
  <si>
    <t>Customer Status</t>
  </si>
  <si>
    <t>unpublished</t>
  </si>
  <si>
    <t>UNPUBLISHED</t>
  </si>
  <si>
    <t>sendmail</t>
  </si>
  <si>
    <t>Sendmail</t>
  </si>
  <si>
    <t>mailgun</t>
  </si>
  <si>
    <t>Mailgun</t>
  </si>
  <si>
    <t>mail_host</t>
  </si>
  <si>
    <t>MAIL HOST</t>
  </si>
  <si>
    <t>mail_port</t>
  </si>
  <si>
    <t>MAIL PORT</t>
  </si>
  <si>
    <t>mail_username</t>
  </si>
  <si>
    <t>MAIL USERNAME</t>
  </si>
  <si>
    <t>mail_password</t>
  </si>
  <si>
    <t>MAIL PASSWORD</t>
  </si>
  <si>
    <t>mail_encryption</t>
  </si>
  <si>
    <t>MAIL ENCRYPTION</t>
  </si>
  <si>
    <t>mail_from_address</t>
  </si>
  <si>
    <t>MAIL FROM ADDRESS</t>
  </si>
  <si>
    <t>mail_from_name</t>
  </si>
  <si>
    <t>MAIL FROM NAME</t>
  </si>
  <si>
    <t>mailgun_domain</t>
  </si>
  <si>
    <t>MAILGUN DOMAIN</t>
  </si>
  <si>
    <t>mailgun_secret</t>
  </si>
  <si>
    <t>MAILGUN SECRET</t>
  </si>
  <si>
    <t>save_configuration</t>
  </si>
  <si>
    <t>Save Configuration</t>
  </si>
  <si>
    <t>test_smtp_configuration</t>
  </si>
  <si>
    <t>Test SMTP configuration</t>
  </si>
  <si>
    <t>enter_your_email_address</t>
  </si>
  <si>
    <t>Enter your email address</t>
  </si>
  <si>
    <t>send_test_email</t>
  </si>
  <si>
    <t>Send test email</t>
  </si>
  <si>
    <t>instruction</t>
  </si>
  <si>
    <t>Instruction</t>
  </si>
  <si>
    <t>please_be_carefull_when_you_are_configuring_smtp_for_incorrect_configuration_you_will_get_error_at_the_time_of_order_place_new_registration_sending_newsletter</t>
  </si>
  <si>
    <t>Please be carefull when you are configuring SMTP. For incorrect configuration you will get error at the time of order place, new registration, sending newsletter.</t>
  </si>
  <si>
    <t>for_nonssl</t>
  </si>
  <si>
    <t>For Non-SSL</t>
  </si>
  <si>
    <t>select_sendmail_for_mail_driver_if_you_face_any_issue_after_configuring_smtp_as_mail_driver_</t>
  </si>
  <si>
    <t xml:space="preserve">Select sendmail for Mail Driver if you face any issue after configuring smtp as Mail Driver </t>
  </si>
  <si>
    <t>set_mail_host_according_to_your_server_mail_client_manual_settings</t>
  </si>
  <si>
    <t>Set Mail Host according to your server Mail Client Manual Settings</t>
  </si>
  <si>
    <t>set_mail_port_as_587</t>
  </si>
  <si>
    <t>Set Mail port as 587</t>
  </si>
  <si>
    <t>set_mail_encryption_as_ssl_if_you_face_issue_with_tls</t>
  </si>
  <si>
    <t>Set Mail Encryption as ssl if you face issue with tls</t>
  </si>
  <si>
    <t>for_ssl</t>
  </si>
  <si>
    <t>For SSL</t>
  </si>
  <si>
    <t>set_mail_port_as_465</t>
  </si>
  <si>
    <t>Set Mail port as 465</t>
  </si>
  <si>
    <t>set_mail_encryption_as_ssl</t>
  </si>
  <si>
    <t>Set Mail Encryption as ssl</t>
  </si>
  <si>
    <t>installupdate_addon</t>
  </si>
  <si>
    <t>Install/Update Addon</t>
  </si>
  <si>
    <t>no_addon_installed</t>
  </si>
  <si>
    <t>No Addon Installed</t>
  </si>
  <si>
    <t>blog_system</t>
  </si>
  <si>
    <t>Blog System</t>
  </si>
  <si>
    <t>all_posts</t>
  </si>
  <si>
    <t>All Posts</t>
  </si>
  <si>
    <t>facebook_comment</t>
  </si>
  <si>
    <t>Facebook Comment</t>
  </si>
  <si>
    <t>add_new_post</t>
  </si>
  <si>
    <t>Add New Post</t>
  </si>
  <si>
    <t>all_blog_posts</t>
  </si>
  <si>
    <t>All blog posts</t>
  </si>
  <si>
    <t>short_description</t>
  </si>
  <si>
    <t>Short Description</t>
  </si>
  <si>
    <t>change_blog_status_successfully</t>
  </si>
  <si>
    <t>Change blog status successfully</t>
  </si>
  <si>
    <t>blog_information</t>
  </si>
  <si>
    <t>Blog Information</t>
  </si>
  <si>
    <t>blog_title</t>
  </si>
  <si>
    <t>Blog Title</t>
  </si>
  <si>
    <t>meta_keywords</t>
  </si>
  <si>
    <t>Meta Keywords</t>
  </si>
  <si>
    <t>header_nav_menu</t>
  </si>
  <si>
    <t>Header Nav Menu</t>
  </si>
  <si>
    <t>link_with</t>
  </si>
  <si>
    <t>Link with</t>
  </si>
  <si>
    <t>blog</t>
  </si>
  <si>
    <t>Blog</t>
  </si>
  <si>
    <t>all_blog_categories</t>
  </si>
  <si>
    <t>All Blog Categories</t>
  </si>
  <si>
    <t>blog_categories</t>
  </si>
  <si>
    <t>Blog Categories</t>
  </si>
  <si>
    <t>blog_category_information</t>
  </si>
  <si>
    <t>Blog Category Information</t>
  </si>
  <si>
    <t>blog_category_has_been_created_successfully</t>
  </si>
  <si>
    <t>Blog category has been created successfully</t>
  </si>
  <si>
    <t>blog_post_has_been_created_successfully</t>
  </si>
  <si>
    <t>Blog post has been created successfully</t>
  </si>
  <si>
    <t>blog_post_has_been_updated_successfully</t>
  </si>
  <si>
    <t>Blog post has been updated successfully</t>
  </si>
  <si>
    <t>blog_category_has_been_updated_successfully</t>
  </si>
  <si>
    <t>Blog category has been updated successfully</t>
  </si>
  <si>
    <t>installupdate</t>
  </si>
  <si>
    <t>Install/Update</t>
  </si>
  <si>
    <t>addon_nstalled_successfully</t>
  </si>
  <si>
    <t>Addon nstalled successfully</t>
  </si>
  <si>
    <t>approved_refunds</t>
  </si>
  <si>
    <t>Approved Refunds</t>
  </si>
  <si>
    <t>rejected_refunds</t>
  </si>
  <si>
    <t>rejected Refunds</t>
  </si>
  <si>
    <t>affiliate_logs</t>
  </si>
  <si>
    <t>Affiliate Logs</t>
  </si>
  <si>
    <t>african_payment_gateway_addon</t>
  </si>
  <si>
    <t>African Payment Gateway Addon</t>
  </si>
  <si>
    <t>african_pg_configurations</t>
  </si>
  <si>
    <t>African PG Configurations</t>
  </si>
  <si>
    <t>set_african_pg_credentials</t>
  </si>
  <si>
    <t>Set African PG Credentials</t>
  </si>
  <si>
    <t>At the very bottom, you can find the “Facebook Page ID”</t>
  </si>
  <si>
    <t>Go to Settings of your page and find the option of "Advance Messaging"</t>
  </si>
  <si>
    <t>Scroll down that page and you will get "white listed domain"</t>
  </si>
  <si>
    <t>paystack_currency_code</t>
  </si>
  <si>
    <t>PAYSTACK CURRENCY CODE</t>
  </si>
  <si>
    <t>mpesa_activation</t>
  </si>
  <si>
    <t>MPesa Activation</t>
  </si>
  <si>
    <t>you_need_to_configure_mpesa_correctly_to_enable_this_feature</t>
  </si>
  <si>
    <t>You need to configure Mpesa correctly to enable this feature</t>
  </si>
  <si>
    <t>flutterwave_activation</t>
  </si>
  <si>
    <t>flutterwave Activation</t>
  </si>
  <si>
    <t>you_need_to_configure_flutterwave_correctly_to_enable_this_feature</t>
  </si>
  <si>
    <t>You need to configure flutterwave correctly to enable this feature</t>
  </si>
  <si>
    <t>payfast_activation</t>
  </si>
  <si>
    <t>Payfast Activation</t>
  </si>
  <si>
    <t>you_need_to_configure_payfast_correctly_to_enable_this_feature</t>
  </si>
  <si>
    <t>You need to configure payfast correctly to enable this feature</t>
  </si>
  <si>
    <t>mpesa_username</t>
  </si>
  <si>
    <t>MPESA USERNAME</t>
  </si>
  <si>
    <t>MPESA_USERNAME</t>
  </si>
  <si>
    <t>mpesa_password</t>
  </si>
  <si>
    <t>MPESA PASSWORD</t>
  </si>
  <si>
    <t>MPESA_PASSWORD</t>
  </si>
  <si>
    <t>mpesa_passkey</t>
  </si>
  <si>
    <t>MPESA PASSKEY</t>
  </si>
  <si>
    <t>MPESA_PASSKEY</t>
  </si>
  <si>
    <t>payfast_credential</t>
  </si>
  <si>
    <t>PAYFAST Credential</t>
  </si>
  <si>
    <t>payfast_merchant_id</t>
  </si>
  <si>
    <t>PAYFAST_MERCHANT_ID</t>
  </si>
  <si>
    <t>payfast_merchant_key</t>
  </si>
  <si>
    <t>PAYFAST_MERCHANT_KEY</t>
  </si>
  <si>
    <t>payfast_sandbox_mode</t>
  </si>
  <si>
    <t>PAYFAST Sandbox Mode</t>
  </si>
  <si>
    <t>google_login_credential</t>
  </si>
  <si>
    <t>Google Login Credential</t>
  </si>
  <si>
    <t>client_id</t>
  </si>
  <si>
    <t>Client ID</t>
  </si>
  <si>
    <t>google_client_id</t>
  </si>
  <si>
    <t>Google Client ID</t>
  </si>
  <si>
    <t>client_secret</t>
  </si>
  <si>
    <t>Client Secret</t>
  </si>
  <si>
    <t>google_client_secret</t>
  </si>
  <si>
    <t>Google Client Secret</t>
  </si>
  <si>
    <t>facebook_login_credential</t>
  </si>
  <si>
    <t>Facebook Login Credential</t>
  </si>
  <si>
    <t>app_id</t>
  </si>
  <si>
    <t>App ID</t>
  </si>
  <si>
    <t>facebook_client_id</t>
  </si>
  <si>
    <t>Facebook Client ID</t>
  </si>
  <si>
    <t>app_secret</t>
  </si>
  <si>
    <t>App Secret</t>
  </si>
  <si>
    <t>facebook_client_secret</t>
  </si>
  <si>
    <t>Facebook Client Secret</t>
  </si>
  <si>
    <t>twitter_login_credential</t>
  </si>
  <si>
    <t>Twitter Login Credential</t>
  </si>
  <si>
    <t>twitter_client_id</t>
  </si>
  <si>
    <t>Twitter Client ID</t>
  </si>
  <si>
    <t>twitter_client_secret</t>
  </si>
  <si>
    <t>Twitter Client Secret</t>
  </si>
  <si>
    <t>point_convert_rate_has_been_updated_successfully</t>
  </si>
  <si>
    <t>Point convert rate has been updated successfully</t>
  </si>
  <si>
    <t>owner</t>
  </si>
  <si>
    <t>Owner</t>
  </si>
  <si>
    <t>set_any_specific_point_for_those_products_what_are_between_minprice_and_maxprice_minprice_should_be_less_than_maxprice</t>
  </si>
  <si>
    <t>Set any specific point for those products what are between Min-price and Max-price. Min-price should be less than Max-price</t>
  </si>
  <si>
    <t>set_point_for_product</t>
  </si>
  <si>
    <t>Set Point for Product</t>
  </si>
  <si>
    <t>set_point</t>
  </si>
  <si>
    <t>Set Point</t>
  </si>
  <si>
    <t>point_has_been_updated_successfully</t>
  </si>
  <si>
    <t>Point has been updated successfully</t>
  </si>
  <si>
    <t>point_has_been_inserted_successfully_for_</t>
  </si>
  <si>
    <t xml:space="preserve">Point has been inserted successfully for </t>
  </si>
  <si>
    <t>_products</t>
  </si>
  <si>
    <t xml:space="preserve"> products</t>
  </si>
  <si>
    <t>customer_name</t>
  </si>
  <si>
    <t>Customer Name</t>
  </si>
  <si>
    <t>mimo_otp</t>
  </si>
  <si>
    <t>MIMO OTP</t>
  </si>
  <si>
    <t>mimo_credential</t>
  </si>
  <si>
    <t>MIMO Credential</t>
  </si>
  <si>
    <t>mimo_username</t>
  </si>
  <si>
    <t>MIMO_USERNAME</t>
  </si>
  <si>
    <t>mimo_password</t>
  </si>
  <si>
    <t>MIMO_PASSWORD</t>
  </si>
  <si>
    <t>mimo_sender_id</t>
  </si>
  <si>
    <t>MIMO_SENDER_ID</t>
  </si>
  <si>
    <t>reject_refund_request_</t>
  </si>
  <si>
    <t>Reject Refund Request !</t>
  </si>
  <si>
    <t>reject_reason</t>
  </si>
  <si>
    <t>Reject Reason</t>
  </si>
  <si>
    <t>submit</t>
  </si>
  <si>
    <t>Submit</t>
  </si>
  <si>
    <t>approval_has_been_done_successfully</t>
  </si>
  <si>
    <t>Approval has been done successfully</t>
  </si>
  <si>
    <t>refund_has_been_sent_successfully</t>
  </si>
  <si>
    <t>Refund has been sent successfully</t>
  </si>
  <si>
    <t>rejected_request</t>
  </si>
  <si>
    <t>Rejected Request</t>
  </si>
  <si>
    <t>refund_request_reject_reason</t>
  </si>
  <si>
    <t>Refund Request Reject Reason</t>
  </si>
  <si>
    <t>approved_request</t>
  </si>
  <si>
    <t>Approved Request</t>
  </si>
  <si>
    <t>mpesa</t>
  </si>
  <si>
    <t>flutterwave</t>
  </si>
  <si>
    <t>payfast</t>
  </si>
  <si>
    <t>this_addon_is_updated_successfully</t>
  </si>
  <si>
    <t>This addon is updated successfully</t>
  </si>
  <si>
    <t>nonrefundable</t>
  </si>
  <si>
    <t>Non-refundable</t>
  </si>
  <si>
    <t>offline_recharge_has_been_done_please_wait_for_response</t>
  </si>
  <si>
    <t>Offline Recharge has been done. Please wait for response.</t>
  </si>
  <si>
    <t>use_phone_instead</t>
  </si>
  <si>
    <t>Use Phone Instead</t>
  </si>
  <si>
    <t>phone_verification</t>
  </si>
  <si>
    <t>Phone Verification</t>
  </si>
  <si>
    <t>resend_code</t>
  </si>
  <si>
    <t>Resend Code</t>
  </si>
  <si>
    <t>staff_information</t>
  </si>
  <si>
    <t>Staff Information</t>
  </si>
  <si>
    <t>staff_has_been_inserted_successfully</t>
  </si>
  <si>
    <t>Staff has been inserted successfully</t>
  </si>
  <si>
    <t>role_information</t>
  </si>
  <si>
    <t>Role Information</t>
  </si>
  <si>
    <t>permissions</t>
  </si>
  <si>
    <t>Permissions</t>
  </si>
  <si>
    <t>role_has_been_updated_successfully</t>
  </si>
  <si>
    <t>Role has been updated successfully</t>
  </si>
  <si>
    <t>update_your_system</t>
  </si>
  <si>
    <t>Update your system</t>
  </si>
  <si>
    <t>current_verion</t>
  </si>
  <si>
    <t>Current verion</t>
  </si>
  <si>
    <t>make_sure_your_server_has_matched_with_all_requirements</t>
  </si>
  <si>
    <t>Make sure your server has matched with all requirements.</t>
  </si>
  <si>
    <t>check_here</t>
  </si>
  <si>
    <t>Check Here</t>
  </si>
  <si>
    <t>download_latest_version_from_codecanyon</t>
  </si>
  <si>
    <t>Download latest version from codecanyon.</t>
  </si>
  <si>
    <t>extract_downloaded_zip_you_will_find_updateszip_file_in_those_extraced_files</t>
  </si>
  <si>
    <t>Extract downloaded zip. You will find updates.zip file in those extraced files.</t>
  </si>
  <si>
    <t>upload_that_zip_file_here_and_click_update_now</t>
  </si>
  <si>
    <t>Upload that zip file here and click update now.</t>
  </si>
  <si>
    <t>if_you_are_using_any_addon_make_sure_to_update_those_addons_after_updating</t>
  </si>
  <si>
    <t>If you are using any addon make sure to update those addons after updating.</t>
  </si>
  <si>
    <t>package_duration</t>
  </si>
  <si>
    <t>Package Duration</t>
  </si>
  <si>
    <t>digital_product_upload_remaining</t>
  </si>
  <si>
    <t>Digital Product Upload Remaining</t>
  </si>
  <si>
    <t>package_expires_at</t>
  </si>
  <si>
    <t>Package Expires at</t>
  </si>
  <si>
    <t>ok_i_understood</t>
  </si>
  <si>
    <t>Ok. I Understood</t>
  </si>
  <si>
    <t>commission_history</t>
  </si>
  <si>
    <t>Commission History</t>
  </si>
  <si>
    <t>vat__tax</t>
  </si>
  <si>
    <t>Vat &amp; TAX</t>
  </si>
  <si>
    <t>info</t>
  </si>
  <si>
    <t>Info</t>
  </si>
  <si>
    <t>product_wise_shipping</t>
  </si>
  <si>
    <t>Product Wise Shipping</t>
  </si>
  <si>
    <t>low_stock_quantity_warning</t>
  </si>
  <si>
    <t>Low Stock Quantity Warning</t>
  </si>
  <si>
    <t>stock_visibility_state</t>
  </si>
  <si>
    <t>Stock Visibility State</t>
  </si>
  <si>
    <t>show_stock_quantity</t>
  </si>
  <si>
    <t>Show Stock Quantity</t>
  </si>
  <si>
    <t>show_stock_with_text_only</t>
  </si>
  <si>
    <t>Show Stock With Text Only</t>
  </si>
  <si>
    <t>hide_stock</t>
  </si>
  <si>
    <t>Hide Stock</t>
  </si>
  <si>
    <t>flash_deal</t>
  </si>
  <si>
    <t>Flash Deal</t>
  </si>
  <si>
    <t>add_to_flash</t>
  </si>
  <si>
    <t>Add To Flash</t>
  </si>
  <si>
    <t>estimate_shipping_time</t>
  </si>
  <si>
    <t>Estimate Shipping Time</t>
  </si>
  <si>
    <t>shipping_days</t>
  </si>
  <si>
    <t>Shipping Days</t>
  </si>
  <si>
    <t>save_as_draft</t>
  </si>
  <si>
    <t>Save As Draft</t>
  </si>
  <si>
    <t>save__unpublish</t>
  </si>
  <si>
    <t>Save &amp; Unpublish</t>
  </si>
  <si>
    <t>save__publish</t>
  </si>
  <si>
    <t>Save &amp; Publish</t>
  </si>
  <si>
    <t>all_cities</t>
  </si>
  <si>
    <t>All cities</t>
  </si>
  <si>
    <t>cities</t>
  </si>
  <si>
    <t>Cities</t>
  </si>
  <si>
    <t>cost</t>
  </si>
  <si>
    <t>Cost</t>
  </si>
  <si>
    <t>add_new_city</t>
  </si>
  <si>
    <t>Add New city</t>
  </si>
  <si>
    <t>_pts</t>
  </si>
  <si>
    <t xml:space="preserve"> pts</t>
  </si>
  <si>
    <t>no</t>
  </si>
  <si>
    <t>No</t>
  </si>
  <si>
    <t>convert_now</t>
  </si>
  <si>
    <t>Convert Now</t>
  </si>
  <si>
    <t>affiliate_balance</t>
  </si>
  <si>
    <t>Affiliate Balance</t>
  </si>
  <si>
    <t>configure_payout</t>
  </si>
  <si>
    <t>Configure Payout</t>
  </si>
  <si>
    <t>affiliate_withdraw_request</t>
  </si>
  <si>
    <t>Affiliate Withdraw Request</t>
  </si>
  <si>
    <t>copy_url</t>
  </si>
  <si>
    <t>Copy Url</t>
  </si>
  <si>
    <t>affiliate_earning_history</t>
  </si>
  <si>
    <t>Affiliate Earning History</t>
  </si>
  <si>
    <t>referral_user</t>
  </si>
  <si>
    <t>Referral User</t>
  </si>
  <si>
    <t>referral_type</t>
  </si>
  <si>
    <t>Referral Type</t>
  </si>
  <si>
    <t>payment_settings</t>
  </si>
  <si>
    <t>Payment Settings</t>
  </si>
  <si>
    <t>paypal_email</t>
  </si>
  <si>
    <t>Paypal Email</t>
  </si>
  <si>
    <t>bank_informations</t>
  </si>
  <si>
    <t>Bank Informations</t>
  </si>
  <si>
    <t>acc_no_bank_name_etc</t>
  </si>
  <si>
    <t>Acc. No, Bank Name etc</t>
  </si>
  <si>
    <t>update_payment_settings</t>
  </si>
  <si>
    <t>Update Payment Settings</t>
  </si>
  <si>
    <t>affiliate_payment_settings_has_been_updated_successfully</t>
  </si>
  <si>
    <t>Affiliate payment settings has been updated successfully</t>
  </si>
  <si>
    <t>new_withdraw_request_created_successfully</t>
  </si>
  <si>
    <t>New withdraw request created successfully</t>
  </si>
  <si>
    <t>affiliate_withdraw_request_history</t>
  </si>
  <si>
    <t>Affiliate withdraw request history</t>
  </si>
  <si>
    <t>affiliate_payment_history</t>
  </si>
  <si>
    <t>Affiliate payment history</t>
  </si>
  <si>
    <t>default</t>
  </si>
  <si>
    <t>Default</t>
  </si>
  <si>
    <t>area_wise_flat_shipping_cost</t>
  </si>
  <si>
    <t>Area Wise Flat Shipping Cost</t>
  </si>
  <si>
    <t>seller_wise_flat_shipping_cost_calulation_fixed_rate_for_each_seller_if_customers_purchase_2_product_from_two_seller_shipping_cost_is_calculated_by_addition_of_each_seller_flat_shipping_cost</t>
  </si>
  <si>
    <t>Seller Wise Flat Shipping Cost calulation: Fixed rate for each seller. If customers purchase 2 product from two seller shipping cost is calculated by addition of each seller flat shipping cost</t>
  </si>
  <si>
    <t>area_wise_flat_shipping_cost_calulation_fixed_rate_for_each_area_if_customers_purchase_multiple_products_from_one_seller_shipping_cost_is_calculated_by_the_customer_shipping_area_to_configure_area_wise_shipping_cost_go_to_</t>
  </si>
  <si>
    <t xml:space="preserve">Area Wise Flat Shipping Cost calulation: Fixed rate for each area. If customers purchase multiple products from one seller shipping cost is calculated by the customer shipping area. To configure area wise shipping cost go to </t>
  </si>
  <si>
    <t>1_flat_rate_shipping_cost_is_applicable_if_flat_rate_shipping_is_enabled</t>
  </si>
  <si>
    <t>1. Flat rate shipping cost is applicable if Flat rate shipping is enabled.</t>
  </si>
  <si>
    <t>1_shipping_cost_for_admin_is_applicable_if_seller_wise_shipping_cost_is_enabled</t>
  </si>
  <si>
    <t>1. Shipping cost for admin is applicable if Seller wise shipping cost is enabled.</t>
  </si>
  <si>
    <t>the_requested_quantity_is_not_available_for_</t>
  </si>
  <si>
    <t xml:space="preserve">The requested quantity is not available for </t>
  </si>
  <si>
    <t>city_has_been_inserted_successfully</t>
  </si>
  <si>
    <t>City has been inserted successfully</t>
  </si>
  <si>
    <t>namibia</t>
  </si>
  <si>
    <t>Namibia</t>
  </si>
  <si>
    <t>city_information</t>
  </si>
  <si>
    <t>City Information</t>
  </si>
  <si>
    <t>city_has_been_updated_successfully</t>
  </si>
  <si>
    <t>City has been updated successfully</t>
  </si>
  <si>
    <t>sed_ea_dolore_offici</t>
  </si>
  <si>
    <t>Sed ea dolore offici</t>
  </si>
  <si>
    <t>pickup_point_information</t>
  </si>
  <si>
    <t>Pickup Point Information</t>
  </si>
  <si>
    <t>pickup_point_status</t>
  </si>
  <si>
    <t>Pickup Point Status</t>
  </si>
  <si>
    <t>pickup_point_manager</t>
  </si>
  <si>
    <t>Pick-up Point Manager</t>
  </si>
  <si>
    <t>picuppoint_has_been_inserted_successfully</t>
  </si>
  <si>
    <t>PicupPoint has been inserted successfully</t>
  </si>
  <si>
    <t>update_pickup_point_information</t>
  </si>
  <si>
    <t>Update Pickup Point Information</t>
  </si>
  <si>
    <t>picuppoint_has_been_updated_successfully</t>
  </si>
  <si>
    <t>PicupPoint has been updated successfully</t>
  </si>
  <si>
    <t>pickip_point</t>
  </si>
  <si>
    <t>Pickip Point</t>
  </si>
  <si>
    <t>yes</t>
  </si>
  <si>
    <t>Yes</t>
  </si>
  <si>
    <t>done</t>
  </si>
  <si>
    <t>Done</t>
  </si>
  <si>
    <t>conversations_with_</t>
  </si>
  <si>
    <t xml:space="preserve">Conversations With </t>
  </si>
  <si>
    <t>between_you_and</t>
  </si>
  <si>
    <t>Between you and</t>
  </si>
  <si>
    <t>seller_product_manage_by_admin</t>
  </si>
  <si>
    <t>Seller Product Manage By Admin</t>
  </si>
  <si>
    <t>after_activate_this_option_cash_on_delivery_of_seller_product_will_be_managed_by_admin</t>
  </si>
  <si>
    <t>After activate this option Cash On Delivery of Seller product will be managed by Admin</t>
  </si>
  <si>
    <t>all_taxes</t>
  </si>
  <si>
    <t>All Taxes</t>
  </si>
  <si>
    <t>add_new_tax</t>
  </si>
  <si>
    <t>Add New Tax</t>
  </si>
  <si>
    <t>tax_type</t>
  </si>
  <si>
    <t>Tax Type</t>
  </si>
  <si>
    <t>tax_name</t>
  </si>
  <si>
    <t>Tax Name</t>
  </si>
  <si>
    <t>tax_status_updated_successfully</t>
  </si>
  <si>
    <t>Tax status updated successfully</t>
  </si>
  <si>
    <t>blogs</t>
  </si>
  <si>
    <t>Blogs</t>
  </si>
  <si>
    <t>view_all_sellers</t>
  </si>
  <si>
    <t>View All Sellers</t>
  </si>
  <si>
    <t>file_selected</t>
  </si>
  <si>
    <t>File selected</t>
  </si>
  <si>
    <t>files_selected</t>
  </si>
  <si>
    <t>Files selected</t>
  </si>
  <si>
    <t>add_more_files</t>
  </si>
  <si>
    <t>Add more files</t>
  </si>
  <si>
    <t>adding_more_files</t>
  </si>
  <si>
    <t>Adding more files</t>
  </si>
  <si>
    <t>drop_files_here_paste_or</t>
  </si>
  <si>
    <t>Drop files here, paste or</t>
  </si>
  <si>
    <t>upload_complete</t>
  </si>
  <si>
    <t>Upload complete</t>
  </si>
  <si>
    <t>upload_paused</t>
  </si>
  <si>
    <t>Upload paused</t>
  </si>
  <si>
    <t>resume_upload</t>
  </si>
  <si>
    <t>Resume upload</t>
  </si>
  <si>
    <t>pause_upload</t>
  </si>
  <si>
    <t>Pause upload</t>
  </si>
  <si>
    <t>retry_upload</t>
  </si>
  <si>
    <t>Retry upload</t>
  </si>
  <si>
    <t>cancel_upload</t>
  </si>
  <si>
    <t>Cancel upload</t>
  </si>
  <si>
    <t>uploading</t>
  </si>
  <si>
    <t>Uploading</t>
  </si>
  <si>
    <t>processing</t>
  </si>
  <si>
    <t>Processing</t>
  </si>
  <si>
    <t>complete</t>
  </si>
  <si>
    <t>Complete</t>
  </si>
  <si>
    <t>files</t>
  </si>
  <si>
    <t>Files</t>
  </si>
  <si>
    <t>this_action_is_disabled_in_demo_mode</t>
  </si>
  <si>
    <t>This action is disabled in demo mode</t>
  </si>
  <si>
    <t>nothing_selected</t>
  </si>
  <si>
    <t>Nothing selected</t>
  </si>
  <si>
    <t>delivery_boy</t>
  </si>
  <si>
    <t>Delivery Boy</t>
  </si>
  <si>
    <t>all_delivery_boy</t>
  </si>
  <si>
    <t>All Delivery Boy</t>
  </si>
  <si>
    <t>add_delivery_boy</t>
  </si>
  <si>
    <t>Add Delivery Boy</t>
  </si>
  <si>
    <t>cancel_request</t>
  </si>
  <si>
    <t>Cancel Request</t>
  </si>
  <si>
    <t>configuration</t>
  </si>
  <si>
    <t>Configuration</t>
  </si>
  <si>
    <t>all_delivery_boys</t>
  </si>
  <si>
    <t>All Delivery Boys</t>
  </si>
  <si>
    <t>add_new_delivery_boy</t>
  </si>
  <si>
    <t>Add New Delivery Boy</t>
  </si>
  <si>
    <t>delivery_boys</t>
  </si>
  <si>
    <t>Delivery Boys</t>
  </si>
  <si>
    <t>collection</t>
  </si>
  <si>
    <t>Collection</t>
  </si>
  <si>
    <t>do_you_really_want_to_ban_this_delivery_boy</t>
  </si>
  <si>
    <t>Do you really want to ban this delivery_boy?</t>
  </si>
  <si>
    <t>do_you_really_want_to_unban_this_delivery_boy</t>
  </si>
  <si>
    <t>Do you really want to unban this delivery_boy?</t>
  </si>
  <si>
    <t>delivery_boy_information</t>
  </si>
  <si>
    <t>Delivery Boy Information</t>
  </si>
  <si>
    <t>select_city</t>
  </si>
  <si>
    <t>Select City</t>
  </si>
  <si>
    <t>delivery_boy_has_been_created_successfully</t>
  </si>
  <si>
    <t>Delivery Boy has been created successfully</t>
  </si>
  <si>
    <t>ban_this_delivery_boy</t>
  </si>
  <si>
    <t>Ban this delivery boy</t>
  </si>
  <si>
    <t>payment_configuration</t>
  </si>
  <si>
    <t>Payment Configuration</t>
  </si>
  <si>
    <t>monthly_salary</t>
  </si>
  <si>
    <t>Monthly Salary</t>
  </si>
  <si>
    <t>salary_amount</t>
  </si>
  <si>
    <t>Salary Amount</t>
  </si>
  <si>
    <t>per_order_commission</t>
  </si>
  <si>
    <t>Per Order Commission</t>
  </si>
  <si>
    <t>commission_rate</t>
  </si>
  <si>
    <t>Commission Rate</t>
  </si>
  <si>
    <t>notification_configuration</t>
  </si>
  <si>
    <t>Notification Configuration</t>
  </si>
  <si>
    <t>send_mail</t>
  </si>
  <si>
    <t>Send Mail</t>
  </si>
  <si>
    <t>send_otp</t>
  </si>
  <si>
    <t>Send OTP</t>
  </si>
  <si>
    <t>all_cancel_request</t>
  </si>
  <si>
    <t>All Cancel Request</t>
  </si>
  <si>
    <t>cancel_requests</t>
  </si>
  <si>
    <t>Cancel Requests</t>
  </si>
  <si>
    <t>request_by</t>
  </si>
  <si>
    <t>Request By</t>
  </si>
  <si>
    <t>request_at</t>
  </si>
  <si>
    <t>Request At</t>
  </si>
  <si>
    <t>offline_customer_package_payment_requests</t>
  </si>
  <si>
    <t>Offline Customer Package Payment Requests</t>
  </si>
  <si>
    <t>method</t>
  </si>
  <si>
    <t>Method</t>
  </si>
  <si>
    <t>txn_id</t>
  </si>
  <si>
    <t>TXN ID</t>
  </si>
  <si>
    <t>reciept</t>
  </si>
  <si>
    <t>Reciept</t>
  </si>
  <si>
    <t>offline_customer_package_payment_approved_successfully</t>
  </si>
  <si>
    <t>Offline Customer Package Payment approved successfully</t>
  </si>
  <si>
    <t>refferal_users</t>
  </si>
  <si>
    <t>Refferal Users</t>
  </si>
  <si>
    <t>reffered_by</t>
  </si>
  <si>
    <t>Reffered By</t>
  </si>
  <si>
    <t>affiliate_withdraw_request_reject</t>
  </si>
  <si>
    <t>Affiliate Withdraw Request Reject</t>
  </si>
  <si>
    <t>are_you_sure_you_want_to_reject_this</t>
  </si>
  <si>
    <t>Are you sure, You want to reject this?</t>
  </si>
  <si>
    <t>server_information</t>
  </si>
  <si>
    <t>Server information</t>
  </si>
  <si>
    <t>current_version</t>
  </si>
  <si>
    <t>Current Version</t>
  </si>
  <si>
    <t>required_version</t>
  </si>
  <si>
    <t>Required Version</t>
  </si>
  <si>
    <t>phpini_config</t>
  </si>
  <si>
    <t>php.ini Config</t>
  </si>
  <si>
    <t>config_name</t>
  </si>
  <si>
    <t>Config Name</t>
  </si>
  <si>
    <t>current</t>
  </si>
  <si>
    <t>Current</t>
  </si>
  <si>
    <t>recommended</t>
  </si>
  <si>
    <t>Recommended</t>
  </si>
  <si>
    <t>extensions_information</t>
  </si>
  <si>
    <t>Extensions information</t>
  </si>
  <si>
    <t>extension_name</t>
  </si>
  <si>
    <t>Extension Name</t>
  </si>
  <si>
    <t>filesystem_permissions</t>
  </si>
  <si>
    <t>Filesystem Permissions</t>
  </si>
  <si>
    <t>file_or_folder</t>
  </si>
  <si>
    <t>File or Folder</t>
  </si>
  <si>
    <t>assign_deliver_boy</t>
  </si>
  <si>
    <t>Assign Deliver Boy</t>
  </si>
  <si>
    <t>select_delivery_boy</t>
  </si>
  <si>
    <t>Select Delivery Boy</t>
  </si>
  <si>
    <t>picked_up</t>
  </si>
  <si>
    <t>Picked Up</t>
  </si>
  <si>
    <t>on_the_way</t>
  </si>
  <si>
    <t>On The Way</t>
  </si>
  <si>
    <t>delivery_boy_has_been_assigned</t>
  </si>
  <si>
    <t>Delivery boy has been assigned</t>
  </si>
  <si>
    <t>seller_account</t>
  </si>
  <si>
    <t>Seller Account</t>
  </si>
  <si>
    <t>copy_credentials</t>
  </si>
  <si>
    <t>Copy credentials</t>
  </si>
  <si>
    <t>customer_account</t>
  </si>
  <si>
    <t>Customer Account</t>
  </si>
  <si>
    <t>delivery_boy_account</t>
  </si>
  <si>
    <t>Delivery Boy Account</t>
  </si>
  <si>
    <t>invalid_coupon</t>
  </si>
  <si>
    <t>Invalid coupon!</t>
  </si>
  <si>
    <t>assigned_delivery</t>
  </si>
  <si>
    <t>Assigned Delivery</t>
  </si>
  <si>
    <t>pickup_delivery</t>
  </si>
  <si>
    <t>Pickup Delivery</t>
  </si>
  <si>
    <t>on_the_way_delivery</t>
  </si>
  <si>
    <t>On The Way Delivery</t>
  </si>
  <si>
    <t>completed_delivery</t>
  </si>
  <si>
    <t>Completed Delivery</t>
  </si>
  <si>
    <t>pending_delivery</t>
  </si>
  <si>
    <t>Pending Delivery</t>
  </si>
  <si>
    <t>cancelled_delivery</t>
  </si>
  <si>
    <t>Cancelled Delivery</t>
  </si>
  <si>
    <t>request_cancelled_delivery</t>
  </si>
  <si>
    <t>Request Cancelled Delivery</t>
  </si>
  <si>
    <t>total_collections</t>
  </si>
  <si>
    <t>Total Collections</t>
  </si>
  <si>
    <t>assigned_delivery_history</t>
  </si>
  <si>
    <t>Assigned Delivery History</t>
  </si>
  <si>
    <t>mark_as_pickup</t>
  </si>
  <si>
    <t>Mark As Pickup</t>
  </si>
  <si>
    <t>do_you_really_want_to_send_request_to_cancel</t>
  </si>
  <si>
    <t>Do you really want to send request to cancel?</t>
  </si>
  <si>
    <t>request_cancel</t>
  </si>
  <si>
    <t>Request Cancel</t>
  </si>
  <si>
    <t>total_collection_history</t>
  </si>
  <si>
    <t>Total Collection History</t>
  </si>
  <si>
    <t>cancelled_delivery_history</t>
  </si>
  <si>
    <t>Cancelled Delivery History</t>
  </si>
  <si>
    <t>completed_delivery_history</t>
  </si>
  <si>
    <t>Completed Delivery History</t>
  </si>
  <si>
    <t>on_the_way_delivery_history</t>
  </si>
  <si>
    <t>On The Way Delivery History</t>
  </si>
  <si>
    <t>pickup_delivery_history</t>
  </si>
  <si>
    <t>Pickup Delivery History</t>
  </si>
  <si>
    <t>website_popup</t>
  </si>
  <si>
    <t>Website Popup</t>
  </si>
  <si>
    <t>show_website_popup</t>
  </si>
  <si>
    <t>Show website popup?</t>
  </si>
  <si>
    <t>popup_content</t>
  </si>
  <si>
    <t>Popup content</t>
  </si>
  <si>
    <t>show_subscriber_form</t>
  </si>
  <si>
    <t>Show Subscriber form?</t>
  </si>
  <si>
    <t>topbar_banner</t>
  </si>
  <si>
    <t>Topbar Banner</t>
  </si>
  <si>
    <t>topbar_banner_link</t>
  </si>
  <si>
    <t>Topbar Banner Link</t>
  </si>
  <si>
    <t>disable_image_optimization</t>
  </si>
  <si>
    <t>Disable image optimization?</t>
  </si>
  <si>
    <t>back_to_uploaded_files</t>
  </si>
  <si>
    <t>Back to uploaded files</t>
  </si>
  <si>
    <t>drag__drop_your_files</t>
  </si>
  <si>
    <t>Drag &amp; drop your files</t>
  </si>
  <si>
    <t>subscribe_now</t>
  </si>
  <si>
    <t>Subscribe Now</t>
  </si>
  <si>
    <t>play_store_link</t>
  </si>
  <si>
    <t>Play Store Link</t>
  </si>
  <si>
    <t>app_store_link</t>
  </si>
  <si>
    <t>App Store Link</t>
  </si>
  <si>
    <t>hello</t>
  </si>
  <si>
    <t>Hello</t>
  </si>
  <si>
    <t>shop_by_department</t>
  </si>
  <si>
    <t>Shop By Department</t>
  </si>
  <si>
    <t>log_out</t>
  </si>
  <si>
    <t>Log Out</t>
  </si>
  <si>
    <t>sms_templates</t>
  </si>
  <si>
    <t>SMS Templates</t>
  </si>
  <si>
    <t>loading</t>
  </si>
  <si>
    <t>Loading..</t>
  </si>
  <si>
    <t>place_order</t>
  </si>
  <si>
    <t>Place Order</t>
  </si>
  <si>
    <t>Load More.</t>
  </si>
  <si>
    <t>nothing_more_found</t>
  </si>
  <si>
    <t>Nothing more found.</t>
  </si>
  <si>
    <t>phone_number_verification</t>
  </si>
  <si>
    <t>Phone Number Verification</t>
  </si>
  <si>
    <t>password_reset</t>
  </si>
  <si>
    <t>Password Reset</t>
  </si>
  <si>
    <t>delivery_status_change</t>
  </si>
  <si>
    <t>Delivery Status Change</t>
  </si>
  <si>
    <t>payment_status_change</t>
  </si>
  <si>
    <t>Payment Status Change</t>
  </si>
  <si>
    <t>assign_delivery_boy</t>
  </si>
  <si>
    <t>Assign Delivery Boy</t>
  </si>
  <si>
    <t>sms_body</t>
  </si>
  <si>
    <t>SMS Body</t>
  </si>
  <si>
    <t>template_id</t>
  </si>
  <si>
    <t>Template ID</t>
  </si>
  <si>
    <t>update_settings</t>
  </si>
  <si>
    <t>Update Settings</t>
  </si>
  <si>
    <t>please_turn_off_maintenance_mode_before_updating</t>
  </si>
  <si>
    <t>Please turn off maintenance mode before updating.</t>
  </si>
  <si>
    <t>file_system__cache_configuration</t>
  </si>
  <si>
    <t>File System &amp; Cache Configuration</t>
  </si>
  <si>
    <t>google_map</t>
  </si>
  <si>
    <t>Google Map</t>
  </si>
  <si>
    <t>google_firebase</t>
  </si>
  <si>
    <t>Google Firebase</t>
  </si>
  <si>
    <t>no_notification_found</t>
  </si>
  <si>
    <t>No notification found</t>
  </si>
  <si>
    <t>view_all_notifications</t>
  </si>
  <si>
    <t>View All Notifications</t>
  </si>
  <si>
    <t>account</t>
  </si>
  <si>
    <t>Account</t>
  </si>
  <si>
    <t>item_has_been_removed_from_cart</t>
  </si>
  <si>
    <t>Item has been removed from cart</t>
  </si>
  <si>
    <t>please_choose_all_the_options</t>
  </si>
  <si>
    <t>Please choose all the options</t>
  </si>
  <si>
    <t>auction_products</t>
  </si>
  <si>
    <t>Auction Products</t>
  </si>
  <si>
    <t>add_new_auction_product</t>
  </si>
  <si>
    <t>Add New auction product</t>
  </si>
  <si>
    <t>all_auction_products</t>
  </si>
  <si>
    <t>All Auction Products</t>
  </si>
  <si>
    <t>select_brand</t>
  </si>
  <si>
    <t>Select Brand</t>
  </si>
  <si>
    <t>minimum_purchase_qty</t>
  </si>
  <si>
    <t>Minimum Purchase Qty</t>
  </si>
  <si>
    <t>discount_date_range</t>
  </si>
  <si>
    <t>Discount Date Range</t>
  </si>
  <si>
    <t>select_date</t>
  </si>
  <si>
    <t>Select Date</t>
  </si>
  <si>
    <t>1</t>
  </si>
  <si>
    <t>product_wise_shipping_cost_is_disable_shipping_cost_is_configured_from_here</t>
  </si>
  <si>
    <t>Product wise shipping cost is disable. Shipping cost is configured from here</t>
  </si>
  <si>
    <t>starting_bidding_price</t>
  </si>
  <si>
    <t>Starting bidding price</t>
  </si>
  <si>
    <t>auction_date_range</t>
  </si>
  <si>
    <t>Auction Date Range</t>
  </si>
  <si>
    <t>auction_products_orders</t>
  </si>
  <si>
    <t>Auction Products Orders</t>
  </si>
  <si>
    <t>twilio_otp</t>
  </si>
  <si>
    <t>Twilio OTP</t>
  </si>
  <si>
    <t>mimsms</t>
  </si>
  <si>
    <t>MIMSMS</t>
  </si>
  <si>
    <t>twilio_credential</t>
  </si>
  <si>
    <t>Twilio Credential</t>
  </si>
  <si>
    <t>valid_twilio_number</t>
  </si>
  <si>
    <t>VALID TWILIO NUMBER</t>
  </si>
  <si>
    <t>entity_id</t>
  </si>
  <si>
    <t>ENTITY ID</t>
  </si>
  <si>
    <t>dlt_manual</t>
  </si>
  <si>
    <t>DLT Manual</t>
  </si>
  <si>
    <t>mimsms_credential</t>
  </si>
  <si>
    <t>MIMSMS Credential</t>
  </si>
  <si>
    <t>mim_api_key</t>
  </si>
  <si>
    <t>MIM_API_KEY</t>
  </si>
  <si>
    <t>mim_sender_id</t>
  </si>
  <si>
    <t>MIM_SENDER_ID</t>
  </si>
  <si>
    <t>product_bidding_price__date_range</t>
  </si>
  <si>
    <t>Product Bidding Price + Date Range</t>
  </si>
  <si>
    <t>is_product_quantity_mulitiply</t>
  </si>
  <si>
    <t>Is Product Quantity Mulitiply</t>
  </si>
  <si>
    <t>auction_product</t>
  </si>
  <si>
    <t>Auction Product</t>
  </si>
  <si>
    <t>bidded_products</t>
  </si>
  <si>
    <t>Bidded Products</t>
  </si>
  <si>
    <t>all_auction_product</t>
  </si>
  <si>
    <t>All Auction Product</t>
  </si>
  <si>
    <t>bid_starting_amount</t>
  </si>
  <si>
    <t>Bid Starting Amount</t>
  </si>
  <si>
    <t>auction_start_date</t>
  </si>
  <si>
    <t>Auction Start Date</t>
  </si>
  <si>
    <t>auction_end_date</t>
  </si>
  <si>
    <t>Auction End Date</t>
  </si>
  <si>
    <t>total_bids</t>
  </si>
  <si>
    <t>Total Bids</t>
  </si>
  <si>
    <t>bulk_action</t>
  </si>
  <si>
    <t>Bulk Action</t>
  </si>
  <si>
    <t>delete_selection</t>
  </si>
  <si>
    <t>Delete selection</t>
  </si>
  <si>
    <t>product_approval_update_successfully</t>
  </si>
  <si>
    <t>Product approval update successfully</t>
  </si>
  <si>
    <t>view_products</t>
  </si>
  <si>
    <t>View Products</t>
  </si>
  <si>
    <t>view_all_bids</t>
  </si>
  <si>
    <t>View All Bids</t>
  </si>
  <si>
    <t>edit_auction_product</t>
  </si>
  <si>
    <t>Edit Auction Product</t>
  </si>
  <si>
    <t>auction_will_end</t>
  </si>
  <si>
    <t>Auction Will End</t>
  </si>
  <si>
    <t>starting_bid</t>
  </si>
  <si>
    <t>Starting Bid</t>
  </si>
  <si>
    <t>highest_bid</t>
  </si>
  <si>
    <t>Highest Bid</t>
  </si>
  <si>
    <t>place_bid</t>
  </si>
  <si>
    <t>Place Bid</t>
  </si>
  <si>
    <t>bid_for_product</t>
  </si>
  <si>
    <t>Bid For Product</t>
  </si>
  <si>
    <t>min_bid_amount_</t>
  </si>
  <si>
    <t xml:space="preserve">Min Bid Amount: </t>
  </si>
  <si>
    <t>place_bid_price</t>
  </si>
  <si>
    <t>Place Bid Price</t>
  </si>
  <si>
    <t>enter_amount</t>
  </si>
  <si>
    <t>Enter Amount</t>
  </si>
  <si>
    <t>bid_placed_successfully</t>
  </si>
  <si>
    <t>Bid Placed Successfully</t>
  </si>
  <si>
    <t>my_bidded_amount</t>
  </si>
  <si>
    <t>My Bidded Amount</t>
  </si>
  <si>
    <t>chnage_bid</t>
  </si>
  <si>
    <t>Chnage Bid</t>
  </si>
  <si>
    <t>highest_bid_amount</t>
  </si>
  <si>
    <t>Highest Bid Amount</t>
  </si>
  <si>
    <t>ended</t>
  </si>
  <si>
    <t>Ended</t>
  </si>
  <si>
    <t>buy</t>
  </si>
  <si>
    <t>Buy</t>
  </si>
  <si>
    <t>address_edit</t>
  </si>
  <si>
    <t>Address Edit</t>
  </si>
  <si>
    <t>proxypay</t>
  </si>
  <si>
    <t>ProxyPay</t>
  </si>
  <si>
    <t>has_been_placed</t>
  </si>
  <si>
    <t>has been Placed</t>
  </si>
  <si>
    <t>order_has_been_deleted_successfully</t>
  </si>
  <si>
    <t>Order has been deleted successfully</t>
  </si>
  <si>
    <t>purchased</t>
  </si>
  <si>
    <t>Purchased</t>
  </si>
  <si>
    <t>remove_other_items_to_add_auction_product</t>
  </si>
  <si>
    <t>Remove other items to add auction product.</t>
  </si>
  <si>
    <t>item_alreday_added_to_the_cart</t>
  </si>
  <si>
    <t>Item alreday added to the cart.</t>
  </si>
  <si>
    <t>total_collected</t>
  </si>
  <si>
    <t>Total Collected</t>
  </si>
  <si>
    <t>earnings</t>
  </si>
  <si>
    <t>Earnings</t>
  </si>
  <si>
    <t>values</t>
  </si>
  <si>
    <t>Values</t>
  </si>
  <si>
    <t>attribute_values</t>
  </si>
  <si>
    <t>Attribute values</t>
  </si>
  <si>
    <t>Global SEO</t>
  </si>
  <si>
    <t>keyword_keyword</t>
  </si>
  <si>
    <t>Keyword, Keyword</t>
  </si>
  <si>
    <t>Choose File</t>
  </si>
  <si>
    <t>Nothing found</t>
  </si>
  <si>
    <t>Wallet Recharge History</t>
  </si>
  <si>
    <t>order_code_</t>
  </si>
  <si>
    <t xml:space="preserve">Order code: </t>
  </si>
  <si>
    <t>All categories</t>
  </si>
  <si>
    <t>Password</t>
  </si>
  <si>
    <t>Forgot password?</t>
  </si>
  <si>
    <t>Times</t>
  </si>
  <si>
    <t>Be A Seller</t>
  </si>
  <si>
    <t>Sort by</t>
  </si>
  <si>
    <t>Total</t>
  </si>
  <si>
    <t>Postal code</t>
  </si>
  <si>
    <t>terms and conditions</t>
  </si>
  <si>
    <t>return policy</t>
  </si>
  <si>
    <t>privacy policy</t>
  </si>
  <si>
    <t>Order date</t>
  </si>
  <si>
    <t>Shipping address</t>
  </si>
  <si>
    <t>Order status</t>
  </si>
  <si>
    <t>seller_commission_activation</t>
  </si>
  <si>
    <t>Seller Commission Activation</t>
  </si>
  <si>
    <t>of_seller_product_price_will_be_deducted_from_seller_earnings</t>
  </si>
  <si>
    <t>of seller product price will be deducted from seller earnings</t>
  </si>
  <si>
    <t>this_commission_only_works_when_category_based_commission_is_turned_off_from_business_settings</t>
  </si>
  <si>
    <t>This commission only works when Category Based Commission is turned off from Business Settings</t>
  </si>
  <si>
    <t>disable_image_encoding</t>
  </si>
  <si>
    <t>Disable image encoding?</t>
  </si>
  <si>
    <t>admin_approval_on_seller_product</t>
  </si>
  <si>
    <t>Admin Approval On Seller Product</t>
  </si>
  <si>
    <t>after_activate_this_option_admin_approval_need_to_seller_product</t>
  </si>
  <si>
    <t>After activate this option, Admin approval need to seller product</t>
  </si>
  <si>
    <t>proxy_pay_activation</t>
  </si>
  <si>
    <t>Proxy Pay Activation</t>
  </si>
  <si>
    <t>you_need_to_configure_proxypay_correctly_to_enable_this_feature</t>
  </si>
  <si>
    <t>You need to configure proxypay correctly to enable this feature</t>
  </si>
  <si>
    <t>amarpay_activation</t>
  </si>
  <si>
    <t>Amarpay Activation</t>
  </si>
  <si>
    <t>you_need_to_configure_amarpay_correctly_to_enable_this_feature</t>
  </si>
  <si>
    <t>You need to configure amarpay correctly to enable this feature</t>
  </si>
  <si>
    <t>category_based_commission</t>
  </si>
  <si>
    <t>Category Based Commission</t>
  </si>
  <si>
    <t>if_category_based_commission_is_enbaled_global_percentage_will_not_work</t>
  </si>
  <si>
    <t>If Category Based Commission is enbaled, Global percentage will not work.</t>
  </si>
  <si>
    <t>if_category_based_commission_is_enbaled_set_seller_commission_percentage_0</t>
  </si>
  <si>
    <t>If Category Based Commission is enbaled, Set seller commission percentage 0.</t>
  </si>
  <si>
    <t>seller_commission_activatation</t>
  </si>
  <si>
    <t>Seller Commission Activatation</t>
  </si>
  <si>
    <t>seller_commission_updated_successfully</t>
  </si>
  <si>
    <t>Seller Commission updated successfully</t>
  </si>
  <si>
    <t>order_level</t>
  </si>
  <si>
    <t>Order Level</t>
  </si>
  <si>
    <t>Icon</t>
  </si>
  <si>
    <t>All products</t>
  </si>
  <si>
    <t>Add New Product</t>
  </si>
  <si>
    <t>Sold by</t>
  </si>
  <si>
    <t>coupon_has_been_saved_successfully</t>
  </si>
  <si>
    <t>Coupon has been saved successfully</t>
  </si>
  <si>
    <t>cart_base</t>
  </si>
  <si>
    <t>Cart Base</t>
  </si>
  <si>
    <t>coupon_has_been_deleted_successfully</t>
  </si>
  <si>
    <t>Coupon has been deleted successfully</t>
  </si>
  <si>
    <t>coupon_has_been_updated_successfully</t>
  </si>
  <si>
    <t>Coupon has been updated successfully</t>
  </si>
  <si>
    <t>coupons</t>
  </si>
  <si>
    <t>Coupons</t>
  </si>
  <si>
    <t>add_your_coupon</t>
  </si>
  <si>
    <t>Add Your Coupon</t>
  </si>
  <si>
    <t>edit_your_coupon</t>
  </si>
  <si>
    <t>Edit Your Coupon</t>
  </si>
  <si>
    <t>Paypal Client Id</t>
  </si>
  <si>
    <t>Stripe Key</t>
  </si>
  <si>
    <t>Stripe Secret</t>
  </si>
  <si>
    <t>aamarpay_credential</t>
  </si>
  <si>
    <t>Aamarpay Credential</t>
  </si>
  <si>
    <t>aamarpay_store_id</t>
  </si>
  <si>
    <t>Aamarpay Store Id</t>
  </si>
  <si>
    <t>aamarpay_signature_key</t>
  </si>
  <si>
    <t>Aamarpay signature key</t>
  </si>
  <si>
    <t>aamarpay_sandbox_mode</t>
  </si>
  <si>
    <t>Aamarpay Sandbox Mode</t>
  </si>
  <si>
    <t>proxypay_credential</t>
  </si>
  <si>
    <t>ProxyPay Credential</t>
  </si>
  <si>
    <t>proxypay_token</t>
  </si>
  <si>
    <t>PROXYPAY_TOKEN</t>
  </si>
  <si>
    <t>PROXYPAY TOKEN</t>
  </si>
  <si>
    <t>proxypay_entity</t>
  </si>
  <si>
    <t>PROXYPAY_ENTITY</t>
  </si>
  <si>
    <t>proxypay_end_time</t>
  </si>
  <si>
    <t>PROXYPAY_END_TIME</t>
  </si>
  <si>
    <t>Days</t>
  </si>
  <si>
    <t>flw_public_key</t>
  </si>
  <si>
    <t>FLW_PUBLIC_KEY</t>
  </si>
  <si>
    <t>flw_secret_key</t>
  </si>
  <si>
    <t>FLW_SECRET_KEY</t>
  </si>
  <si>
    <t>flw_secret_hash</t>
  </si>
  <si>
    <t>FLW_SECRET_HASH</t>
  </si>
  <si>
    <t>product_conversations</t>
  </si>
  <si>
    <t>Product Conversations</t>
  </si>
  <si>
    <t>order_configuration</t>
  </si>
  <si>
    <t>Order Configuration</t>
  </si>
  <si>
    <t>shipping_states</t>
  </si>
  <si>
    <t>Shipping States</t>
  </si>
  <si>
    <t>clear_cache</t>
  </si>
  <si>
    <t>Clear Cache</t>
  </si>
  <si>
    <t>do_you_really_want_to_unban_this_seller</t>
  </si>
  <si>
    <t>Do you really want to unban this seller?</t>
  </si>
  <si>
    <t>total_order</t>
  </si>
  <si>
    <t>Total Order</t>
  </si>
  <si>
    <t>total_sales</t>
  </si>
  <si>
    <t>Total Sales</t>
  </si>
  <si>
    <t>sales_stat</t>
  </si>
  <si>
    <t>Sales Stat</t>
  </si>
  <si>
    <t>last_month</t>
  </si>
  <si>
    <t>Last Month</t>
  </si>
  <si>
    <t>category_wise_product_count</t>
  </si>
  <si>
    <t>Category wise product count</t>
  </si>
  <si>
    <t>this_month</t>
  </si>
  <si>
    <t>This Month</t>
  </si>
  <si>
    <t>new_order</t>
  </si>
  <si>
    <t>New Order</t>
  </si>
  <si>
    <t>cancelled</t>
  </si>
  <si>
    <t>Cancelled</t>
  </si>
  <si>
    <t>shop_phone</t>
  </si>
  <si>
    <t>Shop Phone</t>
  </si>
  <si>
    <t>instagram</t>
  </si>
  <si>
    <t>Instagram</t>
  </si>
  <si>
    <t>please_upgrade_your_package</t>
  </si>
  <si>
    <t>Please upgrade your package.</t>
  </si>
  <si>
    <t>external_link</t>
  </si>
  <si>
    <t>External link</t>
  </si>
  <si>
    <t>leave_it_blank_if_you_do_not_use_external_site_link</t>
  </si>
  <si>
    <t>Leave it blank if you do not use external site link</t>
  </si>
  <si>
    <t>external_link_button_text</t>
  </si>
  <si>
    <t>External link button text</t>
  </si>
  <si>
    <t>upload_product</t>
  </si>
  <si>
    <t>Upload Product</t>
  </si>
  <si>
    <t>import_app_translations</t>
  </si>
  <si>
    <t>Import App Translations</t>
  </si>
  <si>
    <t>english_trasnlation_file</t>
  </si>
  <si>
    <t>English Trasnlation File</t>
  </si>
  <si>
    <t>choose_app_enarb_file</t>
  </si>
  <si>
    <t>Choose app_en.arb file</t>
  </si>
  <si>
    <t>import</t>
  </si>
  <si>
    <t>Import</t>
  </si>
  <si>
    <t>flutter_app_lang_code</t>
  </si>
  <si>
    <t>Flutter App Lang Code</t>
  </si>
  <si>
    <t>app_translation</t>
  </si>
  <si>
    <t>App Translation</t>
  </si>
  <si>
    <t>arb_file_export</t>
  </si>
  <si>
    <t>arb File Export</t>
  </si>
  <si>
    <t>links_for_iso_6391_codes</t>
  </si>
  <si>
    <t>Links for ISO 639-1 codes</t>
  </si>
  <si>
    <t>put_iso_6391_code_for_your_language</t>
  </si>
  <si>
    <t>Put ISO 639-1 code for your language</t>
  </si>
  <si>
    <t>purchase_code</t>
  </si>
  <si>
    <t>Purchase code</t>
  </si>
  <si>
    <t>addon_installed_successfully</t>
  </si>
  <si>
    <t>Addon installed successfully</t>
  </si>
  <si>
    <t>refund_request_sending_time_has_been_updated_successfully</t>
  </si>
  <si>
    <t>Refund Request sending time has been updated successfully</t>
  </si>
  <si>
    <t>withdraw_seller_amount</t>
  </si>
  <si>
    <t>Withdraw Seller Amount</t>
  </si>
  <si>
    <t>minimum_seller_amount_withdraw</t>
  </si>
  <si>
    <t>Minimum Seller Amount Withdraw</t>
  </si>
  <si>
    <t>search_by_product_namebarcode</t>
  </si>
  <si>
    <t>Search by Product Name/Barcode</t>
  </si>
  <si>
    <t>state</t>
  </si>
  <si>
    <t>State</t>
  </si>
  <si>
    <t>confirm_with_cod</t>
  </si>
  <si>
    <t>Confirm with COD</t>
  </si>
  <si>
    <t>confirm_with_cash</t>
  </si>
  <si>
    <t>Confirm with Cash</t>
  </si>
  <si>
    <t>offline_payment_info</t>
  </si>
  <si>
    <t>Offline Payment Info</t>
  </si>
  <si>
    <t>payment_proof</t>
  </si>
  <si>
    <t>Payment Proof</t>
  </si>
  <si>
    <t>packages</t>
  </si>
  <si>
    <t>Packages</t>
  </si>
  <si>
    <t>purchase_packages</t>
  </si>
  <si>
    <t>Purchase Packages</t>
  </si>
  <si>
    <t>new_products</t>
  </si>
  <si>
    <t>New Products</t>
  </si>
  <si>
    <t>view_policy</t>
  </si>
  <si>
    <t>View Policy</t>
  </si>
  <si>
    <t>referred_by</t>
  </si>
  <si>
    <t>Referred By</t>
  </si>
  <si>
    <t>cache__session_driver</t>
  </si>
  <si>
    <t>Cache &amp; Session Driver</t>
  </si>
  <si>
    <t>cache_driver</t>
  </si>
  <si>
    <t>CACHE_DRIVER</t>
  </si>
  <si>
    <t>redis</t>
  </si>
  <si>
    <t>session_driver</t>
  </si>
  <si>
    <t>SESSION_DRIVER</t>
  </si>
  <si>
    <t>redis_configuration_if_you_use_redis_as_any_of_the_drivers</t>
  </si>
  <si>
    <t>Redis Configuration (If you use redis as any of the drivers)</t>
  </si>
  <si>
    <t>redis_host</t>
  </si>
  <si>
    <t>REDIS_HOST</t>
  </si>
  <si>
    <t>redis_password</t>
  </si>
  <si>
    <t>REDIS_PASSWORD</t>
  </si>
  <si>
    <t>redis_port</t>
  </si>
  <si>
    <t>REDIS_PORT</t>
  </si>
  <si>
    <t>you_do_not_have_enough_balance_to_send_withdraw_request</t>
  </si>
  <si>
    <t>You do not have enough balance to send withdraw request</t>
  </si>
  <si>
    <t>product_upload_limit</t>
  </si>
  <si>
    <t>Product Upload Limit</t>
  </si>
  <si>
    <t>all_refund_request</t>
  </si>
  <si>
    <t>All Refund Request</t>
  </si>
  <si>
    <t>purchase_package_list</t>
  </si>
  <si>
    <t>Purchase Package List</t>
  </si>
  <si>
    <t>all_purchase_package</t>
  </si>
  <si>
    <t>All Purchase Package</t>
  </si>
  <si>
    <t>package_price</t>
  </si>
  <si>
    <t>Package Price</t>
  </si>
  <si>
    <t>invalid_login_credentials</t>
  </si>
  <si>
    <t>Invalid login credentials</t>
  </si>
  <si>
    <t>free</t>
  </si>
  <si>
    <t>Free</t>
  </si>
  <si>
    <t>free_package</t>
  </si>
  <si>
    <t>Free Package</t>
  </si>
  <si>
    <t>has_not_been_verified_yet</t>
  </si>
  <si>
    <t>has not been verified yet.</t>
  </si>
  <si>
    <t>shop_verification</t>
  </si>
  <si>
    <t>Shop Verification</t>
  </si>
  <si>
    <t>edit_seller_information</t>
  </si>
  <si>
    <t>Edit Seller Information</t>
  </si>
  <si>
    <t>daterange</t>
  </si>
  <si>
    <t>Daterange</t>
  </si>
  <si>
    <t>admin_commission</t>
  </si>
  <si>
    <t>Admin Commission</t>
  </si>
  <si>
    <t>earning</t>
  </si>
  <si>
    <t>Earning</t>
  </si>
  <si>
    <t>created_at</t>
  </si>
  <si>
    <t>Created At</t>
  </si>
  <si>
    <t>product_query_activation</t>
  </si>
  <si>
    <t>Product Query Activation</t>
  </si>
  <si>
    <t>mercadopago_payment_activation</t>
  </si>
  <si>
    <t>Mercadopago Payment Activation</t>
  </si>
  <si>
    <t>authorize_net_activation</t>
  </si>
  <si>
    <t>Authorize Net Activation</t>
  </si>
  <si>
    <t>you_need_to_configure_authorize_net_correctly_to_enable_this_feature</t>
  </si>
  <si>
    <t>You need to configure authorize net correctly to enable this feature</t>
  </si>
  <si>
    <t>payku_activation</t>
  </si>
  <si>
    <t>Payku Activation</t>
  </si>
  <si>
    <t>you_need_to_configure_payku_net_correctly_to_enable_this_feature</t>
  </si>
  <si>
    <t>You need to configure payku net correctly to enable this feature</t>
  </si>
  <si>
    <t>user_name</t>
  </si>
  <si>
    <t>User Name</t>
  </si>
  <si>
    <t>question</t>
  </si>
  <si>
    <t>Question</t>
  </si>
  <si>
    <t>reply</t>
  </si>
  <si>
    <t>Reply</t>
  </si>
  <si>
    <t>request_has_been_sent_successfully</t>
  </si>
  <si>
    <t>Request has been sent successfully</t>
  </si>
  <si>
    <t>seller_withdraw_request</t>
  </si>
  <si>
    <t>Seller Withdraw Request</t>
  </si>
  <si>
    <t>seller</t>
  </si>
  <si>
    <t>Seller</t>
  </si>
  <si>
    <t>total_amount_to_pay</t>
  </si>
  <si>
    <t>Total Amount to Pay</t>
  </si>
  <si>
    <t>requested_amount</t>
  </si>
  <si>
    <t>Requested Amount</t>
  </si>
  <si>
    <t>message_view</t>
  </si>
  <si>
    <t>Message View</t>
  </si>
  <si>
    <t>select_payment_method</t>
  </si>
  <si>
    <t>Select Payment Method</t>
  </si>
  <si>
    <t>pay</t>
  </si>
  <si>
    <t>Pay</t>
  </si>
  <si>
    <t>seller_message</t>
  </si>
  <si>
    <t>Seller Message</t>
  </si>
  <si>
    <t>payment_details</t>
  </si>
  <si>
    <t>Payment Details</t>
  </si>
  <si>
    <t>_product_queries_</t>
  </si>
  <si>
    <t xml:space="preserve"> Product Queries </t>
  </si>
  <si>
    <t>other_questions</t>
  </si>
  <si>
    <t>Other Questions</t>
  </si>
  <si>
    <t>no_none_asked_to_seller_yet</t>
  </si>
  <si>
    <t>No none asked to seller yet</t>
  </si>
  <si>
    <t>offline_wallet_recharge_requests</t>
  </si>
  <si>
    <t>Offline Wallet Recharge Requests</t>
  </si>
  <si>
    <t>money_has_been_added_successfully</t>
  </si>
  <si>
    <t>Money has been added successfully</t>
  </si>
  <si>
    <t>offline_seller_package_payment_requests</t>
  </si>
  <si>
    <t>Offline Seller Package Payment Requests</t>
  </si>
  <si>
    <t>offline_seller_package_payment_approved_successfully</t>
  </si>
  <si>
    <t>Offline Seller Package Payment approved successfully</t>
  </si>
  <si>
    <t>frequently_bought_together</t>
  </si>
  <si>
    <t>Frequently Bought Together</t>
  </si>
  <si>
    <t>product_wise_shipping_cost_calculation_shipping_cost_is_calculate_by_addition_of_each_product_shipping_cost</t>
  </si>
  <si>
    <t>Product Wise Shipping Cost calculation: Shipping cost is calculate by addition of each product shipping cost</t>
  </si>
  <si>
    <t>flat_rate_shipping_cost_calculation_how_many_products_a_customer_purchase_doesnt_matter_shipping_cost_is_fixed</t>
  </si>
  <si>
    <t>Flat Rate Shipping Cost calculation: How many products a customer purchase, doesn't matter. Shipping cost is fixed</t>
  </si>
  <si>
    <t>seller_wise_flat_shipping_cost_calculation_fixed_rate_for_each_seller_if_customers_purchase_2_product_from_two_seller_shipping_cost_is_calculated_by_addition_of_each_seller_flat_shipping_cost</t>
  </si>
  <si>
    <t>Seller Wise Flat Shipping Cost calculation: Fixed rate for each seller. If customers purchase 2 product from two seller shipping cost is calculated by addition of each seller flat shipping cost</t>
  </si>
  <si>
    <t>area_wise_flat_shipping_cost_calculation_fixed_rate_for_each_area_if_customers_purchase_multiple_products_from_one_seller_shipping_cost_is_calculated_by_the_customer_shipping_area_to_configure_area_wise_shipping_cost_go_to_</t>
  </si>
  <si>
    <t xml:space="preserve">Area Wise Flat Shipping Cost calculation: Fixed rate for each area. If customers purchase multiple products from one seller shipping cost is calculated by the customer shipping area. To configure area wise shipping cost go to </t>
  </si>
  <si>
    <t>type_country_name</t>
  </si>
  <si>
    <t>Type country name</t>
  </si>
  <si>
    <t>all_states</t>
  </si>
  <si>
    <t>All States</t>
  </si>
  <si>
    <t>states</t>
  </si>
  <si>
    <t>States</t>
  </si>
  <si>
    <t>type_state_name</t>
  </si>
  <si>
    <t>Type state name</t>
  </si>
  <si>
    <t>add_new_state</t>
  </si>
  <si>
    <t>Add New State</t>
  </si>
  <si>
    <t>type_city_name__enter</t>
  </si>
  <si>
    <t>Type city name &amp; Enter</t>
  </si>
  <si>
    <t>select_state</t>
  </si>
  <si>
    <t>Select State</t>
  </si>
  <si>
    <t>area_wise_shipping_cost</t>
  </si>
  <si>
    <t>Area Wise Shipping Cost</t>
  </si>
  <si>
    <t>any_additional_info</t>
  </si>
  <si>
    <t>Any additional info?</t>
  </si>
  <si>
    <t>type_your_text</t>
  </si>
  <si>
    <t>Type your text</t>
  </si>
  <si>
    <t>you_order_amount_is_less_then_the_minimum_order_amount</t>
  </si>
  <si>
    <t>You order amount is less then the minimum order amount</t>
  </si>
  <si>
    <t>address_info_updated_successfully</t>
  </si>
  <si>
    <t>Address info updated successfully</t>
  </si>
  <si>
    <t>change_order_status</t>
  </si>
  <si>
    <t>Change Order Status</t>
  </si>
  <si>
    <t>choose_an_order_status</t>
  </si>
  <si>
    <t>Choose an order status</t>
  </si>
  <si>
    <t>filter_by_delivery_status</t>
  </si>
  <si>
    <t>Filter by Delivery Status</t>
  </si>
  <si>
    <t>mercadopago_credential</t>
  </si>
  <si>
    <t>Mercadopago Credential</t>
  </si>
  <si>
    <t>mercadopago_key</t>
  </si>
  <si>
    <t>Mercadopago Key</t>
  </si>
  <si>
    <t>mercadopago_access</t>
  </si>
  <si>
    <t>Mercadopago Access</t>
  </si>
  <si>
    <t>mercadopago_currency</t>
  </si>
  <si>
    <t>MERCADOPAGO CURRENCY</t>
  </si>
  <si>
    <t>authorize_net</t>
  </si>
  <si>
    <t>Authorize Net</t>
  </si>
  <si>
    <t>merchant_login_id</t>
  </si>
  <si>
    <t>MERCHANT_LOGIN_ID</t>
  </si>
  <si>
    <t>merchant_transaction_key</t>
  </si>
  <si>
    <t>MERCHANT_TRANSACTION_KEY</t>
  </si>
  <si>
    <t>authorize_net_sandbox_mode</t>
  </si>
  <si>
    <t>Authorize Net Sandbox Mode</t>
  </si>
  <si>
    <t>payku</t>
  </si>
  <si>
    <t>Payku</t>
  </si>
  <si>
    <t>payku_base_url</t>
  </si>
  <si>
    <t>PAYKU_BASE_URL</t>
  </si>
  <si>
    <t>payku_public_token</t>
  </si>
  <si>
    <t>PAYKU_PUBLIC_TOKEN</t>
  </si>
  <si>
    <t>payku_private_token</t>
  </si>
  <si>
    <t>PAYKU_PRIVATE_TOKEN</t>
  </si>
  <si>
    <t>minimum_order_amount_settings</t>
  </si>
  <si>
    <t>Minimum Order Amount Settings</t>
  </si>
  <si>
    <t>minimum_order_amount_check</t>
  </si>
  <si>
    <t>Minimum Order Amount Check</t>
  </si>
  <si>
    <t>set_minimum_order_amount</t>
  </si>
  <si>
    <t>Set Minimum Order Amount</t>
  </si>
  <si>
    <t>minimum_order_amount</t>
  </si>
  <si>
    <t>Minimum Order Amount</t>
  </si>
  <si>
    <t>see_details</t>
  </si>
  <si>
    <t>See Details</t>
  </si>
  <si>
    <t>message_has_been_sent_to_seller</t>
  </si>
  <si>
    <t>Message has been sent to seller</t>
  </si>
  <si>
    <t>select_payment_option</t>
  </si>
  <si>
    <t>Select Payment Option.</t>
  </si>
  <si>
    <t>affiliate_stats</t>
  </si>
  <si>
    <t>Affiliate Stats</t>
  </si>
  <si>
    <t>no_of_click</t>
  </si>
  <si>
    <t>No of click</t>
  </si>
  <si>
    <t>no_of_item</t>
  </si>
  <si>
    <t>No of item</t>
  </si>
  <si>
    <t>no_of_deliverd</t>
  </si>
  <si>
    <t>No of deliverd</t>
  </si>
  <si>
    <t>no_of_cancel</t>
  </si>
  <si>
    <t>No of cancel</t>
  </si>
  <si>
    <t>account_name</t>
  </si>
  <si>
    <t>Account Name</t>
  </si>
  <si>
    <t>account_number</t>
  </si>
  <si>
    <t>Account Number</t>
  </si>
  <si>
    <t>routing_number</t>
  </si>
  <si>
    <t>Routing Number</t>
  </si>
  <si>
    <t>select_sendmail_for_mail_driver_if_you_face_any_issue_after_configuring_smtp_as_mail_driver</t>
  </si>
  <si>
    <t>Select sendmail for Mail Driver if you face any issue after configuring smtp as Mail Driver</t>
  </si>
  <si>
    <t>customer_info</t>
  </si>
  <si>
    <t>Customer Info</t>
  </si>
  <si>
    <t>cash</t>
  </si>
  <si>
    <t>Cash</t>
  </si>
  <si>
    <t>additional_info</t>
  </si>
  <si>
    <t>Additional Info</t>
  </si>
  <si>
    <t>tracking_code_optional</t>
  </si>
  <si>
    <t>Tracking Code (optional)</t>
  </si>
  <si>
    <t>order_tracking_code_has_been_updated</t>
  </si>
  <si>
    <t>Order tracking code has been updated</t>
  </si>
  <si>
    <t>register_</t>
  </si>
  <si>
    <t xml:space="preserve">Register </t>
  </si>
  <si>
    <t>_to_submit_your_questions_to_seller</t>
  </si>
  <si>
    <t xml:space="preserve"> to submit your questions to seller</t>
  </si>
  <si>
    <t>forgot_password_</t>
  </si>
  <si>
    <t>Forgot password ?</t>
  </si>
  <si>
    <t>cache_cleared_successfully</t>
  </si>
  <si>
    <t>Cache cleared successfully</t>
  </si>
  <si>
    <t>a_new_order_has_been_placed</t>
  </si>
  <si>
    <t>A new order has been placed</t>
  </si>
  <si>
    <t>usdt</t>
  </si>
  <si>
    <t>Usdt</t>
  </si>
  <si>
    <t>please_add_shipping_address</t>
  </si>
  <si>
    <t>Please add shipping address</t>
  </si>
  <si>
    <t>wallet</t>
  </si>
  <si>
    <t>Wallet</t>
  </si>
  <si>
    <t>review</t>
  </si>
  <si>
    <t>Review</t>
  </si>
  <si>
    <t>not_delivered_yet</t>
  </si>
  <si>
    <t>Not Delivered Yet</t>
  </si>
  <si>
    <t>order_has_been_canceled_successfully</t>
  </si>
  <si>
    <t>Order has been canceled successfully</t>
  </si>
  <si>
    <t>cash_on_delivery_option_is_disabled_activate_this_feature_from_here</t>
  </si>
  <si>
    <t>Cash On Delivery option is disabled. Activate this feature from here</t>
  </si>
  <si>
    <t>all_colors</t>
  </si>
  <si>
    <t>All Colors</t>
  </si>
  <si>
    <t>type_color_name__enter</t>
  </si>
  <si>
    <t>Type color name &amp; Enter</t>
  </si>
  <si>
    <t>add_new_color</t>
  </si>
  <si>
    <t>Add New Color</t>
  </si>
  <si>
    <t>color_code</t>
  </si>
  <si>
    <t>Color Code</t>
  </si>
  <si>
    <t>color_filter_activation</t>
  </si>
  <si>
    <t>Color filter activation</t>
  </si>
  <si>
    <t>default_value</t>
  </si>
  <si>
    <t>Default Value</t>
  </si>
  <si>
    <t>translated_value</t>
  </si>
  <si>
    <t>Translated Value</t>
  </si>
  <si>
    <t>all_notifications</t>
  </si>
  <si>
    <t>All Notifications</t>
  </si>
  <si>
    <t>_has_been_placed</t>
  </si>
  <si>
    <t xml:space="preserve"> has been Placed</t>
  </si>
  <si>
    <t>product_storehouse</t>
  </si>
  <si>
    <t>Product Storehouse</t>
  </si>
  <si>
    <t>add_to_storehouse_selection</t>
  </si>
  <si>
    <t>Add to storehouse selection</t>
  </si>
  <si>
    <t>in_storehouse</t>
  </si>
  <si>
    <t>In storehouse</t>
  </si>
  <si>
    <t>products_storehouse_updated_successfully</t>
  </si>
  <si>
    <t>Products storehouse updated successfully</t>
  </si>
  <si>
    <t>move_selection_out_of_product_warehouse</t>
  </si>
  <si>
    <t>Move selection out of product warehouse</t>
  </si>
  <si>
    <t>move_out</t>
  </si>
  <si>
    <t>Move out</t>
  </si>
  <si>
    <t>delete_confirmation1</t>
  </si>
  <si>
    <t>Delete Confirmation1</t>
  </si>
  <si>
    <t>move_out_confirmation</t>
  </si>
  <si>
    <t>Move Out Confirmation</t>
  </si>
  <si>
    <t>are_you_sure_to_move_this_out</t>
  </si>
  <si>
    <t>Are you sure to move this out?</t>
  </si>
  <si>
    <t>add_selection_to_storehouse</t>
  </si>
  <si>
    <t>Add selection to storehouse</t>
  </si>
  <si>
    <t>no_customer_information_selected</t>
  </si>
  <si>
    <t>No customer information selected.</t>
  </si>
  <si>
    <t>please_add_shipping_information</t>
  </si>
  <si>
    <t>Please Add Shipping Information.</t>
  </si>
  <si>
    <t>this_product_doesnt_have_more_stock</t>
  </si>
  <si>
    <t>This product doesn't have more stock.</t>
  </si>
  <si>
    <t>add_to_my_product</t>
  </si>
  <si>
    <t>Add to My Product</t>
  </si>
  <si>
    <t>add_all_to_my_product</t>
  </si>
  <si>
    <t>Add all to My Product</t>
  </si>
  <si>
    <t>cash_on_delivery_activation_is_maintained_by_admin</t>
  </si>
  <si>
    <t>Cash On Delivery activation is maintained by Admin.</t>
  </si>
  <si>
    <t>please_select_a_product</t>
  </si>
  <si>
    <t>Please select a product</t>
  </si>
  <si>
    <t>max_profit</t>
  </si>
  <si>
    <t>Max profit</t>
  </si>
  <si>
    <t>your_payment_data_has_been_submitted_successfully</t>
  </si>
  <si>
    <t>Your payment data has been submitted successfully</t>
  </si>
  <si>
    <t>payment_information</t>
  </si>
  <si>
    <t>Payment Information</t>
  </si>
  <si>
    <t>trx_id</t>
  </si>
  <si>
    <t>TRX ID</t>
  </si>
  <si>
    <t>has_been_confirmed</t>
  </si>
  <si>
    <t>has been Confirmed</t>
  </si>
  <si>
    <t>has_been_pending</t>
  </si>
  <si>
    <t>has been Pending</t>
  </si>
  <si>
    <t>has_been_on_the_way</t>
  </si>
  <si>
    <t>has been On the way</t>
  </si>
  <si>
    <t>product_storehouse_price</t>
  </si>
  <si>
    <t>Product Storehouse Price</t>
  </si>
  <si>
    <t>storehouse_price</t>
  </si>
  <si>
    <t>Storehouse Price</t>
  </si>
  <si>
    <t>payment_for_storehouse</t>
  </si>
  <si>
    <t>Payment For Storehouse</t>
  </si>
  <si>
    <t>storehouse_orders</t>
  </si>
  <si>
    <t>Storehouse Orders</t>
  </si>
  <si>
    <t>storehouse_amount</t>
  </si>
  <si>
    <t>Storehouse Amount</t>
  </si>
  <si>
    <t>storehouse_payment_status</t>
  </si>
  <si>
    <t>Storehouse Payment Status</t>
  </si>
  <si>
    <t>seller_payments</t>
  </si>
  <si>
    <t>Seller Payments</t>
  </si>
  <si>
    <t>emails</t>
  </si>
  <si>
    <t>Emails</t>
  </si>
  <si>
    <t>users</t>
  </si>
  <si>
    <t>Users</t>
  </si>
  <si>
    <t>newsletter_subject</t>
  </si>
  <si>
    <t>Newsletter subject</t>
  </si>
  <si>
    <t>newsletter_content</t>
  </si>
  <si>
    <t>Newsletter content</t>
  </si>
  <si>
    <t>wallet_transaction_report</t>
  </si>
  <si>
    <t>Wallet Transaction Report</t>
  </si>
  <si>
    <t>wallet_transaction</t>
  </si>
  <si>
    <t>Wallet Transaction</t>
  </si>
  <si>
    <t>choose_user</t>
  </si>
  <si>
    <t>Choose User</t>
  </si>
  <si>
    <t>support_desk</t>
  </si>
  <si>
    <t>Support Desk</t>
  </si>
  <si>
    <t>type_ticket_code__enter</t>
  </si>
  <si>
    <t>Type ticket code &amp; Enter</t>
  </si>
  <si>
    <t>user</t>
  </si>
  <si>
    <t>User</t>
  </si>
  <si>
    <t>last_reply</t>
  </si>
  <si>
    <t>Last reply</t>
  </si>
  <si>
    <t>has_been_picked_up</t>
  </si>
  <si>
    <t>has been Picked up</t>
  </si>
  <si>
    <t>freeze_funds</t>
  </si>
  <si>
    <t>Freeze Funds</t>
  </si>
  <si>
    <t>frozen_funds_automatically_unfrozendays</t>
  </si>
  <si>
    <t>Frozen Funds Automatically Unfrozen(days)</t>
  </si>
  <si>
    <t>automatically_unfrozen</t>
  </si>
  <si>
    <t>Automatically Unfrozen</t>
  </si>
  <si>
    <t>free_up_frozen_funds</t>
  </si>
  <si>
    <t>Free up frozen funds</t>
  </si>
  <si>
    <t>free_up_of_freeze_funds_confirmation</t>
  </si>
  <si>
    <t>Free Up Of Freeze Funds Confirmation</t>
  </si>
  <si>
    <t>are_you_sure_to_free_this_up</t>
  </si>
  <si>
    <t>Are you sure to free this up?</t>
  </si>
  <si>
    <t>free_up</t>
  </si>
  <si>
    <t>Free Up</t>
  </si>
  <si>
    <t>froze_order</t>
  </si>
  <si>
    <t>Froze Order</t>
  </si>
  <si>
    <t>unfreeze_countdown</t>
  </si>
  <si>
    <t>Unfreeze Countdown</t>
  </si>
  <si>
    <t>receipt</t>
  </si>
  <si>
    <t>Receipt</t>
  </si>
  <si>
    <t>system_default_currency</t>
  </si>
  <si>
    <t>System Default Currency</t>
  </si>
  <si>
    <t>set_currency_formats</t>
  </si>
  <si>
    <t>Set Currency Formats</t>
  </si>
  <si>
    <t>symbol_format</t>
  </si>
  <si>
    <t>Symbol Format</t>
  </si>
  <si>
    <t>decimal_separator</t>
  </si>
  <si>
    <t>Decimal Separator</t>
  </si>
  <si>
    <t>no_of_decimals</t>
  </si>
  <si>
    <t>No of decimals</t>
  </si>
  <si>
    <t>all_currencies</t>
  </si>
  <si>
    <t>All Currencies</t>
  </si>
  <si>
    <t>add_new_currency</t>
  </si>
  <si>
    <t>Add New Currency</t>
  </si>
  <si>
    <t>currency_name</t>
  </si>
  <si>
    <t>Currency name</t>
  </si>
  <si>
    <t>currency_symbol</t>
  </si>
  <si>
    <t>Currency symbol</t>
  </si>
  <si>
    <t>currency_code</t>
  </si>
  <si>
    <t>Currency code</t>
  </si>
  <si>
    <t>currency_status_updated_successfully</t>
  </si>
  <si>
    <t>Currency Status updated successfully</t>
  </si>
  <si>
    <t>has_been_delivered</t>
  </si>
  <si>
    <t>has been Delivered</t>
  </si>
  <si>
    <t>pick_up_status</t>
  </si>
  <si>
    <t>Pick Up Status</t>
  </si>
  <si>
    <t>unpicked_up</t>
  </si>
  <si>
    <t>Unpicked Up</t>
  </si>
  <si>
    <t>profit</t>
  </si>
  <si>
    <t>Profit</t>
  </si>
  <si>
    <t>requested_amount_is_</t>
  </si>
  <si>
    <t xml:space="preserve">Requested Amount is </t>
  </si>
  <si>
    <t>name_is_required</t>
  </si>
  <si>
    <t>Name is required</t>
  </si>
  <si>
    <t>minimum_6_characters</t>
  </si>
  <si>
    <t>Minimum 6 characters</t>
  </si>
  <si>
    <t>package_has_been_deleted_successfully</t>
  </si>
  <si>
    <t>Package has been deleted successfully</t>
  </si>
  <si>
    <t>help_line_number</t>
  </si>
  <si>
    <t>Help line number</t>
  </si>
  <si>
    <t>help_line</t>
  </si>
  <si>
    <t>Help line</t>
  </si>
  <si>
    <t>ordering_number</t>
  </si>
  <si>
    <t>Ordering Number</t>
  </si>
  <si>
    <t>higher_number_has_high_priority</t>
  </si>
  <si>
    <t>Higher number has high priority</t>
  </si>
  <si>
    <t>filtering_attributes</t>
  </si>
  <si>
    <t>Filtering Attributes</t>
  </si>
  <si>
    <t>if_any_product_has_discount_or_exists_in_another_flash_deal_the_discount_will_be_replaced_by_this_discount__time_limit</t>
  </si>
  <si>
    <t>If any product has discount or exists in another flash deal, the discount will be replaced by this discount &amp; time limit.</t>
  </si>
  <si>
    <t>off</t>
  </si>
  <si>
    <t>OFF</t>
  </si>
  <si>
    <t>registration_successful</t>
  </si>
  <si>
    <t>Registration successful.</t>
  </si>
  <si>
    <t>admin_or_customer_can_not_be_a_seller</t>
  </si>
  <si>
    <t>Admin or Customer can not be a seller</t>
  </si>
  <si>
    <t>your_shop_has_been_created_successfully</t>
  </si>
  <si>
    <t>Your Shop has been created successfully!</t>
  </si>
  <si>
    <t>basic_affiliate</t>
  </si>
  <si>
    <t>Basic Affiliate</t>
  </si>
  <si>
    <t>user_registration__first_purchase</t>
  </si>
  <si>
    <t>User Registration &amp; First Purchase</t>
  </si>
  <si>
    <t>product_sharing_affiliate</t>
  </si>
  <si>
    <t>Product Sharing Affiliate</t>
  </si>
  <si>
    <t>product_sharing_and_purchasing</t>
  </si>
  <si>
    <t>Product Sharing and Purchasing</t>
  </si>
  <si>
    <t>product_sharing_affiliate_category_wise</t>
  </si>
  <si>
    <t>Product Sharing Affiliate (Category Wise)</t>
  </si>
  <si>
    <t>nb_you_can_not_enable_single_product_sharing_affiliate_and_category_wise_affiliate_at_a_time</t>
  </si>
  <si>
    <t>N:B: You can not enable Single Product Sharing Affiliate and Category Wise Affiliate at a time.</t>
  </si>
  <si>
    <t>affiliate_link_validatin_time_days</t>
  </si>
  <si>
    <t>Affiliate Link Validatin Time (Days)</t>
  </si>
  <si>
    <t>validation_time</t>
  </si>
  <si>
    <t>Validation Time</t>
  </si>
  <si>
    <t>your_verification_request_has_been_submitted_successfully</t>
  </si>
  <si>
    <t>Your verification request has been submitted successfully!</t>
  </si>
  <si>
    <t>affiliate_user_has_been_approved_successfully</t>
  </si>
  <si>
    <t>Affiliate user has been approved successfully</t>
  </si>
  <si>
    <t>you_are_already_an_affiliate_user</t>
  </si>
  <si>
    <t>You are already an affiliate user!</t>
  </si>
  <si>
    <t>language_has_been_deleted_successfully</t>
  </si>
  <si>
    <t>Language has been deleted successfully</t>
  </si>
  <si>
    <t>content</t>
  </si>
  <si>
    <t>Content..</t>
  </si>
  <si>
    <t>page_has_been_updated_successfully</t>
  </si>
  <si>
    <t>Page has been updated successfully</t>
  </si>
  <si>
    <t>download_latest_version_from_qq49528887</t>
  </si>
  <si>
    <t>Download latest version from qq49528887.</t>
  </si>
  <si>
    <t>contact_qq49528887_for_the_latest_version</t>
  </si>
  <si>
    <t>Contact qq49528887 for the latest version.</t>
  </si>
  <si>
    <t>qq49528887</t>
  </si>
  <si>
    <t>联系qq49528887获取最新版本.</t>
  </si>
  <si>
    <t>sorry_password_did_not_match</t>
  </si>
  <si>
    <t>Sorry! Password did not match.</t>
  </si>
  <si>
    <t>seller_has_been_updated_successfully</t>
  </si>
  <si>
    <t>Seller has been updated successfully</t>
  </si>
  <si>
    <t>product_unavailable</t>
  </si>
  <si>
    <t>Product Unavailable</t>
  </si>
  <si>
    <t>offline_payment_has_been_done_please_wait_for_response</t>
  </si>
  <si>
    <t>Offline payment has been done. Please wait for response.</t>
  </si>
  <si>
    <t>no_payment_history_available_for_this_seller</t>
  </si>
  <si>
    <t>No payment history available for this seller</t>
  </si>
  <si>
    <t>open_reciept</t>
  </si>
  <si>
    <t>Open Reciept</t>
  </si>
  <si>
    <t>refuse</t>
  </si>
  <si>
    <t>Refuse</t>
  </si>
  <si>
    <t>withdraw_exited</t>
  </si>
  <si>
    <t>Sorry, you have a withdrawal application in process</t>
  </si>
  <si>
    <t>_has_been_confirmed</t>
  </si>
  <si>
    <t xml:space="preserve"> has been Confirmed</t>
  </si>
  <si>
    <t>_has_been_delivered</t>
  </si>
  <si>
    <t xml:space="preserve"> has been Delivered</t>
  </si>
  <si>
    <t>order_deleted</t>
  </si>
  <si>
    <t>Order Deleted</t>
  </si>
  <si>
    <t>this_user_already_a_seller</t>
  </si>
  <si>
    <t>This user already a seller</t>
  </si>
  <si>
    <t>identity_card_front</t>
  </si>
  <si>
    <t>Identity Card Front</t>
  </si>
  <si>
    <t>identity_card_back</t>
  </si>
  <si>
    <t>Identity Card Back</t>
  </si>
  <si>
    <t>email_or_phone_already_exists</t>
  </si>
  <si>
    <t>Email or Phone already exists.</t>
  </si>
  <si>
    <t>there_isnt_anything_added_yet</t>
  </si>
  <si>
    <t>There isn't anything added yet</t>
  </si>
  <si>
    <t>identity_card_front_not_allow_empty</t>
  </si>
  <si>
    <t>Identity Card Front Not Allow Empty!</t>
  </si>
  <si>
    <t>customer_has_been_deleted_successfully</t>
  </si>
  <si>
    <t>Customer has been deleted successfully</t>
  </si>
  <si>
    <t>operator</t>
  </si>
  <si>
    <t>Operator</t>
  </si>
  <si>
    <t>file_name</t>
  </si>
  <si>
    <t>File Name</t>
  </si>
  <si>
    <t>file_type</t>
  </si>
  <si>
    <t>File Type</t>
  </si>
  <si>
    <t>file_size</t>
  </si>
  <si>
    <t>File Size</t>
  </si>
  <si>
    <t>commission_history_report</t>
  </si>
  <si>
    <t>Commission History report</t>
  </si>
  <si>
    <t>choose_seller</t>
  </si>
  <si>
    <t>Choose Seller</t>
  </si>
  <si>
    <t>seller_earning</t>
  </si>
  <si>
    <t>Seller Earning</t>
  </si>
  <si>
    <t>_has_been_on_the_way</t>
  </si>
  <si>
    <t xml:space="preserve"> has been On the way</t>
  </si>
  <si>
    <t>seller_guarantees</t>
  </si>
  <si>
    <t>Seller Guarantees</t>
  </si>
  <si>
    <t>verified_seller</t>
  </si>
  <si>
    <t>Verified seller</t>
  </si>
  <si>
    <t>22222</t>
  </si>
  <si>
    <t>000000</t>
  </si>
  <si>
    <t>views</t>
  </si>
  <si>
    <t>Views</t>
  </si>
  <si>
    <t>today_views</t>
  </si>
  <si>
    <t>Today Views</t>
  </si>
  <si>
    <t>salesmans</t>
  </si>
  <si>
    <t>Salesmans</t>
  </si>
  <si>
    <t>all_salesmans</t>
  </si>
  <si>
    <t>All salesmans</t>
  </si>
  <si>
    <t>salesman_list</t>
  </si>
  <si>
    <t>Salesman list</t>
  </si>
  <si>
    <t>do_you_really_want_to_ban_this_salesman</t>
  </si>
  <si>
    <t>Do you really want to ban this Salesman?</t>
  </si>
  <si>
    <t>do_you_really_want_to_unban_this_salesman</t>
  </si>
  <si>
    <t>Do you really want to unban this Salesman?</t>
  </si>
  <si>
    <t>add_new_salesmans</t>
  </si>
  <si>
    <t>Add New Salesmans</t>
  </si>
  <si>
    <t>salesman_information</t>
  </si>
  <si>
    <t>Salesman Information</t>
  </si>
  <si>
    <t>email_already_used</t>
  </si>
  <si>
    <t>Email already used</t>
  </si>
  <si>
    <t>salesman_has_been_inserted_successfully</t>
  </si>
  <si>
    <t>Salesman has been inserted successfully</t>
  </si>
  <si>
    <t>salesman_has_been_updated_successfully</t>
  </si>
  <si>
    <t>Salesman has been updated successfully</t>
  </si>
  <si>
    <t>invitation_link</t>
  </si>
  <si>
    <t>Invitation link</t>
  </si>
  <si>
    <t>none</t>
  </si>
  <si>
    <t>None</t>
  </si>
  <si>
    <t>guest</t>
  </si>
  <si>
    <t>Guest</t>
  </si>
  <si>
    <t>uploaded_at</t>
  </si>
  <si>
    <t>Uploaded At</t>
  </si>
  <si>
    <t>method_has_been_updated_successfully</t>
  </si>
  <si>
    <t>Method has been updated successfully</t>
  </si>
  <si>
    <t>pos_is_disable_for_sellers</t>
  </si>
  <si>
    <t>POS is disable for Sellers!!!</t>
  </si>
  <si>
    <t>customer_service_link</t>
  </si>
  <si>
    <t>Customer service link</t>
  </si>
  <si>
    <t>sorry_the_action_is_not_permitted_in_demo_</t>
  </si>
  <si>
    <t xml:space="preserve">Sorry! the action is not permitted in demo </t>
  </si>
  <si>
    <t>type_and_hit_enter</t>
  </si>
  <si>
    <t>Type and hit enter</t>
  </si>
  <si>
    <t>has_been_cancelled</t>
  </si>
  <si>
    <t>has been Cancelled</t>
  </si>
  <si>
    <t>add_virtual_seller</t>
  </si>
  <si>
    <t>Add Virtual Seller</t>
  </si>
  <si>
    <t>virtual_seller_name</t>
  </si>
  <si>
    <t>Virtual Seller Name</t>
  </si>
  <si>
    <t>virtual_seller_email</t>
  </si>
  <si>
    <t>Virtual Seller Email</t>
  </si>
  <si>
    <t>virtual_seller_password</t>
  </si>
  <si>
    <t>Virtual Seller Password</t>
  </si>
  <si>
    <t>virtual</t>
  </si>
  <si>
    <t>Virtual</t>
  </si>
  <si>
    <t>virtual_seller_has_been_created_successfully</t>
  </si>
  <si>
    <t>Virtual Seller has been created successfully!</t>
  </si>
  <si>
    <t>add_virtual_account</t>
  </si>
  <si>
    <t>Add Virtual Account</t>
  </si>
  <si>
    <t>create_virtual_account</t>
  </si>
  <si>
    <t>Create Virtual Account</t>
  </si>
  <si>
    <t>balance</t>
  </si>
  <si>
    <t>Balance</t>
  </si>
  <si>
    <t>add_successful</t>
  </si>
  <si>
    <t>Add successful.</t>
  </si>
  <si>
    <t>customer_banned_successfully</t>
  </si>
  <si>
    <t>Customer Banned Successfully</t>
  </si>
  <si>
    <t>unban_this_customer</t>
  </si>
  <si>
    <t>Unban this Customer</t>
  </si>
  <si>
    <t>customer_unbanned_successfully</t>
  </si>
  <si>
    <t>Customer UnBanned Successfully</t>
  </si>
  <si>
    <t>any_query_about_this_seller</t>
  </si>
  <si>
    <t>Any query about this seller</t>
  </si>
  <si>
    <t>_has_been_cancelled</t>
  </si>
  <si>
    <t xml:space="preserve"> has been Cancelled</t>
  </si>
  <si>
    <t>your_shop_verification_request_has_been_submitted_successfully</t>
  </si>
  <si>
    <t>Your shop verification request has been submitted successfully!</t>
  </si>
  <si>
    <t>sorry_you_have_sent_verification_request_already</t>
  </si>
  <si>
    <t>Sorry! You have sent verification request already.</t>
  </si>
  <si>
    <t>customer_can_not_be_a_seller</t>
  </si>
  <si>
    <t>Customer can not be a seller</t>
  </si>
  <si>
    <t>pos_activation_for_salesman</t>
  </si>
  <si>
    <t>POS Activation for Salesman</t>
  </si>
  <si>
    <t>products_imported_successfully</t>
  </si>
  <si>
    <t>Products imported successfully</t>
  </si>
  <si>
    <t>id</t>
  </si>
  <si>
    <t>ID</t>
  </si>
  <si>
    <t>brand_name</t>
  </si>
  <si>
    <t>Brand Name</t>
  </si>
  <si>
    <t>attribute_detail</t>
  </si>
  <si>
    <t>Attribute Detail</t>
  </si>
  <si>
    <t>add_new_attribute_value</t>
  </si>
  <si>
    <t>Add New Attribute Value</t>
  </si>
  <si>
    <t>attribute_name</t>
  </si>
  <si>
    <t>Attribute Name</t>
  </si>
  <si>
    <t>attribute_value</t>
  </si>
  <si>
    <t>Attribute Value</t>
  </si>
  <si>
    <t>attribute_value_has_been_inserted_successfully</t>
  </si>
  <si>
    <t>Attribute value has been inserted successfully</t>
  </si>
  <si>
    <t>color_information</t>
  </si>
  <si>
    <t>Color Information</t>
  </si>
  <si>
    <t>order_not_found</t>
  </si>
  <si>
    <t>Order not found</t>
  </si>
  <si>
    <t>unknown</t>
  </si>
  <si>
    <t>Unknown</t>
  </si>
  <si>
    <t>your_order_</t>
  </si>
  <si>
    <t xml:space="preserve">Your Order: </t>
  </si>
  <si>
    <t>you_have_subscribed_successfully</t>
  </si>
  <si>
    <t>You have subscribed successfully</t>
  </si>
  <si>
    <t>product_collect</t>
  </si>
  <si>
    <t>Product Collect</t>
  </si>
  <si>
    <t>source</t>
  </si>
  <si>
    <t>Source</t>
  </si>
  <si>
    <t>rate</t>
  </si>
  <si>
    <t>Rate</t>
  </si>
  <si>
    <t>product_storage</t>
  </si>
  <si>
    <t>Product Storage</t>
  </si>
  <si>
    <t>product_delete</t>
  </si>
  <si>
    <t>Product Delete</t>
  </si>
  <si>
    <t>attribute_information</t>
  </si>
  <si>
    <t>Attribute Information</t>
  </si>
  <si>
    <t>distribution_configuration</t>
  </si>
  <si>
    <t>Distribution Configuration</t>
  </si>
  <si>
    <t>yj</t>
  </si>
  <si>
    <t>一级佣金比例</t>
  </si>
  <si>
    <t>all_categorys</t>
  </si>
  <si>
    <t>All Categorys</t>
  </si>
  <si>
    <t>total_seller</t>
  </si>
  <si>
    <t>total seller</t>
  </si>
  <si>
    <t>total_brokerage</t>
  </si>
  <si>
    <t>total brokerage</t>
  </si>
  <si>
    <t>_has_been_picked_up</t>
  </si>
  <si>
    <t xml:space="preserve"> has been Picked up</t>
  </si>
  <si>
    <t>_has_been_pending</t>
  </si>
  <si>
    <t xml:space="preserve"> has been Pending</t>
  </si>
  <si>
    <t>due_to_admin</t>
  </si>
  <si>
    <t>Due to Admin</t>
  </si>
  <si>
    <t>order_number</t>
  </si>
  <si>
    <t>Order number</t>
  </si>
  <si>
    <t>brokerage_amount</t>
  </si>
  <si>
    <t>brokerage amount</t>
  </si>
  <si>
    <t>seller_spread_packages</t>
  </si>
  <si>
    <t>Seller Spread Packages</t>
  </si>
  <si>
    <t>product_spread_limit</t>
  </si>
  <si>
    <t>Product Spread Limit</t>
  </si>
  <si>
    <t>custom_text</t>
  </si>
  <si>
    <t>Custom Text</t>
  </si>
  <si>
    <t>spread_packages</t>
  </si>
  <si>
    <t>Spread Packages</t>
  </si>
  <si>
    <t>purchase_spread_packages</t>
  </si>
  <si>
    <t>Purchase Spread Packages</t>
  </si>
  <si>
    <t>offline_seller_spread_package_payments</t>
  </si>
  <si>
    <t>Offline Seller Spread Package Payments</t>
  </si>
  <si>
    <t>purchase_spread_package_list</t>
  </si>
  <si>
    <t>Purchase Spread Package List</t>
  </si>
  <si>
    <t>all_purchase_spread_package</t>
  </si>
  <si>
    <t>All Purchase Spread Package</t>
  </si>
  <si>
    <t>select_spread_package</t>
  </si>
  <si>
    <t>Select Spread Package</t>
  </si>
  <si>
    <t>spread_package</t>
  </si>
  <si>
    <t>Spread Package</t>
  </si>
  <si>
    <t>product_has_been_spreaded_successfully</t>
  </si>
  <si>
    <t>Product has been spreaded successfully</t>
  </si>
  <si>
    <t>Withdraw</t>
  </si>
  <si>
    <t>withdraw_requests</t>
  </si>
  <si>
    <t>salesman_reviews_switch</t>
  </si>
  <si>
    <t>Salesman Reviews Switch</t>
  </si>
  <si>
    <t>idcard</t>
  </si>
  <si>
    <t>update_currency</t>
  </si>
  <si>
    <t>Update Currency</t>
  </si>
  <si>
    <t>currency_updated_successfully</t>
  </si>
  <si>
    <t>Currency updated successfully</t>
  </si>
  <si>
    <t>symbol</t>
  </si>
  <si>
    <t>Symbol</t>
  </si>
  <si>
    <t>your_guarantee_balance_</t>
  </si>
  <si>
    <t>Your guarantee balance :</t>
  </si>
  <si>
    <t>user_balance</t>
  </si>
  <si>
    <t>User Balance</t>
  </si>
  <si>
    <t>opera_type</t>
  </si>
  <si>
    <t>Opera Type</t>
  </si>
  <si>
    <t>social_security_card</t>
  </si>
  <si>
    <t>Social Security Card</t>
  </si>
  <si>
    <t>driving_license</t>
  </si>
  <si>
    <t>driving license</t>
  </si>
  <si>
    <t>passport</t>
  </si>
  <si>
    <t>id_card</t>
  </si>
  <si>
    <t>Id card</t>
  </si>
  <si>
    <t>certificates_type</t>
  </si>
  <si>
    <t>Certificates Type</t>
  </si>
  <si>
    <t>certificates_back</t>
  </si>
  <si>
    <t>Certificates Back</t>
  </si>
  <si>
    <t>certificates_front</t>
  </si>
  <si>
    <t>Certificates Front</t>
  </si>
  <si>
    <t>guarantee_pay_close</t>
  </si>
  <si>
    <t>Guarantee Pay Close?</t>
  </si>
  <si>
    <t>you_shold_pay_guarantee_money</t>
  </si>
  <si>
    <t>You Shold Pay guarantee Money</t>
  </si>
  <si>
    <t>go_to_pay</t>
  </si>
  <si>
    <t>Go To Pay</t>
  </si>
  <si>
    <t>go_to</t>
  </si>
  <si>
    <t>Go To</t>
  </si>
  <si>
    <t>you_shold_paid_guarantee_money</t>
  </si>
  <si>
    <t>You Shold Paid guarantee Money?</t>
  </si>
  <si>
    <t>balance_recharge</t>
  </si>
  <si>
    <t>Balance Recharge</t>
  </si>
  <si>
    <t>guarantee_recharge</t>
  </si>
  <si>
    <t>Guarantee Recharge</t>
  </si>
  <si>
    <t>successfully</t>
  </si>
  <si>
    <t>is_default</t>
  </si>
  <si>
    <t>Is Default</t>
  </si>
  <si>
    <t>set_default</t>
  </si>
  <si>
    <t>Set Default</t>
  </si>
  <si>
    <t>success</t>
  </si>
  <si>
    <t>Success</t>
  </si>
  <si>
    <t>must_guarantee</t>
  </si>
  <si>
    <t>Must Guarantee?</t>
  </si>
  <si>
    <t>guarantee_money</t>
  </si>
  <si>
    <t>Guarantee Money</t>
  </si>
  <si>
    <t>guarantee</t>
  </si>
  <si>
    <t>Guarantee</t>
  </si>
  <si>
    <t>you_do_not_have_enough_guarantee_balance_to_send_withdraw_request</t>
  </si>
  <si>
    <t>You do not have enough guarantee balance to send withdraw request</t>
  </si>
  <si>
    <t>picking_switch</t>
  </si>
  <si>
    <t>Picking Switch</t>
  </si>
  <si>
    <t>has_been_unpaid</t>
  </si>
  <si>
    <t>has been Unpaid</t>
  </si>
  <si>
    <t>has_been_paid</t>
  </si>
  <si>
    <t>has been Paid</t>
  </si>
  <si>
    <t>tax_information</t>
  </si>
  <si>
    <t>Tax Information</t>
  </si>
  <si>
    <t>update_tax_info</t>
  </si>
  <si>
    <t>update Tax Info</t>
  </si>
  <si>
    <t>seller_functions</t>
  </si>
  <si>
    <t>Seller Functions</t>
  </si>
  <si>
    <t>second_level_recommender</t>
  </si>
  <si>
    <t>Second level recommender</t>
  </si>
  <si>
    <t>third_level_recommender</t>
  </si>
  <si>
    <t>Third level recommender</t>
  </si>
  <si>
    <t>user_not_found</t>
  </si>
  <si>
    <t>User Not found</t>
  </si>
  <si>
    <t>google_firebase_setting</t>
  </si>
  <si>
    <t>Google Firebase Setting</t>
  </si>
  <si>
    <t>fcm_server_key</t>
  </si>
  <si>
    <t>FCM SERVER KEY</t>
  </si>
  <si>
    <t>facebook_pixel_setting</t>
  </si>
  <si>
    <t>Facebook Pixel Setting</t>
  </si>
  <si>
    <t>facebook_pixel</t>
  </si>
  <si>
    <t>Facebook Pixel</t>
  </si>
  <si>
    <t>facebook_pixel_id</t>
  </si>
  <si>
    <t>Facebook Pixel ID</t>
  </si>
  <si>
    <t>please_be_carefull_when_you_are_configuring_facebook_pixel</t>
  </si>
  <si>
    <t>Please be carefull when you are configuring Facebook pixel.</t>
  </si>
  <si>
    <t>log_in_to_facebook_and_go_to_your_ads_manager_account</t>
  </si>
  <si>
    <t>Log in to Facebook and go to your Ads Manager account</t>
  </si>
  <si>
    <t>open_the_navigation_bar_and_select_events_manager</t>
  </si>
  <si>
    <t>Open the Navigation Bar and select Events Manager</t>
  </si>
  <si>
    <t>copy_your_pixel_id_from_underneath_your_site_name_and_paste_the_number_into_facebook_pixel_id_field</t>
  </si>
  <si>
    <t>Copy your Pixel ID from underneath your Site Name and paste the number into Facebook Pixel ID field</t>
  </si>
  <si>
    <t>google_analytics_setting</t>
  </si>
  <si>
    <t>Google Analytics Setting</t>
  </si>
  <si>
    <t>google_analytics</t>
  </si>
  <si>
    <t>Google Analytics</t>
  </si>
  <si>
    <t>tracking_id</t>
  </si>
  <si>
    <t>Tracking ID</t>
  </si>
  <si>
    <t>total_turnover</t>
  </si>
  <si>
    <t>Total Turnover</t>
  </si>
  <si>
    <t>total_profit</t>
  </si>
  <si>
    <t>Total Profit</t>
  </si>
  <si>
    <t>Total_Turnover</t>
  </si>
  <si>
    <t>Total_Profit</t>
  </si>
  <si>
    <t>_has_been_paid</t>
  </si>
  <si>
    <t xml:space="preserve"> has been Paid</t>
  </si>
  <si>
    <t>_has_been_unpaid</t>
  </si>
  <si>
    <t xml:space="preserve"> has been Unpaid</t>
  </si>
  <si>
    <t>method_has_been_deleted_successfully</t>
  </si>
  <si>
    <t>Method has been deleted successfully</t>
  </si>
  <si>
    <t>usdt_payment</t>
  </si>
  <si>
    <t>USDT Payment</t>
  </si>
  <si>
    <t>usdt_link</t>
  </si>
  <si>
    <t>USDT Link</t>
  </si>
  <si>
    <t>usdt_address</t>
  </si>
  <si>
    <t>USDT Address</t>
  </si>
  <si>
    <t>withdraw_type</t>
  </si>
  <si>
    <t>Withdraw Type</t>
  </si>
  <si>
    <t>bank</t>
  </si>
  <si>
    <t>Bank</t>
  </si>
  <si>
    <t>remarks</t>
  </si>
  <si>
    <t>Remarks</t>
  </si>
  <si>
    <t>transaction_password</t>
  </si>
  <si>
    <t>Transaction Password</t>
  </si>
  <si>
    <t>auction_product_orders</t>
  </si>
  <si>
    <t>Auction Product Orders</t>
  </si>
  <si>
    <t>set_transaction_password</t>
  </si>
  <si>
    <t>Set Transaction Password</t>
  </si>
  <si>
    <t>find_transaction_password</t>
  </si>
  <si>
    <t>Find Transaction Password</t>
  </si>
  <si>
    <t>update_password</t>
  </si>
  <si>
    <t>Update Password</t>
  </si>
  <si>
    <t>password_empty</t>
  </si>
  <si>
    <t>password empty.</t>
  </si>
  <si>
    <t>a_verification_mail_has_been_sent_to_the_mail_you_provided_us_with</t>
  </si>
  <si>
    <t>A verification mail has been sent to the mail you provided us with.</t>
  </si>
  <si>
    <t>you_have_set_a_trading_password_</t>
  </si>
  <si>
    <t>You have set a trading password .</t>
  </si>
  <si>
    <t>original_password</t>
  </si>
  <si>
    <t>original password</t>
  </si>
  <si>
    <t>update_transaction_password</t>
  </si>
  <si>
    <t>update Transaction Password</t>
  </si>
  <si>
    <t>original_password_error</t>
  </si>
  <si>
    <t>original password error.</t>
  </si>
  <si>
    <t>your_password_has_been_updated_successfully</t>
  </si>
  <si>
    <t>Your password has been updated successfully!</t>
  </si>
  <si>
    <t>please_enter_the_sixdigit_transaction_password_</t>
  </si>
  <si>
    <t>Please enter the six-digit transaction password .</t>
  </si>
  <si>
    <t>the_transaction_password_is_a_sixdigit_pure_number_</t>
  </si>
  <si>
    <t>The transaction password is a six-digit pure number .</t>
  </si>
  <si>
    <t>password_does_not_match</t>
  </si>
  <si>
    <t>Password does not match.</t>
  </si>
  <si>
    <t>please_contact_customer_service_to_retrieve_the_transaction_password</t>
  </si>
  <si>
    <t>Please contact customer service to retrieve the transaction password</t>
  </si>
  <si>
    <t>if_you_forget_the_transaction_password_please_contact_customer_service_to_retrieve_the_transaction_password</t>
  </si>
  <si>
    <t>If you forget the transaction password, please contact customer service to retrieve the transaction password</t>
  </si>
  <si>
    <t>password_error</t>
  </si>
  <si>
    <t>password error</t>
  </si>
  <si>
    <t>set_package</t>
  </si>
  <si>
    <t>Set Package</t>
  </si>
  <si>
    <t>set_salesman</t>
  </si>
  <si>
    <t>Set Salesman</t>
  </si>
  <si>
    <t>salesman</t>
  </si>
  <si>
    <t>Salesman</t>
  </si>
  <si>
    <t>base_num</t>
  </si>
  <si>
    <t>base num</t>
  </si>
  <si>
    <t>inc_num</t>
  </si>
  <si>
    <t>inc num</t>
  </si>
  <si>
    <t>customer_withdraw_request</t>
  </si>
  <si>
    <t>Customer Withdraw Request</t>
  </si>
  <si>
    <t>you_should_fill_bank_info</t>
  </si>
  <si>
    <t>You Should Fill Bank Info</t>
  </si>
  <si>
    <t>you_should_fill_usdt_info</t>
  </si>
  <si>
    <t>You Should Fill USDT Info</t>
  </si>
  <si>
    <t>buy_spreadpackage</t>
  </si>
  <si>
    <t>Buy SpreadPackage</t>
  </si>
  <si>
    <t>buy_package</t>
  </si>
  <si>
    <t>Buy Package</t>
  </si>
  <si>
    <t>seller_paid_to_admin</t>
  </si>
  <si>
    <t>Seller paid to admin</t>
  </si>
  <si>
    <t/>
  </si>
  <si>
    <t>-</t>
  </si>
  <si>
    <t>create_virtual_customers</t>
  </si>
  <si>
    <t>Create Virtual Customers</t>
  </si>
  <si>
    <t>nb_you_can_create_virtual_customers_here_with_a_maximum_of_100_people</t>
  </si>
  <si>
    <t>N:B: You can create virtual customers here, with a maximum of 100 people</t>
  </si>
  <si>
    <t>name_prefix</t>
  </si>
  <si>
    <t>Name Prefix</t>
  </si>
  <si>
    <t>optional</t>
  </si>
  <si>
    <t>Optional</t>
  </si>
  <si>
    <t>referrel_user</t>
  </si>
  <si>
    <t>Referrel User</t>
  </si>
  <si>
    <t>initial_balance</t>
  </si>
  <si>
    <t>Initial Balance</t>
  </si>
  <si>
    <t>disable_log_in</t>
  </si>
  <si>
    <t>Disable Log in</t>
  </si>
  <si>
    <t>successfully_created_virtual_customer</t>
  </si>
  <si>
    <t>Successfully created virtual customer</t>
  </si>
  <si>
    <t>executed_failure_try_again</t>
  </si>
  <si>
    <t>Executed failure Try again</t>
  </si>
  <si>
    <t>pay_from_admin</t>
  </si>
  <si>
    <t>Pay From admin</t>
  </si>
  <si>
    <t>comment_permission</t>
  </si>
  <si>
    <t>Comment Permission</t>
  </si>
  <si>
    <t>comment_permission_sellers_updated_successfully</t>
  </si>
  <si>
    <t>Comment permission sellers updated successfully</t>
  </si>
  <si>
    <t>online_service</t>
  </si>
  <si>
    <t>Online Service</t>
  </si>
  <si>
    <t>home_display</t>
  </si>
  <si>
    <t>Home Display</t>
  </si>
  <si>
    <t>home_display_sellers_updated_successfully</t>
  </si>
  <si>
    <t>Home display sellers updated successfully</t>
  </si>
  <si>
    <t>money</t>
  </si>
  <si>
    <t>Money</t>
  </si>
  <si>
    <t>recharge</t>
  </si>
  <si>
    <t>Recharge</t>
  </si>
  <si>
    <t>recharge_has_been_done</t>
  </si>
  <si>
    <t>Recharge has been done</t>
  </si>
  <si>
    <t>dddd</t>
  </si>
  <si>
    <t>total_recharge</t>
  </si>
  <si>
    <t>Total recharge</t>
  </si>
  <si>
    <t>total_withdrawal_amount</t>
  </si>
  <si>
    <t>Total withdrawal amount</t>
  </si>
  <si>
    <t>recharge_difference</t>
  </si>
  <si>
    <t>Recharge difference</t>
  </si>
  <si>
    <t>select_one_customer</t>
  </si>
  <si>
    <t>Select One Customer</t>
  </si>
  <si>
    <t>all_customer</t>
  </si>
  <si>
    <t>All Customer</t>
  </si>
  <si>
    <t>all_ssalesman</t>
  </si>
  <si>
    <t>All Ssalesman</t>
  </si>
  <si>
    <t>filter_by_virtual</t>
  </si>
  <si>
    <t>Filter by Virtual</t>
  </si>
  <si>
    <t>virtual_account</t>
  </si>
  <si>
    <t>Virtual Account</t>
  </si>
  <si>
    <t>general_account</t>
  </si>
  <si>
    <t>General Account</t>
  </si>
  <si>
    <t>change_online_service</t>
  </si>
  <si>
    <t>Change Online Service</t>
  </si>
  <si>
    <t>update_online_service</t>
  </si>
  <si>
    <t>Update Online Service</t>
  </si>
  <si>
    <t>express_information</t>
  </si>
  <si>
    <t>Express information</t>
  </si>
  <si>
    <t>courier_company</t>
  </si>
  <si>
    <t>courier company</t>
  </si>
  <si>
    <t>shipment_number</t>
  </si>
  <si>
    <t>shipment number</t>
  </si>
  <si>
    <t>logistics_tracking_information</t>
  </si>
  <si>
    <t>Logistics tracking information</t>
  </si>
  <si>
    <t>Express_information</t>
  </si>
  <si>
    <t>msegat_sms</t>
  </si>
  <si>
    <t>MSEGAT SMS</t>
  </si>
  <si>
    <t>accumulative_commission_configuration</t>
  </si>
  <si>
    <t>Accumulative Commission Configuration</t>
  </si>
  <si>
    <t>return_commission_log_of_cumulative_amount_of_goods_picked_up</t>
  </si>
  <si>
    <t>Return commission log of cumulative amount of goods picked up</t>
  </si>
  <si>
    <t>current_accumulated_amount</t>
  </si>
  <si>
    <t>Current Accumulated Amount</t>
  </si>
  <si>
    <t>that_accumulated_amount</t>
  </si>
  <si>
    <t>That Accumulated Amount</t>
  </si>
  <si>
    <t>seller_user_name</t>
  </si>
  <si>
    <t>Seller User Name</t>
  </si>
  <si>
    <t>shop_under_review</t>
  </si>
  <si>
    <t>Shop under review.</t>
  </si>
  <si>
    <t>disagree</t>
  </si>
  <si>
    <t>Disagree</t>
  </si>
  <si>
    <t>agree</t>
  </si>
  <si>
    <t>Agree</t>
  </si>
  <si>
    <t>seller_apply_pop_content</t>
  </si>
  <si>
    <t>Seller Apply Pop Content</t>
  </si>
  <si>
    <t>add_reality_seller</t>
  </si>
  <si>
    <t>Add reality Seller</t>
  </si>
  <si>
    <t>reality_account</t>
  </si>
  <si>
    <t>reality Account</t>
  </si>
  <si>
    <t>reality</t>
  </si>
  <si>
    <t>seller_email</t>
  </si>
  <si>
    <t>Seller Email</t>
  </si>
  <si>
    <t>seller_password</t>
  </si>
  <si>
    <t>Seller Password</t>
  </si>
  <si>
    <t>add_seller</t>
  </si>
  <si>
    <t>Add Seller</t>
  </si>
  <si>
    <t>inhouse_auction_products</t>
  </si>
  <si>
    <t>Inhouse Auction Products</t>
  </si>
  <si>
    <t>seller_auction_products</t>
  </si>
  <si>
    <t>Seller Auction Products</t>
  </si>
  <si>
    <t>wholesale_products</t>
  </si>
  <si>
    <t>Wholesale Products</t>
  </si>
  <si>
    <t>add_new_wholesale_product</t>
  </si>
  <si>
    <t>Add New Wholesale Product</t>
  </si>
  <si>
    <t>all_wholesale_products</t>
  </si>
  <si>
    <t>All Wholesale Products</t>
  </si>
  <si>
    <t>in_house_wholesale_products</t>
  </si>
  <si>
    <t>In House Wholesale Products</t>
  </si>
  <si>
    <t>seller_wholesale_products</t>
  </si>
  <si>
    <t>Seller Wholesale Products</t>
  </si>
  <si>
    <t>auction</t>
  </si>
  <si>
    <t>Auction</t>
  </si>
  <si>
    <t>auction_product_for_seller</t>
  </si>
  <si>
    <t>Auction Product for Seller</t>
  </si>
  <si>
    <t>msegat_credential</t>
  </si>
  <si>
    <t>MSEGAT Credential</t>
  </si>
  <si>
    <t>msegat_api_key</t>
  </si>
  <si>
    <t>MSEGAT_API_KEY</t>
  </si>
  <si>
    <t>msegat_username</t>
  </si>
  <si>
    <t>MSEGAT_USERNAME</t>
  </si>
  <si>
    <t>msegat_user_sender</t>
  </si>
  <si>
    <t>MSEGAT_USER_SENDER</t>
  </si>
  <si>
    <t>an_email_has_been_sent</t>
  </si>
  <si>
    <t>An email has been sent.</t>
  </si>
  <si>
    <t>details</t>
  </si>
  <si>
    <t>Details</t>
  </si>
  <si>
    <t>see_ticket</t>
  </si>
  <si>
    <t>See ticket</t>
  </si>
  <si>
    <t>submit_as</t>
  </si>
  <si>
    <t>Submit as</t>
  </si>
  <si>
    <t>solved</t>
  </si>
  <si>
    <t>Solved</t>
  </si>
  <si>
    <t>reply_has_been_sent_successfully</t>
  </si>
  <si>
    <t>Reply has been sent successfully</t>
  </si>
  <si>
    <t>guarantee_money_success</t>
  </si>
  <si>
    <t>Guarantee Money Success</t>
  </si>
  <si>
    <t>please_click_the_button_below_to_verify_your_email_address</t>
  </si>
  <si>
    <t>Please click the button below to verify your email address.</t>
  </si>
  <si>
    <t>registration_successful_please_verify_your_email</t>
  </si>
  <si>
    <t>Registration successful. Please verify your email.</t>
  </si>
  <si>
    <t>your_email_has_been_verified_successfully</t>
  </si>
  <si>
    <t>Your email has been verified successfully</t>
  </si>
  <si>
    <t>wallet_recharge_payment</t>
  </si>
  <si>
    <t>Wallet Recharge Payment</t>
  </si>
  <si>
    <t>custom_params</t>
  </si>
  <si>
    <t>Custom Params</t>
  </si>
  <si>
    <t>item_details</t>
  </si>
  <si>
    <t>Item Details</t>
  </si>
  <si>
    <t>checkout_payment</t>
  </si>
  <si>
    <t>Checkout Payment</t>
  </si>
  <si>
    <t>payment_process_completed</t>
  </si>
  <si>
    <t>Payment process completed</t>
  </si>
  <si>
    <t>google_map_setting</t>
  </si>
  <si>
    <t>Google Map Setting</t>
  </si>
  <si>
    <t>map_api_key</t>
  </si>
  <si>
    <t>Map API KEY</t>
  </si>
  <si>
    <t>service</t>
  </si>
  <si>
    <t>Service</t>
  </si>
  <si>
    <t>caijiurl</t>
  </si>
  <si>
    <t>CaijiUrl</t>
  </si>
  <si>
    <t>category_has_been_deleted_successfully</t>
  </si>
  <si>
    <t>Category has been deleted successfully</t>
  </si>
  <si>
    <t>app_download</t>
  </si>
  <si>
    <t>App Download</t>
  </si>
  <si>
    <t>a_fresh_verification_link_has_been_sent_to_your_email_address</t>
  </si>
  <si>
    <t>A fresh verification link has been sent to your email address.</t>
  </si>
  <si>
    <t>sorry_we_could_not_verifiy_you_please_try_again</t>
  </si>
  <si>
    <t>Sorry, we could not verifiy you. Please try again</t>
  </si>
  <si>
    <t>seller_has_been_banned_successfully</t>
  </si>
  <si>
    <t>Seller has been banned successfully</t>
  </si>
  <si>
    <t>unban_this_seller</t>
  </si>
  <si>
    <t>Unban this seller</t>
  </si>
  <si>
    <t>seller_has_been_unbanned_successfully</t>
  </si>
  <si>
    <t>Seller has been unbanned successfully</t>
  </si>
  <si>
    <t>no_account_exists_with_this_email</t>
  </si>
  <si>
    <t>No account exists with this email</t>
  </si>
  <si>
    <t>verification_code_is_</t>
  </si>
  <si>
    <t xml:space="preserve">Verification Code is </t>
  </si>
  <si>
    <t>reset_password</t>
  </si>
  <si>
    <t>Reset Password</t>
  </si>
  <si>
    <t>enter_your_email_address_and_new_password_and_confirm_password</t>
  </si>
  <si>
    <t>Enter your email address and new password and confirm password.</t>
  </si>
  <si>
    <t>password_updated_successfully</t>
  </si>
  <si>
    <t>Password updated successfully</t>
  </si>
  <si>
    <t>registration_failed_please_try_again_later</t>
  </si>
  <si>
    <t>Registration failed. Please try again later.</t>
  </si>
  <si>
    <t>send_code_successfully</t>
  </si>
  <si>
    <t>send code successfully</t>
  </si>
  <si>
    <t>register_code</t>
  </si>
  <si>
    <t>Register Code</t>
  </si>
  <si>
    <t>verification_code_is</t>
  </si>
  <si>
    <t>Verification Code is</t>
  </si>
  <si>
    <t>your_verification_mail_has_been_sent_to_your_email</t>
  </si>
  <si>
    <t>Your verification mail has been Sent to your email.</t>
  </si>
  <si>
    <t>code_not_correct</t>
  </si>
  <si>
    <t>Code not correct.</t>
  </si>
  <si>
    <t>staff_has_been_updated_successfully</t>
  </si>
  <si>
    <t>Staff has been updated successfully</t>
  </si>
  <si>
    <t>please_contact_customer_service_for_removal</t>
  </si>
  <si>
    <t>Please contact customer service for removal.</t>
  </si>
  <si>
    <t>you_have_more_uploaded_products_than_this_package_limit_you_need_to_remove_excessive_products_to_downgrade</t>
  </si>
  <si>
    <t>You have more uploaded products than this package limit. You need to remove excessive products to downgrade.</t>
  </si>
  <si>
    <t>reacquire</t>
  </si>
  <si>
    <t>Reacquire</t>
  </si>
  <si>
    <t>second</t>
  </si>
  <si>
    <t>Second</t>
  </si>
  <si>
    <t>role_has_been_inserted_successfully</t>
  </si>
  <si>
    <t>Role has been inserted successfully</t>
  </si>
  <si>
    <t>salesman_has_been_deleted_successfully</t>
  </si>
  <si>
    <t>Salesman has been deleted successfully</t>
  </si>
  <si>
    <t>role_has_been_deleted_successfully</t>
  </si>
  <si>
    <t>Role has been deleted successfully</t>
  </si>
  <si>
    <t>shop_info</t>
  </si>
  <si>
    <t>Shop Info</t>
  </si>
  <si>
    <t>seller_has_been_approved_successfully</t>
  </si>
  <si>
    <t>Seller has been approved successfully</t>
  </si>
  <si>
    <t>_code_isinvitation_not_correct</t>
  </si>
  <si>
    <t xml:space="preserve"> code isInvitation not correct!</t>
  </si>
  <si>
    <t>z</t>
  </si>
  <si>
    <t>Store register</t>
  </si>
  <si>
    <t>send_code</t>
  </si>
  <si>
    <t>send code</t>
  </si>
  <si>
    <t>confirm_with_wallet</t>
  </si>
  <si>
    <t>Confirm with Wallet</t>
  </si>
  <si>
    <t>invitation_code</t>
  </si>
  <si>
    <t>Invitation Code</t>
  </si>
  <si>
    <t>verified</t>
  </si>
  <si>
    <t>Verified</t>
  </si>
  <si>
    <t>nonverified</t>
  </si>
  <si>
    <t>Non-Verified</t>
  </si>
  <si>
    <t>increase_recharge_wallet</t>
  </si>
  <si>
    <t>Increase recharge wallet</t>
  </si>
  <si>
    <t>decrease_recharge_wallet</t>
  </si>
  <si>
    <t>Decrease recharge wallet</t>
  </si>
  <si>
    <t>increase_balance</t>
  </si>
  <si>
    <t>Increase balance</t>
  </si>
  <si>
    <t>decrease_balance</t>
  </si>
  <si>
    <t>Decrease balance</t>
  </si>
  <si>
    <t>give_cash_gift</t>
  </si>
  <si>
    <t>Give Cash Gift</t>
  </si>
  <si>
    <t>select_type</t>
  </si>
  <si>
    <t>Select Type</t>
  </si>
  <si>
    <t>seller_bill</t>
  </si>
  <si>
    <t>Seller bill</t>
  </si>
  <si>
    <t>visitor_template</t>
  </si>
  <si>
    <t>Visitor Template</t>
  </si>
  <si>
    <t>balance_logs</t>
  </si>
  <si>
    <t>Balance Logs</t>
  </si>
  <si>
    <t>customer_service</t>
  </si>
  <si>
    <t>Customer Service</t>
  </si>
  <si>
    <t>store_star_rating</t>
  </si>
  <si>
    <t>Store star rating</t>
  </si>
  <si>
    <t>daily_visits</t>
  </si>
  <si>
    <t>Daily Visits</t>
  </si>
  <si>
    <t>weekly_visits</t>
  </si>
  <si>
    <t>Weekly Visits</t>
  </si>
  <si>
    <t>monthly_visits</t>
  </si>
  <si>
    <t>Monthly Visits</t>
  </si>
  <si>
    <t>total_visits</t>
  </si>
  <si>
    <t>Total Visits</t>
  </si>
  <si>
    <t>this_monthorders</t>
  </si>
  <si>
    <t>This MonthOrders</t>
  </si>
  <si>
    <t>credit_score</t>
  </si>
  <si>
    <t>Credit score</t>
  </si>
  <si>
    <t>facebook_comment_setting</t>
  </si>
  <si>
    <t>Facebook Comment Setting</t>
  </si>
  <si>
    <t>facebook_app_id</t>
  </si>
  <si>
    <t>Facebook App ID</t>
  </si>
  <si>
    <t>please_be_carefull_when_you_are_configuring_facebook_comment_for_incorrect_configuration_you_will_not_get_comment_section_on_your_userend_site</t>
  </si>
  <si>
    <t>Please be carefull when you are configuring Facebook Comment. For incorrect configuration you will not get comment section on your user-end site.</t>
  </si>
  <si>
    <t>after_then_go_to_this_url_httpsdevelopersfacebookcomapps</t>
  </si>
  <si>
    <t>After then go to this URL https://developers.facebook.com/apps/</t>
  </si>
  <si>
    <t>create_your_app</t>
  </si>
  <si>
    <t>Create Your App</t>
  </si>
  <si>
    <t>in_dashboard_page_you_will_get_your_app_id</t>
  </si>
  <si>
    <t>In Dashboard page you will get your App ID</t>
  </si>
  <si>
    <t>date_range</t>
  </si>
  <si>
    <t>Date range</t>
  </si>
  <si>
    <t>bill_type</t>
  </si>
  <si>
    <t>Bill Type</t>
  </si>
  <si>
    <t>backend_seller_recharge_balance</t>
  </si>
  <si>
    <t>Backend seller recharge balance</t>
  </si>
  <si>
    <t>payout</t>
  </si>
  <si>
    <t>Payout</t>
  </si>
  <si>
    <t>payout_request</t>
  </si>
  <si>
    <t>Payout Request</t>
  </si>
  <si>
    <t>you_are_banned</t>
  </si>
  <si>
    <t>You are banned</t>
  </si>
  <si>
    <t>pay_to_customer</t>
  </si>
  <si>
    <t>Pay To Customer</t>
  </si>
  <si>
    <t>edit_buyer_information</t>
  </si>
  <si>
    <t>Edit Buyer Information</t>
  </si>
  <si>
    <t>open_new_tap</t>
  </si>
  <si>
    <t>Open new tap</t>
  </si>
  <si>
    <t>buy_time</t>
  </si>
  <si>
    <t>Buy Time</t>
  </si>
  <si>
    <t>expire_time</t>
  </si>
  <si>
    <t>Expire Time</t>
  </si>
  <si>
    <t>remaining_promotion_bits</t>
  </si>
  <si>
    <t>Remaining Promotion Bits</t>
  </si>
  <si>
    <t>add_customer_service</t>
  </si>
  <si>
    <t>Add Customer Service</t>
  </si>
  <si>
    <t>unprocessed_order_amount</t>
  </si>
  <si>
    <t>Unprocessed order amount</t>
  </si>
  <si>
    <t>order_today</t>
  </si>
  <si>
    <t>Order today</t>
  </si>
  <si>
    <t>today_total_profit</t>
  </si>
  <si>
    <t>Today Total Profit</t>
  </si>
  <si>
    <t>through_train_promotion</t>
  </si>
  <si>
    <t>Through train promotion</t>
  </si>
  <si>
    <t>minimum</t>
  </si>
  <si>
    <t>Minimum</t>
  </si>
  <si>
    <t>maximum</t>
  </si>
  <si>
    <t>Maximum</t>
  </si>
  <si>
    <t>select_random_products</t>
  </si>
  <si>
    <t>Select random products</t>
  </si>
  <si>
    <t>amount_before</t>
  </si>
  <si>
    <t>Amount before</t>
  </si>
  <si>
    <t>amount_after</t>
  </si>
  <si>
    <t>Amount after</t>
  </si>
  <si>
    <t>your_query_has_been_submittes_successfully</t>
  </si>
  <si>
    <t>Your query has been submittes successfully</t>
  </si>
  <si>
    <t>my_questions</t>
  </si>
  <si>
    <t>My Questions</t>
  </si>
  <si>
    <t>seller_did_not_respond_yet</t>
  </si>
  <si>
    <t>Seller did not respond yet</t>
  </si>
  <si>
    <t>qa003</t>
  </si>
  <si>
    <t>QA003</t>
  </si>
  <si>
    <t>bukefuno_gan_12_maglev_3x3_magnetic_magic_cube_gan12maglev_speed_gan_12maglev_puzzle_magic_cubes_gan12_maglev_3x3_cube_frosted_surface_stickerless</t>
  </si>
  <si>
    <t>Bukefuno GAN 12 Maglev 3x3 Magnetic Magic Cube GAN12Maglev Speed GAN 12Maglev Puzzle Magic Cubes GAN12 Maglev 3x3 Cube (Frosted Surface Stickerless)</t>
  </si>
  <si>
    <t>how_much</t>
  </si>
  <si>
    <t>How much?</t>
  </si>
  <si>
    <t>not_replied</t>
  </si>
  <si>
    <t>Not Replied</t>
  </si>
  <si>
    <t>replied_successfully</t>
  </si>
  <si>
    <t>Replied successfully!</t>
  </si>
  <si>
    <t>thanks_belove_customer_this_product_200</t>
  </si>
  <si>
    <t>Thanks belove customer. This product 200$</t>
  </si>
  <si>
    <t>replied</t>
  </si>
  <si>
    <t>Replied</t>
  </si>
  <si>
    <t>do_you_want_it</t>
  </si>
  <si>
    <t>Do you want it?</t>
  </si>
  <si>
    <t>unreplied</t>
  </si>
  <si>
    <t>UnReplied</t>
  </si>
  <si>
    <t>reply_successfully</t>
  </si>
  <si>
    <t>Reply Successfully</t>
  </si>
  <si>
    <t>verified_now</t>
  </si>
  <si>
    <t>Verified now</t>
  </si>
  <si>
    <t>backend_seller_cost_balance</t>
  </si>
  <si>
    <t>Backend seller cost balance</t>
  </si>
  <si>
    <t>attribute_has_been_updated_successfully</t>
  </si>
  <si>
    <t>Attribute has been updated successfully</t>
  </si>
  <si>
    <t>color_has_been_inserted_successfully</t>
  </si>
  <si>
    <t>Color has been inserted successfully</t>
  </si>
  <si>
    <t>color_has_been_updated_successfully</t>
  </si>
  <si>
    <t>Color has been updated successfully</t>
  </si>
  <si>
    <t>salesman_invitation</t>
  </si>
  <si>
    <t>Salesman Invitation</t>
  </si>
  <si>
    <t>state_has_been_inserted_successfully</t>
  </si>
  <si>
    <t>State has been inserted successfully</t>
  </si>
  <si>
    <t>staff_has_been_deleted_successfully</t>
  </si>
  <si>
    <t>Staff has been deleted successfully</t>
  </si>
  <si>
    <t>amountusd</t>
  </si>
  <si>
    <t>Amount(usd)</t>
  </si>
  <si>
    <t>order_no</t>
  </si>
  <si>
    <t>Order No</t>
  </si>
  <si>
    <t>today_orders</t>
  </si>
  <si>
    <t>Today Orders</t>
  </si>
  <si>
    <t>bulk_actions</t>
  </si>
  <si>
    <t>Bulk Actions</t>
  </si>
  <si>
    <t>payment_amount_must_be_grater_than_000</t>
  </si>
  <si>
    <t>Payment amount must be grater than $0.00!</t>
  </si>
  <si>
    <t>ban_reason</t>
  </si>
  <si>
    <t>Ban Reason</t>
  </si>
  <si>
    <t>update_successfully</t>
  </si>
  <si>
    <t>Update successfully</t>
  </si>
  <si>
    <t>machine_cashier</t>
  </si>
  <si>
    <t>Machine Cashier</t>
  </si>
  <si>
    <t>seller_places_order</t>
  </si>
  <si>
    <t>Seller Places Order</t>
  </si>
  <si>
    <t>shop_level_purchase</t>
  </si>
  <si>
    <t>Shop level purchase</t>
  </si>
  <si>
    <t>direct_train_purchase</t>
  </si>
  <si>
    <t>Direct train purchase</t>
  </si>
  <si>
    <t>statistics_page</t>
  </si>
  <si>
    <t>Statistics Page</t>
  </si>
  <si>
    <t>blance_log</t>
  </si>
  <si>
    <t>Blance log</t>
  </si>
  <si>
    <t>logistics_wallet_log</t>
  </si>
  <si>
    <t>Logistics wallet log</t>
  </si>
  <si>
    <t>current_system_time</t>
  </si>
  <si>
    <t>Current system time</t>
  </si>
  <si>
    <t>select_order_creation_time</t>
  </si>
  <si>
    <t>Select order creation time</t>
  </si>
  <si>
    <t>select_the_signing_time</t>
  </si>
  <si>
    <t>Select the signing time</t>
  </si>
  <si>
    <t>non_mandatory_option</t>
  </si>
  <si>
    <t>Non mandatory option</t>
  </si>
  <si>
    <t>country_information</t>
  </si>
  <si>
    <t>Country Information</t>
  </si>
  <si>
    <t>edit_country</t>
  </si>
  <si>
    <t>Edit Country</t>
  </si>
  <si>
    <t>seller_billing_record</t>
  </si>
  <si>
    <t>Seller Billing Record</t>
  </si>
  <si>
    <t>seller_billing</t>
  </si>
  <si>
    <t>Seller billing</t>
  </si>
  <si>
    <t>modify_balance</t>
  </si>
  <si>
    <t>Modify Balance</t>
  </si>
  <si>
    <t>real_account</t>
  </si>
  <si>
    <t>Real Account</t>
  </si>
  <si>
    <t>examine</t>
  </si>
  <si>
    <t>pass</t>
  </si>
  <si>
    <t>Pass</t>
  </si>
  <si>
    <t>register_examine</t>
  </si>
  <si>
    <t>Register Examine</t>
  </si>
  <si>
    <t>examine_status_is_updated_successfully</t>
  </si>
  <si>
    <t>Examine status is updated Successfully</t>
  </si>
  <si>
    <t>an_error_occurred_</t>
  </si>
  <si>
    <t xml:space="preserve">An error occurred: </t>
  </si>
  <si>
    <t>please_open_the_through_train</t>
  </si>
  <si>
    <t>Please open the through train</t>
  </si>
  <si>
    <t>delivery_price</t>
  </si>
  <si>
    <t>Delivery Price</t>
  </si>
  <si>
    <t>reason_for_cancellation</t>
  </si>
  <si>
    <t>Reason for cancellation</t>
  </si>
  <si>
    <t>virtually_sales_amount</t>
  </si>
  <si>
    <t>Virtually Sales Amount</t>
  </si>
  <si>
    <t>to_be_approved</t>
  </si>
  <si>
    <t>To be Approved</t>
  </si>
  <si>
    <t>not_verified</t>
  </si>
  <si>
    <t>Not Verified</t>
  </si>
  <si>
    <t>freeze_account</t>
  </si>
  <si>
    <t>Freeze account</t>
  </si>
  <si>
    <t>prohibited_from_pull_off_shelves</t>
  </si>
  <si>
    <t>Prohibited from pull off shelves"</t>
  </si>
  <si>
    <t>do_you_really_want_to_freeze_account_</t>
  </si>
  <si>
    <t>Do you really want to Freeze account ?</t>
  </si>
  <si>
    <t>add_seller_withdraw_request</t>
  </si>
  <si>
    <t>Add Seller Withdraw Request</t>
  </si>
  <si>
    <t>export</t>
  </si>
  <si>
    <t>Export</t>
  </si>
  <si>
    <t>log_in_as_this_salesman</t>
  </si>
  <si>
    <t>Log in as this Salesman</t>
  </si>
  <si>
    <t>register_examines</t>
  </si>
  <si>
    <t>Register Examines</t>
  </si>
  <si>
    <t>product_type_selection</t>
  </si>
  <si>
    <t>Product Type Selection</t>
  </si>
  <si>
    <t>sort</t>
  </si>
  <si>
    <t>Sort</t>
  </si>
  <si>
    <t>contact_customer_service_to_recharge</t>
  </si>
  <si>
    <t>Contact customer service to recharge</t>
  </si>
  <si>
    <t>name__email__phone</t>
  </si>
  <si>
    <t>Name / Email / Phone</t>
  </si>
  <si>
    <t>updated_successfully</t>
  </si>
  <si>
    <t>Updated successfully</t>
  </si>
  <si>
    <t>logistics_information</t>
  </si>
  <si>
    <t>Logistics information</t>
  </si>
  <si>
    <t>level_1_commission_ratio</t>
  </si>
  <si>
    <t>Level 1 Commission Ratio</t>
  </si>
  <si>
    <t>level_2_commission_ratio</t>
  </si>
  <si>
    <t>Level 2 Commission Ratio</t>
  </si>
  <si>
    <t>level_3_commission_ratio</t>
  </si>
  <si>
    <t>Level 3 Commission Ratio</t>
  </si>
  <si>
    <t>virtual_addresse</t>
  </si>
  <si>
    <t>Virtual Addresse</t>
  </si>
  <si>
    <t>addresse</t>
  </si>
  <si>
    <t>Addresse</t>
  </si>
  <si>
    <t>vip2</t>
  </si>
  <si>
    <t>VIP2</t>
  </si>
  <si>
    <t>pay_type</t>
  </si>
  <si>
    <t>Pay Type</t>
  </si>
  <si>
    <t>please_contact_online_customer_service_for_online_recharge</t>
  </si>
  <si>
    <t>Please contact online customer service for online recharge</t>
  </si>
  <si>
    <t>normal</t>
  </si>
  <si>
    <t>Normal</t>
  </si>
  <si>
    <t>forbidden</t>
  </si>
  <si>
    <t>Forbidden</t>
  </si>
  <si>
    <t>merchant</t>
  </si>
  <si>
    <t>Merchant</t>
  </si>
  <si>
    <t>channel</t>
  </si>
  <si>
    <t>Channel</t>
  </si>
  <si>
    <t>merchant_key</t>
  </si>
  <si>
    <t>Merchant Key</t>
  </si>
  <si>
    <t>add</t>
  </si>
  <si>
    <t>Add</t>
  </si>
  <si>
    <t>type_name_or_email</t>
  </si>
  <si>
    <t>Type name or email</t>
  </si>
  <si>
    <t>enter</t>
  </si>
  <si>
    <t>Enter</t>
  </si>
  <si>
    <t>mail_address</t>
  </si>
  <si>
    <t>mail Address</t>
  </si>
  <si>
    <t>logistics_wallet_payment</t>
  </si>
  <si>
    <t>Logistics wallet payment</t>
  </si>
  <si>
    <t>shop_star</t>
  </si>
  <si>
    <t>Shop star</t>
  </si>
  <si>
    <t>set_spread_package</t>
  </si>
  <si>
    <t>Set Spread Package</t>
  </si>
  <si>
    <t>logistics_wallet_amount</t>
  </si>
  <si>
    <t>Logistics wallet amount</t>
  </si>
  <si>
    <t>increase_amount</t>
  </si>
  <si>
    <t>Increase amount</t>
  </si>
  <si>
    <t>decrease_amount</t>
  </si>
  <si>
    <t>Decrease amount</t>
  </si>
  <si>
    <t>winnings</t>
  </si>
  <si>
    <t>Winnings</t>
  </si>
  <si>
    <t>store_virtual_star</t>
  </si>
  <si>
    <t>Store virtual star</t>
  </si>
  <si>
    <t>open_the_virtual_star_level_of_the_store</t>
  </si>
  <si>
    <t>Open the virtual star level of the store</t>
  </si>
  <si>
    <t>go_back</t>
  </si>
  <si>
    <t>Go back</t>
  </si>
  <si>
    <t>square_credential</t>
  </si>
  <si>
    <t>Square Credential</t>
  </si>
  <si>
    <t>square_appid</t>
  </si>
  <si>
    <t>Square AppId</t>
  </si>
  <si>
    <t>square_locationid</t>
  </si>
  <si>
    <t>Square LocationId</t>
  </si>
  <si>
    <t>square_token</t>
  </si>
  <si>
    <t>Square Token</t>
  </si>
  <si>
    <t>gpay_credential</t>
  </si>
  <si>
    <t>Gpay Credential</t>
  </si>
  <si>
    <t>payment_key</t>
  </si>
  <si>
    <t>Payment Key</t>
  </si>
  <si>
    <t>payment_gateway</t>
  </si>
  <si>
    <t>Payment Gateway</t>
  </si>
  <si>
    <t>query_gateway</t>
  </si>
  <si>
    <t>Query Gateway</t>
  </si>
  <si>
    <t>minimum_recharge_amount</t>
  </si>
  <si>
    <t>Minimum Recharge Amount</t>
  </si>
  <si>
    <t>maximum_recharge_amount</t>
  </si>
  <si>
    <t>Maximum Recharge Amount</t>
  </si>
  <si>
    <t>recharge_exchange_rate</t>
  </si>
  <si>
    <t>Recharge Exchange Rate</t>
  </si>
  <si>
    <t>ip_whitelist</t>
  </si>
  <si>
    <t>IP Whitelist</t>
  </si>
  <si>
    <t>qpay_credential</t>
  </si>
  <si>
    <t>Qpay Credential</t>
  </si>
  <si>
    <t>bigm_credential</t>
  </si>
  <si>
    <t>BIGM Credential</t>
  </si>
  <si>
    <t>bigm_query_url</t>
  </si>
  <si>
    <t>BIGM_QUERY_URL</t>
  </si>
  <si>
    <t>zalando_credential</t>
  </si>
  <si>
    <t>Zalando Credential</t>
  </si>
  <si>
    <t>zhuoyue_credential</t>
  </si>
  <si>
    <t>Zhuoyue Credential</t>
  </si>
  <si>
    <t>mlpay_credential</t>
  </si>
  <si>
    <t>MLpay Credential</t>
  </si>
  <si>
    <t>merchant_uid</t>
  </si>
  <si>
    <t>Merchant UID</t>
  </si>
  <si>
    <t>memberid</t>
  </si>
  <si>
    <t>payincode</t>
  </si>
  <si>
    <t>request_gateway</t>
  </si>
  <si>
    <t>Request Gateway</t>
  </si>
  <si>
    <t>search_gateway</t>
  </si>
  <si>
    <t>Search Gateway</t>
  </si>
  <si>
    <t>change_rate</t>
  </si>
  <si>
    <t>Change rate</t>
  </si>
  <si>
    <t>async_gateway</t>
  </si>
  <si>
    <t>Async Gateway</t>
  </si>
  <si>
    <t>sync_gateway</t>
  </si>
  <si>
    <t>Sync Gateway</t>
  </si>
  <si>
    <t>pay_disable_start_time</t>
  </si>
  <si>
    <t>Pay disable start time</t>
  </si>
  <si>
    <t>format</t>
  </si>
  <si>
    <t>pay_disable_end_time</t>
  </si>
  <si>
    <t>Pay disable end time</t>
  </si>
  <si>
    <t>gpay</t>
  </si>
  <si>
    <t>Gpay</t>
  </si>
  <si>
    <t>physical_products</t>
  </si>
  <si>
    <t>Physical products</t>
  </si>
  <si>
    <t>virtual_products</t>
  </si>
  <si>
    <t>Virtual Products</t>
  </si>
  <si>
    <t>virtually_sales</t>
  </si>
  <si>
    <t>Virtually Sales</t>
  </si>
  <si>
    <t>operation_user</t>
  </si>
  <si>
    <t>Operation User</t>
  </si>
  <si>
    <t>delete_successfully</t>
  </si>
  <si>
    <t>Delete Successfully</t>
  </si>
  <si>
    <t>store_level_purchase_records</t>
  </si>
  <si>
    <t>Store level purchase records</t>
  </si>
  <si>
    <t>purchase_records_of_direct_trains</t>
  </si>
  <si>
    <t>Purchase records of direct trains</t>
  </si>
  <si>
    <t>pageview</t>
  </si>
  <si>
    <t>Pageview</t>
  </si>
  <si>
    <t>basic_visits</t>
  </si>
  <si>
    <t>Basic visits</t>
  </si>
  <si>
    <t>daily_increment</t>
  </si>
  <si>
    <t>Daily increment</t>
  </si>
  <si>
    <t>inventory</t>
  </si>
  <si>
    <t>Inventory</t>
  </si>
  <si>
    <t>background_logistics_wallet_recharge</t>
  </si>
  <si>
    <t>Background Logistics wallet recharge</t>
  </si>
  <si>
    <t>order_procurement</t>
  </si>
  <si>
    <t>Order procurement</t>
  </si>
  <si>
    <t>minimum_price</t>
  </si>
  <si>
    <t>Minimum price</t>
  </si>
  <si>
    <t>maximum_price</t>
  </si>
  <si>
    <t>Maximum price</t>
  </si>
  <si>
    <t>home_top</t>
  </si>
  <si>
    <t>Home Top</t>
  </si>
  <si>
    <t>warehouse_price</t>
  </si>
  <si>
    <t>Warehouse price</t>
  </si>
  <si>
    <t>sales_price</t>
  </si>
  <si>
    <t>Sales price</t>
  </si>
  <si>
    <t>products_num_of_sales_updated_successfully</t>
  </si>
  <si>
    <t>Products num of sales updated successfully</t>
  </si>
  <si>
    <t>products_sort_updated_successfully</t>
  </si>
  <si>
    <t>Products sort updated successfully</t>
  </si>
  <si>
    <t>home_top_products_updated_successfully</t>
  </si>
  <si>
    <t>Home top products updated successfully</t>
  </si>
  <si>
    <t>translation_keys_has_been_imported_successfully_go_to_app_translation_for_more</t>
  </si>
  <si>
    <t>Translation keys has been imported successfully. Go to App Translation for more..</t>
  </si>
  <si>
    <t>balance_log</t>
  </si>
  <si>
    <t>Balance log</t>
  </si>
  <si>
    <t>select_salesman</t>
  </si>
  <si>
    <t>Select salesman</t>
  </si>
  <si>
    <t>total_balance</t>
  </si>
  <si>
    <t>Total Balance</t>
  </si>
  <si>
    <t>recharge_target</t>
  </si>
  <si>
    <t>Recharge target</t>
  </si>
  <si>
    <t>desc</t>
  </si>
  <si>
    <t>Desc</t>
  </si>
  <si>
    <t>select_a_replacement_package</t>
  </si>
  <si>
    <t>Select a replacement package</t>
  </si>
  <si>
    <t>you_can_not_replace_with_the_same_package</t>
  </si>
  <si>
    <t>You can not replace with the same package</t>
  </si>
  <si>
    <t>1__</t>
  </si>
  <si>
    <t>-1 = ∞</t>
  </si>
  <si>
    <t>direct_purchase</t>
  </si>
  <si>
    <t>Direct purchase</t>
  </si>
  <si>
    <t>consulting_customer_service</t>
  </si>
  <si>
    <t>Consulting customer service</t>
  </si>
  <si>
    <t>deduction_balance</t>
  </si>
  <si>
    <t>Deduction balance</t>
  </si>
  <si>
    <t>number_of_fans</t>
  </si>
  <si>
    <t>Number Of Fans</t>
  </si>
  <si>
    <t>speed</t>
  </si>
  <si>
    <t>Speed</t>
  </si>
  <si>
    <t>the_faster_the_speed_the_smaller_the_number_of_visits_per_time_120</t>
  </si>
  <si>
    <t>The faster the speed, the smaller the number of visits per time (1-20)</t>
  </si>
  <si>
    <t>withdrawal_account_no</t>
  </si>
  <si>
    <t>Withdrawal account No</t>
  </si>
  <si>
    <t>select_status</t>
  </si>
  <si>
    <t>Select status</t>
  </si>
  <si>
    <t>rejected</t>
  </si>
  <si>
    <t>Rejected</t>
  </si>
  <si>
    <t>unaudited</t>
  </si>
  <si>
    <t>Unaudited</t>
  </si>
  <si>
    <t>content_or_sender</t>
  </si>
  <si>
    <t>Content or sender</t>
  </si>
  <si>
    <t>due_to_customer</t>
  </si>
  <si>
    <t>Due to customer</t>
  </si>
  <si>
    <t>operations_successfully</t>
  </si>
  <si>
    <t>Operations successfully</t>
  </si>
  <si>
    <t>conversation_has_been_deleted_successfully</t>
  </si>
  <si>
    <t>Conversation has been deleted successfully</t>
  </si>
  <si>
    <t>seller_register_agreement</t>
  </si>
  <si>
    <t>Seller Register Agreement</t>
  </si>
  <si>
    <t>force_popup</t>
  </si>
  <si>
    <t>Force popup</t>
  </si>
  <si>
    <t>community</t>
  </si>
  <si>
    <t>Community</t>
  </si>
  <si>
    <t>community_virtual_ranking</t>
  </si>
  <si>
    <t>Community virtual ranking</t>
  </si>
  <si>
    <t>community_ranking</t>
  </si>
  <si>
    <t>Community Ranking</t>
  </si>
  <si>
    <t>user_logistics_wallet_recharge</t>
  </si>
  <si>
    <t>User logistics wallet recharge</t>
  </si>
  <si>
    <t>order_cancelled</t>
  </si>
  <si>
    <t>Order cancelled</t>
  </si>
  <si>
    <t>customer_service_address</t>
  </si>
  <si>
    <t>Customer service address</t>
  </si>
  <si>
    <t>customer_float_switch</t>
  </si>
  <si>
    <t>Customer float switch</t>
  </si>
  <si>
    <t>customer_front_desk_switch</t>
  </si>
  <si>
    <t>Customer front desk switch</t>
  </si>
  <si>
    <t>customer_seller_backend_switch</t>
  </si>
  <si>
    <t>Customer seller backend switch</t>
  </si>
  <si>
    <t>minimum_withdrawal_amount_of_merchants</t>
  </si>
  <si>
    <t>Minimum withdrawal amount of merchants</t>
  </si>
  <si>
    <t>maximum_withdrawal_amount_of_merchant</t>
  </si>
  <si>
    <t>Maximum withdrawal amount of merchant</t>
  </si>
  <si>
    <t>seller_withdrawal_handling_fee</t>
  </si>
  <si>
    <t>Seller Withdrawal Handling Fee</t>
  </si>
  <si>
    <t>number_of_times_seller_update_product_prices</t>
  </si>
  <si>
    <t>Number of times seller update product prices</t>
  </si>
  <si>
    <t>seller_publishing_permissions</t>
  </si>
  <si>
    <t>Seller Publishing Permissions</t>
  </si>
  <si>
    <t>shopping_mall_pickup</t>
  </si>
  <si>
    <t>Shopping Mall Pickup</t>
  </si>
  <si>
    <t>buyer_conversation_examine</t>
  </si>
  <si>
    <t>Buyer Conversation Examine</t>
  </si>
  <si>
    <t>buyer_comment_examine</t>
  </si>
  <si>
    <t>Buyer Comment Examine</t>
  </si>
  <si>
    <t>automatic_payment_collection</t>
  </si>
  <si>
    <t>Automatic payment collection</t>
  </si>
  <si>
    <t>seller_validation_data</t>
  </si>
  <si>
    <t>Seller Validation Data</t>
  </si>
  <si>
    <t>seller_front_photo</t>
  </si>
  <si>
    <t>Seller Front Photo</t>
  </si>
  <si>
    <t>seller_credentials</t>
  </si>
  <si>
    <t>Seller Credentials</t>
  </si>
  <si>
    <t>invitation_code_is_required</t>
  </si>
  <si>
    <t>Invitation code is required</t>
  </si>
  <si>
    <t>offline_recharge_upload_image</t>
  </si>
  <si>
    <t>Offline recharge upload image</t>
  </si>
  <si>
    <t>seller_pickup_verification_password</t>
  </si>
  <si>
    <t>Seller Pickup Verification Password</t>
  </si>
  <si>
    <t>seller_withdrawal_verification_password</t>
  </si>
  <si>
    <t>Seller Withdrawal Verification Password</t>
  </si>
  <si>
    <t>seller_order_notice</t>
  </si>
  <si>
    <t>Seller Order Notice</t>
  </si>
  <si>
    <t>register_ip</t>
  </si>
  <si>
    <t>Register IP</t>
  </si>
  <si>
    <t>seller_inventory</t>
  </si>
  <si>
    <t>Seller Inventory</t>
  </si>
  <si>
    <t>total_quantity_of_sellers_blind_box_products</t>
  </si>
  <si>
    <t>Total quantity of seller's blind box products</t>
  </si>
  <si>
    <t>access_template</t>
  </si>
  <si>
    <t>Access Template</t>
  </si>
  <si>
    <t>review_restrictions_on_recharge_and_withdrawal</t>
  </si>
  <si>
    <t>Review restrictions on recharge and withdrawal</t>
  </si>
  <si>
    <t>delete_account</t>
  </si>
  <si>
    <t>Delete account</t>
  </si>
  <si>
    <t>product_replication</t>
  </si>
  <si>
    <t>Product replication</t>
  </si>
  <si>
    <t>can_cost_balance</t>
  </si>
  <si>
    <t>Can Cost Balance</t>
  </si>
  <si>
    <t>is_verification_required_for_publishing_product</t>
  </si>
  <si>
    <t>Is verification required for publishing product</t>
  </si>
  <si>
    <t>is_withdrawal_required_to_be_an_integer</t>
  </si>
  <si>
    <t>Is withdrawal required to be an integer</t>
  </si>
  <si>
    <t>register_by_country</t>
  </si>
  <si>
    <t>Register By Country</t>
  </si>
  <si>
    <t>salesman_wallet_recharge_review</t>
  </si>
  <si>
    <t>Salesman wallet recharge review</t>
  </si>
  <si>
    <t>salesman_wallet_withdraw_review</t>
  </si>
  <si>
    <t>Salesman wallet withdraw review</t>
  </si>
  <si>
    <t>blade_loading</t>
  </si>
  <si>
    <t>Blade Loading</t>
  </si>
  <si>
    <t>loading1</t>
  </si>
  <si>
    <t>Loading1</t>
  </si>
  <si>
    <t>loading2</t>
  </si>
  <si>
    <t>Loading2</t>
  </si>
  <si>
    <t>loading3</t>
  </si>
  <si>
    <t>Loading3</t>
  </si>
  <si>
    <t>loading4</t>
  </si>
  <si>
    <t>Loading4</t>
  </si>
  <si>
    <t>loading5</t>
  </si>
  <si>
    <t>Loading5</t>
  </si>
  <si>
    <t>login_registration_mode</t>
  </si>
  <si>
    <t>Login registration mode</t>
  </si>
  <si>
    <t>product_price_mode</t>
  </si>
  <si>
    <t>Product Price Mode</t>
  </si>
  <si>
    <t>product_price_ratio</t>
  </si>
  <si>
    <t>Product Price Ratio</t>
  </si>
  <si>
    <t>sign_for_at_any_time</t>
  </si>
  <si>
    <t>Sign for at any time</t>
  </si>
  <si>
    <t>id_card_verify</t>
  </si>
  <si>
    <t>Id Card Verify</t>
  </si>
  <si>
    <t>off_shelf</t>
  </si>
  <si>
    <t>Off shelf</t>
  </si>
  <si>
    <t>off_todays_deal</t>
  </si>
  <si>
    <t>Off Todays Deal</t>
  </si>
  <si>
    <t>off_featured</t>
  </si>
  <si>
    <t>Off Featured</t>
  </si>
  <si>
    <t>off_home_top</t>
  </si>
  <si>
    <t>Off Home Top</t>
  </si>
  <si>
    <t>superior</t>
  </si>
  <si>
    <t>Superior</t>
  </si>
  <si>
    <t>id_card_number</t>
  </si>
  <si>
    <t>Id Card Number</t>
  </si>
  <si>
    <t>id_card_edit</t>
  </si>
  <si>
    <t>ID Card Edit</t>
  </si>
  <si>
    <t>paypay</t>
  </si>
  <si>
    <t>Paypay</t>
  </si>
  <si>
    <t>paypay_id</t>
  </si>
  <si>
    <t>Paypay ID</t>
  </si>
  <si>
    <t>paypay_account</t>
  </si>
  <si>
    <t>Paypay Account</t>
  </si>
  <si>
    <t>paypay_qrcode</t>
  </si>
  <si>
    <t>Paypay Qrcode</t>
  </si>
  <si>
    <t>merchant_withdrawal</t>
  </si>
  <si>
    <t>Merchant withdrawal</t>
  </si>
  <si>
    <t>freeze</t>
  </si>
  <si>
    <t>Freeze</t>
  </si>
  <si>
    <t>operation_succeeded</t>
  </si>
  <si>
    <t>Operation succeeded</t>
  </si>
  <si>
    <t>unfreeze_account</t>
  </si>
  <si>
    <t>Unfreeze account</t>
  </si>
  <si>
    <t>visit_merchant</t>
  </si>
  <si>
    <t>Visit Merchant</t>
  </si>
  <si>
    <t>other_information</t>
  </si>
  <si>
    <t>Other information</t>
  </si>
  <si>
    <t>registration_date</t>
  </si>
  <si>
    <t>Registration Date</t>
  </si>
  <si>
    <t>remove_selection_from_storehouse</t>
  </si>
  <si>
    <t>Remove selection from storehouse</t>
  </si>
  <si>
    <t>delete_notification</t>
  </si>
  <si>
    <t>Delete Notification</t>
  </si>
  <si>
    <t>please_enter_the_order_number_to_delete_the_notification</t>
  </si>
  <si>
    <t>Please enter the order number to delete the notification</t>
  </si>
  <si>
    <t>notification_deleted_successfully</t>
  </si>
  <si>
    <t>Notification Deleted successfully</t>
  </si>
  <si>
    <t>bulk_comments</t>
  </si>
  <si>
    <t>Bulk Comments</t>
  </si>
  <si>
    <t>sellers_bill</t>
  </si>
  <si>
    <t>Sellers bill</t>
  </si>
  <si>
    <t>xingkong_credential</t>
  </si>
  <si>
    <t>Xingkong Credential</t>
  </si>
  <si>
    <t>email_changed_successfully</t>
  </si>
  <si>
    <t>Email Changed successfully</t>
  </si>
  <si>
    <t>email_was_not_verified_please_resend_your_mail</t>
  </si>
  <si>
    <t>Email was not verified. Please resend your mail!</t>
  </si>
  <si>
    <t>withdraw_account_no</t>
  </si>
  <si>
    <t>Withdraw Account No</t>
  </si>
  <si>
    <t>seller_wallet_balance</t>
  </si>
  <si>
    <t>Seller wallet balance</t>
  </si>
  <si>
    <t>seller_guarantee_balance</t>
  </si>
  <si>
    <t>Seller guarantee balance</t>
  </si>
  <si>
    <t>remark</t>
  </si>
  <si>
    <t>Remark</t>
  </si>
  <si>
    <t>allowed_to_be_put_on_shelves</t>
  </si>
  <si>
    <t>Allowed to be put on shelves"</t>
  </si>
  <si>
    <t>user_name__email__address</t>
  </si>
  <si>
    <t>User Name | Email | Address</t>
  </si>
  <si>
    <t>user_id</t>
  </si>
  <si>
    <t>User ID</t>
  </si>
  <si>
    <t>store_register</t>
  </si>
  <si>
    <t>account_status</t>
  </si>
  <si>
    <t>Account Status</t>
  </si>
  <si>
    <t>not_verify</t>
  </si>
  <si>
    <t>Not verify</t>
  </si>
  <si>
    <t>select_seller</t>
  </si>
  <si>
    <t>Select Seller</t>
  </si>
  <si>
    <t>notification_not_found</t>
  </si>
  <si>
    <t>Notification not found</t>
  </si>
  <si>
    <t>something_was_wrong</t>
  </si>
  <si>
    <t>Something was wrong</t>
  </si>
  <si>
    <t>this_registered_account_has_not_been_approved</t>
  </si>
  <si>
    <t>This registered account has not been approved</t>
  </si>
  <si>
    <t>please_select_a_customer</t>
  </si>
  <si>
    <t>Please select a customer</t>
  </si>
  <si>
    <t>state_information</t>
  </si>
  <si>
    <t>State Information</t>
  </si>
  <si>
    <t>edit_state</t>
  </si>
  <si>
    <t>Edit State</t>
  </si>
  <si>
    <t>ase_num</t>
  </si>
  <si>
    <t>ase num</t>
  </si>
  <si>
    <t>seller_login</t>
  </si>
  <si>
    <t>Seller Login</t>
  </si>
  <si>
    <t>price_sort</t>
  </si>
  <si>
    <t>Price Sort</t>
  </si>
  <si>
    <t>price_desc</t>
  </si>
  <si>
    <t>Price Desc</t>
  </si>
  <si>
    <t>price_asc</t>
  </si>
  <si>
    <t>Price Asc</t>
  </si>
  <si>
    <t>invitation_code_is_not_valid</t>
  </si>
  <si>
    <t>Invitation code is not valid!</t>
  </si>
  <si>
    <t>you_donn_have_access_to_the_requested_page</t>
  </si>
  <si>
    <t>You don\'n have access to the requested page!</t>
  </si>
  <si>
    <t>tax_papers</t>
  </si>
  <si>
    <t>Tax Papers</t>
  </si>
  <si>
    <t>seller_invitation_link</t>
  </si>
  <si>
    <t>Seller Invitation link</t>
  </si>
  <si>
    <t>machine_cashier_orders</t>
  </si>
  <si>
    <t>Machine cashier orders</t>
  </si>
  <si>
    <t>statistic_page</t>
  </si>
  <si>
    <t>Statistic Page</t>
  </si>
  <si>
    <t>logistic_wallet_log</t>
  </si>
  <si>
    <t>Logistic wallet log</t>
  </si>
  <si>
    <t>seller_add_products</t>
  </si>
  <si>
    <t>Seller add products</t>
  </si>
  <si>
    <t>superior_email</t>
  </si>
  <si>
    <t>Superior email</t>
  </si>
  <si>
    <t>recharge_total_amount</t>
  </si>
  <si>
    <t>Recharge Total Amount</t>
  </si>
  <si>
    <t>wallet_total_amount</t>
  </si>
  <si>
    <t>Wallet Total Amount</t>
  </si>
  <si>
    <t>page_view</t>
  </si>
  <si>
    <t>Page view</t>
  </si>
  <si>
    <t>product_delisting</t>
  </si>
  <si>
    <t>Product delisting</t>
  </si>
  <si>
    <t>order_exception</t>
  </si>
  <si>
    <t>Order exception</t>
  </si>
  <si>
    <t>enter_the_seller_account_and_press_enter</t>
  </si>
  <si>
    <t>Enter the seller account and press enter</t>
  </si>
  <si>
    <t>batch_status</t>
  </si>
  <si>
    <t>Batch status</t>
  </si>
  <si>
    <t>select_at_least_one</t>
  </si>
  <si>
    <t>Select at least one</t>
  </si>
  <si>
    <t>update_successful</t>
  </si>
  <si>
    <t>Update successful.</t>
  </si>
  <si>
    <t>member_number</t>
  </si>
  <si>
    <t>Member Number</t>
  </si>
  <si>
    <t>recharge_number</t>
  </si>
  <si>
    <t>Recharge Number</t>
  </si>
  <si>
    <t>wallet_number</t>
  </si>
  <si>
    <t>Wallet Number</t>
  </si>
  <si>
    <t>logistics_recharg_amount</t>
  </si>
  <si>
    <t>Logistics Recharg Amount</t>
  </si>
  <si>
    <t>performance</t>
  </si>
  <si>
    <t>Performance</t>
  </si>
  <si>
    <t>frozen_total_amount</t>
  </si>
  <si>
    <t>Frozen Total Amount</t>
  </si>
  <si>
    <t>retained_total_amount</t>
  </si>
  <si>
    <t>Retained Total Amount</t>
  </si>
  <si>
    <t>team</t>
  </si>
  <si>
    <t>order_quantity</t>
  </si>
  <si>
    <t>Order Quantity</t>
  </si>
  <si>
    <t>order_details_items</t>
  </si>
  <si>
    <t>Order Details Items</t>
  </si>
  <si>
    <t>quantity_of_products</t>
  </si>
  <si>
    <t>Quantity of products</t>
  </si>
  <si>
    <t>production_order</t>
  </si>
  <si>
    <t>Production Order</t>
  </si>
  <si>
    <t>order_time</t>
  </si>
  <si>
    <t>Order time</t>
  </si>
  <si>
    <t>number_of_remaining_customers</t>
  </si>
  <si>
    <t>Number of remaining customers</t>
  </si>
  <si>
    <t>total_quantity</t>
  </si>
  <si>
    <t>Total quantity</t>
  </si>
  <si>
    <t>add_to_seller_product</t>
  </si>
  <si>
    <t>Add to seller product</t>
  </si>
  <si>
    <t>offline_seller_spread_package_payment_requests</t>
  </si>
  <si>
    <t>Offline Seller Spread Package Payment Requests</t>
  </si>
  <si>
    <t>offline_seller_spread_package_payment_approved_successfully</t>
  </si>
  <si>
    <t>Offline Seller Spread Package Payment approved successfully</t>
  </si>
  <si>
    <t>processing_status</t>
  </si>
  <si>
    <t>Processing status</t>
  </si>
  <si>
    <t>untreated</t>
  </si>
  <si>
    <t>Untreated</t>
  </si>
  <si>
    <t>processed</t>
  </si>
  <si>
    <t>Processed</t>
  </si>
  <si>
    <t>processing_time</t>
  </si>
  <si>
    <t>Processing Time</t>
  </si>
  <si>
    <t>backend_user_recharge</t>
  </si>
  <si>
    <t>Backend user recharge</t>
  </si>
  <si>
    <t>backend_seller_recharge_wallet</t>
  </si>
  <si>
    <t>Backend seller recharge wallet</t>
  </si>
  <si>
    <t>free_cash_in_the_background</t>
  </si>
  <si>
    <t>Free cash in the background</t>
  </si>
  <si>
    <t>offline_payment_recharge</t>
  </si>
  <si>
    <t>Offline payment recharge</t>
  </si>
  <si>
    <t>cryptocurrency_payment_topup</t>
  </si>
  <si>
    <t>Cryptocurrency payment top-up</t>
  </si>
  <si>
    <t>seller_withdraws_cash</t>
  </si>
  <si>
    <t>Seller withdraws cash</t>
  </si>
  <si>
    <t>cashier_places_order</t>
  </si>
  <si>
    <t>Cashier places order</t>
  </si>
  <si>
    <t>scheduled_orders_at_the_cashier</t>
  </si>
  <si>
    <t>Scheduled orders at the cashier</t>
  </si>
  <si>
    <t>seller_picks_up_payment</t>
  </si>
  <si>
    <t>Seller picks up payment</t>
  </si>
  <si>
    <t>cancel_the_order</t>
  </si>
  <si>
    <t>Cancel the order</t>
  </si>
  <si>
    <t>goods_release_frozen_funds</t>
  </si>
  <si>
    <t>Goods release frozen funds</t>
  </si>
  <si>
    <t>distribution_rewards_for_product_sellers</t>
  </si>
  <si>
    <t>Distribution rewards for product sellers</t>
  </si>
  <si>
    <t>product_user_distribution_rewards</t>
  </si>
  <si>
    <t>Product user distribution rewards</t>
  </si>
  <si>
    <t>wallet_payment</t>
  </si>
  <si>
    <t>Wallet payment</t>
  </si>
  <si>
    <t>product_users_purchase</t>
  </si>
  <si>
    <t>Product users purchase</t>
  </si>
  <si>
    <t>store_level</t>
  </si>
  <si>
    <t>Store level</t>
  </si>
  <si>
    <t>store_express</t>
  </si>
  <si>
    <t>Store express</t>
  </si>
  <si>
    <t>withdrawal_of_release_of_frozen_funds</t>
  </si>
  <si>
    <t>Withdrawal of release of frozen funds</t>
  </si>
  <si>
    <t>withdraw_merchant_distribution_to_release_frozen_funds</t>
  </si>
  <si>
    <t>Withdraw merchant distribution to release frozen funds</t>
  </si>
  <si>
    <t>withdraw_user_distribution_to_release_frozen_funds</t>
  </si>
  <si>
    <t>Withdraw user distribution to release frozen funds</t>
  </si>
  <si>
    <t>user_withdrawal</t>
  </si>
  <si>
    <t>User withdrawal</t>
  </si>
  <si>
    <t>online_wallet_topup</t>
  </si>
  <si>
    <t>Online wallet top-up</t>
  </si>
  <si>
    <t>online_deposit_recharge</t>
  </si>
  <si>
    <t>Online deposit recharge</t>
  </si>
  <si>
    <t>background_user_gift_amount</t>
  </si>
  <si>
    <t>Background user gift amount</t>
  </si>
  <si>
    <t>backend_seller_cost_wallet</t>
  </si>
  <si>
    <t>Backend seller cost wallet</t>
  </si>
  <si>
    <t>enter_the_seller_phone_and_press_enter</t>
  </si>
  <si>
    <t>Enter the seller phone and press enter</t>
  </si>
  <si>
    <t>reply_is_required</t>
  </si>
  <si>
    <t>Reply is required</t>
  </si>
  <si>
    <t>full_address</t>
  </si>
  <si>
    <t>Full Address</t>
  </si>
  <si>
    <t>become_seller</t>
  </si>
  <si>
    <t>Become Seller</t>
  </si>
  <si>
    <t>business_license</t>
  </si>
  <si>
    <t>Business License</t>
  </si>
  <si>
    <t>store_name</t>
  </si>
  <si>
    <t>Store name</t>
  </si>
  <si>
    <t>phone_number</t>
  </si>
  <si>
    <t>Phone Number</t>
  </si>
  <si>
    <t>please_fill_description_to_reply</t>
  </si>
  <si>
    <t>Please fill description to reply.</t>
  </si>
  <si>
    <t>switch</t>
  </si>
  <si>
    <t>Switch</t>
  </si>
  <si>
    <t>edit_address</t>
  </si>
  <si>
    <t>Edit Address</t>
  </si>
  <si>
    <t>please_select_the_order_creation_time</t>
  </si>
  <si>
    <t>Please select the order creation time</t>
  </si>
  <si>
    <t>you_dont_have_access_to_the_requested_page</t>
  </si>
  <si>
    <t>You don\'t have access to the requested page!</t>
  </si>
  <si>
    <t>number_of_duplicate_orders</t>
  </si>
  <si>
    <t>Number of duplicate orders</t>
  </si>
  <si>
    <t>please_select_the_seller</t>
  </si>
  <si>
    <t>Please select the seller</t>
  </si>
  <si>
    <t>order_quantity_must_be_greater_than_0</t>
  </si>
  <si>
    <t>Order quantity must be greater than 0</t>
  </si>
  <si>
    <t>price_must_be_greater_than_0</t>
  </si>
  <si>
    <t>price must be greater than 0</t>
  </si>
  <si>
    <t>filter_by_country</t>
  </si>
  <si>
    <t>Filter by Country</t>
  </si>
  <si>
    <t>no_data_selected</t>
  </si>
  <si>
    <t>No data selected</t>
  </si>
  <si>
    <t>submitting</t>
  </si>
  <si>
    <t>Submitting</t>
  </si>
  <si>
    <t>name__enter</t>
  </si>
  <si>
    <t>Name &amp; Enter</t>
  </si>
  <si>
    <t>anonymous_or_not</t>
  </si>
  <si>
    <t>Anonymous or not</t>
  </si>
  <si>
    <t>please_select_products</t>
  </si>
  <si>
    <t>Please select products</t>
  </si>
  <si>
    <t>no_conversation_selected</t>
  </si>
  <si>
    <t>No conversation selected</t>
  </si>
  <si>
    <t>successfully_logged_in</t>
  </si>
  <si>
    <t>Successfully logged in</t>
  </si>
  <si>
    <t>customer_</t>
  </si>
  <si>
    <t xml:space="preserve">Customer: </t>
  </si>
  <si>
    <t>please_select_customer</t>
  </si>
  <si>
    <t>Please select customer</t>
  </si>
  <si>
    <t>administrator_cancels</t>
  </si>
  <si>
    <t>Administrator cancels</t>
  </si>
  <si>
    <t>the_seller_did_not_pick_up_the_goods</t>
  </si>
  <si>
    <t>The seller did not pick up the goods</t>
  </si>
  <si>
    <t>order_detail_item_must_be_greater_than_0</t>
  </si>
  <si>
    <t>Order detail item must be greater than 0</t>
  </si>
  <si>
    <t>salesman_cancels</t>
  </si>
  <si>
    <t>Salesman cancels</t>
  </si>
  <si>
    <t>unauthorized</t>
  </si>
  <si>
    <t>Unauthorized</t>
  </si>
  <si>
    <t>please_verify_your_account</t>
  </si>
  <si>
    <t>Please verify your account</t>
  </si>
  <si>
    <t>payment_successful_waiting_for_loading_and_delivery</t>
  </si>
  <si>
    <t>Payment successful! Waiting for loading and delivery</t>
  </si>
  <si>
    <t>express_delivery_has_been_delivered_and_is_being_sent_to_the_next_station</t>
  </si>
  <si>
    <t>Express delivery has been delivered and is being sent to the next station</t>
  </si>
  <si>
    <t>express_delivery_has_been_loaded_and_is_being_sent_to_the_transit_center</t>
  </si>
  <si>
    <t>Express delivery has been loaded and is being sent to the transit center</t>
  </si>
  <si>
    <t>express_delivery_has_arrived_at_the_regional_transit_station_and_is_being_delivered_to_the_city_sorting_center</t>
  </si>
  <si>
    <t>Express delivery has arrived at the regional transit station and is being delivered to the city sorting center</t>
  </si>
  <si>
    <t>express_delivery_has_arrived_at_the_city_sorting_center_and_is_being_sorted</t>
  </si>
  <si>
    <t>Express delivery has arrived at the city sorting center and is being sorted</t>
  </si>
  <si>
    <t>express_delivery_has_been_sorted_and_is_being_delivered</t>
  </si>
  <si>
    <t>Express delivery has been sorted and is being delivered</t>
  </si>
  <si>
    <t>the_user_has_signed_for_it_and_the_delivery_is_completed_thank_you_for_your_waiting</t>
  </si>
  <si>
    <t>The user has signed for it and the delivery is completed. Thank you for your waiting!</t>
  </si>
  <si>
    <t>has_been_order_exception</t>
  </si>
  <si>
    <t>has been Order exception</t>
  </si>
  <si>
    <t>update_time</t>
  </si>
  <si>
    <t>Update Time</t>
  </si>
  <si>
    <t>save_changes</t>
  </si>
  <si>
    <t>Save changes</t>
  </si>
  <si>
    <t>delivery_info_has_been_updated_successfully</t>
  </si>
  <si>
    <t>Delivery info has been updated successfully</t>
  </si>
  <si>
    <t>choose_flash_title</t>
  </si>
  <si>
    <t>Choose Flash Title</t>
  </si>
  <si>
    <t>choose_discount_type</t>
  </si>
  <si>
    <t>Choose Discount Type</t>
  </si>
  <si>
    <t>batch_upload</t>
  </si>
  <si>
    <t>Batch upload</t>
  </si>
  <si>
    <t>batch_upload_product</t>
  </si>
  <si>
    <t>Batch Upload Product</t>
  </si>
  <si>
    <t>please_select_category</t>
  </si>
  <si>
    <t>Please Select Category</t>
  </si>
  <si>
    <t>batch_upload_file</t>
  </si>
  <si>
    <t>Batch upload file</t>
  </si>
  <si>
    <t>download_sample_file</t>
  </si>
  <si>
    <t>Download Sample file</t>
  </si>
  <si>
    <t>this_order_is_already_delivered</t>
  </si>
  <si>
    <t>This order is already delivered</t>
  </si>
  <si>
    <t>batch_upload_digital_goods</t>
  </si>
  <si>
    <t>Batch upload digital goods</t>
  </si>
  <si>
    <t>batch_upload_digital_product</t>
  </si>
  <si>
    <t>Batch Upload Digital Product</t>
  </si>
  <si>
    <t>please_select_brand</t>
  </si>
  <si>
    <t>Please Select brand</t>
  </si>
  <si>
    <t>please_fill_in_this_field</t>
  </si>
  <si>
    <t>Please fill in this field!</t>
  </si>
  <si>
    <t>please_enter_a_valid_email_address</t>
  </si>
  <si>
    <t>Please enter a valid email address!</t>
  </si>
  <si>
    <t>please_tick_this_box_if_you_want_to_proceed</t>
  </si>
  <si>
    <t>Please tick this box if you want to proceed.</t>
  </si>
  <si>
    <t>the_last_delivery_time_cannot_be_greater_than_the_current_time</t>
  </si>
  <si>
    <t>The last delivery time cannot be greater than the current time</t>
  </si>
  <si>
    <t>select_all</t>
  </si>
  <si>
    <t>Select All</t>
  </si>
  <si>
    <t>deselect_all</t>
  </si>
  <si>
    <t>Deselect All</t>
  </si>
  <si>
    <t>minimum_inventory</t>
  </si>
  <si>
    <t>Minimum inventory</t>
  </si>
  <si>
    <t>maximum_inventory</t>
  </si>
  <si>
    <t>Maximum inventory</t>
  </si>
  <si>
    <t>text</t>
  </si>
  <si>
    <t>add_option</t>
  </si>
  <si>
    <t>Add option</t>
  </si>
  <si>
    <t>the_email_field_is_required_when_phone_is_not_present</t>
  </si>
  <si>
    <t>The email field is required when phone is not present</t>
  </si>
  <si>
    <t>the_phone_field_is_required_when_email_is_not_present</t>
  </si>
  <si>
    <t>The phone field is required when email is not present</t>
  </si>
  <si>
    <t>the_password_field_is_required</t>
  </si>
  <si>
    <t>The password field is required</t>
  </si>
  <si>
    <t>identity</t>
  </si>
  <si>
    <t>Identity</t>
  </si>
  <si>
    <t>new_page_has_been_created_successfully</t>
  </si>
  <si>
    <t>New page has been created successfully</t>
  </si>
  <si>
    <t>data</t>
  </si>
  <si>
    <t>:data</t>
  </si>
  <si>
    <t>choose</t>
  </si>
  <si>
    <t>Choose</t>
  </si>
  <si>
    <t>today</t>
  </si>
  <si>
    <t>Today</t>
  </si>
  <si>
    <t>last_7_days</t>
  </si>
  <si>
    <t>Last 7 Days</t>
  </si>
  <si>
    <t>last_30_days</t>
  </si>
  <si>
    <t>Last 30 Days</t>
  </si>
  <si>
    <t>january</t>
  </si>
  <si>
    <t>January</t>
  </si>
  <si>
    <t>february</t>
  </si>
  <si>
    <t>February</t>
  </si>
  <si>
    <t>march</t>
  </si>
  <si>
    <t>March</t>
  </si>
  <si>
    <t>april</t>
  </si>
  <si>
    <t>April</t>
  </si>
  <si>
    <t>may</t>
  </si>
  <si>
    <t>May</t>
  </si>
  <si>
    <t>june</t>
  </si>
  <si>
    <t>June</t>
  </si>
  <si>
    <t>july</t>
  </si>
  <si>
    <t>July</t>
  </si>
  <si>
    <t>august</t>
  </si>
  <si>
    <t>August</t>
  </si>
  <si>
    <t>september</t>
  </si>
  <si>
    <t>September</t>
  </si>
  <si>
    <t>october</t>
  </si>
  <si>
    <t>October</t>
  </si>
  <si>
    <t>november</t>
  </si>
  <si>
    <t>November</t>
  </si>
  <si>
    <t>december</t>
  </si>
  <si>
    <t>December</t>
  </si>
  <si>
    <t>page_has_been_deleted_successfully</t>
  </si>
  <si>
    <t>Page has been deleted successfully</t>
  </si>
  <si>
    <t>slug_has_been_used_already</t>
  </si>
  <si>
    <t>Slug has been used already</t>
  </si>
</sst>
</file>

<file path=xl/styles.xml><?xml version="1.0" encoding="utf-8"?>
<styleSheet xmlns="http://schemas.openxmlformats.org/spreadsheetml/2006/main" xmlns:x14ac="http://schemas.microsoft.com/office/spreadsheetml/2009/9/ac" xmlns:mc="http://schemas.openxmlformats.org/markup-compatibility/2006">
  <fonts count="2">
    <font>
      <sz val="11.0"/>
      <color theme="1"/>
      <name val="Calibri"/>
      <scheme val="minor"/>
    </font>
    <font>
      <color theme="1"/>
      <name val="Calibri"/>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5" width="40.0"/>
    <col customWidth="1" min="6" max="26" width="8.71"/>
  </cols>
  <sheetData>
    <row r="1">
      <c r="A1" s="1" t="s">
        <v>0</v>
      </c>
      <c r="B1" s="1" t="s">
        <v>1</v>
      </c>
      <c r="C1" s="2" t="s">
        <v>2</v>
      </c>
      <c r="D1" s="2" t="s">
        <v>3</v>
      </c>
      <c r="E1" s="2" t="s">
        <v>4</v>
      </c>
    </row>
    <row r="2">
      <c r="A2" s="1" t="s">
        <v>5</v>
      </c>
      <c r="B2" s="1" t="s">
        <v>6</v>
      </c>
      <c r="C2" s="1" t="str">
        <f>IFERROR(__xludf.DUMMYFUNCTION("CONCATENATE(GOOGLETRANSLATE(B2, ""en"", ""zh-cn""))"),"提款请求")</f>
        <v>提款请求</v>
      </c>
      <c r="D2" s="1" t="str">
        <f>IFERROR(__xludf.DUMMYFUNCTION("CONCATENATE(GOOGLETRANSLATE(B2, ""en"", ""ko""))"),"출금요청")</f>
        <v>출금요청</v>
      </c>
      <c r="E2" s="2" t="str">
        <f>IFERROR(__xludf.DUMMYFUNCTION("CONCATENATE(GOOGLETRANSLATE(B2, ""en"", ""ja""))"),"出金リクエスト")</f>
        <v>出金リクエスト</v>
      </c>
    </row>
    <row r="3">
      <c r="A3" s="1" t="s">
        <v>7</v>
      </c>
      <c r="B3" s="1" t="s">
        <v>8</v>
      </c>
      <c r="C3" s="1" t="str">
        <f>IFERROR(__xludf.DUMMYFUNCTION("CONCATENATE(GOOGLETRANSLATE(B3, ""en"", ""zh-cn""))"),"全部")</f>
        <v>全部</v>
      </c>
      <c r="D3" s="1" t="str">
        <f>IFERROR(__xludf.DUMMYFUNCTION("CONCATENATE(GOOGLETRANSLATE(B3, ""en"", ""ko""))"),"모두")</f>
        <v>모두</v>
      </c>
      <c r="E3" s="2" t="str">
        <f>IFERROR(__xludf.DUMMYFUNCTION("CONCATENATE(GOOGLETRANSLATE(B3, ""en"", ""ja""))"),"全て")</f>
        <v>全て</v>
      </c>
    </row>
    <row r="4">
      <c r="A4" s="1" t="s">
        <v>9</v>
      </c>
      <c r="B4" s="1" t="s">
        <v>10</v>
      </c>
      <c r="C4" s="1" t="str">
        <f>IFERROR(__xludf.DUMMYFUNCTION("CONCATENATE(GOOGLETRANSLATE(B4, ""en"", ""zh-cn""))"),"闪购")</f>
        <v>闪购</v>
      </c>
      <c r="D4" s="1" t="str">
        <f>IFERROR(__xludf.DUMMYFUNCTION("CONCATENATE(GOOGLETRANSLATE(B4, ""en"", ""ko""))"),"플래시 세일")</f>
        <v>플래시 세일</v>
      </c>
      <c r="E4" s="2" t="str">
        <f>IFERROR(__xludf.DUMMYFUNCTION("CONCATENATE(GOOGLETRANSLATE(B4, ""en"", ""ja""))"),"フラッシュセール")</f>
        <v>フラッシュセール</v>
      </c>
    </row>
    <row r="5">
      <c r="A5" s="1" t="s">
        <v>11</v>
      </c>
      <c r="B5" s="1" t="s">
        <v>12</v>
      </c>
      <c r="C5" s="1" t="str">
        <f>IFERROR(__xludf.DUMMYFUNCTION("CONCATENATE(GOOGLETRANSLATE(B5, ""en"", ""zh-cn""))"),"查看更多")</f>
        <v>查看更多</v>
      </c>
      <c r="D5" s="1" t="str">
        <f>IFERROR(__xludf.DUMMYFUNCTION("CONCATENATE(GOOGLETRANSLATE(B5, ""en"", ""ko""))"),"더 많이 보기")</f>
        <v>더 많이 보기</v>
      </c>
      <c r="E5" s="2" t="str">
        <f>IFERROR(__xludf.DUMMYFUNCTION("CONCATENATE(GOOGLETRANSLATE(B5, ""en"", ""ja""))"),"もっと見る")</f>
        <v>もっと見る</v>
      </c>
    </row>
    <row r="6">
      <c r="A6" s="1" t="s">
        <v>13</v>
      </c>
      <c r="B6" s="1" t="s">
        <v>14</v>
      </c>
      <c r="C6" s="1" t="str">
        <f>IFERROR(__xludf.DUMMYFUNCTION("CONCATENATE(GOOGLETRANSLATE(B6, ""en"", ""zh-cn""))"),"添加到愿望清单")</f>
        <v>添加到愿望清单</v>
      </c>
      <c r="D6" s="1" t="str">
        <f>IFERROR(__xludf.DUMMYFUNCTION("CONCATENATE(GOOGLETRANSLATE(B6, ""en"", ""ko""))"),"위시리스트에 추가")</f>
        <v>위시리스트에 추가</v>
      </c>
      <c r="E6" s="2" t="str">
        <f>IFERROR(__xludf.DUMMYFUNCTION("CONCATENATE(GOOGLETRANSLATE(B6, ""en"", ""ja""))"),"ウィッシュリストに追加")</f>
        <v>ウィッシュリストに追加</v>
      </c>
    </row>
    <row r="7">
      <c r="A7" s="1" t="s">
        <v>15</v>
      </c>
      <c r="B7" s="1" t="s">
        <v>16</v>
      </c>
      <c r="C7" s="1" t="str">
        <f>IFERROR(__xludf.DUMMYFUNCTION("CONCATENATE(GOOGLETRANSLATE(B7, ""en"", ""zh-cn""))"),"添加比较")</f>
        <v>添加比较</v>
      </c>
      <c r="D7" s="1" t="str">
        <f>IFERROR(__xludf.DUMMYFUNCTION("CONCATENATE(GOOGLETRANSLATE(B7, ""en"", ""ko""))"),"비교하려면 추가하세요")</f>
        <v>비교하려면 추가하세요</v>
      </c>
      <c r="E7" s="2" t="str">
        <f>IFERROR(__xludf.DUMMYFUNCTION("CONCATENATE(GOOGLETRANSLATE(B7, ""en"", ""ja""))"),"比較に追加")</f>
        <v>比較に追加</v>
      </c>
    </row>
    <row r="8">
      <c r="A8" s="1" t="s">
        <v>17</v>
      </c>
      <c r="B8" s="1" t="s">
        <v>18</v>
      </c>
      <c r="C8" s="1" t="str">
        <f>IFERROR(__xludf.DUMMYFUNCTION("CONCATENATE(GOOGLETRANSLATE(B8, ""en"", ""zh-cn""))"),"添加到购物车")</f>
        <v>添加到购物车</v>
      </c>
      <c r="D8" s="1" t="str">
        <f>IFERROR(__xludf.DUMMYFUNCTION("CONCATENATE(GOOGLETRANSLATE(B8, ""en"", ""ko""))"),"장바구니에 추가")</f>
        <v>장바구니에 추가</v>
      </c>
      <c r="E8" s="2" t="str">
        <f>IFERROR(__xludf.DUMMYFUNCTION("CONCATENATE(GOOGLETRANSLATE(B8, ""en"", ""ja""))"),"カートに追加")</f>
        <v>カートに追加</v>
      </c>
    </row>
    <row r="9">
      <c r="A9" s="1" t="s">
        <v>19</v>
      </c>
      <c r="B9" s="1" t="s">
        <v>20</v>
      </c>
      <c r="C9" s="1" t="str">
        <f>IFERROR(__xludf.DUMMYFUNCTION("CONCATENATE(GOOGLETRANSLATE(B9, ""en"", ""zh-cn""))"),"俱乐部积分")</f>
        <v>俱乐部积分</v>
      </c>
      <c r="D9" s="1" t="str">
        <f>IFERROR(__xludf.DUMMYFUNCTION("CONCATENATE(GOOGLETRANSLATE(B9, ""en"", ""ko""))"),"클럽 포인트")</f>
        <v>클럽 포인트</v>
      </c>
      <c r="E9" s="2" t="str">
        <f>IFERROR(__xludf.DUMMYFUNCTION("CONCATENATE(GOOGLETRANSLATE(B9, ""en"", ""ja""))"),"クラブポイント")</f>
        <v>クラブポイント</v>
      </c>
    </row>
    <row r="10">
      <c r="A10" s="1" t="s">
        <v>21</v>
      </c>
      <c r="B10" s="1" t="s">
        <v>22</v>
      </c>
      <c r="C10" s="1" t="str">
        <f>IFERROR(__xludf.DUMMYFUNCTION("CONCATENATE(GOOGLETRANSLATE(B10, ""en"", ""zh-cn""))"),"分类广告")</f>
        <v>分类广告</v>
      </c>
      <c r="D10" s="1" t="str">
        <f>IFERROR(__xludf.DUMMYFUNCTION("CONCATENATE(GOOGLETRANSLATE(B10, ""en"", ""ko""))"),"분류된 광고")</f>
        <v>분류된 광고</v>
      </c>
      <c r="E10" s="2" t="str">
        <f>IFERROR(__xludf.DUMMYFUNCTION("CONCATENATE(GOOGLETRANSLATE(B10, ""en"", ""ja""))"),"広告掲載")</f>
        <v>広告掲載</v>
      </c>
    </row>
    <row r="11">
      <c r="A11" s="1" t="s">
        <v>23</v>
      </c>
      <c r="B11" s="1" t="s">
        <v>24</v>
      </c>
      <c r="C11" s="1" t="str">
        <f>IFERROR(__xludf.DUMMYFUNCTION("CONCATENATE(GOOGLETRANSLATE(B11, ""en"", ""zh-cn""))"),"用过的")</f>
        <v>用过的</v>
      </c>
      <c r="D11" s="1" t="str">
        <f>IFERROR(__xludf.DUMMYFUNCTION("CONCATENATE(GOOGLETRANSLATE(B11, ""en"", ""ko""))"),"사용된")</f>
        <v>사용된</v>
      </c>
      <c r="E11" s="2" t="str">
        <f>IFERROR(__xludf.DUMMYFUNCTION("CONCATENATE(GOOGLETRANSLATE(B11, ""en"", ""ja""))"),"使用済み")</f>
        <v>使用済み</v>
      </c>
    </row>
    <row r="12">
      <c r="A12" s="1" t="s">
        <v>25</v>
      </c>
      <c r="B12" s="1" t="s">
        <v>26</v>
      </c>
      <c r="C12" s="1" t="str">
        <f>IFERROR(__xludf.DUMMYFUNCTION("CONCATENATE(GOOGLETRANSLATE(B12, ""en"", ""zh-cn""))"),"前 10 名类别")</f>
        <v>前 10 名类别</v>
      </c>
      <c r="D12" s="1" t="str">
        <f>IFERROR(__xludf.DUMMYFUNCTION("CONCATENATE(GOOGLETRANSLATE(B12, ""en"", ""ko""))"),"상위 10개 카테고리")</f>
        <v>상위 10개 카테고리</v>
      </c>
      <c r="E12" s="2" t="str">
        <f>IFERROR(__xludf.DUMMYFUNCTION("CONCATENATE(GOOGLETRANSLATE(B12, ""en"", ""ja""))"),"上位 10 カテゴリ")</f>
        <v>上位 10 カテゴリ</v>
      </c>
    </row>
    <row r="13">
      <c r="A13" s="1" t="s">
        <v>27</v>
      </c>
      <c r="B13" s="1" t="s">
        <v>28</v>
      </c>
      <c r="C13" s="1" t="str">
        <f>IFERROR(__xludf.DUMMYFUNCTION("CONCATENATE(GOOGLETRANSLATE(B13, ""en"", ""zh-cn""))"),"查看所有类别")</f>
        <v>查看所有类别</v>
      </c>
      <c r="D13" s="1" t="str">
        <f>IFERROR(__xludf.DUMMYFUNCTION("CONCATENATE(GOOGLETRANSLATE(B13, ""en"", ""ko""))"),"모든 카테고리 보기")</f>
        <v>모든 카테고리 보기</v>
      </c>
      <c r="E13" s="2" t="str">
        <f>IFERROR(__xludf.DUMMYFUNCTION("CONCATENATE(GOOGLETRANSLATE(B13, ""en"", ""ja""))"),"すべてのカテゴリを表示")</f>
        <v>すべてのカテゴリを表示</v>
      </c>
    </row>
    <row r="14">
      <c r="A14" s="1" t="s">
        <v>29</v>
      </c>
      <c r="B14" s="1" t="s">
        <v>30</v>
      </c>
      <c r="C14" s="1" t="str">
        <f>IFERROR(__xludf.DUMMYFUNCTION("CONCATENATE(GOOGLETRANSLATE(B14, ""en"", ""zh-cn""))"),"十大品牌")</f>
        <v>十大品牌</v>
      </c>
      <c r="D14" s="1" t="str">
        <f>IFERROR(__xludf.DUMMYFUNCTION("CONCATENATE(GOOGLETRANSLATE(B14, ""en"", ""ko""))"),"상위 10개 브랜드")</f>
        <v>상위 10개 브랜드</v>
      </c>
      <c r="E14" s="2" t="str">
        <f>IFERROR(__xludf.DUMMYFUNCTION("CONCATENATE(GOOGLETRANSLATE(B14, ""en"", ""ja""))"),"トップ10ブランド")</f>
        <v>トップ10ブランド</v>
      </c>
    </row>
    <row r="15">
      <c r="A15" s="1" t="s">
        <v>31</v>
      </c>
      <c r="B15" s="1" t="s">
        <v>32</v>
      </c>
      <c r="C15" s="1" t="str">
        <f>IFERROR(__xludf.DUMMYFUNCTION("CONCATENATE(GOOGLETRANSLATE(B15, ""en"", ""zh-cn""))"),"查看所有品牌")</f>
        <v>查看所有品牌</v>
      </c>
      <c r="D15" s="1" t="str">
        <f>IFERROR(__xludf.DUMMYFUNCTION("CONCATENATE(GOOGLETRANSLATE(B15, ""en"", ""ko""))"),"모든 브랜드 보기")</f>
        <v>모든 브랜드 보기</v>
      </c>
      <c r="E15" s="2" t="str">
        <f>IFERROR(__xludf.DUMMYFUNCTION("CONCATENATE(GOOGLETRANSLATE(B15, ""en"", ""ja""))"),"すべてのブランドを見る")</f>
        <v>すべてのブランドを見る</v>
      </c>
    </row>
    <row r="16">
      <c r="A16" s="1" t="s">
        <v>33</v>
      </c>
      <c r="B16" s="1" t="s">
        <v>34</v>
      </c>
      <c r="C16" s="1" t="str">
        <f>IFERROR(__xludf.DUMMYFUNCTION("CONCATENATE(GOOGLETRANSLATE(B16, ""en"", ""zh-cn""))"),"条款和条件")</f>
        <v>条款和条件</v>
      </c>
      <c r="D16" s="1" t="str">
        <f>IFERROR(__xludf.DUMMYFUNCTION("CONCATENATE(GOOGLETRANSLATE(B16, ""en"", ""ko""))"),"이용약관")</f>
        <v>이용약관</v>
      </c>
      <c r="E16" s="2" t="str">
        <f>IFERROR(__xludf.DUMMYFUNCTION("CONCATENATE(GOOGLETRANSLATE(B16, ""en"", ""ja""))"),"利用規約")</f>
        <v>利用規約</v>
      </c>
    </row>
    <row r="17">
      <c r="A17" s="1" t="s">
        <v>35</v>
      </c>
      <c r="B17" s="1" t="s">
        <v>36</v>
      </c>
      <c r="C17" s="1" t="str">
        <f>IFERROR(__xludf.DUMMYFUNCTION("CONCATENATE(GOOGLETRANSLATE(B17, ""en"", ""zh-cn""))"),"最畅销")</f>
        <v>最畅销</v>
      </c>
      <c r="D17" s="1" t="str">
        <f>IFERROR(__xludf.DUMMYFUNCTION("CONCATENATE(GOOGLETRANSLATE(B17, ""en"", ""ko""))"),"베스트셀러")</f>
        <v>베스트셀러</v>
      </c>
      <c r="E17" s="2" t="str">
        <f>IFERROR(__xludf.DUMMYFUNCTION("CONCATENATE(GOOGLETRANSLATE(B17, ""en"", ""ja""))"),"ベストセラー")</f>
        <v>ベストセラー</v>
      </c>
    </row>
    <row r="18">
      <c r="A18" s="1" t="s">
        <v>37</v>
      </c>
      <c r="B18" s="1" t="s">
        <v>38</v>
      </c>
      <c r="C18" s="1" t="str">
        <f>IFERROR(__xludf.DUMMYFUNCTION("CONCATENATE(GOOGLETRANSLATE(B18, ""en"", ""zh-cn""))"),"前20名")</f>
        <v>前20名</v>
      </c>
      <c r="D18" s="1" t="str">
        <f>IFERROR(__xludf.DUMMYFUNCTION("CONCATENATE(GOOGLETRANSLATE(B18, ""en"", ""ko""))"),"상위 20위")</f>
        <v>상위 20위</v>
      </c>
      <c r="E18" s="2" t="str">
        <f>IFERROR(__xludf.DUMMYFUNCTION("CONCATENATE(GOOGLETRANSLATE(B18, ""en"", ""ja""))"),"トップ20")</f>
        <v>トップ20</v>
      </c>
    </row>
    <row r="19">
      <c r="A19" s="1" t="s">
        <v>39</v>
      </c>
      <c r="B19" s="1" t="s">
        <v>40</v>
      </c>
      <c r="C19" s="1" t="str">
        <f>IFERROR(__xludf.DUMMYFUNCTION("CONCATENATE(GOOGLETRANSLATE(B19, ""en"", ""zh-cn""))"),"特色产品")</f>
        <v>特色产品</v>
      </c>
      <c r="D19" s="1" t="str">
        <f>IFERROR(__xludf.DUMMYFUNCTION("CONCATENATE(GOOGLETRANSLATE(B19, ""en"", ""ko""))"),"주요 제품")</f>
        <v>주요 제품</v>
      </c>
      <c r="E19" s="2" t="str">
        <f>IFERROR(__xludf.DUMMYFUNCTION("CONCATENATE(GOOGLETRANSLATE(B19, ""en"", ""ja""))"),"注目の製品")</f>
        <v>注目の製品</v>
      </c>
    </row>
    <row r="20">
      <c r="A20" s="1" t="s">
        <v>41</v>
      </c>
      <c r="B20" s="1" t="s">
        <v>42</v>
      </c>
      <c r="C20" s="1" t="str">
        <f>IFERROR(__xludf.DUMMYFUNCTION("CONCATENATE(GOOGLETRANSLATE(B20, ""en"", ""zh-cn""))"),"畅销书")</f>
        <v>畅销书</v>
      </c>
      <c r="D20" s="1" t="str">
        <f>IFERROR(__xludf.DUMMYFUNCTION("CONCATENATE(GOOGLETRANSLATE(B20, ""en"", ""ko""))"),"베스트셀러")</f>
        <v>베스트셀러</v>
      </c>
      <c r="E20" s="2" t="str">
        <f>IFERROR(__xludf.DUMMYFUNCTION("CONCATENATE(GOOGLETRANSLATE(B20, ""en"", ""ja""))"),"ベストセラー")</f>
        <v>ベストセラー</v>
      </c>
    </row>
    <row r="21" ht="15.75" customHeight="1">
      <c r="A21" s="1" t="s">
        <v>43</v>
      </c>
      <c r="B21" s="1" t="s">
        <v>44</v>
      </c>
      <c r="C21" s="1" t="str">
        <f>IFERROR(__xludf.DUMMYFUNCTION("CONCATENATE(GOOGLETRANSLATE(B21, ""en"", ""zh-cn""))"),"访问商店")</f>
        <v>访问商店</v>
      </c>
      <c r="D21" s="1" t="str">
        <f>IFERROR(__xludf.DUMMYFUNCTION("CONCATENATE(GOOGLETRANSLATE(B21, ""en"", ""ko""))"),"매장 방문")</f>
        <v>매장 방문</v>
      </c>
      <c r="E21" s="2" t="str">
        <f>IFERROR(__xludf.DUMMYFUNCTION("CONCATENATE(GOOGLETRANSLATE(B21, ""en"", ""ja""))"),"ストアにアクセス")</f>
        <v>ストアにアクセス</v>
      </c>
    </row>
    <row r="22" ht="15.75" customHeight="1">
      <c r="A22" s="1" t="s">
        <v>45</v>
      </c>
      <c r="B22" s="1" t="s">
        <v>46</v>
      </c>
      <c r="C22" s="1" t="str">
        <f>IFERROR(__xludf.DUMMYFUNCTION("CONCATENATE(GOOGLETRANSLATE(B22, ""en"", ""zh-cn""))"),"热门建议")</f>
        <v>热门建议</v>
      </c>
      <c r="D22" s="1" t="str">
        <f>IFERROR(__xludf.DUMMYFUNCTION("CONCATENATE(GOOGLETRANSLATE(B22, ""en"", ""ko""))"),"인기 제안")</f>
        <v>인기 제안</v>
      </c>
      <c r="E22" s="2" t="str">
        <f>IFERROR(__xludf.DUMMYFUNCTION("CONCATENATE(GOOGLETRANSLATE(B22, ""en"", ""ja""))"),"人気の提案")</f>
        <v>人気の提案</v>
      </c>
    </row>
    <row r="23" ht="15.75" customHeight="1">
      <c r="A23" s="1" t="s">
        <v>47</v>
      </c>
      <c r="B23" s="1" t="s">
        <v>48</v>
      </c>
      <c r="C23" s="1" t="str">
        <f>IFERROR(__xludf.DUMMYFUNCTION("CONCATENATE(GOOGLETRANSLATE(B23, ""en"", ""zh-cn""))"),"类别建议")</f>
        <v>类别建议</v>
      </c>
      <c r="D23" s="1" t="str">
        <f>IFERROR(__xludf.DUMMYFUNCTION("CONCATENATE(GOOGLETRANSLATE(B23, ""en"", ""ko""))"),"카테고리 제안")</f>
        <v>카테고리 제안</v>
      </c>
      <c r="E23" s="2" t="str">
        <f>IFERROR(__xludf.DUMMYFUNCTION("CONCATENATE(GOOGLETRANSLATE(B23, ""en"", ""ja""))"),"カテゴリの提案")</f>
        <v>カテゴリの提案</v>
      </c>
    </row>
    <row r="24" ht="15.75" customHeight="1">
      <c r="A24" s="1" t="s">
        <v>49</v>
      </c>
      <c r="B24" s="1" t="s">
        <v>50</v>
      </c>
      <c r="C24" s="1" t="str">
        <f>IFERROR(__xludf.DUMMYFUNCTION("CONCATENATE(GOOGLETRANSLATE(B24, ""en"", ""zh-cn""))"),"汽车摩托车")</f>
        <v>汽车摩托车</v>
      </c>
      <c r="D24" s="1" t="str">
        <f>IFERROR(__xludf.DUMMYFUNCTION("CONCATENATE(GOOGLETRANSLATE(B24, ""en"", ""ko""))"),"자동차 및 오토바이")</f>
        <v>자동차 및 오토바이</v>
      </c>
      <c r="E24" s="2" t="str">
        <f>IFERROR(__xludf.DUMMYFUNCTION("CONCATENATE(GOOGLETRANSLATE(B24, ""en"", ""ja""))"),"自動車・バイク")</f>
        <v>自動車・バイク</v>
      </c>
    </row>
    <row r="25" ht="15.75" customHeight="1">
      <c r="A25" s="1" t="s">
        <v>51</v>
      </c>
      <c r="B25" s="1" t="s">
        <v>52</v>
      </c>
      <c r="C25" s="1" t="str">
        <f>IFERROR(__xludf.DUMMYFUNCTION("CONCATENATE(GOOGLETRANSLATE(B25, ""en"", ""zh-cn""))"),"价格范围")</f>
        <v>价格范围</v>
      </c>
      <c r="D25" s="1" t="str">
        <f>IFERROR(__xludf.DUMMYFUNCTION("CONCATENATE(GOOGLETRANSLATE(B25, ""en"", ""ko""))"),"가격대")</f>
        <v>가격대</v>
      </c>
      <c r="E25" s="2" t="str">
        <f>IFERROR(__xludf.DUMMYFUNCTION("CONCATENATE(GOOGLETRANSLATE(B25, ""en"", ""ja""))"),"価格帯")</f>
        <v>価格帯</v>
      </c>
    </row>
    <row r="26" ht="15.75" customHeight="1">
      <c r="A26" s="1" t="s">
        <v>53</v>
      </c>
      <c r="B26" s="1" t="s">
        <v>54</v>
      </c>
      <c r="C26" s="1" t="str">
        <f>IFERROR(__xludf.DUMMYFUNCTION("CONCATENATE(GOOGLETRANSLATE(B26, ""en"", ""zh-cn""))"),"按颜色过滤")</f>
        <v>按颜色过滤</v>
      </c>
      <c r="D26" s="1" t="str">
        <f>IFERROR(__xludf.DUMMYFUNCTION("CONCATENATE(GOOGLETRANSLATE(B26, ""en"", ""ko""))"),"색상으로 필터링")</f>
        <v>색상으로 필터링</v>
      </c>
      <c r="E26" s="2" t="str">
        <f>IFERROR(__xludf.DUMMYFUNCTION("CONCATENATE(GOOGLETRANSLATE(B26, ""en"", ""ja""))"),"色でフィルターをかける")</f>
        <v>色でフィルターをかける</v>
      </c>
    </row>
    <row r="27" ht="15.75" customHeight="1">
      <c r="A27" s="1" t="s">
        <v>55</v>
      </c>
      <c r="B27" s="1" t="s">
        <v>56</v>
      </c>
      <c r="C27" s="1" t="str">
        <f>IFERROR(__xludf.DUMMYFUNCTION("CONCATENATE(GOOGLETRANSLATE(B27, ""en"", ""zh-cn""))"),"家")</f>
        <v>家</v>
      </c>
      <c r="D27" s="1" t="str">
        <f>IFERROR(__xludf.DUMMYFUNCTION("CONCATENATE(GOOGLETRANSLATE(B27, ""en"", ""ko""))"),"집")</f>
        <v>집</v>
      </c>
      <c r="E27" s="2" t="str">
        <f>IFERROR(__xludf.DUMMYFUNCTION("CONCATENATE(GOOGLETRANSLATE(B27, ""en"", ""ja""))"),"家")</f>
        <v>家</v>
      </c>
    </row>
    <row r="28" ht="15.75" customHeight="1">
      <c r="A28" s="1" t="s">
        <v>57</v>
      </c>
      <c r="B28" s="1" t="s">
        <v>58</v>
      </c>
      <c r="C28" s="1" t="str">
        <f>IFERROR(__xludf.DUMMYFUNCTION("CONCATENATE(GOOGLETRANSLATE(B28, ""en"", ""zh-cn""))"),"最新")</f>
        <v>最新</v>
      </c>
      <c r="D28" s="1" t="str">
        <f>IFERROR(__xludf.DUMMYFUNCTION("CONCATENATE(GOOGLETRANSLATE(B28, ""en"", ""ko""))"),"최신")</f>
        <v>최신</v>
      </c>
      <c r="E28" s="2" t="str">
        <f>IFERROR(__xludf.DUMMYFUNCTION("CONCATENATE(GOOGLETRANSLATE(B28, ""en"", ""ja""))"),"最新")</f>
        <v>最新</v>
      </c>
    </row>
    <row r="29" ht="15.75" customHeight="1">
      <c r="A29" s="1" t="s">
        <v>59</v>
      </c>
      <c r="B29" s="1" t="s">
        <v>60</v>
      </c>
      <c r="C29" s="1" t="str">
        <f>IFERROR(__xludf.DUMMYFUNCTION("CONCATENATE(GOOGLETRANSLATE(B29, ""en"", ""zh-cn""))"),"最古老的")</f>
        <v>最古老的</v>
      </c>
      <c r="D29" s="1" t="str">
        <f>IFERROR(__xludf.DUMMYFUNCTION("CONCATENATE(GOOGLETRANSLATE(B29, ""en"", ""ko""))"),"가장 오래된")</f>
        <v>가장 오래된</v>
      </c>
      <c r="E29" s="2" t="str">
        <f>IFERROR(__xludf.DUMMYFUNCTION("CONCATENATE(GOOGLETRANSLATE(B29, ""en"", ""ja""))"),"最古の")</f>
        <v>最古の</v>
      </c>
    </row>
    <row r="30" ht="15.75" customHeight="1">
      <c r="A30" s="1" t="s">
        <v>61</v>
      </c>
      <c r="B30" s="1" t="s">
        <v>62</v>
      </c>
      <c r="C30" s="1" t="str">
        <f>IFERROR(__xludf.DUMMYFUNCTION("CONCATENATE(GOOGLETRANSLATE(B30, ""en"", ""zh-cn""))"),"价格从低到高")</f>
        <v>价格从低到高</v>
      </c>
      <c r="D30" s="1" t="str">
        <f>IFERROR(__xludf.DUMMYFUNCTION("CONCATENATE(GOOGLETRANSLATE(B30, ""en"", ""ko""))"),"가격이 낮은 순")</f>
        <v>가격이 낮은 순</v>
      </c>
      <c r="E30" s="2" t="str">
        <f>IFERROR(__xludf.DUMMYFUNCTION("CONCATENATE(GOOGLETRANSLATE(B30, ""en"", ""ja""))"),"価格が安いものから高いものまで")</f>
        <v>価格が安いものから高いものまで</v>
      </c>
    </row>
    <row r="31" ht="15.75" customHeight="1">
      <c r="A31" s="1" t="s">
        <v>63</v>
      </c>
      <c r="B31" s="1" t="s">
        <v>64</v>
      </c>
      <c r="C31" s="1" t="str">
        <f>IFERROR(__xludf.DUMMYFUNCTION("CONCATENATE(GOOGLETRANSLATE(B31, ""en"", ""zh-cn""))"),"价格从高到低")</f>
        <v>价格从高到低</v>
      </c>
      <c r="D31" s="1" t="str">
        <f>IFERROR(__xludf.DUMMYFUNCTION("CONCATENATE(GOOGLETRANSLATE(B31, ""en"", ""ko""))"),"가격이 높은 순")</f>
        <v>가격이 높은 순</v>
      </c>
      <c r="E31" s="2" t="str">
        <f>IFERROR(__xludf.DUMMYFUNCTION("CONCATENATE(GOOGLETRANSLATE(B31, ""en"", ""ja""))"),"価格が高いものから安いものまで")</f>
        <v>価格が高いものから安いものまで</v>
      </c>
    </row>
    <row r="32" ht="15.75" customHeight="1">
      <c r="A32" s="1" t="s">
        <v>65</v>
      </c>
      <c r="B32" s="1" t="s">
        <v>66</v>
      </c>
      <c r="C32" s="1" t="str">
        <f>IFERROR(__xludf.DUMMYFUNCTION("CONCATENATE(GOOGLETRANSLATE(B32, ""en"", ""zh-cn""))"),"品牌")</f>
        <v>品牌</v>
      </c>
      <c r="D32" s="1" t="str">
        <f>IFERROR(__xludf.DUMMYFUNCTION("CONCATENATE(GOOGLETRANSLATE(B32, ""en"", ""ko""))"),"브랜드")</f>
        <v>브랜드</v>
      </c>
      <c r="E32" s="2" t="str">
        <f>IFERROR(__xludf.DUMMYFUNCTION("CONCATENATE(GOOGLETRANSLATE(B32, ""en"", ""ja""))"),"ブランド")</f>
        <v>ブランド</v>
      </c>
    </row>
    <row r="33" ht="15.75" customHeight="1">
      <c r="A33" s="1" t="s">
        <v>67</v>
      </c>
      <c r="B33" s="1" t="s">
        <v>68</v>
      </c>
      <c r="C33" s="1" t="str">
        <f>IFERROR(__xludf.DUMMYFUNCTION("CONCATENATE(GOOGLETRANSLATE(B33, ""en"", ""zh-cn""))"),"所有品牌")</f>
        <v>所有品牌</v>
      </c>
      <c r="D33" s="1" t="str">
        <f>IFERROR(__xludf.DUMMYFUNCTION("CONCATENATE(GOOGLETRANSLATE(B33, ""en"", ""ko""))"),"모든 브랜드")</f>
        <v>모든 브랜드</v>
      </c>
      <c r="E33" s="2" t="str">
        <f>IFERROR(__xludf.DUMMYFUNCTION("CONCATENATE(GOOGLETRANSLATE(B33, ""en"", ""ja""))"),"すべてのブランド")</f>
        <v>すべてのブランド</v>
      </c>
    </row>
    <row r="34" ht="15.75" customHeight="1">
      <c r="A34" s="1" t="s">
        <v>69</v>
      </c>
      <c r="B34" s="1" t="s">
        <v>70</v>
      </c>
      <c r="C34" s="1" t="str">
        <f>IFERROR(__xludf.DUMMYFUNCTION("CONCATENATE(GOOGLETRANSLATE(B34, ""en"", ""zh-cn""))"),"所有卖家")</f>
        <v>所有卖家</v>
      </c>
      <c r="D34" s="1" t="str">
        <f>IFERROR(__xludf.DUMMYFUNCTION("CONCATENATE(GOOGLETRANSLATE(B34, ""en"", ""ko""))"),"모든 판매자")</f>
        <v>모든 판매자</v>
      </c>
      <c r="E34" s="2" t="str">
        <f>IFERROR(__xludf.DUMMYFUNCTION("CONCATENATE(GOOGLETRANSLATE(B34, ""en"", ""ja""))"),"すべての販売者")</f>
        <v>すべての販売者</v>
      </c>
    </row>
    <row r="35" ht="15.75" customHeight="1">
      <c r="A35" s="1" t="s">
        <v>71</v>
      </c>
      <c r="B35" s="1" t="s">
        <v>72</v>
      </c>
      <c r="C35" s="1" t="str">
        <f>IFERROR(__xludf.DUMMYFUNCTION("CONCATENATE(GOOGLETRANSLATE(B35, ""en"", ""zh-cn""))"),"内部产品")</f>
        <v>内部产品</v>
      </c>
      <c r="D35" s="1" t="str">
        <f>IFERROR(__xludf.DUMMYFUNCTION("CONCATENATE(GOOGLETRANSLATE(B35, ""en"", ""ko""))"),"사내 제품")</f>
        <v>사내 제품</v>
      </c>
      <c r="E35" s="2" t="str">
        <f>IFERROR(__xludf.DUMMYFUNCTION("CONCATENATE(GOOGLETRANSLATE(B35, ""en"", ""ja""))"),"自社製品")</f>
        <v>自社製品</v>
      </c>
    </row>
    <row r="36" ht="15.75" customHeight="1">
      <c r="A36" s="1" t="s">
        <v>73</v>
      </c>
      <c r="B36" s="1" t="s">
        <v>74</v>
      </c>
      <c r="C36" s="1" t="str">
        <f>IFERROR(__xludf.DUMMYFUNCTION("CONCATENATE(GOOGLETRANSLATE(B36, ""en"", ""zh-cn""))"),"给卖家留言")</f>
        <v>给卖家留言</v>
      </c>
      <c r="D36" s="1" t="str">
        <f>IFERROR(__xludf.DUMMYFUNCTION("CONCATENATE(GOOGLETRANSLATE(B36, ""en"", ""ko""))"),"메시지 판매자")</f>
        <v>메시지 판매자</v>
      </c>
      <c r="E36" s="2" t="str">
        <f>IFERROR(__xludf.DUMMYFUNCTION("CONCATENATE(GOOGLETRANSLATE(B36, ""en"", ""ja""))"),"販売者にメッセージを送信")</f>
        <v>販売者にメッセージを送信</v>
      </c>
    </row>
    <row r="37" ht="15.75" customHeight="1">
      <c r="A37" s="1" t="s">
        <v>75</v>
      </c>
      <c r="B37" s="1" t="s">
        <v>76</v>
      </c>
      <c r="C37" s="1" t="str">
        <f>IFERROR(__xludf.DUMMYFUNCTION("CONCATENATE(GOOGLETRANSLATE(B37, ""en"", ""zh-cn""))"),"价格")</f>
        <v>价格</v>
      </c>
      <c r="D37" s="1" t="str">
        <f>IFERROR(__xludf.DUMMYFUNCTION("CONCATENATE(GOOGLETRANSLATE(B37, ""en"", ""ko""))"),"가격")</f>
        <v>가격</v>
      </c>
      <c r="E37" s="2" t="str">
        <f>IFERROR(__xludf.DUMMYFUNCTION("CONCATENATE(GOOGLETRANSLATE(B37, ""en"", ""ja""))"),"価格")</f>
        <v>価格</v>
      </c>
    </row>
    <row r="38" ht="15.75" customHeight="1">
      <c r="A38" s="1" t="s">
        <v>77</v>
      </c>
      <c r="B38" s="1" t="s">
        <v>78</v>
      </c>
      <c r="C38" s="1" t="str">
        <f>IFERROR(__xludf.DUMMYFUNCTION("CONCATENATE(GOOGLETRANSLATE(B38, ""en"", ""zh-cn""))"),"折扣价")</f>
        <v>折扣价</v>
      </c>
      <c r="D38" s="1" t="str">
        <f>IFERROR(__xludf.DUMMYFUNCTION("CONCATENATE(GOOGLETRANSLATE(B38, ""en"", ""ko""))"),"할인 가격")</f>
        <v>할인 가격</v>
      </c>
      <c r="E38" s="2" t="str">
        <f>IFERROR(__xludf.DUMMYFUNCTION("CONCATENATE(GOOGLETRANSLATE(B38, ""en"", ""ja""))"),"割引価格")</f>
        <v>割引価格</v>
      </c>
    </row>
    <row r="39" ht="15.75" customHeight="1">
      <c r="A39" s="1" t="s">
        <v>79</v>
      </c>
      <c r="B39" s="1" t="s">
        <v>80</v>
      </c>
      <c r="C39" s="1" t="str">
        <f>IFERROR(__xludf.DUMMYFUNCTION("CONCATENATE(GOOGLETRANSLATE(B39, ""en"", ""zh-cn""))"),"颜色")</f>
        <v>颜色</v>
      </c>
      <c r="D39" s="1" t="str">
        <f>IFERROR(__xludf.DUMMYFUNCTION("CONCATENATE(GOOGLETRANSLATE(B39, ""en"", ""ko""))"),"색상")</f>
        <v>색상</v>
      </c>
      <c r="E39" s="2" t="str">
        <f>IFERROR(__xludf.DUMMYFUNCTION("CONCATENATE(GOOGLETRANSLATE(B39, ""en"", ""ja""))"),"色")</f>
        <v>色</v>
      </c>
    </row>
    <row r="40" ht="15.75" customHeight="1">
      <c r="A40" s="1" t="s">
        <v>81</v>
      </c>
      <c r="B40" s="1" t="s">
        <v>82</v>
      </c>
      <c r="C40" s="1" t="str">
        <f>IFERROR(__xludf.DUMMYFUNCTION("CONCATENATE(GOOGLETRANSLATE(B40, ""en"", ""zh-cn""))"),"数量")</f>
        <v>数量</v>
      </c>
      <c r="D40" s="1" t="str">
        <f>IFERROR(__xludf.DUMMYFUNCTION("CONCATENATE(GOOGLETRANSLATE(B40, ""en"", ""ko""))"),"수량")</f>
        <v>수량</v>
      </c>
      <c r="E40" s="2" t="str">
        <f>IFERROR(__xludf.DUMMYFUNCTION("CONCATENATE(GOOGLETRANSLATE(B40, ""en"", ""ja""))"),"量")</f>
        <v>量</v>
      </c>
    </row>
    <row r="41" ht="15.75" customHeight="1">
      <c r="A41" s="1" t="s">
        <v>83</v>
      </c>
      <c r="B41" s="1" t="s">
        <v>83</v>
      </c>
      <c r="C41" s="1" t="str">
        <f>IFERROR(__xludf.DUMMYFUNCTION("CONCATENATE(GOOGLETRANSLATE(B41, ""en"", ""zh-cn""))"),"可用的")</f>
        <v>可用的</v>
      </c>
      <c r="D41" s="1" t="str">
        <f>IFERROR(__xludf.DUMMYFUNCTION("CONCATENATE(GOOGLETRANSLATE(B41, ""en"", ""ko""))"),"사용 가능")</f>
        <v>사용 가능</v>
      </c>
      <c r="E41" s="2" t="str">
        <f>IFERROR(__xludf.DUMMYFUNCTION("CONCATENATE(GOOGLETRANSLATE(B41, ""en"", ""ja""))"),"利用可能")</f>
        <v>利用可能</v>
      </c>
    </row>
    <row r="42" ht="15.75" customHeight="1">
      <c r="A42" s="1" t="s">
        <v>84</v>
      </c>
      <c r="B42" s="1" t="s">
        <v>85</v>
      </c>
      <c r="C42" s="1" t="str">
        <f>IFERROR(__xludf.DUMMYFUNCTION("CONCATENATE(GOOGLETRANSLATE(B42, ""en"", ""zh-cn""))"),"总价")</f>
        <v>总价</v>
      </c>
      <c r="D42" s="1" t="str">
        <f>IFERROR(__xludf.DUMMYFUNCTION("CONCATENATE(GOOGLETRANSLATE(B42, ""en"", ""ko""))"),"총 가격")</f>
        <v>총 가격</v>
      </c>
      <c r="E42" s="2" t="str">
        <f>IFERROR(__xludf.DUMMYFUNCTION("CONCATENATE(GOOGLETRANSLATE(B42, ""en"", ""ja""))"),"合計価格")</f>
        <v>合計価格</v>
      </c>
    </row>
    <row r="43" ht="15.75" customHeight="1">
      <c r="A43" s="1" t="s">
        <v>86</v>
      </c>
      <c r="B43" s="1" t="s">
        <v>87</v>
      </c>
      <c r="C43" s="1" t="str">
        <f>IFERROR(__xludf.DUMMYFUNCTION("CONCATENATE(GOOGLETRANSLATE(B43, ""en"", ""zh-cn""))"),"缺货")</f>
        <v>缺货</v>
      </c>
      <c r="D43" s="1" t="str">
        <f>IFERROR(__xludf.DUMMYFUNCTION("CONCATENATE(GOOGLETRANSLATE(B43, ""en"", ""ko""))"),"품절")</f>
        <v>품절</v>
      </c>
      <c r="E43" s="2" t="str">
        <f>IFERROR(__xludf.DUMMYFUNCTION("CONCATENATE(GOOGLETRANSLATE(B43, ""en"", ""ja""))"),"在庫切れ")</f>
        <v>在庫切れ</v>
      </c>
    </row>
    <row r="44" ht="15.75" customHeight="1">
      <c r="A44" s="1" t="s">
        <v>88</v>
      </c>
      <c r="B44" s="1" t="s">
        <v>89</v>
      </c>
      <c r="C44" s="1" t="str">
        <f>IFERROR(__xludf.DUMMYFUNCTION("CONCATENATE(GOOGLETRANSLATE(B44, ""en"", ""zh-cn""))"),"退款")</f>
        <v>退款</v>
      </c>
      <c r="D44" s="1" t="str">
        <f>IFERROR(__xludf.DUMMYFUNCTION("CONCATENATE(GOOGLETRANSLATE(B44, ""en"", ""ko""))"),"환불하다")</f>
        <v>환불하다</v>
      </c>
      <c r="E44" s="2" t="str">
        <f>IFERROR(__xludf.DUMMYFUNCTION("CONCATENATE(GOOGLETRANSLATE(B44, ""en"", ""ja""))"),"返金")</f>
        <v>返金</v>
      </c>
    </row>
    <row r="45" ht="15.75" customHeight="1">
      <c r="A45" s="1" t="s">
        <v>90</v>
      </c>
      <c r="B45" s="1" t="s">
        <v>91</v>
      </c>
      <c r="C45" s="1" t="str">
        <f>IFERROR(__xludf.DUMMYFUNCTION("CONCATENATE(GOOGLETRANSLATE(B45, ""en"", ""zh-cn""))"),"分享")</f>
        <v>分享</v>
      </c>
      <c r="D45" s="1" t="str">
        <f>IFERROR(__xludf.DUMMYFUNCTION("CONCATENATE(GOOGLETRANSLATE(B45, ""en"", ""ko""))"),"공유하다")</f>
        <v>공유하다</v>
      </c>
      <c r="E45" s="2" t="str">
        <f>IFERROR(__xludf.DUMMYFUNCTION("CONCATENATE(GOOGLETRANSLATE(B45, ""en"", ""ja""))"),"共有")</f>
        <v>共有</v>
      </c>
    </row>
    <row r="46" ht="15.75" customHeight="1">
      <c r="A46" s="1" t="s">
        <v>92</v>
      </c>
      <c r="B46" s="1" t="s">
        <v>93</v>
      </c>
      <c r="C46" s="1" t="str">
        <f>IFERROR(__xludf.DUMMYFUNCTION("CONCATENATE(GOOGLETRANSLATE(B46, ""en"", ""zh-cn""))"),"出售者")</f>
        <v>出售者</v>
      </c>
      <c r="D46" s="1" t="str">
        <f>IFERROR(__xludf.DUMMYFUNCTION("CONCATENATE(GOOGLETRANSLATE(B46, ""en"", ""ko""))"),"판매처")</f>
        <v>판매처</v>
      </c>
      <c r="E46" s="2" t="str">
        <f>IFERROR(__xludf.DUMMYFUNCTION("CONCATENATE(GOOGLETRANSLATE(B46, ""en"", ""ja""))"),"販売者")</f>
        <v>販売者</v>
      </c>
    </row>
    <row r="47" ht="15.75" customHeight="1">
      <c r="A47" s="1" t="s">
        <v>94</v>
      </c>
      <c r="B47" s="1" t="s">
        <v>95</v>
      </c>
      <c r="C47" s="1" t="str">
        <f>IFERROR(__xludf.DUMMYFUNCTION("CONCATENATE(GOOGLETRANSLATE(B47, ""en"", ""zh-cn""))"),"顾客评论")</f>
        <v>顾客评论</v>
      </c>
      <c r="D47" s="1" t="str">
        <f>IFERROR(__xludf.DUMMYFUNCTION("CONCATENATE(GOOGLETRANSLATE(B47, ""en"", ""ko""))"),"고객 리뷰")</f>
        <v>고객 리뷰</v>
      </c>
      <c r="E47" s="2" t="str">
        <f>IFERROR(__xludf.DUMMYFUNCTION("CONCATENATE(GOOGLETRANSLATE(B47, ""en"", ""ja""))"),"カスタマーレビュー")</f>
        <v>カスタマーレビュー</v>
      </c>
    </row>
    <row r="48" ht="15.75" customHeight="1">
      <c r="A48" s="1" t="s">
        <v>96</v>
      </c>
      <c r="B48" s="1" t="s">
        <v>97</v>
      </c>
      <c r="C48" s="1" t="str">
        <f>IFERROR(__xludf.DUMMYFUNCTION("CONCATENATE(GOOGLETRANSLATE(B48, ""en"", ""zh-cn""))"),"最畅销产品")</f>
        <v>最畅销产品</v>
      </c>
      <c r="D48" s="1" t="str">
        <f>IFERROR(__xludf.DUMMYFUNCTION("CONCATENATE(GOOGLETRANSLATE(B48, ""en"", ""ko""))"),"최고 판매 제품")</f>
        <v>최고 판매 제품</v>
      </c>
      <c r="E48" s="2" t="str">
        <f>IFERROR(__xludf.DUMMYFUNCTION("CONCATENATE(GOOGLETRANSLATE(B48, ""en"", ""ja""))"),"売れ筋商品")</f>
        <v>売れ筋商品</v>
      </c>
    </row>
    <row r="49" ht="15.75" customHeight="1">
      <c r="A49" s="1" t="s">
        <v>98</v>
      </c>
      <c r="B49" s="1" t="s">
        <v>99</v>
      </c>
      <c r="C49" s="1" t="str">
        <f>IFERROR(__xludf.DUMMYFUNCTION("CONCATENATE(GOOGLETRANSLATE(B49, ""en"", ""zh-cn""))"),"描述")</f>
        <v>描述</v>
      </c>
      <c r="D49" s="1" t="str">
        <f>IFERROR(__xludf.DUMMYFUNCTION("CONCATENATE(GOOGLETRANSLATE(B49, ""en"", ""ko""))"),"설명")</f>
        <v>설명</v>
      </c>
      <c r="E49" s="2" t="str">
        <f>IFERROR(__xludf.DUMMYFUNCTION("CONCATENATE(GOOGLETRANSLATE(B49, ""en"", ""ja""))"),"説明")</f>
        <v>説明</v>
      </c>
    </row>
    <row r="50" ht="15.75" customHeight="1">
      <c r="A50" s="1" t="s">
        <v>100</v>
      </c>
      <c r="B50" s="1" t="s">
        <v>101</v>
      </c>
      <c r="C50" s="1" t="str">
        <f>IFERROR(__xludf.DUMMYFUNCTION("CONCATENATE(GOOGLETRANSLATE(B50, ""en"", ""zh-cn""))"),"视频")</f>
        <v>视频</v>
      </c>
      <c r="D50" s="1" t="str">
        <f>IFERROR(__xludf.DUMMYFUNCTION("CONCATENATE(GOOGLETRANSLATE(B50, ""en"", ""ko""))"),"동영상")</f>
        <v>동영상</v>
      </c>
      <c r="E50" s="2" t="str">
        <f>IFERROR(__xludf.DUMMYFUNCTION("CONCATENATE(GOOGLETRANSLATE(B50, ""en"", ""ja""))"),"ビデオ")</f>
        <v>ビデオ</v>
      </c>
    </row>
    <row r="51" ht="15.75" customHeight="1">
      <c r="A51" s="1" t="s">
        <v>102</v>
      </c>
      <c r="B51" s="1" t="s">
        <v>103</v>
      </c>
      <c r="C51" s="1" t="str">
        <f>IFERROR(__xludf.DUMMYFUNCTION("CONCATENATE(GOOGLETRANSLATE(B51, ""en"", ""zh-cn""))"),"评论")</f>
        <v>评论</v>
      </c>
      <c r="D51" s="1" t="str">
        <f>IFERROR(__xludf.DUMMYFUNCTION("CONCATENATE(GOOGLETRANSLATE(B51, ""en"", ""ko""))"),"리뷰")</f>
        <v>리뷰</v>
      </c>
      <c r="E51" s="2" t="str">
        <f>IFERROR(__xludf.DUMMYFUNCTION("CONCATENATE(GOOGLETRANSLATE(B51, ""en"", ""ja""))"),"レビュー")</f>
        <v>レビュー</v>
      </c>
    </row>
    <row r="52" ht="15.75" customHeight="1">
      <c r="A52" s="1" t="s">
        <v>104</v>
      </c>
      <c r="B52" s="1" t="s">
        <v>105</v>
      </c>
      <c r="C52" s="1" t="str">
        <f>IFERROR(__xludf.DUMMYFUNCTION("CONCATENATE(GOOGLETRANSLATE(B52, ""en"", ""zh-cn""))"),"下载")</f>
        <v>下载</v>
      </c>
      <c r="D52" s="1" t="str">
        <f>IFERROR(__xludf.DUMMYFUNCTION("CONCATENATE(GOOGLETRANSLATE(B52, ""en"", ""ko""))"),"다운로드")</f>
        <v>다운로드</v>
      </c>
      <c r="E52" s="2" t="str">
        <f>IFERROR(__xludf.DUMMYFUNCTION("CONCATENATE(GOOGLETRANSLATE(B52, ""en"", ""ja""))"),"ダウンロード")</f>
        <v>ダウンロード</v>
      </c>
    </row>
    <row r="53" ht="15.75" customHeight="1">
      <c r="A53" s="1" t="s">
        <v>106</v>
      </c>
      <c r="B53" s="1" t="s">
        <v>107</v>
      </c>
      <c r="C53" s="1" t="str">
        <f>IFERROR(__xludf.DUMMYFUNCTION("CONCATENATE(GOOGLETRANSLATE(B53, ""en"", ""zh-cn""))"),"该产品还没有评论。")</f>
        <v>该产品还没有评论。</v>
      </c>
      <c r="D53" s="1" t="str">
        <f>IFERROR(__xludf.DUMMYFUNCTION("CONCATENATE(GOOGLETRANSLATE(B53, ""en"", ""ko""))"),"아직 이 상품에 대한 리뷰가 없습니다.")</f>
        <v>아직 이 상품에 대한 리뷰가 없습니다.</v>
      </c>
      <c r="E53" s="2" t="str">
        <f>IFERROR(__xludf.DUMMYFUNCTION("CONCATENATE(GOOGLETRANSLATE(B53, ""en"", ""ja""))"),"この商品にはまだレビューがありません。")</f>
        <v>この商品にはまだレビューがありません。</v>
      </c>
    </row>
    <row r="54" ht="15.75" customHeight="1">
      <c r="A54" s="1" t="s">
        <v>108</v>
      </c>
      <c r="B54" s="1" t="s">
        <v>109</v>
      </c>
      <c r="C54" s="1" t="str">
        <f>IFERROR(__xludf.DUMMYFUNCTION("CONCATENATE(GOOGLETRANSLATE(B54, ""en"", ""zh-cn""))"),"相关产品")</f>
        <v>相关产品</v>
      </c>
      <c r="D54" s="1" t="str">
        <f>IFERROR(__xludf.DUMMYFUNCTION("CONCATENATE(GOOGLETRANSLATE(B54, ""en"", ""ko""))"),"관련상품")</f>
        <v>관련상품</v>
      </c>
      <c r="E54" s="2" t="str">
        <f>IFERROR(__xludf.DUMMYFUNCTION("CONCATENATE(GOOGLETRANSLATE(B54, ""en"", ""ja""))"),"関連商品")</f>
        <v>関連商品</v>
      </c>
    </row>
    <row r="55" ht="15.75" customHeight="1">
      <c r="A55" s="1" t="s">
        <v>110</v>
      </c>
      <c r="B55" s="1" t="s">
        <v>111</v>
      </c>
      <c r="C55" s="1" t="str">
        <f>IFERROR(__xludf.DUMMYFUNCTION("CONCATENATE(GOOGLETRANSLATE(B55, ""en"", ""zh-cn""))"),"对本产品有任何疑问")</f>
        <v>对本产品有任何疑问</v>
      </c>
      <c r="D55" s="1" t="str">
        <f>IFERROR(__xludf.DUMMYFUNCTION("CONCATENATE(GOOGLETRANSLATE(B55, ""en"", ""ko""))"),"이 제품에 대한 문의사항은")</f>
        <v>이 제품에 대한 문의사항은</v>
      </c>
      <c r="E55" s="2" t="str">
        <f>IFERROR(__xludf.DUMMYFUNCTION("CONCATENATE(GOOGLETRANSLATE(B55, ""en"", ""ja""))"),"この商品に関するお問い合わせは")</f>
        <v>この商品に関するお問い合わせは</v>
      </c>
    </row>
    <row r="56" ht="15.75" customHeight="1">
      <c r="A56" s="1" t="s">
        <v>112</v>
      </c>
      <c r="B56" s="1" t="s">
        <v>113</v>
      </c>
      <c r="C56" s="1" t="str">
        <f>IFERROR(__xludf.DUMMYFUNCTION("CONCATENATE(GOOGLETRANSLATE(B56, ""en"", ""zh-cn""))"),"产品名称")</f>
        <v>产品名称</v>
      </c>
      <c r="D56" s="1" t="str">
        <f>IFERROR(__xludf.DUMMYFUNCTION("CONCATENATE(GOOGLETRANSLATE(B56, ""en"", ""ko""))"),"제품명")</f>
        <v>제품명</v>
      </c>
      <c r="E56" s="2" t="str">
        <f>IFERROR(__xludf.DUMMYFUNCTION("CONCATENATE(GOOGLETRANSLATE(B56, ""en"", ""ja""))"),"製品名")</f>
        <v>製品名</v>
      </c>
    </row>
    <row r="57" ht="15.75" customHeight="1">
      <c r="A57" s="1" t="s">
        <v>114</v>
      </c>
      <c r="B57" s="1" t="s">
        <v>115</v>
      </c>
      <c r="C57" s="1" t="str">
        <f>IFERROR(__xludf.DUMMYFUNCTION("CONCATENATE(GOOGLETRANSLATE(B57, ""en"", ""zh-cn""))"),"你的问题")</f>
        <v>你的问题</v>
      </c>
      <c r="D57" s="1" t="str">
        <f>IFERROR(__xludf.DUMMYFUNCTION("CONCATENATE(GOOGLETRANSLATE(B57, ""en"", ""ko""))"),"귀하의 질문")</f>
        <v>귀하의 질문</v>
      </c>
      <c r="E57" s="2" t="str">
        <f>IFERROR(__xludf.DUMMYFUNCTION("CONCATENATE(GOOGLETRANSLATE(B57, ""en"", ""ja""))"),"あなたの質問")</f>
        <v>あなたの質問</v>
      </c>
    </row>
    <row r="58" ht="15.75" customHeight="1">
      <c r="A58" s="1" t="s">
        <v>116</v>
      </c>
      <c r="B58" s="1" t="s">
        <v>117</v>
      </c>
      <c r="C58" s="1" t="str">
        <f>IFERROR(__xludf.DUMMYFUNCTION("CONCATENATE(GOOGLETRANSLATE(B58, ""en"", ""zh-cn""))"),"发送")</f>
        <v>发送</v>
      </c>
      <c r="D58" s="1" t="str">
        <f>IFERROR(__xludf.DUMMYFUNCTION("CONCATENATE(GOOGLETRANSLATE(B58, ""en"", ""ko""))"),"보내다")</f>
        <v>보내다</v>
      </c>
      <c r="E58" s="2" t="str">
        <f>IFERROR(__xludf.DUMMYFUNCTION("CONCATENATE(GOOGLETRANSLATE(B58, ""en"", ""ja""))"),"送信")</f>
        <v>送信</v>
      </c>
    </row>
    <row r="59" ht="15.75" customHeight="1">
      <c r="A59" s="1" t="s">
        <v>118</v>
      </c>
      <c r="B59" s="1" t="s">
        <v>119</v>
      </c>
      <c r="C59" s="1" t="str">
        <f>IFERROR(__xludf.DUMMYFUNCTION("CONCATENATE(GOOGLETRANSLATE(B59, ""en"", ""zh-cn""))"),"在号码前使用国家代码")</f>
        <v>在号码前使用国家代码</v>
      </c>
      <c r="D59" s="1" t="str">
        <f>IFERROR(__xludf.DUMMYFUNCTION("CONCATENATE(GOOGLETRANSLATE(B59, ""en"", ""ko""))"),"번호 앞에 국가 코드를 사용하세요.")</f>
        <v>번호 앞에 국가 코드를 사용하세요.</v>
      </c>
      <c r="E59" s="2" t="str">
        <f>IFERROR(__xludf.DUMMYFUNCTION("CONCATENATE(GOOGLETRANSLATE(B59, ""en"", ""ja""))"),"番号の前に国コードを使用する")</f>
        <v>番号の前に国コードを使用する</v>
      </c>
    </row>
    <row r="60" ht="15.75" customHeight="1">
      <c r="A60" s="1" t="s">
        <v>120</v>
      </c>
      <c r="B60" s="1" t="s">
        <v>121</v>
      </c>
      <c r="C60" s="1" t="str">
        <f>IFERROR(__xludf.DUMMYFUNCTION("CONCATENATE(GOOGLETRANSLATE(B60, ""en"", ""zh-cn""))"),"记住账号")</f>
        <v>记住账号</v>
      </c>
      <c r="D60" s="1" t="str">
        <f>IFERROR(__xludf.DUMMYFUNCTION("CONCATENATE(GOOGLETRANSLATE(B60, ""en"", ""ko""))"),"나를 기억해")</f>
        <v>나를 기억해</v>
      </c>
      <c r="E60" s="2" t="str">
        <f>IFERROR(__xludf.DUMMYFUNCTION("CONCATENATE(GOOGLETRANSLATE(B60, ""en"", ""ja""))"),"私を覚えてますか")</f>
        <v>私を覚えてますか</v>
      </c>
    </row>
    <row r="61" ht="15.75" customHeight="1">
      <c r="A61" s="1" t="s">
        <v>122</v>
      </c>
      <c r="B61" s="1" t="s">
        <v>123</v>
      </c>
      <c r="C61" s="1" t="str">
        <f>IFERROR(__xludf.DUMMYFUNCTION("CONCATENATE(GOOGLETRANSLATE(B61, ""en"", ""zh-cn""))"),"没有帐户？")</f>
        <v>没有帐户？</v>
      </c>
      <c r="D61" s="1" t="str">
        <f>IFERROR(__xludf.DUMMYFUNCTION("CONCATENATE(GOOGLETRANSLATE(B61, ""en"", ""ko""))"),"계정이 없나요?")</f>
        <v>계정이 없나요?</v>
      </c>
      <c r="E61" s="2" t="str">
        <f>IFERROR(__xludf.DUMMYFUNCTION("CONCATENATE(GOOGLETRANSLATE(B61, ""en"", ""ja""))"),"アカウントをお持ちでない場合は、")</f>
        <v>アカウントをお持ちでない場合は、</v>
      </c>
    </row>
    <row r="62" ht="15.75" customHeight="1">
      <c r="A62" s="1" t="s">
        <v>124</v>
      </c>
      <c r="B62" s="1" t="s">
        <v>125</v>
      </c>
      <c r="C62" s="1" t="str">
        <f>IFERROR(__xludf.DUMMYFUNCTION("CONCATENATE(GOOGLETRANSLATE(B62, ""en"", ""zh-cn""))"),"立即注册")</f>
        <v>立即注册</v>
      </c>
      <c r="D62" s="1" t="str">
        <f>IFERROR(__xludf.DUMMYFUNCTION("CONCATENATE(GOOGLETRANSLATE(B62, ""en"", ""ko""))"),"지금 등록하세요")</f>
        <v>지금 등록하세요</v>
      </c>
      <c r="E62" s="2" t="str">
        <f>IFERROR(__xludf.DUMMYFUNCTION("CONCATENATE(GOOGLETRANSLATE(B62, ""en"", ""ja""))"),"今すぐ登録")</f>
        <v>今すぐ登録</v>
      </c>
    </row>
    <row r="63" ht="15.75" customHeight="1">
      <c r="A63" s="1" t="s">
        <v>126</v>
      </c>
      <c r="B63" s="1" t="s">
        <v>127</v>
      </c>
      <c r="C63" s="1" t="str">
        <f>IFERROR(__xludf.DUMMYFUNCTION("CONCATENATE(GOOGLETRANSLATE(B63, ""en"", ""zh-cn""))"),"或登录")</f>
        <v>或登录</v>
      </c>
      <c r="D63" s="1" t="str">
        <f>IFERROR(__xludf.DUMMYFUNCTION("CONCATENATE(GOOGLETRANSLATE(B63, ""en"", ""ko""))"),"또는 다음으로 로그인하세요")</f>
        <v>또는 다음으로 로그인하세요</v>
      </c>
      <c r="E63" s="2" t="str">
        <f>IFERROR(__xludf.DUMMYFUNCTION("CONCATENATE(GOOGLETRANSLATE(B63, ""en"", ""ja""))"),"または次の方法でログインしてください")</f>
        <v>または次の方法でログインしてください</v>
      </c>
    </row>
    <row r="64" ht="15.75" customHeight="1">
      <c r="A64" s="1" t="s">
        <v>128</v>
      </c>
      <c r="B64" s="1" t="s">
        <v>129</v>
      </c>
      <c r="C64" s="1" t="str">
        <f>IFERROR(__xludf.DUMMYFUNCTION("CONCATENATE(GOOGLETRANSLATE(B64, ""en"", ""zh-cn""))"),"哎呀..")</f>
        <v>哎呀..</v>
      </c>
      <c r="D64" s="1" t="str">
        <f>IFERROR(__xludf.DUMMYFUNCTION("CONCATENATE(GOOGLETRANSLATE(B64, ""en"", ""ko""))"),"이런..")</f>
        <v>이런..</v>
      </c>
      <c r="E64" s="2" t="str">
        <f>IFERROR(__xludf.DUMMYFUNCTION("CONCATENATE(GOOGLETRANSLATE(B64, ""en"", ""ja""))"),"おっと..")</f>
        <v>おっと..</v>
      </c>
    </row>
    <row r="65" ht="15.75" customHeight="1">
      <c r="A65" s="1" t="s">
        <v>130</v>
      </c>
      <c r="B65" s="1" t="s">
        <v>131</v>
      </c>
      <c r="C65" s="1" t="str">
        <f>IFERROR(__xludf.DUMMYFUNCTION("CONCATENATE(GOOGLETRANSLATE(B65, ""en"", ""zh-cn""))"),"该商品缺货！")</f>
        <v>该商品缺货！</v>
      </c>
      <c r="D65" s="1" t="str">
        <f>IFERROR(__xludf.DUMMYFUNCTION("CONCATENATE(GOOGLETRANSLATE(B65, ""en"", ""ko""))"),"이 상품은 품절입니다!")</f>
        <v>이 상품은 품절입니다!</v>
      </c>
      <c r="E65" s="2" t="str">
        <f>IFERROR(__xludf.DUMMYFUNCTION("CONCATENATE(GOOGLETRANSLATE(B65, ""en"", ""ja""))"),"この商品は在庫切れです!")</f>
        <v>この商品は在庫切れです!</v>
      </c>
    </row>
    <row r="66" ht="15.75" customHeight="1">
      <c r="A66" s="1" t="s">
        <v>132</v>
      </c>
      <c r="B66" s="1" t="s">
        <v>133</v>
      </c>
      <c r="C66" s="1" t="str">
        <f>IFERROR(__xludf.DUMMYFUNCTION("CONCATENATE(GOOGLETRANSLATE(B66, ""en"", ""zh-cn""))"),"返回购物")</f>
        <v>返回购物</v>
      </c>
      <c r="D66" s="1" t="str">
        <f>IFERROR(__xludf.DUMMYFUNCTION("CONCATENATE(GOOGLETRANSLATE(B66, ""en"", ""ko""))"),"쇼핑으로 돌아가기")</f>
        <v>쇼핑으로 돌아가기</v>
      </c>
      <c r="E66" s="2" t="str">
        <f>IFERROR(__xludf.DUMMYFUNCTION("CONCATENATE(GOOGLETRANSLATE(B66, ""en"", ""ja""))"),"ショッピングに戻る")</f>
        <v>ショッピングに戻る</v>
      </c>
    </row>
    <row r="67" ht="15.75" customHeight="1">
      <c r="A67" s="1" t="s">
        <v>134</v>
      </c>
      <c r="B67" s="1" t="s">
        <v>135</v>
      </c>
      <c r="C67" s="1" t="str">
        <f>IFERROR(__xludf.DUMMYFUNCTION("CONCATENATE(GOOGLETRANSLATE(B67, ""en"", ""zh-cn""))"),"登录您的帐户。")</f>
        <v>登录您的帐户。</v>
      </c>
      <c r="D67" s="1" t="str">
        <f>IFERROR(__xludf.DUMMYFUNCTION("CONCATENATE(GOOGLETRANSLATE(B67, ""en"", ""ko""))"),"귀하의 계정에 로그인하십시오.")</f>
        <v>귀하의 계정에 로그인하십시오.</v>
      </c>
      <c r="E67" s="2" t="str">
        <f>IFERROR(__xludf.DUMMYFUNCTION("CONCATENATE(GOOGLETRANSLATE(B67, ""en"", ""ja""))"),"アカウントにログインします。")</f>
        <v>アカウントにログインします。</v>
      </c>
    </row>
    <row r="68" ht="15.75" customHeight="1">
      <c r="A68" s="1" t="s">
        <v>136</v>
      </c>
      <c r="B68" s="1" t="s">
        <v>137</v>
      </c>
      <c r="C68" s="1" t="str">
        <f>IFERROR(__xludf.DUMMYFUNCTION("CONCATENATE(GOOGLETRANSLATE(B68, ""en"", ""zh-cn""))"),"购买记录")</f>
        <v>购买记录</v>
      </c>
      <c r="D68" s="1" t="str">
        <f>IFERROR(__xludf.DUMMYFUNCTION("CONCATENATE(GOOGLETRANSLATE(B68, ""en"", ""ko""))"),"구매 내역")</f>
        <v>구매 내역</v>
      </c>
      <c r="E68" s="2" t="str">
        <f>IFERROR(__xludf.DUMMYFUNCTION("CONCATENATE(GOOGLETRANSLATE(B68, ""en"", ""ja""))"),"購入履歴")</f>
        <v>購入履歴</v>
      </c>
    </row>
    <row r="69" ht="15.75" customHeight="1">
      <c r="A69" s="1" t="s">
        <v>138</v>
      </c>
      <c r="B69" s="1" t="s">
        <v>139</v>
      </c>
      <c r="C69" s="1" t="str">
        <f>IFERROR(__xludf.DUMMYFUNCTION("CONCATENATE(GOOGLETRANSLATE(B69, ""en"", ""zh-cn""))"),"新的")</f>
        <v>新的</v>
      </c>
      <c r="D69" s="1" t="str">
        <f>IFERROR(__xludf.DUMMYFUNCTION("CONCATENATE(GOOGLETRANSLATE(B69, ""en"", ""ko""))"),"새로운")</f>
        <v>새로운</v>
      </c>
      <c r="E69" s="2" t="str">
        <f>IFERROR(__xludf.DUMMYFUNCTION("CONCATENATE(GOOGLETRANSLATE(B69, ""en"", ""ja""))"),"新しい")</f>
        <v>新しい</v>
      </c>
    </row>
    <row r="70" ht="15.75" customHeight="1">
      <c r="A70" s="1" t="s">
        <v>140</v>
      </c>
      <c r="B70" s="1" t="s">
        <v>141</v>
      </c>
      <c r="C70" s="1" t="str">
        <f>IFERROR(__xludf.DUMMYFUNCTION("CONCATENATE(GOOGLETRANSLATE(B70, ""en"", ""zh-cn""))"),"下载")</f>
        <v>下载</v>
      </c>
      <c r="D70" s="1" t="str">
        <f>IFERROR(__xludf.DUMMYFUNCTION("CONCATENATE(GOOGLETRANSLATE(B70, ""en"", ""ko""))"),"다운로드")</f>
        <v>다운로드</v>
      </c>
      <c r="E70" s="2" t="str">
        <f>IFERROR(__xludf.DUMMYFUNCTION("CONCATENATE(GOOGLETRANSLATE(B70, ""en"", ""ja""))"),"ダウンロード")</f>
        <v>ダウンロード</v>
      </c>
    </row>
    <row r="71" ht="15.75" customHeight="1">
      <c r="A71" s="1" t="s">
        <v>142</v>
      </c>
      <c r="B71" s="1" t="s">
        <v>143</v>
      </c>
      <c r="C71" s="1" t="str">
        <f>IFERROR(__xludf.DUMMYFUNCTION("CONCATENATE(GOOGLETRANSLATE(B71, ""en"", ""zh-cn""))"),"已发送退款请求")</f>
        <v>已发送退款请求</v>
      </c>
      <c r="D71" s="1" t="str">
        <f>IFERROR(__xludf.DUMMYFUNCTION("CONCATENATE(GOOGLETRANSLATE(B71, ""en"", ""ko""))"),"환불 요청 전송됨")</f>
        <v>환불 요청 전송됨</v>
      </c>
      <c r="E71" s="2" t="str">
        <f>IFERROR(__xludf.DUMMYFUNCTION("CONCATENATE(GOOGLETRANSLATE(B71, ""en"", ""ja""))"),"返金リクエストを送信しました")</f>
        <v>返金リクエストを送信しました</v>
      </c>
    </row>
    <row r="72" ht="15.75" customHeight="1">
      <c r="A72" s="1" t="s">
        <v>144</v>
      </c>
      <c r="B72" s="1" t="s">
        <v>145</v>
      </c>
      <c r="C72" s="1" t="str">
        <f>IFERROR(__xludf.DUMMYFUNCTION("CONCATENATE(GOOGLETRANSLATE(B72, ""en"", ""zh-cn""))"),"产品批量上传")</f>
        <v>产品批量上传</v>
      </c>
      <c r="D72" s="1" t="str">
        <f>IFERROR(__xludf.DUMMYFUNCTION("CONCATENATE(GOOGLETRANSLATE(B72, ""en"", ""ko""))"),"제품 대량 업로드")</f>
        <v>제품 대량 업로드</v>
      </c>
      <c r="E72" s="2" t="str">
        <f>IFERROR(__xludf.DUMMYFUNCTION("CONCATENATE(GOOGLETRANSLATE(B72, ""en"", ""ja""))"),"製品の一括アップロード")</f>
        <v>製品の一括アップロード</v>
      </c>
    </row>
    <row r="73" ht="15.75" customHeight="1">
      <c r="A73" s="1" t="s">
        <v>146</v>
      </c>
      <c r="B73" s="1" t="s">
        <v>147</v>
      </c>
      <c r="C73" s="1" t="str">
        <f>IFERROR(__xludf.DUMMYFUNCTION("CONCATENATE(GOOGLETRANSLATE(B73, ""en"", ""zh-cn""))"),"订单")</f>
        <v>订单</v>
      </c>
      <c r="D73" s="1" t="str">
        <f>IFERROR(__xludf.DUMMYFUNCTION("CONCATENATE(GOOGLETRANSLATE(B73, ""en"", ""ko""))"),"명령")</f>
        <v>명령</v>
      </c>
      <c r="E73" s="2" t="str">
        <f>IFERROR(__xludf.DUMMYFUNCTION("CONCATENATE(GOOGLETRANSLATE(B73, ""en"", ""ja""))"),"注文")</f>
        <v>注文</v>
      </c>
    </row>
    <row r="74" ht="15.75" customHeight="1">
      <c r="A74" s="1" t="s">
        <v>148</v>
      </c>
      <c r="B74" s="1" t="s">
        <v>149</v>
      </c>
      <c r="C74" s="1" t="str">
        <f>IFERROR(__xludf.DUMMYFUNCTION("CONCATENATE(GOOGLETRANSLATE(B74, ""en"", ""zh-cn""))"),"收到退款请求")</f>
        <v>收到退款请求</v>
      </c>
      <c r="D74" s="1" t="str">
        <f>IFERROR(__xludf.DUMMYFUNCTION("CONCATENATE(GOOGLETRANSLATE(B74, ""en"", ""ko""))"),"환불 요청 접수됨")</f>
        <v>환불 요청 접수됨</v>
      </c>
      <c r="E74" s="2" t="str">
        <f>IFERROR(__xludf.DUMMYFUNCTION("CONCATENATE(GOOGLETRANSLATE(B74, ""en"", ""ja""))"),"返金リクエストを受け取りました")</f>
        <v>返金リクエストを受け取りました</v>
      </c>
    </row>
    <row r="75" ht="15.75" customHeight="1">
      <c r="A75" s="1" t="s">
        <v>150</v>
      </c>
      <c r="B75" s="1" t="s">
        <v>151</v>
      </c>
      <c r="C75" s="1" t="str">
        <f>IFERROR(__xludf.DUMMYFUNCTION("CONCATENATE(GOOGLETRANSLATE(B75, ""en"", ""zh-cn""))"),"店铺布置")</f>
        <v>店铺布置</v>
      </c>
      <c r="D75" s="1" t="str">
        <f>IFERROR(__xludf.DUMMYFUNCTION("CONCATENATE(GOOGLETRANSLATE(B75, ""en"", ""ko""))"),"상점 설정")</f>
        <v>상점 설정</v>
      </c>
      <c r="E75" s="2" t="str">
        <f>IFERROR(__xludf.DUMMYFUNCTION("CONCATENATE(GOOGLETRANSLATE(B75, ""en"", ""ja""))"),"ショップ設定")</f>
        <v>ショップ設定</v>
      </c>
    </row>
    <row r="76" ht="15.75" customHeight="1">
      <c r="A76" s="1" t="s">
        <v>152</v>
      </c>
      <c r="B76" s="1" t="s">
        <v>153</v>
      </c>
      <c r="C76" s="1" t="str">
        <f>IFERROR(__xludf.DUMMYFUNCTION("CONCATENATE(GOOGLETRANSLATE(B76, ""en"", ""zh-cn""))"),"付款记录")</f>
        <v>付款记录</v>
      </c>
      <c r="D76" s="1" t="str">
        <f>IFERROR(__xludf.DUMMYFUNCTION("CONCATENATE(GOOGLETRANSLATE(B76, ""en"", ""ko""))"),"결제 내역")</f>
        <v>결제 내역</v>
      </c>
      <c r="E76" s="2" t="str">
        <f>IFERROR(__xludf.DUMMYFUNCTION("CONCATENATE(GOOGLETRANSLATE(B76, ""en"", ""ja""))"),"支払い履歴")</f>
        <v>支払い履歴</v>
      </c>
    </row>
    <row r="77" ht="15.75" customHeight="1">
      <c r="A77" s="1" t="s">
        <v>154</v>
      </c>
      <c r="B77" s="1" t="s">
        <v>155</v>
      </c>
      <c r="C77" s="1" t="str">
        <f>IFERROR(__xludf.DUMMYFUNCTION("CONCATENATE(GOOGLETRANSLATE(B77, ""en"", ""zh-cn""))"),"提款")</f>
        <v>提款</v>
      </c>
      <c r="D77" s="1" t="str">
        <f>IFERROR(__xludf.DUMMYFUNCTION("CONCATENATE(GOOGLETRANSLATE(B77, ""en"", ""ko""))"),"돈 인출")</f>
        <v>돈 인출</v>
      </c>
      <c r="E77" s="2" t="str">
        <f>IFERROR(__xludf.DUMMYFUNCTION("CONCATENATE(GOOGLETRANSLATE(B77, ""en"", ""ja""))"),"お金の引き出し")</f>
        <v>お金の引き出し</v>
      </c>
    </row>
    <row r="78" ht="15.75" customHeight="1">
      <c r="A78" s="1" t="s">
        <v>156</v>
      </c>
      <c r="B78" s="1" t="s">
        <v>157</v>
      </c>
      <c r="C78" s="1" t="str">
        <f>IFERROR(__xludf.DUMMYFUNCTION("CONCATENATE(GOOGLETRANSLATE(B78, ""en"", ""zh-cn""))"),"对话")</f>
        <v>对话</v>
      </c>
      <c r="D78" s="1" t="str">
        <f>IFERROR(__xludf.DUMMYFUNCTION("CONCATENATE(GOOGLETRANSLATE(B78, ""en"", ""ko""))"),"대화")</f>
        <v>대화</v>
      </c>
      <c r="E78" s="2" t="str">
        <f>IFERROR(__xludf.DUMMYFUNCTION("CONCATENATE(GOOGLETRANSLATE(B78, ""en"", ""ja""))"),"会話")</f>
        <v>会話</v>
      </c>
    </row>
    <row r="79" ht="15.75" customHeight="1">
      <c r="A79" s="1" t="s">
        <v>158</v>
      </c>
      <c r="B79" s="1" t="s">
        <v>159</v>
      </c>
      <c r="C79" s="1" t="str">
        <f>IFERROR(__xludf.DUMMYFUNCTION("CONCATENATE(GOOGLETRANSLATE(B79, ""en"", ""zh-cn""))"),"我的钱包")</f>
        <v>我的钱包</v>
      </c>
      <c r="D79" s="1" t="str">
        <f>IFERROR(__xludf.DUMMYFUNCTION("CONCATENATE(GOOGLETRANSLATE(B79, ""en"", ""ko""))"),"내 지갑")</f>
        <v>내 지갑</v>
      </c>
      <c r="E79" s="2" t="str">
        <f>IFERROR(__xludf.DUMMYFUNCTION("CONCATENATE(GOOGLETRANSLATE(B79, ""en"", ""ja""))"),"私の財布")</f>
        <v>私の財布</v>
      </c>
    </row>
    <row r="80" ht="15.75" customHeight="1">
      <c r="A80" s="1" t="s">
        <v>160</v>
      </c>
      <c r="B80" s="1" t="s">
        <v>161</v>
      </c>
      <c r="C80" s="1" t="str">
        <f>IFERROR(__xludf.DUMMYFUNCTION("CONCATENATE(GOOGLETRANSLATE(B80, ""en"", ""zh-cn""))"),"赚取积分")</f>
        <v>赚取积分</v>
      </c>
      <c r="D80" s="1" t="str">
        <f>IFERROR(__xludf.DUMMYFUNCTION("CONCATENATE(GOOGLETRANSLATE(B80, ""en"", ""ko""))"),"포인트 적립")</f>
        <v>포인트 적립</v>
      </c>
      <c r="E80" s="2" t="str">
        <f>IFERROR(__xludf.DUMMYFUNCTION("CONCATENATE(GOOGLETRANSLATE(B80, ""en"", ""ja""))"),"ポイントを獲得する")</f>
        <v>ポイントを獲得する</v>
      </c>
    </row>
    <row r="81" ht="15.75" customHeight="1">
      <c r="A81" s="1" t="s">
        <v>162</v>
      </c>
      <c r="B81" s="1" t="s">
        <v>163</v>
      </c>
      <c r="C81" s="1" t="str">
        <f>IFERROR(__xludf.DUMMYFUNCTION("CONCATENATE(GOOGLETRANSLATE(B81, ""en"", ""zh-cn""))"),"支持票")</f>
        <v>支持票</v>
      </c>
      <c r="D81" s="1" t="str">
        <f>IFERROR(__xludf.DUMMYFUNCTION("CONCATENATE(GOOGLETRANSLATE(B81, ""en"", ""ko""))"),"지원 티켓")</f>
        <v>지원 티켓</v>
      </c>
      <c r="E81" s="2" t="str">
        <f>IFERROR(__xludf.DUMMYFUNCTION("CONCATENATE(GOOGLETRANSLATE(B81, ""en"", ""ja""))"),"サポートチケット")</f>
        <v>サポートチケット</v>
      </c>
    </row>
    <row r="82" ht="15.75" customHeight="1">
      <c r="A82" s="1" t="s">
        <v>164</v>
      </c>
      <c r="B82" s="1" t="s">
        <v>165</v>
      </c>
      <c r="C82" s="1" t="str">
        <f>IFERROR(__xludf.DUMMYFUNCTION("CONCATENATE(GOOGLETRANSLATE(B82, ""en"", ""zh-cn""))"),"管理个人资料")</f>
        <v>管理个人资料</v>
      </c>
      <c r="D82" s="1" t="str">
        <f>IFERROR(__xludf.DUMMYFUNCTION("CONCATENATE(GOOGLETRANSLATE(B82, ""en"", ""ko""))"),"프로필 관리")</f>
        <v>프로필 관리</v>
      </c>
      <c r="E82" s="2" t="str">
        <f>IFERROR(__xludf.DUMMYFUNCTION("CONCATENATE(GOOGLETRANSLATE(B82, ""en"", ""ja""))"),"プロフィールの管理")</f>
        <v>プロフィールの管理</v>
      </c>
    </row>
    <row r="83" ht="15.75" customHeight="1">
      <c r="A83" s="1" t="s">
        <v>166</v>
      </c>
      <c r="B83" s="1" t="s">
        <v>167</v>
      </c>
      <c r="C83" s="1" t="str">
        <f>IFERROR(__xludf.DUMMYFUNCTION("CONCATENATE(GOOGLETRANSLATE(B83, ""en"", ""zh-cn""))"),"售出金额")</f>
        <v>售出金额</v>
      </c>
      <c r="D83" s="1" t="str">
        <f>IFERROR(__xludf.DUMMYFUNCTION("CONCATENATE(GOOGLETRANSLATE(B83, ""en"", ""ko""))"),"판매금액")</f>
        <v>판매금액</v>
      </c>
      <c r="E83" s="2" t="str">
        <f>IFERROR(__xludf.DUMMYFUNCTION("CONCATENATE(GOOGLETRANSLATE(B83, ""en"", ""ja""))"),"販売金額")</f>
        <v>販売金額</v>
      </c>
    </row>
    <row r="84" ht="15.75" customHeight="1">
      <c r="A84" s="1" t="s">
        <v>168</v>
      </c>
      <c r="B84" s="1" t="s">
        <v>169</v>
      </c>
      <c r="C84" s="1" t="str">
        <f>IFERROR(__xludf.DUMMYFUNCTION("CONCATENATE(GOOGLETRANSLATE(B84, ""en"", ""zh-cn""))"),"您的销售额（当月）")</f>
        <v>您的销售额（当月）</v>
      </c>
      <c r="D84" s="1" t="str">
        <f>IFERROR(__xludf.DUMMYFUNCTION("CONCATENATE(GOOGLETRANSLATE(B84, ""en"", ""ko""))"),"판매 금액(당월)")</f>
        <v>판매 금액(당월)</v>
      </c>
      <c r="E84" s="2" t="str">
        <f>IFERROR(__xludf.DUMMYFUNCTION("CONCATENATE(GOOGLETRANSLATE(B84, ""en"", ""ja""))"),"あなたの販売金額（当月）")</f>
        <v>あなたの販売金額（当月）</v>
      </c>
    </row>
    <row r="85" ht="15.75" customHeight="1">
      <c r="A85" s="1" t="s">
        <v>170</v>
      </c>
      <c r="B85" s="1" t="s">
        <v>171</v>
      </c>
      <c r="C85" s="1" t="str">
        <f>IFERROR(__xludf.DUMMYFUNCTION("CONCATENATE(GOOGLETRANSLATE(B85, ""en"", ""zh-cn""))"),"总销量")</f>
        <v>总销量</v>
      </c>
      <c r="D85" s="1" t="str">
        <f>IFERROR(__xludf.DUMMYFUNCTION("CONCATENATE(GOOGLETRANSLATE(B85, ""en"", ""ko""))"),"총 판매")</f>
        <v>총 판매</v>
      </c>
      <c r="E85" s="2" t="str">
        <f>IFERROR(__xludf.DUMMYFUNCTION("CONCATENATE(GOOGLETRANSLATE(B85, ""en"", ""ja""))"),"総販売数")</f>
        <v>総販売数</v>
      </c>
    </row>
    <row r="86" ht="15.75" customHeight="1">
      <c r="A86" s="1" t="s">
        <v>172</v>
      </c>
      <c r="B86" s="1" t="s">
        <v>173</v>
      </c>
      <c r="C86" s="1" t="str">
        <f>IFERROR(__xludf.DUMMYFUNCTION("CONCATENATE(GOOGLETRANSLATE(B86, ""en"", ""zh-cn""))"),"上个月售出")</f>
        <v>上个月售出</v>
      </c>
      <c r="D86" s="1" t="str">
        <f>IFERROR(__xludf.DUMMYFUNCTION("CONCATENATE(GOOGLETRANSLATE(B86, ""en"", ""ko""))"),"지난달 판매")</f>
        <v>지난달 판매</v>
      </c>
      <c r="E86" s="2" t="str">
        <f>IFERROR(__xludf.DUMMYFUNCTION("CONCATENATE(GOOGLETRANSLATE(B86, ""en"", ""ja""))"),"先月の販売数")</f>
        <v>先月の販売数</v>
      </c>
    </row>
    <row r="87" ht="15.75" customHeight="1">
      <c r="A87" s="1" t="s">
        <v>174</v>
      </c>
      <c r="B87" s="1" t="s">
        <v>175</v>
      </c>
      <c r="C87" s="1" t="str">
        <f>IFERROR(__xludf.DUMMYFUNCTION("CONCATENATE(GOOGLETRANSLATE(B87, ""en"", ""zh-cn""))"),"总销售额")</f>
        <v>总销售额</v>
      </c>
      <c r="D87" s="1" t="str">
        <f>IFERROR(__xludf.DUMMYFUNCTION("CONCATENATE(GOOGLETRANSLATE(B87, ""en"", ""ko""))"),"총매출")</f>
        <v>총매출</v>
      </c>
      <c r="E87" s="2" t="str">
        <f>IFERROR(__xludf.DUMMYFUNCTION("CONCATENATE(GOOGLETRANSLATE(B87, ""en"", ""ja""))"),"総売上高")</f>
        <v>総売上高</v>
      </c>
    </row>
    <row r="88" ht="15.75" customHeight="1">
      <c r="A88" s="1" t="s">
        <v>176</v>
      </c>
      <c r="B88" s="1" t="s">
        <v>177</v>
      </c>
      <c r="C88" s="1" t="str">
        <f>IFERROR(__xludf.DUMMYFUNCTION("CONCATENATE(GOOGLETRANSLATE(B88, ""en"", ""zh-cn""))"),"总收入")</f>
        <v>总收入</v>
      </c>
      <c r="D88" s="1" t="str">
        <f>IFERROR(__xludf.DUMMYFUNCTION("CONCATENATE(GOOGLETRANSLATE(B88, ""en"", ""ko""))"),"총 수입")</f>
        <v>총 수입</v>
      </c>
      <c r="E88" s="2" t="str">
        <f>IFERROR(__xludf.DUMMYFUNCTION("CONCATENATE(GOOGLETRANSLATE(B88, ""en"", ""ja""))"),"総収益")</f>
        <v>総収益</v>
      </c>
    </row>
    <row r="89" ht="15.75" customHeight="1">
      <c r="A89" s="1" t="s">
        <v>178</v>
      </c>
      <c r="B89" s="1" t="s">
        <v>179</v>
      </c>
      <c r="C89" s="1" t="str">
        <f>IFERROR(__xludf.DUMMYFUNCTION("CONCATENATE(GOOGLETRANSLATE(B89, ""en"", ""zh-cn""))"),"成功订单")</f>
        <v>成功订单</v>
      </c>
      <c r="D89" s="1" t="str">
        <f>IFERROR(__xludf.DUMMYFUNCTION("CONCATENATE(GOOGLETRANSLATE(B89, ""en"", ""ko""))"),"성공적인 주문")</f>
        <v>성공적인 주문</v>
      </c>
      <c r="E89" s="2" t="str">
        <f>IFERROR(__xludf.DUMMYFUNCTION("CONCATENATE(GOOGLETRANSLATE(B89, ""en"", ""ja""))"),"成功した注文")</f>
        <v>成功した注文</v>
      </c>
    </row>
    <row r="90" ht="15.75" customHeight="1">
      <c r="A90" s="1" t="s">
        <v>180</v>
      </c>
      <c r="B90" s="1" t="s">
        <v>181</v>
      </c>
      <c r="C90" s="1" t="str">
        <f>IFERROR(__xludf.DUMMYFUNCTION("CONCATENATE(GOOGLETRANSLATE(B90, ""en"", ""zh-cn""))"),"订单总数")</f>
        <v>订单总数</v>
      </c>
      <c r="D90" s="1" t="str">
        <f>IFERROR(__xludf.DUMMYFUNCTION("CONCATENATE(GOOGLETRANSLATE(B90, ""en"", ""ko""))"),"총 주문")</f>
        <v>총 주문</v>
      </c>
      <c r="E90" s="2" t="str">
        <f>IFERROR(__xludf.DUMMYFUNCTION("CONCATENATE(GOOGLETRANSLATE(B90, ""en"", ""ja""))"),"総注文数")</f>
        <v>総注文数</v>
      </c>
    </row>
    <row r="91" ht="15.75" customHeight="1">
      <c r="A91" s="1" t="s">
        <v>182</v>
      </c>
      <c r="B91" s="1" t="s">
        <v>183</v>
      </c>
      <c r="C91" s="1" t="str">
        <f>IFERROR(__xludf.DUMMYFUNCTION("CONCATENATE(GOOGLETRANSLATE(B91, ""en"", ""zh-cn""))"),"待处理订单")</f>
        <v>待处理订单</v>
      </c>
      <c r="D91" s="1" t="str">
        <f>IFERROR(__xludf.DUMMYFUNCTION("CONCATENATE(GOOGLETRANSLATE(B91, ""en"", ""ko""))"),"대기 중인 주문")</f>
        <v>대기 중인 주문</v>
      </c>
      <c r="E91" s="2" t="str">
        <f>IFERROR(__xludf.DUMMYFUNCTION("CONCATENATE(GOOGLETRANSLATE(B91, ""en"", ""ja""))"),"未決注文")</f>
        <v>未決注文</v>
      </c>
    </row>
    <row r="92" ht="15.75" customHeight="1">
      <c r="A92" s="1" t="s">
        <v>184</v>
      </c>
      <c r="B92" s="1" t="s">
        <v>185</v>
      </c>
      <c r="C92" s="1" t="str">
        <f>IFERROR(__xludf.DUMMYFUNCTION("CONCATENATE(GOOGLETRANSLATE(B92, ""en"", ""zh-cn""))"),"取消订单")</f>
        <v>取消订单</v>
      </c>
      <c r="D92" s="1" t="str">
        <f>IFERROR(__xludf.DUMMYFUNCTION("CONCATENATE(GOOGLETRANSLATE(B92, ""en"", ""ko""))"),"취소된 주문")</f>
        <v>취소된 주문</v>
      </c>
      <c r="E92" s="2" t="str">
        <f>IFERROR(__xludf.DUMMYFUNCTION("CONCATENATE(GOOGLETRANSLATE(B92, ""en"", ""ja""))"),"キャンセルされた注文")</f>
        <v>キャンセルされた注文</v>
      </c>
    </row>
    <row r="93" ht="15.75" customHeight="1">
      <c r="A93" s="1" t="s">
        <v>186</v>
      </c>
      <c r="B93" s="1" t="s">
        <v>187</v>
      </c>
      <c r="C93" s="1" t="str">
        <f>IFERROR(__xludf.DUMMYFUNCTION("CONCATENATE(GOOGLETRANSLATE(B93, ""en"", ""zh-cn""))"),"产品")</f>
        <v>产品</v>
      </c>
      <c r="D93" s="1" t="str">
        <f>IFERROR(__xludf.DUMMYFUNCTION("CONCATENATE(GOOGLETRANSLATE(B93, ""en"", ""ko""))"),"제품")</f>
        <v>제품</v>
      </c>
      <c r="E93" s="2" t="str">
        <f>IFERROR(__xludf.DUMMYFUNCTION("CONCATENATE(GOOGLETRANSLATE(B93, ""en"", ""ja""))"),"製品")</f>
        <v>製品</v>
      </c>
    </row>
    <row r="94" ht="15.75" customHeight="1">
      <c r="A94" s="1" t="s">
        <v>188</v>
      </c>
      <c r="B94" s="1" t="s">
        <v>189</v>
      </c>
      <c r="C94" s="1" t="str">
        <f>IFERROR(__xludf.DUMMYFUNCTION("CONCATENATE(GOOGLETRANSLATE(B94, ""en"", ""zh-cn""))"),"已购买套餐")</f>
        <v>已购买套餐</v>
      </c>
      <c r="D94" s="1" t="str">
        <f>IFERROR(__xludf.DUMMYFUNCTION("CONCATENATE(GOOGLETRANSLATE(B94, ""en"", ""ko""))"),"구매한 패키지")</f>
        <v>구매한 패키지</v>
      </c>
      <c r="E94" s="2" t="str">
        <f>IFERROR(__xludf.DUMMYFUNCTION("CONCATENATE(GOOGLETRANSLATE(B94, ""en"", ""ja""))"),"購入したパッケージ")</f>
        <v>購入したパッケージ</v>
      </c>
    </row>
    <row r="95" ht="15.75" customHeight="1">
      <c r="A95" s="1" t="s">
        <v>190</v>
      </c>
      <c r="B95" s="1" t="s">
        <v>191</v>
      </c>
      <c r="C95" s="1" t="str">
        <f>IFERROR(__xludf.DUMMYFUNCTION("CONCATENATE(GOOGLETRANSLATE(B95, ""en"", ""zh-cn""))"),"找不到包裹")</f>
        <v>找不到包裹</v>
      </c>
      <c r="D95" s="1" t="str">
        <f>IFERROR(__xludf.DUMMYFUNCTION("CONCATENATE(GOOGLETRANSLATE(B95, ""en"", ""ko""))"),"패키지를 찾을 수 없음")</f>
        <v>패키지를 찾을 수 없음</v>
      </c>
      <c r="E95" s="2" t="str">
        <f>IFERROR(__xludf.DUMMYFUNCTION("CONCATENATE(GOOGLETRANSLATE(B95, ""en"", ""ja""))"),"パッケージが見つかりません")</f>
        <v>パッケージが見つかりません</v>
      </c>
    </row>
    <row r="96" ht="15.75" customHeight="1">
      <c r="A96" s="1" t="s">
        <v>192</v>
      </c>
      <c r="B96" s="1" t="s">
        <v>193</v>
      </c>
      <c r="C96" s="1" t="str">
        <f>IFERROR(__xludf.DUMMYFUNCTION("CONCATENATE(GOOGLETRANSLATE(B96, ""en"", ""zh-cn""))"),"升级包")</f>
        <v>升级包</v>
      </c>
      <c r="D96" s="1" t="str">
        <f>IFERROR(__xludf.DUMMYFUNCTION("CONCATENATE(GOOGLETRANSLATE(B96, ""en"", ""ko""))"),"업그레이드 패키지")</f>
        <v>업그레이드 패키지</v>
      </c>
      <c r="E96" s="2" t="str">
        <f>IFERROR(__xludf.DUMMYFUNCTION("CONCATENATE(GOOGLETRANSLATE(B96, ""en"", ""ja""))"),"アップグレードパッケージ")</f>
        <v>アップグレードパッケージ</v>
      </c>
    </row>
    <row r="97" ht="15.75" customHeight="1">
      <c r="A97" s="1" t="s">
        <v>194</v>
      </c>
      <c r="B97" s="1" t="s">
        <v>195</v>
      </c>
      <c r="C97" s="1" t="str">
        <f>IFERROR(__xludf.DUMMYFUNCTION("CONCATENATE(GOOGLETRANSLATE(B97, ""en"", ""zh-cn""))"),"店铺")</f>
        <v>店铺</v>
      </c>
      <c r="D97" s="1" t="str">
        <f>IFERROR(__xludf.DUMMYFUNCTION("CONCATENATE(GOOGLETRANSLATE(B97, ""en"", ""ko""))"),"가게")</f>
        <v>가게</v>
      </c>
      <c r="E97" s="2" t="str">
        <f>IFERROR(__xludf.DUMMYFUNCTION("CONCATENATE(GOOGLETRANSLATE(B97, ""en"", ""ja""))"),"店")</f>
        <v>店</v>
      </c>
    </row>
    <row r="98" ht="15.75" customHeight="1">
      <c r="A98" s="1" t="s">
        <v>196</v>
      </c>
      <c r="B98" s="1" t="s">
        <v>197</v>
      </c>
      <c r="C98" s="1" t="str">
        <f>IFERROR(__xludf.DUMMYFUNCTION("CONCATENATE(GOOGLETRANSLATE(B98, ""en"", ""zh-cn""))"),"管理和组织您的商店")</f>
        <v>管理和组织您的商店</v>
      </c>
      <c r="D98" s="1" t="str">
        <f>IFERROR(__xludf.DUMMYFUNCTION("CONCATENATE(GOOGLETRANSLATE(B98, ""en"", ""ko""))"),"매장 관리 및 구성")</f>
        <v>매장 관리 및 구성</v>
      </c>
      <c r="E98" s="2" t="str">
        <f>IFERROR(__xludf.DUMMYFUNCTION("CONCATENATE(GOOGLETRANSLATE(B98, ""en"", ""ja""))"),"ショップの管理と整理")</f>
        <v>ショップの管理と整理</v>
      </c>
    </row>
    <row r="99" ht="15.75" customHeight="1">
      <c r="A99" s="1" t="s">
        <v>198</v>
      </c>
      <c r="B99" s="1" t="s">
        <v>199</v>
      </c>
      <c r="C99" s="1" t="str">
        <f>IFERROR(__xludf.DUMMYFUNCTION("CONCATENATE(GOOGLETRANSLATE(B99, ""en"", ""zh-cn""))"),"前往设置")</f>
        <v>前往设置</v>
      </c>
      <c r="D99" s="1" t="str">
        <f>IFERROR(__xludf.DUMMYFUNCTION("CONCATENATE(GOOGLETRANSLATE(B99, ""en"", ""ko""))"),"설정으로 이동")</f>
        <v>설정으로 이동</v>
      </c>
      <c r="E99" s="2" t="str">
        <f>IFERROR(__xludf.DUMMYFUNCTION("CONCATENATE(GOOGLETRANSLATE(B99, ""en"", ""ja""))"),"設定に移動")</f>
        <v>設定に移動</v>
      </c>
    </row>
    <row r="100" ht="15.75" customHeight="1">
      <c r="A100" s="1" t="s">
        <v>200</v>
      </c>
      <c r="B100" s="1" t="s">
        <v>201</v>
      </c>
      <c r="C100" s="1" t="str">
        <f>IFERROR(__xludf.DUMMYFUNCTION("CONCATENATE(GOOGLETRANSLATE(B100, ""en"", ""zh-cn""))"),"支付")</f>
        <v>支付</v>
      </c>
      <c r="D100" s="1" t="str">
        <f>IFERROR(__xludf.DUMMYFUNCTION("CONCATENATE(GOOGLETRANSLATE(B100, ""en"", ""ko""))"),"지불")</f>
        <v>지불</v>
      </c>
      <c r="E100" s="2" t="str">
        <f>IFERROR(__xludf.DUMMYFUNCTION("CONCATENATE(GOOGLETRANSLATE(B100, ""en"", ""ja""))"),"支払い")</f>
        <v>支払い</v>
      </c>
    </row>
    <row r="101" ht="15.75" customHeight="1">
      <c r="A101" s="1" t="s">
        <v>202</v>
      </c>
      <c r="B101" s="1" t="s">
        <v>203</v>
      </c>
      <c r="C101" s="1" t="str">
        <f>IFERROR(__xludf.DUMMYFUNCTION("CONCATENATE(GOOGLETRANSLATE(B101, ""en"", ""zh-cn""))"),"配置您的付款方式")</f>
        <v>配置您的付款方式</v>
      </c>
      <c r="D101" s="1" t="str">
        <f>IFERROR(__xludf.DUMMYFUNCTION("CONCATENATE(GOOGLETRANSLATE(B101, ""en"", ""ko""))"),"결제 방법 구성")</f>
        <v>결제 방법 구성</v>
      </c>
      <c r="E101" s="2" t="str">
        <f>IFERROR(__xludf.DUMMYFUNCTION("CONCATENATE(GOOGLETRANSLATE(B101, ""en"", ""ja""))"),"支払い方法を設定する")</f>
        <v>支払い方法を設定する</v>
      </c>
    </row>
    <row r="102" ht="15.75" customHeight="1">
      <c r="A102" s="1" t="s">
        <v>204</v>
      </c>
      <c r="B102" s="1" t="s">
        <v>205</v>
      </c>
      <c r="C102" s="1" t="str">
        <f>IFERROR(__xludf.DUMMYFUNCTION("CONCATENATE(GOOGLETRANSLATE(B102, ""en"", ""zh-cn""))"),"我的面板")</f>
        <v>我的面板</v>
      </c>
      <c r="D102" s="1" t="str">
        <f>IFERROR(__xludf.DUMMYFUNCTION("CONCATENATE(GOOGLETRANSLATE(B102, ""en"", ""ko""))"),"내 패널")</f>
        <v>내 패널</v>
      </c>
      <c r="E102" s="2" t="str">
        <f>IFERROR(__xludf.DUMMYFUNCTION("CONCATENATE(GOOGLETRANSLATE(B102, ""en"", ""ja""))"),"私のパネル")</f>
        <v>私のパネル</v>
      </c>
    </row>
    <row r="103" ht="15.75" customHeight="1">
      <c r="A103" s="1" t="s">
        <v>206</v>
      </c>
      <c r="B103" s="1" t="s">
        <v>207</v>
      </c>
      <c r="C103" s="1" t="str">
        <f>IFERROR(__xludf.DUMMYFUNCTION("CONCATENATE(GOOGLETRANSLATE(B103, ""en"", ""zh-cn""))"),"商品已添加至愿望清单")</f>
        <v>商品已添加至愿望清单</v>
      </c>
      <c r="D103" s="1" t="str">
        <f>IFERROR(__xludf.DUMMYFUNCTION("CONCATENATE(GOOGLETRANSLATE(B103, ""en"", ""ko""))"),"항목이 위시리스트에 추가되었습니다")</f>
        <v>항목이 위시리스트에 추가되었습니다</v>
      </c>
      <c r="E103" s="2" t="str">
        <f>IFERROR(__xludf.DUMMYFUNCTION("CONCATENATE(GOOGLETRANSLATE(B103, ""en"", ""ja""))"),"アイテムがウィッシュリストに追加されました")</f>
        <v>アイテムがウィッシュリストに追加されました</v>
      </c>
    </row>
    <row r="104" ht="15.75" customHeight="1">
      <c r="A104" s="1" t="s">
        <v>208</v>
      </c>
      <c r="B104" s="1" t="s">
        <v>209</v>
      </c>
      <c r="C104" s="1" t="str">
        <f>IFERROR(__xludf.DUMMYFUNCTION("CONCATENATE(GOOGLETRANSLATE(B104, ""en"", ""zh-cn""))"),"我的积分")</f>
        <v>我的积分</v>
      </c>
      <c r="D104" s="1" t="str">
        <f>IFERROR(__xludf.DUMMYFUNCTION("CONCATENATE(GOOGLETRANSLATE(B104, ""en"", ""ko""))"),"내 포인트")</f>
        <v>내 포인트</v>
      </c>
      <c r="E104" s="2" t="str">
        <f>IFERROR(__xludf.DUMMYFUNCTION("CONCATENATE(GOOGLETRANSLATE(B104, ""en"", ""ja""))"),"マイポイント")</f>
        <v>マイポイント</v>
      </c>
    </row>
    <row r="105" ht="15.75" customHeight="1">
      <c r="A105" s="1" t="s">
        <v>210</v>
      </c>
      <c r="B105" s="1" t="s">
        <v>211</v>
      </c>
      <c r="C105" s="1" t="str">
        <f>IFERROR(__xludf.DUMMYFUNCTION("CONCATENATE(GOOGLETRANSLATE(B105, ""en"", ""zh-cn""))"),"积分")</f>
        <v>积分</v>
      </c>
      <c r="D105" s="1" t="str">
        <f>IFERROR(__xludf.DUMMYFUNCTION("CONCATENATE(GOOGLETRANSLATE(B105, ""en"", ""ko""))"),"전철기")</f>
        <v>전철기</v>
      </c>
      <c r="E105" s="2" t="str">
        <f>IFERROR(__xludf.DUMMYFUNCTION("CONCATENATE(GOOGLETRANSLATE(B105, ""en"", ""ja""))"),"ポイント")</f>
        <v>ポイント</v>
      </c>
    </row>
    <row r="106" ht="15.75" customHeight="1">
      <c r="A106" s="1" t="s">
        <v>212</v>
      </c>
      <c r="B106" s="1" t="s">
        <v>213</v>
      </c>
      <c r="C106" s="1" t="str">
        <f>IFERROR(__xludf.DUMMYFUNCTION("CONCATENATE(GOOGLETRANSLATE(B106, ""en"", ""zh-cn""))"),"钱包钱")</f>
        <v>钱包钱</v>
      </c>
      <c r="D106" s="1" t="str">
        <f>IFERROR(__xludf.DUMMYFUNCTION("CONCATENATE(GOOGLETRANSLATE(B106, ""en"", ""ko""))"),"지갑 돈")</f>
        <v>지갑 돈</v>
      </c>
      <c r="E106" s="2" t="str">
        <f>IFERROR(__xludf.DUMMYFUNCTION("CONCATENATE(GOOGLETRANSLATE(B106, ""en"", ""ja""))"),"財布のお金")</f>
        <v>財布のお金</v>
      </c>
    </row>
    <row r="107" ht="15.75" customHeight="1">
      <c r="A107" s="1" t="s">
        <v>214</v>
      </c>
      <c r="B107" s="1" t="s">
        <v>215</v>
      </c>
      <c r="C107" s="1" t="str">
        <f>IFERROR(__xludf.DUMMYFUNCTION("CONCATENATE(GOOGLETRANSLATE(B107, ""en"", ""zh-cn""))"),"汇率")</f>
        <v>汇率</v>
      </c>
      <c r="D107" s="1" t="str">
        <f>IFERROR(__xludf.DUMMYFUNCTION("CONCATENATE(GOOGLETRANSLATE(B107, ""en"", ""ko""))"),"환율")</f>
        <v>환율</v>
      </c>
      <c r="E107" s="2" t="str">
        <f>IFERROR(__xludf.DUMMYFUNCTION("CONCATENATE(GOOGLETRANSLATE(B107, ""en"", ""ja""))"),"為替レート")</f>
        <v>為替レート</v>
      </c>
    </row>
    <row r="108" ht="15.75" customHeight="1">
      <c r="A108" s="1" t="s">
        <v>216</v>
      </c>
      <c r="B108" s="1" t="s">
        <v>217</v>
      </c>
      <c r="C108" s="1" t="str">
        <f>IFERROR(__xludf.DUMMYFUNCTION("CONCATENATE(GOOGLETRANSLATE(B108, ""en"", ""zh-cn""))"),"积分赚取历史")</f>
        <v>积分赚取历史</v>
      </c>
      <c r="D108" s="1" t="str">
        <f>IFERROR(__xludf.DUMMYFUNCTION("CONCATENATE(GOOGLETRANSLATE(B108, ""en"", ""ko""))"),"포인트 적립 내역")</f>
        <v>포인트 적립 내역</v>
      </c>
      <c r="E108" s="2" t="str">
        <f>IFERROR(__xludf.DUMMYFUNCTION("CONCATENATE(GOOGLETRANSLATE(B108, ""en"", ""ja""))"),"ポイント獲得履歴")</f>
        <v>ポイント獲得履歴</v>
      </c>
    </row>
    <row r="109" ht="15.75" customHeight="1">
      <c r="A109" s="1" t="s">
        <v>218</v>
      </c>
      <c r="B109" s="1" t="s">
        <v>219</v>
      </c>
      <c r="C109" s="1" t="str">
        <f>IFERROR(__xludf.DUMMYFUNCTION("CONCATENATE(GOOGLETRANSLATE(B109, ""en"", ""zh-cn""))"),"日期")</f>
        <v>日期</v>
      </c>
      <c r="D109" s="1" t="str">
        <f>IFERROR(__xludf.DUMMYFUNCTION("CONCATENATE(GOOGLETRANSLATE(B109, ""en"", ""ko""))"),"날짜")</f>
        <v>날짜</v>
      </c>
      <c r="E109" s="2" t="str">
        <f>IFERROR(__xludf.DUMMYFUNCTION("CONCATENATE(GOOGLETRANSLATE(B109, ""en"", ""ja""))"),"日付")</f>
        <v>日付</v>
      </c>
    </row>
    <row r="110" ht="15.75" customHeight="1">
      <c r="A110" s="1" t="s">
        <v>220</v>
      </c>
      <c r="B110" s="1" t="s">
        <v>211</v>
      </c>
      <c r="C110" s="1" t="str">
        <f>IFERROR(__xludf.DUMMYFUNCTION("CONCATENATE(GOOGLETRANSLATE(B110, ""en"", ""zh-cn""))"),"积分")</f>
        <v>积分</v>
      </c>
      <c r="D110" s="1" t="str">
        <f>IFERROR(__xludf.DUMMYFUNCTION("CONCATENATE(GOOGLETRANSLATE(B110, ""en"", ""ko""))"),"전철기")</f>
        <v>전철기</v>
      </c>
      <c r="E110" s="2" t="str">
        <f>IFERROR(__xludf.DUMMYFUNCTION("CONCATENATE(GOOGLETRANSLATE(B110, ""en"", ""ja""))"),"ポイント")</f>
        <v>ポイント</v>
      </c>
    </row>
    <row r="111" ht="15.75" customHeight="1">
      <c r="A111" s="1" t="s">
        <v>221</v>
      </c>
      <c r="B111" s="1" t="s">
        <v>222</v>
      </c>
      <c r="C111" s="1" t="str">
        <f>IFERROR(__xludf.DUMMYFUNCTION("CONCATENATE(GOOGLETRANSLATE(B111, ""en"", ""zh-cn""))"),"已转换")</f>
        <v>已转换</v>
      </c>
      <c r="D111" s="1" t="str">
        <f>IFERROR(__xludf.DUMMYFUNCTION("CONCATENATE(GOOGLETRANSLATE(B111, ""en"", ""ko""))"),"변환됨")</f>
        <v>변환됨</v>
      </c>
      <c r="E111" s="2" t="str">
        <f>IFERROR(__xludf.DUMMYFUNCTION("CONCATENATE(GOOGLETRANSLATE(B111, ""en"", ""ja""))"),"変換された")</f>
        <v>変換された</v>
      </c>
    </row>
    <row r="112" ht="15.75" customHeight="1">
      <c r="A112" s="1" t="s">
        <v>223</v>
      </c>
      <c r="B112" s="1" t="s">
        <v>224</v>
      </c>
      <c r="C112" s="1" t="str">
        <f>IFERROR(__xludf.DUMMYFUNCTION("CONCATENATE(GOOGLETRANSLATE(B112, ""en"", ""zh-cn""))"),"行动")</f>
        <v>行动</v>
      </c>
      <c r="D112" s="1" t="str">
        <f>IFERROR(__xludf.DUMMYFUNCTION("CONCATENATE(GOOGLETRANSLATE(B112, ""en"", ""ko""))"),"행동")</f>
        <v>행동</v>
      </c>
      <c r="E112" s="2" t="str">
        <f>IFERROR(__xludf.DUMMYFUNCTION("CONCATENATE(GOOGLETRANSLATE(B112, ""en"", ""ja""))"),"アクション")</f>
        <v>アクション</v>
      </c>
    </row>
    <row r="113" ht="15.75" customHeight="1">
      <c r="A113" s="1" t="s">
        <v>225</v>
      </c>
      <c r="B113" s="1" t="s">
        <v>226</v>
      </c>
      <c r="C113" s="1" t="str">
        <f>IFERROR(__xludf.DUMMYFUNCTION("CONCATENATE(GOOGLETRANSLATE(B113, ""en"", ""zh-cn""))"),"没有找到历史记录。")</f>
        <v>没有找到历史记录。</v>
      </c>
      <c r="D113" s="1" t="str">
        <f>IFERROR(__xludf.DUMMYFUNCTION("CONCATENATE(GOOGLETRANSLATE(B113, ""en"", ""ko""))"),"검색된 기록이 없습니다.")</f>
        <v>검색된 기록이 없습니다.</v>
      </c>
      <c r="E113" s="2" t="str">
        <f>IFERROR(__xludf.DUMMYFUNCTION("CONCATENATE(GOOGLETRANSLATE(B113, ""en"", ""ja""))"),"履歴が見つかりませんでした。")</f>
        <v>履歴が見つかりませんでした。</v>
      </c>
    </row>
    <row r="114" ht="15.75" customHeight="1">
      <c r="A114" s="1" t="s">
        <v>227</v>
      </c>
      <c r="B114" s="1" t="s">
        <v>228</v>
      </c>
      <c r="C114" s="1" t="str">
        <f>IFERROR(__xludf.DUMMYFUNCTION("CONCATENATE(GOOGLETRANSLATE(B114, ""en"", ""zh-cn""))"),"转换已成功检查您的钱包")</f>
        <v>转换已成功检查您的钱包</v>
      </c>
      <c r="D114" s="1" t="str">
        <f>IFERROR(__xludf.DUMMYFUNCTION("CONCATENATE(GOOGLETRANSLATE(B114, ""en"", ""ko""))"),"변환이 성공적으로 완료되었습니다. 지갑을 확인하세요")</f>
        <v>변환이 성공적으로 완료되었습니다. 지갑을 확인하세요</v>
      </c>
      <c r="E114" s="2" t="str">
        <f>IFERROR(__xludf.DUMMYFUNCTION("CONCATENATE(GOOGLETRANSLATE(B114, ""en"", ""ja""))"),"変換は正常に完了しました ウォレットを確認してください")</f>
        <v>変換は正常に完了しました ウォレットを確認してください</v>
      </c>
    </row>
    <row r="115" ht="15.75" customHeight="1">
      <c r="A115" s="1" t="s">
        <v>229</v>
      </c>
      <c r="B115" s="1" t="s">
        <v>230</v>
      </c>
      <c r="C115" s="1" t="str">
        <f>IFERROR(__xludf.DUMMYFUNCTION("CONCATENATE(GOOGLETRANSLATE(B115, ""en"", ""zh-cn""))"),"出了点问题")</f>
        <v>出了点问题</v>
      </c>
      <c r="D115" s="1" t="str">
        <f>IFERROR(__xludf.DUMMYFUNCTION("CONCATENATE(GOOGLETRANSLATE(B115, ""en"", ""ko""))"),"문제가 발생했습니다.")</f>
        <v>문제가 발생했습니다.</v>
      </c>
      <c r="E115" s="2" t="str">
        <f>IFERROR(__xludf.DUMMYFUNCTION("CONCATENATE(GOOGLETRANSLATE(B115, ""en"", ""ja""))"),"何か問題が発生しました")</f>
        <v>何か問題が発生しました</v>
      </c>
    </row>
    <row r="116" ht="15.75" customHeight="1">
      <c r="A116" s="1" t="s">
        <v>231</v>
      </c>
      <c r="B116" s="1" t="s">
        <v>232</v>
      </c>
      <c r="C116" s="1" t="str">
        <f>IFERROR(__xludf.DUMMYFUNCTION("CONCATENATE(GOOGLETRANSLATE(B116, ""en"", ""zh-cn""))"),"剩余上传数量")</f>
        <v>剩余上传数量</v>
      </c>
      <c r="D116" s="1" t="str">
        <f>IFERROR(__xludf.DUMMYFUNCTION("CONCATENATE(GOOGLETRANSLATE(B116, ""en"", ""ko""))"),"남은 업로드")</f>
        <v>남은 업로드</v>
      </c>
      <c r="E116" s="2" t="str">
        <f>IFERROR(__xludf.DUMMYFUNCTION("CONCATENATE(GOOGLETRANSLATE(B116, ""en"", ""ja""))"),"残りのアップロード")</f>
        <v>残りのアップロード</v>
      </c>
    </row>
    <row r="117" ht="15.75" customHeight="1">
      <c r="A117" s="1" t="s">
        <v>233</v>
      </c>
      <c r="B117" s="1" t="s">
        <v>234</v>
      </c>
      <c r="C117" s="1" t="str">
        <f>IFERROR(__xludf.DUMMYFUNCTION("CONCATENATE(GOOGLETRANSLATE(B117, ""en"", ""zh-cn""))"),"未找到包裹")</f>
        <v>未找到包裹</v>
      </c>
      <c r="D117" s="1" t="str">
        <f>IFERROR(__xludf.DUMMYFUNCTION("CONCATENATE(GOOGLETRANSLATE(B117, ""en"", ""ko""))"),"패키지를 찾을 수 없습니다")</f>
        <v>패키지를 찾을 수 없습니다</v>
      </c>
      <c r="E117" s="2" t="str">
        <f>IFERROR(__xludf.DUMMYFUNCTION("CONCATENATE(GOOGLETRANSLATE(B117, ""en"", ""ja""))"),"パッケージが見つかりませんでした")</f>
        <v>パッケージが見つかりませんでした</v>
      </c>
    </row>
    <row r="118" ht="15.75" customHeight="1">
      <c r="A118" s="1" t="s">
        <v>235</v>
      </c>
      <c r="B118" s="1" t="s">
        <v>236</v>
      </c>
      <c r="C118" s="1" t="str">
        <f>IFERROR(__xludf.DUMMYFUNCTION("CONCATENATE(GOOGLETRANSLATE(B118, ""en"", ""zh-cn""))"),"搜索产品")</f>
        <v>搜索产品</v>
      </c>
      <c r="D118" s="1" t="str">
        <f>IFERROR(__xludf.DUMMYFUNCTION("CONCATENATE(GOOGLETRANSLATE(B118, ""en"", ""ko""))"),"상품검색")</f>
        <v>상품검색</v>
      </c>
      <c r="E118" s="2" t="str">
        <f>IFERROR(__xludf.DUMMYFUNCTION("CONCATENATE(GOOGLETRANSLATE(B118, ""en"", ""ja""))"),"製品を探す")</f>
        <v>製品を探す</v>
      </c>
    </row>
    <row r="119" ht="15.75" customHeight="1">
      <c r="A119" s="1" t="s">
        <v>237</v>
      </c>
      <c r="B119" s="1" t="s">
        <v>238</v>
      </c>
      <c r="C119" s="1" t="str">
        <f>IFERROR(__xludf.DUMMYFUNCTION("CONCATENATE(GOOGLETRANSLATE(B119, ""en"", ""zh-cn""))"),"姓名")</f>
        <v>姓名</v>
      </c>
      <c r="D119" s="1" t="str">
        <f>IFERROR(__xludf.DUMMYFUNCTION("CONCATENATE(GOOGLETRANSLATE(B119, ""en"", ""ko""))"),"이름")</f>
        <v>이름</v>
      </c>
      <c r="E119" s="2" t="str">
        <f>IFERROR(__xludf.DUMMYFUNCTION("CONCATENATE(GOOGLETRANSLATE(B119, ""en"", ""ja""))"),"名前")</f>
        <v>名前</v>
      </c>
    </row>
    <row r="120" ht="15.75" customHeight="1">
      <c r="A120" s="1" t="s">
        <v>239</v>
      </c>
      <c r="B120" s="1" t="s">
        <v>240</v>
      </c>
      <c r="C120" s="1" t="str">
        <f>IFERROR(__xludf.DUMMYFUNCTION("CONCATENATE(GOOGLETRANSLATE(B120, ""en"", ""zh-cn""))"),"目前数量")</f>
        <v>目前数量</v>
      </c>
      <c r="D120" s="1" t="str">
        <f>IFERROR(__xludf.DUMMYFUNCTION("CONCATENATE(GOOGLETRANSLATE(B120, ""en"", ""ko""))"),"현재 수량")</f>
        <v>현재 수량</v>
      </c>
      <c r="E120" s="2" t="str">
        <f>IFERROR(__xludf.DUMMYFUNCTION("CONCATENATE(GOOGLETRANSLATE(B120, ""en"", ""ja""))"),"現在の数量")</f>
        <v>現在の数量</v>
      </c>
    </row>
    <row r="121" ht="15.75" customHeight="1">
      <c r="A121" s="1" t="s">
        <v>241</v>
      </c>
      <c r="B121" s="1" t="s">
        <v>242</v>
      </c>
      <c r="C121" s="1" t="str">
        <f>IFERROR(__xludf.DUMMYFUNCTION("CONCATENATE(GOOGLETRANSLATE(B121, ""en"", ""zh-cn""))"),"基价")</f>
        <v>基价</v>
      </c>
      <c r="D121" s="1" t="str">
        <f>IFERROR(__xludf.DUMMYFUNCTION("CONCATENATE(GOOGLETRANSLATE(B121, ""en"", ""ko""))"),"기본 가격")</f>
        <v>기본 가격</v>
      </c>
      <c r="E121" s="2" t="str">
        <f>IFERROR(__xludf.DUMMYFUNCTION("CONCATENATE(GOOGLETRANSLATE(B121, ""en"", ""ja""))"),"基本価格")</f>
        <v>基本価格</v>
      </c>
    </row>
    <row r="122" ht="15.75" customHeight="1">
      <c r="A122" s="1" t="s">
        <v>243</v>
      </c>
      <c r="B122" s="1" t="s">
        <v>244</v>
      </c>
      <c r="C122" s="1" t="str">
        <f>IFERROR(__xludf.DUMMYFUNCTION("CONCATENATE(GOOGLETRANSLATE(B122, ""en"", ""zh-cn""))"),"已发表")</f>
        <v>已发表</v>
      </c>
      <c r="D122" s="1" t="str">
        <f>IFERROR(__xludf.DUMMYFUNCTION("CONCATENATE(GOOGLETRANSLATE(B122, ""en"", ""ko""))"),"게시됨")</f>
        <v>게시됨</v>
      </c>
      <c r="E122" s="2" t="str">
        <f>IFERROR(__xludf.DUMMYFUNCTION("CONCATENATE(GOOGLETRANSLATE(B122, ""en"", ""ja""))"),"発行済み")</f>
        <v>発行済み</v>
      </c>
    </row>
    <row r="123" ht="15.75" customHeight="1">
      <c r="A123" s="1" t="s">
        <v>245</v>
      </c>
      <c r="B123" s="1" t="s">
        <v>246</v>
      </c>
      <c r="C123" s="1" t="str">
        <f>IFERROR(__xludf.DUMMYFUNCTION("CONCATENATE(GOOGLETRANSLATE(B123, ""en"", ""zh-cn""))"),"精选")</f>
        <v>精选</v>
      </c>
      <c r="D123" s="1" t="str">
        <f>IFERROR(__xludf.DUMMYFUNCTION("CONCATENATE(GOOGLETRANSLATE(B123, ""en"", ""ko""))"),"추천")</f>
        <v>추천</v>
      </c>
      <c r="E123" s="2" t="str">
        <f>IFERROR(__xludf.DUMMYFUNCTION("CONCATENATE(GOOGLETRANSLATE(B123, ""en"", ""ja""))"),"注目の")</f>
        <v>注目の</v>
      </c>
    </row>
    <row r="124" ht="15.75" customHeight="1">
      <c r="A124" s="1" t="s">
        <v>247</v>
      </c>
      <c r="B124" s="1" t="s">
        <v>248</v>
      </c>
      <c r="C124" s="1" t="str">
        <f>IFERROR(__xludf.DUMMYFUNCTION("CONCATENATE(GOOGLETRANSLATE(B124, ""en"", ""zh-cn""))"),"选项")</f>
        <v>选项</v>
      </c>
      <c r="D124" s="1" t="str">
        <f>IFERROR(__xludf.DUMMYFUNCTION("CONCATENATE(GOOGLETRANSLATE(B124, ""en"", ""ko""))"),"옵션")</f>
        <v>옵션</v>
      </c>
      <c r="E124" s="2" t="str">
        <f>IFERROR(__xludf.DUMMYFUNCTION("CONCATENATE(GOOGLETRANSLATE(B124, ""en"", ""ja""))"),"オプション")</f>
        <v>オプション</v>
      </c>
    </row>
    <row r="125" ht="15.75" customHeight="1">
      <c r="A125" s="1" t="s">
        <v>249</v>
      </c>
      <c r="B125" s="1" t="s">
        <v>250</v>
      </c>
      <c r="C125" s="1" t="str">
        <f>IFERROR(__xludf.DUMMYFUNCTION("CONCATENATE(GOOGLETRANSLATE(B125, ""en"", ""zh-cn""))"),"编辑")</f>
        <v>编辑</v>
      </c>
      <c r="D125" s="1" t="str">
        <f>IFERROR(__xludf.DUMMYFUNCTION("CONCATENATE(GOOGLETRANSLATE(B125, ""en"", ""ko""))"),"편집하다")</f>
        <v>편집하다</v>
      </c>
      <c r="E125" s="2" t="str">
        <f>IFERROR(__xludf.DUMMYFUNCTION("CONCATENATE(GOOGLETRANSLATE(B125, ""en"", ""ja""))"),"編集")</f>
        <v>編集</v>
      </c>
    </row>
    <row r="126" ht="15.75" customHeight="1">
      <c r="A126" s="1" t="s">
        <v>251</v>
      </c>
      <c r="B126" s="1" t="s">
        <v>252</v>
      </c>
      <c r="C126" s="1" t="str">
        <f>IFERROR(__xludf.DUMMYFUNCTION("CONCATENATE(GOOGLETRANSLATE(B126, ""en"", ""zh-cn""))"),"复制")</f>
        <v>复制</v>
      </c>
      <c r="D126" s="1" t="str">
        <f>IFERROR(__xludf.DUMMYFUNCTION("CONCATENATE(GOOGLETRANSLATE(B126, ""en"", ""ko""))"),"복제하다")</f>
        <v>복제하다</v>
      </c>
      <c r="E126" s="2" t="str">
        <f>IFERROR(__xludf.DUMMYFUNCTION("CONCATENATE(GOOGLETRANSLATE(B126, ""en"", ""ja""))"),"重複")</f>
        <v>重複</v>
      </c>
    </row>
    <row r="127" ht="15.75" customHeight="1">
      <c r="A127" s="1" t="s">
        <v>253</v>
      </c>
      <c r="B127" s="1" t="s">
        <v>254</v>
      </c>
      <c r="C127" s="1" t="str">
        <f>IFERROR(__xludf.DUMMYFUNCTION("CONCATENATE(GOOGLETRANSLATE(B127, ""en"", ""zh-cn""))"),"1.下载骨架文件并填充数据。")</f>
        <v>1.下载骨架文件并填充数据。</v>
      </c>
      <c r="D127" s="1" t="str">
        <f>IFERROR(__xludf.DUMMYFUNCTION("CONCATENATE(GOOGLETRANSLATE(B127, ""en"", ""ko""))"),"1. 스켈레톤 파일을 다운로드하고 데이터를 채워넣습니다.")</f>
        <v>1. 스켈레톤 파일을 다운로드하고 데이터를 채워넣습니다.</v>
      </c>
      <c r="E127" s="2" t="str">
        <f>IFERROR(__xludf.DUMMYFUNCTION("CONCATENATE(GOOGLETRANSLATE(B127, ""en"", ""ja""))"),"1. スケルトン ファイルをダウンロードし、データを入力します。")</f>
        <v>1. スケルトン ファイルをダウンロードし、データを入力します。</v>
      </c>
    </row>
    <row r="128" ht="15.75" customHeight="1">
      <c r="A128" s="1" t="s">
        <v>255</v>
      </c>
      <c r="B128" s="1" t="s">
        <v>256</v>
      </c>
      <c r="C128" s="1" t="str">
        <f>IFERROR(__xludf.DUMMYFUNCTION("CONCATENATE(GOOGLETRANSLATE(B128, ""en"", ""zh-cn""))"),"2. 您可以下载示例文件以了解如何填写数据。")</f>
        <v>2. 您可以下载示例文件以了解如何填写数据。</v>
      </c>
      <c r="D128" s="1" t="str">
        <f>IFERROR(__xludf.DUMMYFUNCTION("CONCATENATE(GOOGLETRANSLATE(B128, ""en"", ""ko""))"),"2. 예제 파일을 다운로드하여 데이터가 어떻게 채워져야 하는지 이해할 수 있습니다.")</f>
        <v>2. 예제 파일을 다운로드하여 데이터가 어떻게 채워져야 하는지 이해할 수 있습니다.</v>
      </c>
      <c r="E128" s="2" t="str">
        <f>IFERROR(__xludf.DUMMYFUNCTION("CONCATENATE(GOOGLETRANSLATE(B128, ""en"", ""ja""))"),"2. サンプル ファイルをダウンロードすると、データをどのように入力する必要があるかを理解できます。")</f>
        <v>2. サンプル ファイルをダウンロードすると、データをどのように入力する必要があるかを理解できます。</v>
      </c>
    </row>
    <row r="129" ht="15.75" customHeight="1">
      <c r="A129" s="1" t="s">
        <v>257</v>
      </c>
      <c r="B129" s="1" t="s">
        <v>258</v>
      </c>
      <c r="C129" s="1" t="str">
        <f>IFERROR(__xludf.DUMMYFUNCTION("CONCATENATE(GOOGLETRANSLATE(B129, ""en"", ""zh-cn""))"),"3. 下载并填写骨架文件后，将其上传到下面的表格中并提交。")</f>
        <v>3. 下载并填写骨架文件后，将其上传到下面的表格中并提交。</v>
      </c>
      <c r="D129" s="1" t="str">
        <f>IFERROR(__xludf.DUMMYFUNCTION("CONCATENATE(GOOGLETRANSLATE(B129, ""en"", ""ko""))"),"3. 스켈레톤 파일을 다운받아 작성하신 후, 아래 양식에 맞게 업로드하여 제출해주세요.")</f>
        <v>3. 스켈레톤 파일을 다운받아 작성하신 후, 아래 양식에 맞게 업로드하여 제출해주세요.</v>
      </c>
      <c r="E129" s="2" t="str">
        <f>IFERROR(__xludf.DUMMYFUNCTION("CONCATENATE(GOOGLETRANSLATE(B129, ""en"", ""ja""))"),"3. スケルトン ファイルをダウンロードして入力したら、以下のフォームにアップロードして送信します。")</f>
        <v>3. スケルトン ファイルをダウンロードして入力したら、以下のフォームにアップロードして送信します。</v>
      </c>
    </row>
    <row r="130" ht="15.75" customHeight="1">
      <c r="A130" s="1" t="s">
        <v>259</v>
      </c>
      <c r="B130" s="1" t="s">
        <v>260</v>
      </c>
      <c r="C130" s="1" t="str">
        <f>IFERROR(__xludf.DUMMYFUNCTION("CONCATENATE(GOOGLETRANSLATE(B130, ""en"", ""zh-cn""))"),"4. 上传产品后，您需要对其进行编辑并设置产品图片和选项。")</f>
        <v>4. 上传产品后，您需要对其进行编辑并设置产品图片和选项。</v>
      </c>
      <c r="D130" s="1" t="str">
        <f>IFERROR(__xludf.DUMMYFUNCTION("CONCATENATE(GOOGLETRANSLATE(B130, ""en"", ""ko""))"),"4. 상품을 업로드한 후 상품을 편집하고 상품 이미지와 선택 항목을 설정해야 합니다.")</f>
        <v>4. 상품을 업로드한 후 상품을 편집하고 상품 이미지와 선택 항목을 설정해야 합니다.</v>
      </c>
      <c r="E130" s="2" t="str">
        <f>IFERROR(__xludf.DUMMYFUNCTION("CONCATENATE(GOOGLETRANSLATE(B130, ""en"", ""ja""))"),"4. 製品をアップロードした後、それらを編集し、製品の画像と選択肢を設定する必要があります。")</f>
        <v>4. 製品をアップロードした後、それらを編集し、製品の画像と選択肢を設定する必要があります。</v>
      </c>
    </row>
    <row r="131" ht="15.75" customHeight="1">
      <c r="A131" s="1" t="s">
        <v>261</v>
      </c>
      <c r="B131" s="1" t="s">
        <v>262</v>
      </c>
      <c r="C131" s="1" t="str">
        <f>IFERROR(__xludf.DUMMYFUNCTION("CONCATENATE(GOOGLETRANSLATE(B131, ""en"", ""zh-cn""))"),"下载 CSV 文件")</f>
        <v>下载 CSV 文件</v>
      </c>
      <c r="D131" s="1" t="str">
        <f>IFERROR(__xludf.DUMMYFUNCTION("CONCATENATE(GOOGLETRANSLATE(B131, ""en"", ""ko""))"),"CSV 다운로드")</f>
        <v>CSV 다운로드</v>
      </c>
      <c r="E131" s="2" t="str">
        <f>IFERROR(__xludf.DUMMYFUNCTION("CONCATENATE(GOOGLETRANSLATE(B131, ""en"", ""ja""))"),"CSVをダウンロード")</f>
        <v>CSVをダウンロード</v>
      </c>
    </row>
    <row r="132" ht="15.75" customHeight="1">
      <c r="A132" s="1" t="s">
        <v>263</v>
      </c>
      <c r="B132" s="1" t="s">
        <v>264</v>
      </c>
      <c r="C132" s="1" t="str">
        <f>IFERROR(__xludf.DUMMYFUNCTION("CONCATENATE(GOOGLETRANSLATE(B132, ""en"", ""zh-cn""))"),"1. 类别、子类别、子子类别和品牌应采用数字 ID。")</f>
        <v>1. 类别、子类别、子子类别和品牌应采用数字 ID。</v>
      </c>
      <c r="D132" s="1" t="str">
        <f>IFERROR(__xludf.DUMMYFUNCTION("CONCATENATE(GOOGLETRANSLATE(B132, ""en"", ""ko""))"),"1. 카테고리, 하위 카테고리, 하위 하위 카테고리 및 브랜드는 숫자 ID로 구성되어야 합니다.")</f>
        <v>1. 카테고리, 하위 카테고리, 하위 하위 카테고리 및 브랜드는 숫자 ID로 구성되어야 합니다.</v>
      </c>
      <c r="E132" s="2" t="str">
        <f>IFERROR(__xludf.DUMMYFUNCTION("CONCATENATE(GOOGLETRANSLATE(B132, ""en"", ""ja""))"),"1. カテゴリ、サブカテゴリ、サブサブカテゴリ、およびブランドは数値 ID である必要があります。")</f>
        <v>1. カテゴリ、サブカテゴリ、サブサブカテゴリ、およびブランドは数値 ID である必要があります。</v>
      </c>
    </row>
    <row r="133" ht="15.75" customHeight="1">
      <c r="A133" s="1" t="s">
        <v>265</v>
      </c>
      <c r="B133" s="1" t="s">
        <v>266</v>
      </c>
      <c r="C133" s="1" t="str">
        <f>IFERROR(__xludf.DUMMYFUNCTION("CONCATENATE(GOOGLETRANSLATE(B133, ""en"", ""zh-cn""))"),"2. 您可以下载 pdf 来获取类别、子类别、子子类别和品牌 id。")</f>
        <v>2. 您可以下载 pdf 来获取类别、子类别、子子类别和品牌 id。</v>
      </c>
      <c r="D133" s="1" t="str">
        <f>IFERROR(__xludf.DUMMYFUNCTION("CONCATENATE(GOOGLETRANSLATE(B133, ""en"", ""ko""))"),"2. PDF를 다운로드하면 카테고리, 하위 카테고리, 하위 하위 카테고리 및 브랜드 ID를 얻을 수 있습니다.")</f>
        <v>2. PDF를 다운로드하면 카테고리, 하위 카테고리, 하위 하위 카테고리 및 브랜드 ID를 얻을 수 있습니다.</v>
      </c>
      <c r="E133" s="2" t="str">
        <f>IFERROR(__xludf.DUMMYFUNCTION("CONCATENATE(GOOGLETRANSLATE(B133, ""en"", ""ja""))"),"2. PDF をダウンロードして、カテゴリ、サブカテゴリ、サブサブカテゴリ、ブランド ID を取得できます。")</f>
        <v>2. PDF をダウンロードして、カテゴリ、サブカテゴリ、サブサブカテゴリ、ブランド ID を取得できます。</v>
      </c>
    </row>
    <row r="134" ht="15.75" customHeight="1">
      <c r="A134" s="1" t="s">
        <v>267</v>
      </c>
      <c r="B134" s="1" t="s">
        <v>268</v>
      </c>
      <c r="C134" s="1" t="str">
        <f>IFERROR(__xludf.DUMMYFUNCTION("CONCATENATE(GOOGLETRANSLATE(B134, ""en"", ""zh-cn""))"),"下载类别")</f>
        <v>下载类别</v>
      </c>
      <c r="D134" s="1" t="str">
        <f>IFERROR(__xludf.DUMMYFUNCTION("CONCATENATE(GOOGLETRANSLATE(B134, ""en"", ""ko""))"),"카테고리 다운로드")</f>
        <v>카테고리 다운로드</v>
      </c>
      <c r="E134" s="2" t="str">
        <f>IFERROR(__xludf.DUMMYFUNCTION("CONCATENATE(GOOGLETRANSLATE(B134, ""en"", ""ja""))"),"ダウンロードカテゴリー")</f>
        <v>ダウンロードカテゴリー</v>
      </c>
    </row>
    <row r="135" ht="15.75" customHeight="1">
      <c r="A135" s="1" t="s">
        <v>269</v>
      </c>
      <c r="B135" s="1" t="s">
        <v>270</v>
      </c>
      <c r="C135" s="1" t="str">
        <f>IFERROR(__xludf.DUMMYFUNCTION("CONCATENATE(GOOGLETRANSLATE(B135, ""en"", ""zh-cn""))"),"下载子类别")</f>
        <v>下载子类别</v>
      </c>
      <c r="D135" s="1" t="str">
        <f>IFERROR(__xludf.DUMMYFUNCTION("CONCATENATE(GOOGLETRANSLATE(B135, ""en"", ""ko""))"),"하위 카테고리 다운로드")</f>
        <v>하위 카테고리 다운로드</v>
      </c>
      <c r="E135" s="2" t="str">
        <f>IFERROR(__xludf.DUMMYFUNCTION("CONCATENATE(GOOGLETRANSLATE(B135, ""en"", ""ja""))"),"ダウンロード サブカテゴリー")</f>
        <v>ダウンロード サブカテゴリー</v>
      </c>
    </row>
    <row r="136" ht="15.75" customHeight="1">
      <c r="A136" s="1" t="s">
        <v>271</v>
      </c>
      <c r="B136" s="1" t="s">
        <v>272</v>
      </c>
      <c r="C136" s="1" t="str">
        <f>IFERROR(__xludf.DUMMYFUNCTION("CONCATENATE(GOOGLETRANSLATE(B136, ""en"", ""zh-cn""))"),"下载子子类别")</f>
        <v>下载子子类别</v>
      </c>
      <c r="D136" s="1" t="str">
        <f>IFERROR(__xludf.DUMMYFUNCTION("CONCATENATE(GOOGLETRANSLATE(B136, ""en"", ""ko""))"),"하위 하위 카테고리 다운로드")</f>
        <v>하위 하위 카테고리 다운로드</v>
      </c>
      <c r="E136" s="2" t="str">
        <f>IFERROR(__xludf.DUMMYFUNCTION("CONCATENATE(GOOGLETRANSLATE(B136, ""en"", ""ja""))"),"サブサブカテゴリをダウンロード")</f>
        <v>サブサブカテゴリをダウンロード</v>
      </c>
    </row>
    <row r="137" ht="15.75" customHeight="1">
      <c r="A137" s="1" t="s">
        <v>273</v>
      </c>
      <c r="B137" s="1" t="s">
        <v>274</v>
      </c>
      <c r="C137" s="1" t="str">
        <f>IFERROR(__xludf.DUMMYFUNCTION("CONCATENATE(GOOGLETRANSLATE(B137, ""en"", ""zh-cn""))"),"下载品牌")</f>
        <v>下载品牌</v>
      </c>
      <c r="D137" s="1" t="str">
        <f>IFERROR(__xludf.DUMMYFUNCTION("CONCATENATE(GOOGLETRANSLATE(B137, ""en"", ""ko""))"),"브랜드 다운로드")</f>
        <v>브랜드 다운로드</v>
      </c>
      <c r="E137" s="2" t="str">
        <f>IFERROR(__xludf.DUMMYFUNCTION("CONCATENATE(GOOGLETRANSLATE(B137, ""en"", ""ja""))"),"ダウンロードブランド")</f>
        <v>ダウンロードブランド</v>
      </c>
    </row>
    <row r="138" ht="15.75" customHeight="1">
      <c r="A138" s="1" t="s">
        <v>275</v>
      </c>
      <c r="B138" s="1" t="s">
        <v>276</v>
      </c>
      <c r="C138" s="1" t="str">
        <f>IFERROR(__xludf.DUMMYFUNCTION("CONCATENATE(GOOGLETRANSLATE(B138, ""en"", ""zh-cn""))"),"上传 CSV 文件")</f>
        <v>上传 CSV 文件</v>
      </c>
      <c r="D138" s="1" t="str">
        <f>IFERROR(__xludf.DUMMYFUNCTION("CONCATENATE(GOOGLETRANSLATE(B138, ""en"", ""ko""))"),"CSV 파일 업로드")</f>
        <v>CSV 파일 업로드</v>
      </c>
      <c r="E138" s="2" t="str">
        <f>IFERROR(__xludf.DUMMYFUNCTION("CONCATENATE(GOOGLETRANSLATE(B138, ""en"", ""ja""))"),"CSVファイルをアップロードする")</f>
        <v>CSVファイルをアップロードする</v>
      </c>
    </row>
    <row r="139" ht="15.75" customHeight="1">
      <c r="A139" s="1" t="s">
        <v>277</v>
      </c>
      <c r="B139" s="1" t="s">
        <v>278</v>
      </c>
      <c r="C139" s="1" t="str">
        <f>IFERROR(__xludf.DUMMYFUNCTION("CONCATENATE(GOOGLETRANSLATE(B139, ""en"", ""zh-cn""))"),"CSV")</f>
        <v>CSV</v>
      </c>
      <c r="D139" s="1" t="str">
        <f>IFERROR(__xludf.DUMMYFUNCTION("CONCATENATE(GOOGLETRANSLATE(B139, ""en"", ""ko""))"),"CSV")</f>
        <v>CSV</v>
      </c>
      <c r="E139" s="2" t="str">
        <f>IFERROR(__xludf.DUMMYFUNCTION("CONCATENATE(GOOGLETRANSLATE(B139, ""en"", ""ja""))"),"CSV")</f>
        <v>CSV</v>
      </c>
    </row>
    <row r="140" ht="15.75" customHeight="1">
      <c r="A140" s="1" t="s">
        <v>279</v>
      </c>
      <c r="B140" s="1" t="s">
        <v>280</v>
      </c>
      <c r="C140" s="1" t="str">
        <f>IFERROR(__xludf.DUMMYFUNCTION("CONCATENATE(GOOGLETRANSLATE(B140, ""en"", ""zh-cn""))"),"选择 CSV 文件")</f>
        <v>选择 CSV 文件</v>
      </c>
      <c r="D140" s="1" t="str">
        <f>IFERROR(__xludf.DUMMYFUNCTION("CONCATENATE(GOOGLETRANSLATE(B140, ""en"", ""ko""))"),"CSV 파일 선택")</f>
        <v>CSV 파일 선택</v>
      </c>
      <c r="E140" s="2" t="str">
        <f>IFERROR(__xludf.DUMMYFUNCTION("CONCATENATE(GOOGLETRANSLATE(B140, ""en"", ""ja""))"),"CSVファイルを選択")</f>
        <v>CSVファイルを選択</v>
      </c>
    </row>
    <row r="141" ht="15.75" customHeight="1">
      <c r="A141" s="1" t="s">
        <v>281</v>
      </c>
      <c r="B141" s="1" t="s">
        <v>282</v>
      </c>
      <c r="C141" s="1" t="str">
        <f>IFERROR(__xludf.DUMMYFUNCTION("CONCATENATE(GOOGLETRANSLATE(B141, ""en"", ""zh-cn""))"),"上传")</f>
        <v>上传</v>
      </c>
      <c r="D141" s="1" t="str">
        <f>IFERROR(__xludf.DUMMYFUNCTION("CONCATENATE(GOOGLETRANSLATE(B141, ""en"", ""ko""))"),"업로드")</f>
        <v>업로드</v>
      </c>
      <c r="E141" s="2" t="str">
        <f>IFERROR(__xludf.DUMMYFUNCTION("CONCATENATE(GOOGLETRANSLATE(B141, ""en"", ""ja""))"),"アップロード")</f>
        <v>アップロード</v>
      </c>
    </row>
    <row r="142" ht="15.75" customHeight="1">
      <c r="A142" s="1" t="s">
        <v>283</v>
      </c>
      <c r="B142" s="1" t="s">
        <v>284</v>
      </c>
      <c r="C142" s="1" t="str">
        <f>IFERROR(__xludf.DUMMYFUNCTION("CONCATENATE(GOOGLETRANSLATE(B142, ""en"", ""zh-cn""))"),"添加新的数字产品")</f>
        <v>添加新的数字产品</v>
      </c>
      <c r="D142" s="1" t="str">
        <f>IFERROR(__xludf.DUMMYFUNCTION("CONCATENATE(GOOGLETRANSLATE(B142, ""en"", ""ko""))"),"새로운 디지털 제품 추가")</f>
        <v>새로운 디지털 제품 추가</v>
      </c>
      <c r="E142" s="2" t="str">
        <f>IFERROR(__xludf.DUMMYFUNCTION("CONCATENATE(GOOGLETRANSLATE(B142, ""en"", ""ja""))"),"新しいデジタル製品を追加")</f>
        <v>新しいデジタル製品を追加</v>
      </c>
    </row>
    <row r="143" ht="15.75" customHeight="1">
      <c r="A143" s="1" t="s">
        <v>285</v>
      </c>
      <c r="B143" s="1" t="s">
        <v>286</v>
      </c>
      <c r="C143" s="1" t="str">
        <f>IFERROR(__xludf.DUMMYFUNCTION("CONCATENATE(GOOGLETRANSLATE(B143, ""en"", ""zh-cn""))"),"可用状态")</f>
        <v>可用状态</v>
      </c>
      <c r="D143" s="1" t="str">
        <f>IFERROR(__xludf.DUMMYFUNCTION("CONCATENATE(GOOGLETRANSLATE(B143, ""en"", ""ko""))"),"사용 가능 상태")</f>
        <v>사용 가능 상태</v>
      </c>
      <c r="E143" s="2" t="str">
        <f>IFERROR(__xludf.DUMMYFUNCTION("CONCATENATE(GOOGLETRANSLATE(B143, ""en"", ""ja""))"),"利用可能ステータス")</f>
        <v>利用可能ステータス</v>
      </c>
    </row>
    <row r="144" ht="15.75" customHeight="1">
      <c r="A144" s="1" t="s">
        <v>287</v>
      </c>
      <c r="B144" s="1" t="s">
        <v>288</v>
      </c>
      <c r="C144" s="1" t="str">
        <f>IFERROR(__xludf.DUMMYFUNCTION("CONCATENATE(GOOGLETRANSLATE(B144, ""en"", ""zh-cn""))"),"管理员状态")</f>
        <v>管理员状态</v>
      </c>
      <c r="D144" s="1" t="str">
        <f>IFERROR(__xludf.DUMMYFUNCTION("CONCATENATE(GOOGLETRANSLATE(B144, ""en"", ""ko""))"),"관리자 상태")</f>
        <v>관리자 상태</v>
      </c>
      <c r="E144" s="2" t="str">
        <f>IFERROR(__xludf.DUMMYFUNCTION("CONCATENATE(GOOGLETRANSLATE(B144, ""en"", ""ja""))"),"管理者のステータス")</f>
        <v>管理者のステータス</v>
      </c>
    </row>
    <row r="145" ht="15.75" customHeight="1">
      <c r="A145" s="1" t="s">
        <v>289</v>
      </c>
      <c r="B145" s="1" t="s">
        <v>290</v>
      </c>
      <c r="C145" s="1" t="str">
        <f>IFERROR(__xludf.DUMMYFUNCTION("CONCATENATE(GOOGLETRANSLATE(B145, ""en"", ""zh-cn""))"),"待处理余额")</f>
        <v>待处理余额</v>
      </c>
      <c r="D145" s="1" t="str">
        <f>IFERROR(__xludf.DUMMYFUNCTION("CONCATENATE(GOOGLETRANSLATE(B145, ""en"", ""ko""))"),"보류 중인 잔액")</f>
        <v>보류 중인 잔액</v>
      </c>
      <c r="E145" s="2" t="str">
        <f>IFERROR(__xludf.DUMMYFUNCTION("CONCATENATE(GOOGLETRANSLATE(B145, ""en"", ""ja""))"),"保留中の残高")</f>
        <v>保留中の残高</v>
      </c>
    </row>
    <row r="146" ht="15.75" customHeight="1">
      <c r="A146" s="1" t="s">
        <v>291</v>
      </c>
      <c r="B146" s="1" t="s">
        <v>292</v>
      </c>
      <c r="C146" s="1" t="str">
        <f>IFERROR(__xludf.DUMMYFUNCTION("CONCATENATE(GOOGLETRANSLATE(B146, ""en"", ""zh-cn""))"),"发送提款请求")</f>
        <v>发送提款请求</v>
      </c>
      <c r="D146" s="1" t="str">
        <f>IFERROR(__xludf.DUMMYFUNCTION("CONCATENATE(GOOGLETRANSLATE(B146, ""en"", ""ko""))"),"출금 요청 보내기")</f>
        <v>출금 요청 보내기</v>
      </c>
      <c r="E146" s="2" t="str">
        <f>IFERROR(__xludf.DUMMYFUNCTION("CONCATENATE(GOOGLETRANSLATE(B146, ""en"", ""ja""))"),"出金リクエストの送信")</f>
        <v>出金リクエストの送信</v>
      </c>
    </row>
    <row r="147" ht="15.75" customHeight="1">
      <c r="A147" s="1" t="s">
        <v>293</v>
      </c>
      <c r="B147" s="1" t="s">
        <v>294</v>
      </c>
      <c r="C147" s="1" t="str">
        <f>IFERROR(__xludf.DUMMYFUNCTION("CONCATENATE(GOOGLETRANSLATE(B147, ""en"", ""zh-cn""))"),"提款请求历史记录")</f>
        <v>提款请求历史记录</v>
      </c>
      <c r="D147" s="1" t="str">
        <f>IFERROR(__xludf.DUMMYFUNCTION("CONCATENATE(GOOGLETRANSLATE(B147, ""en"", ""ko""))"),"출금요청 내역")</f>
        <v>출금요청 내역</v>
      </c>
      <c r="E147" s="2" t="str">
        <f>IFERROR(__xludf.DUMMYFUNCTION("CONCATENATE(GOOGLETRANSLATE(B147, ""en"", ""ja""))"),"出金申請履歴")</f>
        <v>出金申請履歴</v>
      </c>
    </row>
    <row r="148" ht="15.75" customHeight="1">
      <c r="A148" s="1" t="s">
        <v>295</v>
      </c>
      <c r="B148" s="1" t="s">
        <v>296</v>
      </c>
      <c r="C148" s="1" t="str">
        <f>IFERROR(__xludf.DUMMYFUNCTION("CONCATENATE(GOOGLETRANSLATE(B148, ""en"", ""zh-cn""))"),"数量")</f>
        <v>数量</v>
      </c>
      <c r="D148" s="1" t="str">
        <f>IFERROR(__xludf.DUMMYFUNCTION("CONCATENATE(GOOGLETRANSLATE(B148, ""en"", ""ko""))"),"양")</f>
        <v>양</v>
      </c>
      <c r="E148" s="2" t="str">
        <f>IFERROR(__xludf.DUMMYFUNCTION("CONCATENATE(GOOGLETRANSLATE(B148, ""en"", ""ja""))"),"額")</f>
        <v>額</v>
      </c>
    </row>
    <row r="149" ht="15.75" customHeight="1">
      <c r="A149" s="1" t="s">
        <v>297</v>
      </c>
      <c r="B149" s="1" t="s">
        <v>298</v>
      </c>
      <c r="C149" s="1" t="str">
        <f>IFERROR(__xludf.DUMMYFUNCTION("CONCATENATE(GOOGLETRANSLATE(B149, ""en"", ""zh-cn""))"),"地位")</f>
        <v>地位</v>
      </c>
      <c r="D149" s="1" t="str">
        <f>IFERROR(__xludf.DUMMYFUNCTION("CONCATENATE(GOOGLETRANSLATE(B149, ""en"", ""ko""))"),"상태")</f>
        <v>상태</v>
      </c>
      <c r="E149" s="2" t="str">
        <f>IFERROR(__xludf.DUMMYFUNCTION("CONCATENATE(GOOGLETRANSLATE(B149, ""en"", ""ja""))"),"状態")</f>
        <v>状態</v>
      </c>
    </row>
    <row r="150" ht="15.75" customHeight="1">
      <c r="A150" s="1" t="s">
        <v>299</v>
      </c>
      <c r="B150" s="1" t="s">
        <v>300</v>
      </c>
      <c r="C150" s="1" t="str">
        <f>IFERROR(__xludf.DUMMYFUNCTION("CONCATENATE(GOOGLETRANSLATE(B150, ""en"", ""zh-cn""))"),"信息")</f>
        <v>信息</v>
      </c>
      <c r="D150" s="1" t="str">
        <f>IFERROR(__xludf.DUMMYFUNCTION("CONCATENATE(GOOGLETRANSLATE(B150, ""en"", ""ko""))"),"메시지")</f>
        <v>메시지</v>
      </c>
      <c r="E150" s="2" t="str">
        <f>IFERROR(__xludf.DUMMYFUNCTION("CONCATENATE(GOOGLETRANSLATE(B150, ""en"", ""ja""))"),"メッセージ")</f>
        <v>メッセージ</v>
      </c>
    </row>
    <row r="151" ht="15.75" customHeight="1">
      <c r="A151" s="1" t="s">
        <v>301</v>
      </c>
      <c r="B151" s="1" t="s">
        <v>302</v>
      </c>
      <c r="C151" s="1" t="str">
        <f>IFERROR(__xludf.DUMMYFUNCTION("CONCATENATE(GOOGLETRANSLATE(B151, ""en"", ""zh-cn""))"),"发送提款请求")</f>
        <v>发送提款请求</v>
      </c>
      <c r="D151" s="1" t="str">
        <f>IFERROR(__xludf.DUMMYFUNCTION("CONCATENATE(GOOGLETRANSLATE(B151, ""en"", ""ko""))"),"출금 요청 보내기")</f>
        <v>출금 요청 보내기</v>
      </c>
      <c r="E151" s="2" t="str">
        <f>IFERROR(__xludf.DUMMYFUNCTION("CONCATENATE(GOOGLETRANSLATE(B151, ""en"", ""ja""))"),"出金リクエストを送信する")</f>
        <v>出金リクエストを送信する</v>
      </c>
    </row>
    <row r="152" ht="15.75" customHeight="1">
      <c r="A152" s="1" t="s">
        <v>303</v>
      </c>
      <c r="B152" s="1" t="s">
        <v>304</v>
      </c>
      <c r="C152" s="1" t="str">
        <f>IFERROR(__xludf.DUMMYFUNCTION("CONCATENATE(GOOGLETRANSLATE(B152, ""en"", ""zh-cn""))"),"基本信息")</f>
        <v>基本信息</v>
      </c>
      <c r="D152" s="1" t="str">
        <f>IFERROR(__xludf.DUMMYFUNCTION("CONCATENATE(GOOGLETRANSLATE(B152, ""en"", ""ko""))"),"기본 정보")</f>
        <v>기본 정보</v>
      </c>
      <c r="E152" s="2" t="str">
        <f>IFERROR(__xludf.DUMMYFUNCTION("CONCATENATE(GOOGLETRANSLATE(B152, ""en"", ""ja""))"),"基本情報")</f>
        <v>基本情報</v>
      </c>
    </row>
    <row r="153" ht="15.75" customHeight="1">
      <c r="A153" s="1" t="s">
        <v>305</v>
      </c>
      <c r="B153" s="1" t="s">
        <v>306</v>
      </c>
      <c r="C153" s="1" t="str">
        <f>IFERROR(__xludf.DUMMYFUNCTION("CONCATENATE(GOOGLETRANSLATE(B153, ""en"", ""zh-cn""))"),"你的电话")</f>
        <v>你的电话</v>
      </c>
      <c r="D153" s="1" t="str">
        <f>IFERROR(__xludf.DUMMYFUNCTION("CONCATENATE(GOOGLETRANSLATE(B153, ""en"", ""ko""))"),"귀하의 전화")</f>
        <v>귀하의 전화</v>
      </c>
      <c r="E153" s="2" t="str">
        <f>IFERROR(__xludf.DUMMYFUNCTION("CONCATENATE(GOOGLETRANSLATE(B153, ""en"", ""ja""))"),"あなたの電話")</f>
        <v>あなたの電話</v>
      </c>
    </row>
    <row r="154" ht="15.75" customHeight="1">
      <c r="A154" s="1" t="s">
        <v>307</v>
      </c>
      <c r="B154" s="1" t="s">
        <v>308</v>
      </c>
      <c r="C154" s="1" t="str">
        <f>IFERROR(__xludf.DUMMYFUNCTION("CONCATENATE(GOOGLETRANSLATE(B154, ""en"", ""zh-cn""))"),"照片")</f>
        <v>照片</v>
      </c>
      <c r="D154" s="1" t="str">
        <f>IFERROR(__xludf.DUMMYFUNCTION("CONCATENATE(GOOGLETRANSLATE(B154, ""en"", ""ko""))"),"사진")</f>
        <v>사진</v>
      </c>
      <c r="E154" s="2" t="str">
        <f>IFERROR(__xludf.DUMMYFUNCTION("CONCATENATE(GOOGLETRANSLATE(B154, ""en"", ""ja""))"),"写真")</f>
        <v>写真</v>
      </c>
    </row>
    <row r="155" ht="15.75" customHeight="1">
      <c r="A155" s="1" t="s">
        <v>309</v>
      </c>
      <c r="B155" s="1" t="s">
        <v>310</v>
      </c>
      <c r="C155" s="1" t="str">
        <f>IFERROR(__xludf.DUMMYFUNCTION("CONCATENATE(GOOGLETRANSLATE(B155, ""en"", ""zh-cn""))"),"浏览")</f>
        <v>浏览</v>
      </c>
      <c r="D155" s="1" t="str">
        <f>IFERROR(__xludf.DUMMYFUNCTION("CONCATENATE(GOOGLETRANSLATE(B155, ""en"", ""ko""))"),"먹다")</f>
        <v>먹다</v>
      </c>
      <c r="E155" s="2" t="str">
        <f>IFERROR(__xludf.DUMMYFUNCTION("CONCATENATE(GOOGLETRANSLATE(B155, ""en"", ""ja""))"),"ブラウズ")</f>
        <v>ブラウズ</v>
      </c>
    </row>
    <row r="156" ht="15.75" customHeight="1">
      <c r="A156" s="1" t="s">
        <v>311</v>
      </c>
      <c r="B156" s="1" t="s">
        <v>312</v>
      </c>
      <c r="C156" s="1" t="str">
        <f>IFERROR(__xludf.DUMMYFUNCTION("CONCATENATE(GOOGLETRANSLATE(B156, ""en"", ""zh-cn""))"),"您的密码")</f>
        <v>您的密码</v>
      </c>
      <c r="D156" s="1" t="str">
        <f>IFERROR(__xludf.DUMMYFUNCTION("CONCATENATE(GOOGLETRANSLATE(B156, ""en"", ""ko""))"),"귀하의 비밀번호")</f>
        <v>귀하의 비밀번호</v>
      </c>
      <c r="E156" s="2" t="str">
        <f>IFERROR(__xludf.DUMMYFUNCTION("CONCATENATE(GOOGLETRANSLATE(B156, ""en"", ""ja""))"),"あなたのパスワード")</f>
        <v>あなたのパスワード</v>
      </c>
    </row>
    <row r="157" ht="15.75" customHeight="1">
      <c r="A157" s="1" t="s">
        <v>313</v>
      </c>
      <c r="B157" s="1" t="s">
        <v>314</v>
      </c>
      <c r="C157" s="1" t="str">
        <f>IFERROR(__xludf.DUMMYFUNCTION("CONCATENATE(GOOGLETRANSLATE(B157, ""en"", ""zh-cn""))"),"新密码")</f>
        <v>新密码</v>
      </c>
      <c r="D157" s="1" t="str">
        <f>IFERROR(__xludf.DUMMYFUNCTION("CONCATENATE(GOOGLETRANSLATE(B157, ""en"", ""ko""))"),"새 비밀번호")</f>
        <v>새 비밀번호</v>
      </c>
      <c r="E157" s="2" t="str">
        <f>IFERROR(__xludf.DUMMYFUNCTION("CONCATENATE(GOOGLETRANSLATE(B157, ""en"", ""ja""))"),"新しいパスワード")</f>
        <v>新しいパスワード</v>
      </c>
    </row>
    <row r="158" ht="15.75" customHeight="1">
      <c r="A158" s="1" t="s">
        <v>315</v>
      </c>
      <c r="B158" s="1" t="s">
        <v>316</v>
      </c>
      <c r="C158" s="1" t="str">
        <f>IFERROR(__xludf.DUMMYFUNCTION("CONCATENATE(GOOGLETRANSLATE(B158, ""en"", ""zh-cn""))"),"确认密码")</f>
        <v>确认密码</v>
      </c>
      <c r="D158" s="1" t="str">
        <f>IFERROR(__xludf.DUMMYFUNCTION("CONCATENATE(GOOGLETRANSLATE(B158, ""en"", ""ko""))"),"비밀번호 확인")</f>
        <v>비밀번호 확인</v>
      </c>
      <c r="E158" s="2" t="str">
        <f>IFERROR(__xludf.DUMMYFUNCTION("CONCATENATE(GOOGLETRANSLATE(B158, ""en"", ""ja""))"),"パスワードを認証する")</f>
        <v>パスワードを認証する</v>
      </c>
    </row>
    <row r="159" ht="15.75" customHeight="1">
      <c r="A159" s="1" t="s">
        <v>317</v>
      </c>
      <c r="B159" s="1" t="s">
        <v>318</v>
      </c>
      <c r="C159" s="1" t="str">
        <f>IFERROR(__xludf.DUMMYFUNCTION("CONCATENATE(GOOGLETRANSLATE(B159, ""en"", ""zh-cn""))"),"添加新地址")</f>
        <v>添加新地址</v>
      </c>
      <c r="D159" s="1" t="str">
        <f>IFERROR(__xludf.DUMMYFUNCTION("CONCATENATE(GOOGLETRANSLATE(B159, ""en"", ""ko""))"),"새 주소 추가")</f>
        <v>새 주소 추가</v>
      </c>
      <c r="E159" s="2" t="str">
        <f>IFERROR(__xludf.DUMMYFUNCTION("CONCATENATE(GOOGLETRANSLATE(B159, ""en"", ""ja""))"),"新しいアドレスを追加")</f>
        <v>新しいアドレスを追加</v>
      </c>
    </row>
    <row r="160" ht="15.75" customHeight="1">
      <c r="A160" s="1" t="s">
        <v>319</v>
      </c>
      <c r="B160" s="1" t="s">
        <v>320</v>
      </c>
      <c r="C160" s="1" t="str">
        <f>IFERROR(__xludf.DUMMYFUNCTION("CONCATENATE(GOOGLETRANSLATE(B160, ""en"", ""zh-cn""))"),"付款设置")</f>
        <v>付款设置</v>
      </c>
      <c r="D160" s="1" t="str">
        <f>IFERROR(__xludf.DUMMYFUNCTION("CONCATENATE(GOOGLETRANSLATE(B160, ""en"", ""ko""))"),"결제 설정")</f>
        <v>결제 설정</v>
      </c>
      <c r="E160" s="2" t="str">
        <f>IFERROR(__xludf.DUMMYFUNCTION("CONCATENATE(GOOGLETRANSLATE(B160, ""en"", ""ja""))"),"支払い設定")</f>
        <v>支払い設定</v>
      </c>
    </row>
    <row r="161" ht="15.75" customHeight="1">
      <c r="A161" s="1" t="s">
        <v>321</v>
      </c>
      <c r="B161" s="1" t="s">
        <v>322</v>
      </c>
      <c r="C161" s="1" t="str">
        <f>IFERROR(__xludf.DUMMYFUNCTION("CONCATENATE(GOOGLETRANSLATE(B161, ""en"", ""zh-cn""))"),"现金支付")</f>
        <v>现金支付</v>
      </c>
      <c r="D161" s="1" t="str">
        <f>IFERROR(__xludf.DUMMYFUNCTION("CONCATENATE(GOOGLETRANSLATE(B161, ""en"", ""ko""))"),"현금결제")</f>
        <v>현금결제</v>
      </c>
      <c r="E161" s="2" t="str">
        <f>IFERROR(__xludf.DUMMYFUNCTION("CONCATENATE(GOOGLETRANSLATE(B161, ""en"", ""ja""))"),"現金支払い")</f>
        <v>現金支払い</v>
      </c>
    </row>
    <row r="162" ht="15.75" customHeight="1">
      <c r="A162" s="1" t="s">
        <v>323</v>
      </c>
      <c r="B162" s="1" t="s">
        <v>324</v>
      </c>
      <c r="C162" s="1" t="str">
        <f>IFERROR(__xludf.DUMMYFUNCTION("CONCATENATE(GOOGLETRANSLATE(B162, ""en"", ""zh-cn""))"),"银行支付")</f>
        <v>银行支付</v>
      </c>
      <c r="D162" s="1" t="str">
        <f>IFERROR(__xludf.DUMMYFUNCTION("CONCATENATE(GOOGLETRANSLATE(B162, ""en"", ""ko""))"),"은행 결제")</f>
        <v>은행 결제</v>
      </c>
      <c r="E162" s="2" t="str">
        <f>IFERROR(__xludf.DUMMYFUNCTION("CONCATENATE(GOOGLETRANSLATE(B162, ""en"", ""ja""))"),"銀行支払い")</f>
        <v>銀行支払い</v>
      </c>
    </row>
    <row r="163" ht="15.75" customHeight="1">
      <c r="A163" s="1" t="s">
        <v>325</v>
      </c>
      <c r="B163" s="1" t="s">
        <v>326</v>
      </c>
      <c r="C163" s="1" t="str">
        <f>IFERROR(__xludf.DUMMYFUNCTION("CONCATENATE(GOOGLETRANSLATE(B163, ""en"", ""zh-cn""))"),"银行名称")</f>
        <v>银行名称</v>
      </c>
      <c r="D163" s="1" t="str">
        <f>IFERROR(__xludf.DUMMYFUNCTION("CONCATENATE(GOOGLETRANSLATE(B163, ""en"", ""ko""))"),"은행명")</f>
        <v>은행명</v>
      </c>
      <c r="E163" s="2" t="str">
        <f>IFERROR(__xludf.DUMMYFUNCTION("CONCATENATE(GOOGLETRANSLATE(B163, ""en"", ""ja""))"),"銀行名")</f>
        <v>銀行名</v>
      </c>
    </row>
    <row r="164" ht="15.75" customHeight="1">
      <c r="A164" s="1" t="s">
        <v>327</v>
      </c>
      <c r="B164" s="1" t="s">
        <v>328</v>
      </c>
      <c r="C164" s="1" t="str">
        <f>IFERROR(__xludf.DUMMYFUNCTION("CONCATENATE(GOOGLETRANSLATE(B164, ""en"", ""zh-cn""))"),"银行账户名称")</f>
        <v>银行账户名称</v>
      </c>
      <c r="D164" s="1" t="str">
        <f>IFERROR(__xludf.DUMMYFUNCTION("CONCATENATE(GOOGLETRANSLATE(B164, ""en"", ""ko""))"),"은행 계좌 이름")</f>
        <v>은행 계좌 이름</v>
      </c>
      <c r="E164" s="2" t="str">
        <f>IFERROR(__xludf.DUMMYFUNCTION("CONCATENATE(GOOGLETRANSLATE(B164, ""en"", ""ja""))"),"銀行口座名")</f>
        <v>銀行口座名</v>
      </c>
    </row>
    <row r="165" ht="15.75" customHeight="1">
      <c r="A165" s="1" t="s">
        <v>329</v>
      </c>
      <c r="B165" s="1" t="s">
        <v>330</v>
      </c>
      <c r="C165" s="1" t="str">
        <f>IFERROR(__xludf.DUMMYFUNCTION("CONCATENATE(GOOGLETRANSLATE(B165, ""en"", ""zh-cn""))"),"银行帐号")</f>
        <v>银行帐号</v>
      </c>
      <c r="D165" s="1" t="str">
        <f>IFERROR(__xludf.DUMMYFUNCTION("CONCATENATE(GOOGLETRANSLATE(B165, ""en"", ""ko""))"),"은행계좌번호")</f>
        <v>은행계좌번호</v>
      </c>
      <c r="E165" s="2" t="str">
        <f>IFERROR(__xludf.DUMMYFUNCTION("CONCATENATE(GOOGLETRANSLATE(B165, ""en"", ""ja""))"),"銀行口座番号")</f>
        <v>銀行口座番号</v>
      </c>
    </row>
    <row r="166" ht="15.75" customHeight="1">
      <c r="A166" s="1" t="s">
        <v>331</v>
      </c>
      <c r="B166" s="1" t="s">
        <v>332</v>
      </c>
      <c r="C166" s="1" t="str">
        <f>IFERROR(__xludf.DUMMYFUNCTION("CONCATENATE(GOOGLETRANSLATE(B166, ""en"", ""zh-cn""))"),"银行路由号码")</f>
        <v>银行路由号码</v>
      </c>
      <c r="D166" s="1" t="str">
        <f>IFERROR(__xludf.DUMMYFUNCTION("CONCATENATE(GOOGLETRANSLATE(B166, ""en"", ""ko""))"),"은행 라우팅 번호")</f>
        <v>은행 라우팅 번호</v>
      </c>
      <c r="E166" s="2" t="str">
        <f>IFERROR(__xludf.DUMMYFUNCTION("CONCATENATE(GOOGLETRANSLATE(B166, ""en"", ""ja""))"),"銀行ルーティング番号")</f>
        <v>銀行ルーティング番号</v>
      </c>
    </row>
    <row r="167" ht="15.75" customHeight="1">
      <c r="A167" s="1" t="s">
        <v>333</v>
      </c>
      <c r="B167" s="1" t="s">
        <v>334</v>
      </c>
      <c r="C167" s="1" t="str">
        <f>IFERROR(__xludf.DUMMYFUNCTION("CONCATENATE(GOOGLETRANSLATE(B167, ""en"", ""zh-cn""))"),"更新个人资料")</f>
        <v>更新个人资料</v>
      </c>
      <c r="D167" s="1" t="str">
        <f>IFERROR(__xludf.DUMMYFUNCTION("CONCATENATE(GOOGLETRANSLATE(B167, ""en"", ""ko""))"),"프로필 업데이트")</f>
        <v>프로필 업데이트</v>
      </c>
      <c r="E167" s="2" t="str">
        <f>IFERROR(__xludf.DUMMYFUNCTION("CONCATENATE(GOOGLETRANSLATE(B167, ""en"", ""ja""))"),"プロフィールを更新する")</f>
        <v>プロフィールを更新する</v>
      </c>
    </row>
    <row r="168" ht="15.75" customHeight="1">
      <c r="A168" s="1" t="s">
        <v>335</v>
      </c>
      <c r="B168" s="1" t="s">
        <v>336</v>
      </c>
      <c r="C168" s="1" t="str">
        <f>IFERROR(__xludf.DUMMYFUNCTION("CONCATENATE(GOOGLETRANSLATE(B168, ""en"", ""zh-cn""))"),"更改您的电子邮件")</f>
        <v>更改您的电子邮件</v>
      </c>
      <c r="D168" s="1" t="str">
        <f>IFERROR(__xludf.DUMMYFUNCTION("CONCATENATE(GOOGLETRANSLATE(B168, ""en"", ""ko""))"),"이메일을 변경하세요")</f>
        <v>이메일을 변경하세요</v>
      </c>
      <c r="E168" s="2" t="str">
        <f>IFERROR(__xludf.DUMMYFUNCTION("CONCATENATE(GOOGLETRANSLATE(B168, ""en"", ""ja""))"),"メールアドレスを変更する")</f>
        <v>メールアドレスを変更する</v>
      </c>
    </row>
    <row r="169" ht="15.75" customHeight="1">
      <c r="A169" s="1" t="s">
        <v>337</v>
      </c>
      <c r="B169" s="1" t="s">
        <v>338</v>
      </c>
      <c r="C169" s="1" t="str">
        <f>IFERROR(__xludf.DUMMYFUNCTION("CONCATENATE(GOOGLETRANSLATE(B169, ""en"", ""zh-cn""))"),"您的电子邮件")</f>
        <v>您的电子邮件</v>
      </c>
      <c r="D169" s="1" t="str">
        <f>IFERROR(__xludf.DUMMYFUNCTION("CONCATENATE(GOOGLETRANSLATE(B169, ""en"", ""ko""))"),"귀하의 이메일")</f>
        <v>귀하의 이메일</v>
      </c>
      <c r="E169" s="2" t="str">
        <f>IFERROR(__xludf.DUMMYFUNCTION("CONCATENATE(GOOGLETRANSLATE(B169, ""en"", ""ja""))"),"あなたのメールアドレス")</f>
        <v>あなたのメールアドレス</v>
      </c>
    </row>
    <row r="170" ht="15.75" customHeight="1">
      <c r="A170" s="1" t="s">
        <v>339</v>
      </c>
      <c r="B170" s="1" t="s">
        <v>340</v>
      </c>
      <c r="C170" s="1" t="str">
        <f>IFERROR(__xludf.DUMMYFUNCTION("CONCATENATE(GOOGLETRANSLATE(B170, ""en"", ""zh-cn""))"),"正在发送电子邮件...")</f>
        <v>正在发送电子邮件...</v>
      </c>
      <c r="D170" s="1" t="str">
        <f>IFERROR(__xludf.DUMMYFUNCTION("CONCATENATE(GOOGLETRANSLATE(B170, ""en"", ""ko""))"),"이메일을 보내는 중...")</f>
        <v>이메일을 보내는 중...</v>
      </c>
      <c r="E170" s="2" t="str">
        <f>IFERROR(__xludf.DUMMYFUNCTION("CONCATENATE(GOOGLETRANSLATE(B170, ""en"", ""ja""))"),"電子メールを送信中...")</f>
        <v>電子メールを送信中...</v>
      </c>
    </row>
    <row r="171" ht="15.75" customHeight="1">
      <c r="A171" s="1" t="s">
        <v>341</v>
      </c>
      <c r="B171" s="1" t="s">
        <v>342</v>
      </c>
      <c r="C171" s="1" t="str">
        <f>IFERROR(__xludf.DUMMYFUNCTION("CONCATENATE(GOOGLETRANSLATE(B171, ""en"", ""zh-cn""))"),"核实")</f>
        <v>核实</v>
      </c>
      <c r="D171" s="1" t="str">
        <f>IFERROR(__xludf.DUMMYFUNCTION("CONCATENATE(GOOGLETRANSLATE(B171, ""en"", ""ko""))"),"확인하다")</f>
        <v>확인하다</v>
      </c>
      <c r="E171" s="2" t="str">
        <f>IFERROR(__xludf.DUMMYFUNCTION("CONCATENATE(GOOGLETRANSLATE(B171, ""en"", ""ja""))"),"確認する")</f>
        <v>確認する</v>
      </c>
    </row>
    <row r="172" ht="15.75" customHeight="1">
      <c r="A172" s="1" t="s">
        <v>343</v>
      </c>
      <c r="B172" s="1" t="s">
        <v>344</v>
      </c>
      <c r="C172" s="1" t="str">
        <f>IFERROR(__xludf.DUMMYFUNCTION("CONCATENATE(GOOGLETRANSLATE(B172, ""en"", ""zh-cn""))"),"更新电子邮件")</f>
        <v>更新电子邮件</v>
      </c>
      <c r="D172" s="1" t="str">
        <f>IFERROR(__xludf.DUMMYFUNCTION("CONCATENATE(GOOGLETRANSLATE(B172, ""en"", ""ko""))"),"이메일 업데이트")</f>
        <v>이메일 업데이트</v>
      </c>
      <c r="E172" s="2" t="str">
        <f>IFERROR(__xludf.DUMMYFUNCTION("CONCATENATE(GOOGLETRANSLATE(B172, ""en"", ""ja""))"),"更新メール")</f>
        <v>更新メール</v>
      </c>
    </row>
    <row r="173" ht="15.75" customHeight="1">
      <c r="A173" s="1" t="s">
        <v>345</v>
      </c>
      <c r="B173" s="1" t="s">
        <v>346</v>
      </c>
      <c r="C173" s="1" t="str">
        <f>IFERROR(__xludf.DUMMYFUNCTION("CONCATENATE(GOOGLETRANSLATE(B173, ""en"", ""zh-cn""))"),"新地址")</f>
        <v>新地址</v>
      </c>
      <c r="D173" s="1" t="str">
        <f>IFERROR(__xludf.DUMMYFUNCTION("CONCATENATE(GOOGLETRANSLATE(B173, ""en"", ""ko""))"),"새 주소")</f>
        <v>새 주소</v>
      </c>
      <c r="E173" s="2" t="str">
        <f>IFERROR(__xludf.DUMMYFUNCTION("CONCATENATE(GOOGLETRANSLATE(B173, ""en"", ""ja""))"),"新しい住所")</f>
        <v>新しい住所</v>
      </c>
    </row>
    <row r="174" ht="15.75" customHeight="1">
      <c r="A174" s="1" t="s">
        <v>347</v>
      </c>
      <c r="B174" s="1" t="s">
        <v>348</v>
      </c>
      <c r="C174" s="1" t="str">
        <f>IFERROR(__xludf.DUMMYFUNCTION("CONCATENATE(GOOGLETRANSLATE(B174, ""en"", ""zh-cn""))"),"您的地址")</f>
        <v>您的地址</v>
      </c>
      <c r="D174" s="1" t="str">
        <f>IFERROR(__xludf.DUMMYFUNCTION("CONCATENATE(GOOGLETRANSLATE(B174, ""en"", ""ko""))"),"귀하의 주소")</f>
        <v>귀하의 주소</v>
      </c>
      <c r="E174" s="2" t="str">
        <f>IFERROR(__xludf.DUMMYFUNCTION("CONCATENATE(GOOGLETRANSLATE(B174, ""en"", ""ja""))"),"あなたの住所")</f>
        <v>あなたの住所</v>
      </c>
    </row>
    <row r="175" ht="15.75" customHeight="1">
      <c r="A175" s="1" t="s">
        <v>349</v>
      </c>
      <c r="B175" s="1" t="s">
        <v>350</v>
      </c>
      <c r="C175" s="1" t="str">
        <f>IFERROR(__xludf.DUMMYFUNCTION("CONCATENATE(GOOGLETRANSLATE(B175, ""en"", ""zh-cn""))"),"国家")</f>
        <v>国家</v>
      </c>
      <c r="D175" s="1" t="str">
        <f>IFERROR(__xludf.DUMMYFUNCTION("CONCATENATE(GOOGLETRANSLATE(B175, ""en"", ""ko""))"),"국가")</f>
        <v>국가</v>
      </c>
      <c r="E175" s="2" t="str">
        <f>IFERROR(__xludf.DUMMYFUNCTION("CONCATENATE(GOOGLETRANSLATE(B175, ""en"", ""ja""))"),"国")</f>
        <v>国</v>
      </c>
    </row>
    <row r="176" ht="15.75" customHeight="1">
      <c r="A176" s="1" t="s">
        <v>351</v>
      </c>
      <c r="B176" s="1" t="s">
        <v>352</v>
      </c>
      <c r="C176" s="1" t="str">
        <f>IFERROR(__xludf.DUMMYFUNCTION("CONCATENATE(GOOGLETRANSLATE(B176, ""en"", ""zh-cn""))"),"选择您所在的国家/地区")</f>
        <v>选择您所在的国家/地区</v>
      </c>
      <c r="D176" s="1" t="str">
        <f>IFERROR(__xludf.DUMMYFUNCTION("CONCATENATE(GOOGLETRANSLATE(B176, ""en"", ""ko""))"),"국가를 선택하세요")</f>
        <v>국가를 선택하세요</v>
      </c>
      <c r="E176" s="2" t="str">
        <f>IFERROR(__xludf.DUMMYFUNCTION("CONCATENATE(GOOGLETRANSLATE(B176, ""en"", ""ja""))"),"あなたの国を選択してください")</f>
        <v>あなたの国を選択してください</v>
      </c>
    </row>
    <row r="177" ht="15.75" customHeight="1">
      <c r="A177" s="1" t="s">
        <v>353</v>
      </c>
      <c r="B177" s="1" t="s">
        <v>354</v>
      </c>
      <c r="C177" s="1" t="str">
        <f>IFERROR(__xludf.DUMMYFUNCTION("CONCATENATE(GOOGLETRANSLATE(B177, ""en"", ""zh-cn""))"),"城市")</f>
        <v>城市</v>
      </c>
      <c r="D177" s="1" t="str">
        <f>IFERROR(__xludf.DUMMYFUNCTION("CONCATENATE(GOOGLETRANSLATE(B177, ""en"", ""ko""))"),"도시")</f>
        <v>도시</v>
      </c>
      <c r="E177" s="2" t="str">
        <f>IFERROR(__xludf.DUMMYFUNCTION("CONCATENATE(GOOGLETRANSLATE(B177, ""en"", ""ja""))"),"市")</f>
        <v>市</v>
      </c>
    </row>
    <row r="178" ht="15.75" customHeight="1">
      <c r="A178" s="1" t="s">
        <v>355</v>
      </c>
      <c r="B178" s="1" t="s">
        <v>356</v>
      </c>
      <c r="C178" s="1" t="str">
        <f>IFERROR(__xludf.DUMMYFUNCTION("CONCATENATE(GOOGLETRANSLATE(B178, ""en"", ""zh-cn""))"),"你的城市")</f>
        <v>你的城市</v>
      </c>
      <c r="D178" s="1" t="str">
        <f>IFERROR(__xludf.DUMMYFUNCTION("CONCATENATE(GOOGLETRANSLATE(B178, ""en"", ""ko""))"),"귀하의 도시")</f>
        <v>귀하의 도시</v>
      </c>
      <c r="E178" s="2" t="str">
        <f>IFERROR(__xludf.DUMMYFUNCTION("CONCATENATE(GOOGLETRANSLATE(B178, ""en"", ""ja""))"),"あなたの街")</f>
        <v>あなたの街</v>
      </c>
    </row>
    <row r="179" ht="15.75" customHeight="1">
      <c r="A179" s="1" t="s">
        <v>357</v>
      </c>
      <c r="B179" s="1" t="s">
        <v>358</v>
      </c>
      <c r="C179" s="1" t="str">
        <f>IFERROR(__xludf.DUMMYFUNCTION("CONCATENATE(GOOGLETRANSLATE(B179, ""en"", ""zh-cn""))"),"您的邮政编码")</f>
        <v>您的邮政编码</v>
      </c>
      <c r="D179" s="1" t="str">
        <f>IFERROR(__xludf.DUMMYFUNCTION("CONCATENATE(GOOGLETRANSLATE(B179, ""en"", ""ko""))"),"귀하의 우편번호")</f>
        <v>귀하의 우편번호</v>
      </c>
      <c r="E179" s="2" t="str">
        <f>IFERROR(__xludf.DUMMYFUNCTION("CONCATENATE(GOOGLETRANSLATE(B179, ""en"", ""ja""))"),"あなたの郵便番号")</f>
        <v>あなたの郵便番号</v>
      </c>
    </row>
    <row r="180" ht="15.75" customHeight="1">
      <c r="A180" s="1" t="s">
        <v>359</v>
      </c>
      <c r="B180" s="1" t="s">
        <v>360</v>
      </c>
      <c r="C180" s="1" t="str">
        <f>IFERROR(__xludf.DUMMYFUNCTION("CONCATENATE(GOOGLETRANSLATE(B180, ""en"", ""zh-cn""))"),"+880")</f>
        <v>+880</v>
      </c>
      <c r="D180" s="1" t="str">
        <f>IFERROR(__xludf.DUMMYFUNCTION("CONCATENATE(GOOGLETRANSLATE(B180, ""en"", ""ko""))"),"+880")</f>
        <v>+880</v>
      </c>
      <c r="E180" s="2" t="str">
        <f>IFERROR(__xludf.DUMMYFUNCTION("CONCATENATE(GOOGLETRANSLATE(B180, ""en"", ""ja""))"),"+880")</f>
        <v>+880</v>
      </c>
    </row>
    <row r="181" ht="15.75" customHeight="1">
      <c r="A181" s="1" t="s">
        <v>361</v>
      </c>
      <c r="B181" s="1" t="s">
        <v>362</v>
      </c>
      <c r="C181" s="1" t="str">
        <f>IFERROR(__xludf.DUMMYFUNCTION("CONCATENATE(GOOGLETRANSLATE(B181, ""en"", ""zh-cn""))"),"节省")</f>
        <v>节省</v>
      </c>
      <c r="D181" s="1" t="str">
        <f>IFERROR(__xludf.DUMMYFUNCTION("CONCATENATE(GOOGLETRANSLATE(B181, ""en"", ""ko""))"),"구하다")</f>
        <v>구하다</v>
      </c>
      <c r="E181" s="2" t="str">
        <f>IFERROR(__xludf.DUMMYFUNCTION("CONCATENATE(GOOGLETRANSLATE(B181, ""en"", ""ja""))"),"保存")</f>
        <v>保存</v>
      </c>
    </row>
    <row r="182" ht="15.75" customHeight="1">
      <c r="A182" s="1" t="s">
        <v>363</v>
      </c>
      <c r="B182" s="1" t="s">
        <v>364</v>
      </c>
      <c r="C182" s="1" t="str">
        <f>IFERROR(__xludf.DUMMYFUNCTION("CONCATENATE(GOOGLETRANSLATE(B182, ""en"", ""zh-cn""))"),"收到退款请求")</f>
        <v>收到退款请求</v>
      </c>
      <c r="D182" s="1" t="str">
        <f>IFERROR(__xludf.DUMMYFUNCTION("CONCATENATE(GOOGLETRANSLATE(B182, ""en"", ""ko""))"),"환불요청 접수")</f>
        <v>환불요청 접수</v>
      </c>
      <c r="E182" s="2" t="str">
        <f>IFERROR(__xludf.DUMMYFUNCTION("CONCATENATE(GOOGLETRANSLATE(B182, ""en"", ""ja""))"),"返金リクエストを受け取りました")</f>
        <v>返金リクエストを受け取りました</v>
      </c>
    </row>
    <row r="183" ht="15.75" customHeight="1">
      <c r="A183" s="1" t="s">
        <v>365</v>
      </c>
      <c r="B183" s="1" t="s">
        <v>366</v>
      </c>
      <c r="C183" s="1" t="str">
        <f>IFERROR(__xludf.DUMMYFUNCTION("CONCATENATE(GOOGLETRANSLATE(B183, ""en"", ""zh-cn""))"),"删除确认")</f>
        <v>删除确认</v>
      </c>
      <c r="D183" s="1" t="str">
        <f>IFERROR(__xludf.DUMMYFUNCTION("CONCATENATE(GOOGLETRANSLATE(B183, ""en"", ""ko""))"),"삭제 확인")</f>
        <v>삭제 확인</v>
      </c>
      <c r="E183" s="2" t="str">
        <f>IFERROR(__xludf.DUMMYFUNCTION("CONCATENATE(GOOGLETRANSLATE(B183, ""en"", ""ja""))"),"削除の確認")</f>
        <v>削除の確認</v>
      </c>
    </row>
    <row r="184" ht="15.75" customHeight="1">
      <c r="A184" s="1" t="s">
        <v>367</v>
      </c>
      <c r="B184" s="1" t="s">
        <v>368</v>
      </c>
      <c r="C184" s="1" t="str">
        <f>IFERROR(__xludf.DUMMYFUNCTION("CONCATENATE(GOOGLETRANSLATE(B184, ""en"", ""zh-cn""))"),"您确定要删除此内容吗？")</f>
        <v>您确定要删除此内容吗？</v>
      </c>
      <c r="D184" s="1" t="str">
        <f>IFERROR(__xludf.DUMMYFUNCTION("CONCATENATE(GOOGLETRANSLATE(B184, ""en"", ""ko""))"),"이 항목을 삭제하시겠습니까?")</f>
        <v>이 항목을 삭제하시겠습니까?</v>
      </c>
      <c r="E184" s="2" t="str">
        <f>IFERROR(__xludf.DUMMYFUNCTION("CONCATENATE(GOOGLETRANSLATE(B184, ""en"", ""ja""))"),"これを削除してもよろしいですか?")</f>
        <v>これを削除してもよろしいですか?</v>
      </c>
    </row>
    <row r="185" ht="15.75" customHeight="1">
      <c r="A185" s="1" t="s">
        <v>369</v>
      </c>
      <c r="B185" s="1" t="s">
        <v>370</v>
      </c>
      <c r="C185" s="1" t="str">
        <f>IFERROR(__xludf.DUMMYFUNCTION("CONCATENATE(GOOGLETRANSLATE(B185, ""en"", ""zh-cn""))"),"为卖家提供的优质套餐")</f>
        <v>为卖家提供的优质套餐</v>
      </c>
      <c r="D185" s="1" t="str">
        <f>IFERROR(__xludf.DUMMYFUNCTION("CONCATENATE(GOOGLETRANSLATE(B185, ""en"", ""ko""))"),"판매자를 위한 프리미엄 패키지")</f>
        <v>판매자를 위한 프리미엄 패키지</v>
      </c>
      <c r="E185" s="2" t="str">
        <f>IFERROR(__xludf.DUMMYFUNCTION("CONCATENATE(GOOGLETRANSLATE(B185, ""en"", ""ja""))"),"販売者向けのプレミアムパッケージ")</f>
        <v>販売者向けのプレミアムパッケージ</v>
      </c>
    </row>
    <row r="186" ht="15.75" customHeight="1">
      <c r="A186" s="1" t="s">
        <v>371</v>
      </c>
      <c r="B186" s="1" t="s">
        <v>372</v>
      </c>
      <c r="C186" s="1" t="str">
        <f>IFERROR(__xludf.DUMMYFUNCTION("CONCATENATE(GOOGLETRANSLATE(B186, ""en"", ""zh-cn""))"),"产品上传")</f>
        <v>产品上传</v>
      </c>
      <c r="D186" s="1" t="str">
        <f>IFERROR(__xludf.DUMMYFUNCTION("CONCATENATE(GOOGLETRANSLATE(B186, ""en"", ""ko""))"),"제품 업로드")</f>
        <v>제품 업로드</v>
      </c>
      <c r="E186" s="2" t="str">
        <f>IFERROR(__xludf.DUMMYFUNCTION("CONCATENATE(GOOGLETRANSLATE(B186, ""en"", ""ja""))"),"製品のアップロード")</f>
        <v>製品のアップロード</v>
      </c>
    </row>
    <row r="187" ht="15.75" customHeight="1">
      <c r="A187" s="1" t="s">
        <v>373</v>
      </c>
      <c r="B187" s="1" t="s">
        <v>374</v>
      </c>
      <c r="C187" s="1" t="str">
        <f>IFERROR(__xludf.DUMMYFUNCTION("CONCATENATE(GOOGLETRANSLATE(B187, ""en"", ""zh-cn""))"),"数字产品上传")</f>
        <v>数字产品上传</v>
      </c>
      <c r="D187" s="1" t="str">
        <f>IFERROR(__xludf.DUMMYFUNCTION("CONCATENATE(GOOGLETRANSLATE(B187, ""en"", ""ko""))"),"디지털 제품 업로드")</f>
        <v>디지털 제품 업로드</v>
      </c>
      <c r="E187" s="2" t="str">
        <f>IFERROR(__xludf.DUMMYFUNCTION("CONCATENATE(GOOGLETRANSLATE(B187, ""en"", ""ja""))"),"デジタル製品のアップロード")</f>
        <v>デジタル製品のアップロード</v>
      </c>
    </row>
    <row r="188" ht="15.75" customHeight="1">
      <c r="A188" s="1" t="s">
        <v>375</v>
      </c>
      <c r="B188" s="1" t="s">
        <v>376</v>
      </c>
      <c r="C188" s="1" t="str">
        <f>IFERROR(__xludf.DUMMYFUNCTION("CONCATENATE(GOOGLETRANSLATE(B188, ""en"", ""zh-cn""))"),"购买套餐")</f>
        <v>购买套餐</v>
      </c>
      <c r="D188" s="1" t="str">
        <f>IFERROR(__xludf.DUMMYFUNCTION("CONCATENATE(GOOGLETRANSLATE(B188, ""en"", ""ko""))"),"패키지 구매")</f>
        <v>패키지 구매</v>
      </c>
      <c r="E188" s="2" t="str">
        <f>IFERROR(__xludf.DUMMYFUNCTION("CONCATENATE(GOOGLETRANSLATE(B188, ""en"", ""ja""))"),"パッケージを購入する")</f>
        <v>パッケージを購入する</v>
      </c>
    </row>
    <row r="189" ht="15.75" customHeight="1">
      <c r="A189" s="1" t="s">
        <v>377</v>
      </c>
      <c r="B189" s="1" t="s">
        <v>378</v>
      </c>
      <c r="C189" s="1" t="str">
        <f>IFERROR(__xludf.DUMMYFUNCTION("CONCATENATE(GOOGLETRANSLATE(B189, ""en"", ""zh-cn""))"),"选择付款方式")</f>
        <v>选择付款方式</v>
      </c>
      <c r="D189" s="1" t="str">
        <f>IFERROR(__xludf.DUMMYFUNCTION("CONCATENATE(GOOGLETRANSLATE(B189, ""en"", ""ko""))"),"결제 유형 선택")</f>
        <v>결제 유형 선택</v>
      </c>
      <c r="E189" s="2" t="str">
        <f>IFERROR(__xludf.DUMMYFUNCTION("CONCATENATE(GOOGLETRANSLATE(B189, ""en"", ""ja""))"),"支払いタイプを選択してください")</f>
        <v>支払いタイプを選択してください</v>
      </c>
    </row>
    <row r="190" ht="15.75" customHeight="1">
      <c r="A190" s="1" t="s">
        <v>379</v>
      </c>
      <c r="B190" s="1" t="s">
        <v>380</v>
      </c>
      <c r="C190" s="1" t="str">
        <f>IFERROR(__xludf.DUMMYFUNCTION("CONCATENATE(GOOGLETRANSLATE(B190, ""en"", ""zh-cn""))"),"付款方式")</f>
        <v>付款方式</v>
      </c>
      <c r="D190" s="1" t="str">
        <f>IFERROR(__xludf.DUMMYFUNCTION("CONCATENATE(GOOGLETRANSLATE(B190, ""en"", ""ko""))"),"결제 유형")</f>
        <v>결제 유형</v>
      </c>
      <c r="E190" s="2" t="str">
        <f>IFERROR(__xludf.DUMMYFUNCTION("CONCATENATE(GOOGLETRANSLATE(B190, ""en"", ""ja""))"),"支払いタイプ")</f>
        <v>支払いタイプ</v>
      </c>
    </row>
    <row r="191" ht="15.75" customHeight="1">
      <c r="A191" s="1" t="s">
        <v>381</v>
      </c>
      <c r="B191" s="1" t="s">
        <v>382</v>
      </c>
      <c r="C191" s="1" t="str">
        <f>IFERROR(__xludf.DUMMYFUNCTION("CONCATENATE(GOOGLETRANSLATE(B191, ""en"", ""zh-cn""))"),"选择一项")</f>
        <v>选择一项</v>
      </c>
      <c r="D191" s="1" t="str">
        <f>IFERROR(__xludf.DUMMYFUNCTION("CONCATENATE(GOOGLETRANSLATE(B191, ""en"", ""ko""))"),"하나를 선택하세요")</f>
        <v>하나를 선택하세요</v>
      </c>
      <c r="E191" s="2" t="str">
        <f>IFERROR(__xludf.DUMMYFUNCTION("CONCATENATE(GOOGLETRANSLATE(B191, ""en"", ""ja""))"),"1 つ選択してください")</f>
        <v>1 つ選択してください</v>
      </c>
    </row>
    <row r="192" ht="15.75" customHeight="1">
      <c r="A192" s="1" t="s">
        <v>383</v>
      </c>
      <c r="B192" s="1" t="s">
        <v>384</v>
      </c>
      <c r="C192" s="1" t="str">
        <f>IFERROR(__xludf.DUMMYFUNCTION("CONCATENATE(GOOGLETRANSLATE(B192, ""en"", ""zh-cn""))"),"网上支付")</f>
        <v>网上支付</v>
      </c>
      <c r="D192" s="1" t="str">
        <f>IFERROR(__xludf.DUMMYFUNCTION("CONCATENATE(GOOGLETRANSLATE(B192, ""en"", ""ko""))"),"온라인 결제")</f>
        <v>온라인 결제</v>
      </c>
      <c r="E192" s="2" t="str">
        <f>IFERROR(__xludf.DUMMYFUNCTION("CONCATENATE(GOOGLETRANSLATE(B192, ""en"", ""ja""))"),"オンライン決済")</f>
        <v>オンライン決済</v>
      </c>
    </row>
    <row r="193" ht="15.75" customHeight="1">
      <c r="A193" s="1" t="s">
        <v>385</v>
      </c>
      <c r="B193" s="1" t="s">
        <v>386</v>
      </c>
      <c r="C193" s="1" t="str">
        <f>IFERROR(__xludf.DUMMYFUNCTION("CONCATENATE(GOOGLETRANSLATE(B193, ""en"", ""zh-cn""))"),"线下支付")</f>
        <v>线下支付</v>
      </c>
      <c r="D193" s="1" t="str">
        <f>IFERROR(__xludf.DUMMYFUNCTION("CONCATENATE(GOOGLETRANSLATE(B193, ""en"", ""ko""))"),"오프라인 결제")</f>
        <v>오프라인 결제</v>
      </c>
      <c r="E193" s="2" t="str">
        <f>IFERROR(__xludf.DUMMYFUNCTION("CONCATENATE(GOOGLETRANSLATE(B193, ""en"", ""ja""))"),"オフライン決済")</f>
        <v>オフライン決済</v>
      </c>
    </row>
    <row r="194" ht="15.75" customHeight="1">
      <c r="A194" s="1" t="s">
        <v>387</v>
      </c>
      <c r="B194" s="1" t="s">
        <v>388</v>
      </c>
      <c r="C194" s="1" t="str">
        <f>IFERROR(__xludf.DUMMYFUNCTION("CONCATENATE(GOOGLETRANSLATE(B194, ""en"", ""zh-cn""))"),"购买您的套餐")</f>
        <v>购买您的套餐</v>
      </c>
      <c r="D194" s="1" t="str">
        <f>IFERROR(__xludf.DUMMYFUNCTION("CONCATENATE(GOOGLETRANSLATE(B194, ""en"", ""ko""))"),"패키지 구매")</f>
        <v>패키지 구매</v>
      </c>
      <c r="E194" s="2" t="str">
        <f>IFERROR(__xludf.DUMMYFUNCTION("CONCATENATE(GOOGLETRANSLATE(B194, ""en"", ""ja""))"),"パッケージを購入する")</f>
        <v>パッケージを購入する</v>
      </c>
    </row>
    <row r="195" ht="15.75" customHeight="1">
      <c r="A195" s="1" t="s">
        <v>389</v>
      </c>
      <c r="B195" s="1" t="s">
        <v>390</v>
      </c>
      <c r="C195" s="1" t="str">
        <f>IFERROR(__xludf.DUMMYFUNCTION("CONCATENATE(GOOGLETRANSLATE(B195, ""en"", ""zh-cn""))"),"贝宝")</f>
        <v>贝宝</v>
      </c>
      <c r="D195" s="1" t="str">
        <f>IFERROR(__xludf.DUMMYFUNCTION("CONCATENATE(GOOGLETRANSLATE(B195, ""en"", ""ko""))"),"페이팔")</f>
        <v>페이팔</v>
      </c>
      <c r="E195" s="2" t="str">
        <f>IFERROR(__xludf.DUMMYFUNCTION("CONCATENATE(GOOGLETRANSLATE(B195, ""en"", ""ja""))"),"ペイパル")</f>
        <v>ペイパル</v>
      </c>
    </row>
    <row r="196" ht="15.75" customHeight="1">
      <c r="A196" s="1" t="s">
        <v>391</v>
      </c>
      <c r="B196" s="1" t="s">
        <v>392</v>
      </c>
      <c r="C196" s="1" t="str">
        <f>IFERROR(__xludf.DUMMYFUNCTION("CONCATENATE(GOOGLETRANSLATE(B196, ""en"", ""zh-cn""))"),"条纹")</f>
        <v>条纹</v>
      </c>
      <c r="D196" s="1" t="str">
        <f>IFERROR(__xludf.DUMMYFUNCTION("CONCATENATE(GOOGLETRANSLATE(B196, ""en"", ""ko""))"),"줄무늬")</f>
        <v>줄무늬</v>
      </c>
      <c r="E196" s="2" t="str">
        <f>IFERROR(__xludf.DUMMYFUNCTION("CONCATENATE(GOOGLETRANSLATE(B196, ""en"", ""ja""))"),"ストライプ")</f>
        <v>ストライプ</v>
      </c>
    </row>
    <row r="197" ht="15.75" customHeight="1">
      <c r="A197" s="1" t="s">
        <v>393</v>
      </c>
      <c r="B197" s="1" t="s">
        <v>393</v>
      </c>
      <c r="C197" s="1" t="str">
        <f>IFERROR(__xludf.DUMMYFUNCTION("CONCATENATE(GOOGLETRANSLATE(B197, ""en"", ""zh-cn""))"),"sslcommerz")</f>
        <v>sslcommerz</v>
      </c>
      <c r="D197" s="1" t="str">
        <f>IFERROR(__xludf.DUMMYFUNCTION("CONCATENATE(GOOGLETRANSLATE(B197, ""en"", ""ko""))"),"SSLCOMMERZ")</f>
        <v>SSLCOMMERZ</v>
      </c>
      <c r="E197" s="2" t="str">
        <f>IFERROR(__xludf.DUMMYFUNCTION("CONCATENATE(GOOGLETRANSLATE(B197, ""en"", ""ja""))"),"sslcommerz")</f>
        <v>sslcommerz</v>
      </c>
    </row>
    <row r="198" ht="15.75" customHeight="1">
      <c r="A198" s="1" t="s">
        <v>394</v>
      </c>
      <c r="B198" s="1" t="s">
        <v>395</v>
      </c>
      <c r="C198" s="1" t="str">
        <f>IFERROR(__xludf.DUMMYFUNCTION("CONCATENATE(GOOGLETRANSLATE(B198, ""en"", ""zh-cn""))"),"确认")</f>
        <v>确认</v>
      </c>
      <c r="D198" s="1" t="str">
        <f>IFERROR(__xludf.DUMMYFUNCTION("CONCATENATE(GOOGLETRANSLATE(B198, ""en"", ""ko""))"),"확인하다")</f>
        <v>확인하다</v>
      </c>
      <c r="E198" s="2" t="str">
        <f>IFERROR(__xludf.DUMMYFUNCTION("CONCATENATE(GOOGLETRANSLATE(B198, ""en"", ""ja""))"),"確認する")</f>
        <v>確認する</v>
      </c>
    </row>
    <row r="199" ht="15.75" customHeight="1">
      <c r="A199" s="1" t="s">
        <v>396</v>
      </c>
      <c r="B199" s="1" t="s">
        <v>397</v>
      </c>
      <c r="C199" s="1" t="str">
        <f>IFERROR(__xludf.DUMMYFUNCTION("CONCATENATE(GOOGLETRANSLATE(B199, ""en"", ""zh-cn""))"),"线下套餐支付")</f>
        <v>线下套餐支付</v>
      </c>
      <c r="D199" s="1" t="str">
        <f>IFERROR(__xludf.DUMMYFUNCTION("CONCATENATE(GOOGLETRANSLATE(B199, ""en"", ""ko""))"),"오프라인 패키지 결제")</f>
        <v>오프라인 패키지 결제</v>
      </c>
      <c r="E199" s="2" t="str">
        <f>IFERROR(__xludf.DUMMYFUNCTION("CONCATENATE(GOOGLETRANSLATE(B199, ""en"", ""ja""))"),"オフラインパッケージ支払い")</f>
        <v>オフラインパッケージ支払い</v>
      </c>
    </row>
    <row r="200" ht="15.75" customHeight="1">
      <c r="A200" s="1" t="s">
        <v>398</v>
      </c>
      <c r="B200" s="1" t="s">
        <v>399</v>
      </c>
      <c r="C200" s="1" t="str">
        <f>IFERROR(__xludf.DUMMYFUNCTION("CONCATENATE(GOOGLETRANSLATE(B200, ""en"", ""zh-cn""))"),"交易ID")</f>
        <v>交易ID</v>
      </c>
      <c r="D200" s="1" t="str">
        <f>IFERROR(__xludf.DUMMYFUNCTION("CONCATENATE(GOOGLETRANSLATE(B200, ""en"", ""ko""))"),"거래 ID")</f>
        <v>거래 ID</v>
      </c>
      <c r="E200" s="2" t="str">
        <f>IFERROR(__xludf.DUMMYFUNCTION("CONCATENATE(GOOGLETRANSLATE(B200, ""en"", ""ja""))"),"トランザクションID")</f>
        <v>トランザクションID</v>
      </c>
    </row>
    <row r="201" ht="15.75" customHeight="1">
      <c r="A201" s="1" t="s">
        <v>400</v>
      </c>
      <c r="B201" s="1" t="s">
        <v>401</v>
      </c>
      <c r="C201" s="1" t="str">
        <f>IFERROR(__xludf.DUMMYFUNCTION("CONCATENATE(GOOGLETRANSLATE(B201, ""en"", ""zh-cn""))"),"选择图片")</f>
        <v>选择图片</v>
      </c>
      <c r="D201" s="1" t="str">
        <f>IFERROR(__xludf.DUMMYFUNCTION("CONCATENATE(GOOGLETRANSLATE(B201, ""en"", ""ko""))"),"이미지 선택")</f>
        <v>이미지 선택</v>
      </c>
      <c r="E201" s="2" t="str">
        <f>IFERROR(__xludf.DUMMYFUNCTION("CONCATENATE(GOOGLETRANSLATE(B201, ""en"", ""ja""))"),"画像を選択してください")</f>
        <v>画像を選択してください</v>
      </c>
    </row>
    <row r="202" ht="15.75" customHeight="1">
      <c r="A202" s="1" t="s">
        <v>402</v>
      </c>
      <c r="B202" s="1" t="s">
        <v>403</v>
      </c>
      <c r="C202" s="1" t="str">
        <f>IFERROR(__xludf.DUMMYFUNCTION("CONCATENATE(GOOGLETRANSLATE(B202, ""en"", ""zh-cn""))"),"代码")</f>
        <v>代码</v>
      </c>
      <c r="D202" s="1" t="str">
        <f>IFERROR(__xludf.DUMMYFUNCTION("CONCATENATE(GOOGLETRANSLATE(B202, ""en"", ""ko""))"),"암호")</f>
        <v>암호</v>
      </c>
      <c r="E202" s="2" t="str">
        <f>IFERROR(__xludf.DUMMYFUNCTION("CONCATENATE(GOOGLETRANSLATE(B202, ""en"", ""ja""))"),"コード")</f>
        <v>コード</v>
      </c>
    </row>
    <row r="203" ht="15.75" customHeight="1">
      <c r="A203" s="1" t="s">
        <v>404</v>
      </c>
      <c r="B203" s="1" t="s">
        <v>405</v>
      </c>
      <c r="C203" s="1" t="str">
        <f>IFERROR(__xludf.DUMMYFUNCTION("CONCATENATE(GOOGLETRANSLATE(B203, ""en"", ""zh-cn""))"),"交货状态")</f>
        <v>交货状态</v>
      </c>
      <c r="D203" s="1" t="str">
        <f>IFERROR(__xludf.DUMMYFUNCTION("CONCATENATE(GOOGLETRANSLATE(B203, ""en"", ""ko""))"),"배송상태")</f>
        <v>배송상태</v>
      </c>
      <c r="E203" s="2" t="str">
        <f>IFERROR(__xludf.DUMMYFUNCTION("CONCATENATE(GOOGLETRANSLATE(B203, ""en"", ""ja""))"),"配送状況")</f>
        <v>配送状況</v>
      </c>
    </row>
    <row r="204" ht="15.75" customHeight="1">
      <c r="A204" s="1" t="s">
        <v>406</v>
      </c>
      <c r="B204" s="1" t="s">
        <v>407</v>
      </c>
      <c r="C204" s="1" t="str">
        <f>IFERROR(__xludf.DUMMYFUNCTION("CONCATENATE(GOOGLETRANSLATE(B204, ""en"", ""zh-cn""))"),"付款状态")</f>
        <v>付款状态</v>
      </c>
      <c r="D204" s="1" t="str">
        <f>IFERROR(__xludf.DUMMYFUNCTION("CONCATENATE(GOOGLETRANSLATE(B204, ""en"", ""ko""))"),"결제 상태")</f>
        <v>결제 상태</v>
      </c>
      <c r="E204" s="2" t="str">
        <f>IFERROR(__xludf.DUMMYFUNCTION("CONCATENATE(GOOGLETRANSLATE(B204, ""en"", ""ja""))"),"支払い状況")</f>
        <v>支払い状況</v>
      </c>
    </row>
    <row r="205" ht="15.75" customHeight="1">
      <c r="A205" s="1" t="s">
        <v>408</v>
      </c>
      <c r="B205" s="1" t="s">
        <v>409</v>
      </c>
      <c r="C205" s="1" t="str">
        <f>IFERROR(__xludf.DUMMYFUNCTION("CONCATENATE(GOOGLETRANSLATE(B205, ""en"", ""zh-cn""))"),"有薪酬的")</f>
        <v>有薪酬的</v>
      </c>
      <c r="D205" s="1" t="str">
        <f>IFERROR(__xludf.DUMMYFUNCTION("CONCATENATE(GOOGLETRANSLATE(B205, ""en"", ""ko""))"),"유급의")</f>
        <v>유급의</v>
      </c>
      <c r="E205" s="2" t="str">
        <f>IFERROR(__xludf.DUMMYFUNCTION("CONCATENATE(GOOGLETRANSLATE(B205, ""en"", ""ja""))"),"有料")</f>
        <v>有料</v>
      </c>
    </row>
    <row r="206" ht="15.75" customHeight="1">
      <c r="A206" s="1" t="s">
        <v>410</v>
      </c>
      <c r="B206" s="1" t="s">
        <v>411</v>
      </c>
      <c r="C206" s="1" t="str">
        <f>IFERROR(__xludf.DUMMYFUNCTION("CONCATENATE(GOOGLETRANSLATE(B206, ""en"", ""zh-cn""))"),"订单详情")</f>
        <v>订单详情</v>
      </c>
      <c r="D206" s="1" t="str">
        <f>IFERROR(__xludf.DUMMYFUNCTION("CONCATENATE(GOOGLETRANSLATE(B206, ""en"", ""ko""))"),"주문 세부정보")</f>
        <v>주문 세부정보</v>
      </c>
      <c r="E206" s="2" t="str">
        <f>IFERROR(__xludf.DUMMYFUNCTION("CONCATENATE(GOOGLETRANSLATE(B206, ""en"", ""ja""))"),"注文の詳細")</f>
        <v>注文の詳細</v>
      </c>
    </row>
    <row r="207" ht="15.75" customHeight="1">
      <c r="A207" s="1" t="s">
        <v>412</v>
      </c>
      <c r="B207" s="1" t="s">
        <v>413</v>
      </c>
      <c r="C207" s="1" t="str">
        <f>IFERROR(__xludf.DUMMYFUNCTION("CONCATENATE(GOOGLETRANSLATE(B207, ""en"", ""zh-cn""))"),"下载发票")</f>
        <v>下载发票</v>
      </c>
      <c r="D207" s="1" t="str">
        <f>IFERROR(__xludf.DUMMYFUNCTION("CONCATENATE(GOOGLETRANSLATE(B207, ""en"", ""ko""))"),"송장 다운로드")</f>
        <v>송장 다운로드</v>
      </c>
      <c r="E207" s="2" t="str">
        <f>IFERROR(__xludf.DUMMYFUNCTION("CONCATENATE(GOOGLETRANSLATE(B207, ""en"", ""ja""))"),"請求書のダウンロード")</f>
        <v>請求書のダウンロード</v>
      </c>
    </row>
    <row r="208" ht="15.75" customHeight="1">
      <c r="A208" s="1" t="s">
        <v>414</v>
      </c>
      <c r="B208" s="1" t="s">
        <v>415</v>
      </c>
      <c r="C208" s="1" t="str">
        <f>IFERROR(__xludf.DUMMYFUNCTION("CONCATENATE(GOOGLETRANSLATE(B208, ""en"", ""zh-cn""))"),"未付")</f>
        <v>未付</v>
      </c>
      <c r="D208" s="1" t="str">
        <f>IFERROR(__xludf.DUMMYFUNCTION("CONCATENATE(GOOGLETRANSLATE(B208, ""en"", ""ko""))"),"미지급")</f>
        <v>미지급</v>
      </c>
      <c r="E208" s="2" t="str">
        <f>IFERROR(__xludf.DUMMYFUNCTION("CONCATENATE(GOOGLETRANSLATE(B208, ""en"", ""ja""))"),"未払い")</f>
        <v>未払い</v>
      </c>
    </row>
    <row r="209" ht="15.75" customHeight="1">
      <c r="A209" s="1" t="s">
        <v>416</v>
      </c>
      <c r="B209" s="1" t="s">
        <v>417</v>
      </c>
      <c r="C209" s="1" t="str">
        <f>IFERROR(__xludf.DUMMYFUNCTION("CONCATENATE(GOOGLETRANSLATE(B209, ""en"", ""zh-cn""))"),"已下订单")</f>
        <v>已下订单</v>
      </c>
      <c r="D209" s="1" t="str">
        <f>IFERROR(__xludf.DUMMYFUNCTION("CONCATENATE(GOOGLETRANSLATE(B209, ""en"", ""ko""))"),"주문 완료")</f>
        <v>주문 완료</v>
      </c>
      <c r="E209" s="2" t="str">
        <f>IFERROR(__xludf.DUMMYFUNCTION("CONCATENATE(GOOGLETRANSLATE(B209, ""en"", ""ja""))"),"注文済み")</f>
        <v>注文済み</v>
      </c>
    </row>
    <row r="210" ht="15.75" customHeight="1">
      <c r="A210" s="1" t="s">
        <v>418</v>
      </c>
      <c r="B210" s="1" t="s">
        <v>419</v>
      </c>
      <c r="C210" s="1" t="str">
        <f>IFERROR(__xludf.DUMMYFUNCTION("CONCATENATE(GOOGLETRANSLATE(B210, ""en"", ""zh-cn""))"),"确认的")</f>
        <v>确认的</v>
      </c>
      <c r="D210" s="1" t="str">
        <f>IFERROR(__xludf.DUMMYFUNCTION("CONCATENATE(GOOGLETRANSLATE(B210, ""en"", ""ko""))"),"확인됨")</f>
        <v>확인됨</v>
      </c>
      <c r="E210" s="2" t="str">
        <f>IFERROR(__xludf.DUMMYFUNCTION("CONCATENATE(GOOGLETRANSLATE(B210, ""en"", ""ja""))"),"確認済み")</f>
        <v>確認済み</v>
      </c>
    </row>
    <row r="211" ht="15.75" customHeight="1">
      <c r="A211" s="1" t="s">
        <v>420</v>
      </c>
      <c r="B211" s="1" t="s">
        <v>421</v>
      </c>
      <c r="C211" s="1" t="str">
        <f>IFERROR(__xludf.DUMMYFUNCTION("CONCATENATE(GOOGLETRANSLATE(B211, ""en"", ""zh-cn""))"),"交货时")</f>
        <v>交货时</v>
      </c>
      <c r="D211" s="1" t="str">
        <f>IFERROR(__xludf.DUMMYFUNCTION("CONCATENATE(GOOGLETRANSLATE(B211, ""en"", ""ko""))"),"배달 시")</f>
        <v>배달 시</v>
      </c>
      <c r="E211" s="2" t="str">
        <f>IFERROR(__xludf.DUMMYFUNCTION("CONCATENATE(GOOGLETRANSLATE(B211, ""en"", ""ja""))"),"配達中")</f>
        <v>配達中</v>
      </c>
    </row>
    <row r="212" ht="15.75" customHeight="1">
      <c r="A212" s="1" t="s">
        <v>422</v>
      </c>
      <c r="B212" s="1" t="s">
        <v>423</v>
      </c>
      <c r="C212" s="1" t="str">
        <f>IFERROR(__xludf.DUMMYFUNCTION("CONCATENATE(GOOGLETRANSLATE(B212, ""en"", ""zh-cn""))"),"发表")</f>
        <v>发表</v>
      </c>
      <c r="D212" s="1" t="str">
        <f>IFERROR(__xludf.DUMMYFUNCTION("CONCATENATE(GOOGLETRANSLATE(B212, ""en"", ""ko""))"),"배달됨")</f>
        <v>배달됨</v>
      </c>
      <c r="E212" s="2" t="str">
        <f>IFERROR(__xludf.DUMMYFUNCTION("CONCATENATE(GOOGLETRANSLATE(B212, ""en"", ""ja""))"),"納品済み")</f>
        <v>納品済み</v>
      </c>
    </row>
    <row r="213" ht="15.75" customHeight="1">
      <c r="A213" s="1" t="s">
        <v>424</v>
      </c>
      <c r="B213" s="1" t="s">
        <v>425</v>
      </c>
      <c r="C213" s="1" t="str">
        <f>IFERROR(__xludf.DUMMYFUNCTION("CONCATENATE(GOOGLETRANSLATE(B213, ""en"", ""zh-cn""))"),"订单摘要")</f>
        <v>订单摘要</v>
      </c>
      <c r="D213" s="1" t="str">
        <f>IFERROR(__xludf.DUMMYFUNCTION("CONCATENATE(GOOGLETRANSLATE(B213, ""en"", ""ko""))"),"주문 요약")</f>
        <v>주문 요약</v>
      </c>
      <c r="E213" s="2" t="str">
        <f>IFERROR(__xludf.DUMMYFUNCTION("CONCATENATE(GOOGLETRANSLATE(B213, ""en"", ""ja""))"),"注文概要")</f>
        <v>注文概要</v>
      </c>
    </row>
    <row r="214" ht="15.75" customHeight="1">
      <c r="A214" s="1" t="s">
        <v>426</v>
      </c>
      <c r="B214" s="1" t="s">
        <v>427</v>
      </c>
      <c r="C214" s="1" t="str">
        <f>IFERROR(__xludf.DUMMYFUNCTION("CONCATENATE(GOOGLETRANSLATE(B214, ""en"", ""zh-cn""))"),"订购代码")</f>
        <v>订购代码</v>
      </c>
      <c r="D214" s="1" t="str">
        <f>IFERROR(__xludf.DUMMYFUNCTION("CONCATENATE(GOOGLETRANSLATE(B214, ""en"", ""ko""))"),"주문 코드")</f>
        <v>주문 코드</v>
      </c>
      <c r="E214" s="2" t="str">
        <f>IFERROR(__xludf.DUMMYFUNCTION("CONCATENATE(GOOGLETRANSLATE(B214, ""en"", ""ja""))"),"注文コード")</f>
        <v>注文コード</v>
      </c>
    </row>
    <row r="215" ht="15.75" customHeight="1">
      <c r="A215" s="1" t="s">
        <v>428</v>
      </c>
      <c r="B215" s="1" t="s">
        <v>429</v>
      </c>
      <c r="C215" s="1" t="str">
        <f>IFERROR(__xludf.DUMMYFUNCTION("CONCATENATE(GOOGLETRANSLATE(B215, ""en"", ""zh-cn""))"),"顾客")</f>
        <v>顾客</v>
      </c>
      <c r="D215" s="1" t="str">
        <f>IFERROR(__xludf.DUMMYFUNCTION("CONCATENATE(GOOGLETRANSLATE(B215, ""en"", ""ko""))"),"고객")</f>
        <v>고객</v>
      </c>
      <c r="E215" s="2" t="str">
        <f>IFERROR(__xludf.DUMMYFUNCTION("CONCATENATE(GOOGLETRANSLATE(B215, ""en"", ""ja""))"),"お客様")</f>
        <v>お客様</v>
      </c>
    </row>
    <row r="216" ht="15.75" customHeight="1">
      <c r="A216" s="1" t="s">
        <v>430</v>
      </c>
      <c r="B216" s="1" t="s">
        <v>431</v>
      </c>
      <c r="C216" s="1" t="str">
        <f>IFERROR(__xludf.DUMMYFUNCTION("CONCATENATE(GOOGLETRANSLATE(B216, ""en"", ""zh-cn""))"),"订单总额")</f>
        <v>订单总额</v>
      </c>
      <c r="D216" s="1" t="str">
        <f>IFERROR(__xludf.DUMMYFUNCTION("CONCATENATE(GOOGLETRANSLATE(B216, ""en"", ""ko""))"),"총 주문 금액")</f>
        <v>총 주문 금액</v>
      </c>
      <c r="E216" s="2" t="str">
        <f>IFERROR(__xludf.DUMMYFUNCTION("CONCATENATE(GOOGLETRANSLATE(B216, ""en"", ""ja""))"),"注文総額")</f>
        <v>注文総額</v>
      </c>
    </row>
    <row r="217" ht="15.75" customHeight="1">
      <c r="A217" s="1" t="s">
        <v>432</v>
      </c>
      <c r="B217" s="1" t="s">
        <v>433</v>
      </c>
      <c r="C217" s="1" t="str">
        <f>IFERROR(__xludf.DUMMYFUNCTION("CONCATENATE(GOOGLETRANSLATE(B217, ""en"", ""zh-cn""))"),"运输方式")</f>
        <v>运输方式</v>
      </c>
      <c r="D217" s="1" t="str">
        <f>IFERROR(__xludf.DUMMYFUNCTION("CONCATENATE(GOOGLETRANSLATE(B217, ""en"", ""ko""))"),"배송방법")</f>
        <v>배송방법</v>
      </c>
      <c r="E217" s="2" t="str">
        <f>IFERROR(__xludf.DUMMYFUNCTION("CONCATENATE(GOOGLETRANSLATE(B217, ""en"", ""ja""))"),"配送方法")</f>
        <v>配送方法</v>
      </c>
    </row>
    <row r="218" ht="15.75" customHeight="1">
      <c r="A218" s="1" t="s">
        <v>434</v>
      </c>
      <c r="B218" s="1" t="s">
        <v>435</v>
      </c>
      <c r="C218" s="1" t="str">
        <f>IFERROR(__xludf.DUMMYFUNCTION("CONCATENATE(GOOGLETRANSLATE(B218, ""en"", ""zh-cn""))"),"统一运费")</f>
        <v>统一运费</v>
      </c>
      <c r="D218" s="1" t="str">
        <f>IFERROR(__xludf.DUMMYFUNCTION("CONCATENATE(GOOGLETRANSLATE(B218, ""en"", ""ko""))"),"균일 배송료")</f>
        <v>균일 배송료</v>
      </c>
      <c r="E218" s="2" t="str">
        <f>IFERROR(__xludf.DUMMYFUNCTION("CONCATENATE(GOOGLETRANSLATE(B218, ""en"", ""ja""))"),"一律送料")</f>
        <v>一律送料</v>
      </c>
    </row>
    <row r="219" ht="15.75" customHeight="1">
      <c r="A219" s="1" t="s">
        <v>436</v>
      </c>
      <c r="B219" s="1" t="s">
        <v>437</v>
      </c>
      <c r="C219" s="1" t="str">
        <f>IFERROR(__xludf.DUMMYFUNCTION("CONCATENATE(GOOGLETRANSLATE(B219, ""en"", ""zh-cn""))"),"付款方式")</f>
        <v>付款方式</v>
      </c>
      <c r="D219" s="1" t="str">
        <f>IFERROR(__xludf.DUMMYFUNCTION("CONCATENATE(GOOGLETRANSLATE(B219, ""en"", ""ko""))"),"결제 방법")</f>
        <v>결제 방법</v>
      </c>
      <c r="E219" s="2" t="str">
        <f>IFERROR(__xludf.DUMMYFUNCTION("CONCATENATE(GOOGLETRANSLATE(B219, ""en"", ""ja""))"),"お支払い方法")</f>
        <v>お支払い方法</v>
      </c>
    </row>
    <row r="220" ht="15.75" customHeight="1">
      <c r="A220" s="1" t="s">
        <v>438</v>
      </c>
      <c r="B220" s="1" t="s">
        <v>439</v>
      </c>
      <c r="C220" s="1" t="str">
        <f>IFERROR(__xludf.DUMMYFUNCTION("CONCATENATE(GOOGLETRANSLATE(B220, ""en"", ""zh-cn""))"),"变化")</f>
        <v>变化</v>
      </c>
      <c r="D220" s="1" t="str">
        <f>IFERROR(__xludf.DUMMYFUNCTION("CONCATENATE(GOOGLETRANSLATE(B220, ""en"", ""ko""))"),"변화")</f>
        <v>변화</v>
      </c>
      <c r="E220" s="2" t="str">
        <f>IFERROR(__xludf.DUMMYFUNCTION("CONCATENATE(GOOGLETRANSLATE(B220, ""en"", ""ja""))"),"変化")</f>
        <v>変化</v>
      </c>
    </row>
    <row r="221" ht="15.75" customHeight="1">
      <c r="A221" s="1" t="s">
        <v>440</v>
      </c>
      <c r="B221" s="1" t="s">
        <v>441</v>
      </c>
      <c r="C221" s="1" t="str">
        <f>IFERROR(__xludf.DUMMYFUNCTION("CONCATENATE(GOOGLETRANSLATE(B221, ""en"", ""zh-cn""))"),"交货类型")</f>
        <v>交货类型</v>
      </c>
      <c r="D221" s="1" t="str">
        <f>IFERROR(__xludf.DUMMYFUNCTION("CONCATENATE(GOOGLETRANSLATE(B221, ""en"", ""ko""))"),"배송 유형")</f>
        <v>배송 유형</v>
      </c>
      <c r="E221" s="2" t="str">
        <f>IFERROR(__xludf.DUMMYFUNCTION("CONCATENATE(GOOGLETRANSLATE(B221, ""en"", ""ja""))"),"配送タイプ")</f>
        <v>配送タイプ</v>
      </c>
    </row>
    <row r="222" ht="15.75" customHeight="1">
      <c r="A222" s="1" t="s">
        <v>442</v>
      </c>
      <c r="B222" s="1" t="s">
        <v>443</v>
      </c>
      <c r="C222" s="1" t="str">
        <f>IFERROR(__xludf.DUMMYFUNCTION("CONCATENATE(GOOGLETRANSLATE(B222, ""en"", ""zh-cn""))"),"送货上门")</f>
        <v>送货上门</v>
      </c>
      <c r="D222" s="1" t="str">
        <f>IFERROR(__xludf.DUMMYFUNCTION("CONCATENATE(GOOGLETRANSLATE(B222, ""en"", ""ko""))"),"택배")</f>
        <v>택배</v>
      </c>
      <c r="E222" s="2" t="str">
        <f>IFERROR(__xludf.DUMMYFUNCTION("CONCATENATE(GOOGLETRANSLATE(B222, ""en"", ""ja""))"),"宅配")</f>
        <v>宅配</v>
      </c>
    </row>
    <row r="223" ht="15.75" customHeight="1">
      <c r="A223" s="1" t="s">
        <v>444</v>
      </c>
      <c r="B223" s="1" t="s">
        <v>445</v>
      </c>
      <c r="C223" s="1" t="str">
        <f>IFERROR(__xludf.DUMMYFUNCTION("CONCATENATE(GOOGLETRANSLATE(B223, ""en"", ""zh-cn""))"),"订单金额")</f>
        <v>订单金额</v>
      </c>
      <c r="D223" s="1" t="str">
        <f>IFERROR(__xludf.DUMMYFUNCTION("CONCATENATE(GOOGLETRANSLATE(B223, ""en"", ""ko""))"),"주문금액")</f>
        <v>주문금액</v>
      </c>
      <c r="E223" s="2" t="str">
        <f>IFERROR(__xludf.DUMMYFUNCTION("CONCATENATE(GOOGLETRANSLATE(B223, ""en"", ""ja""))"),"注文金額")</f>
        <v>注文金額</v>
      </c>
    </row>
    <row r="224" ht="15.75" customHeight="1">
      <c r="A224" s="1" t="s">
        <v>446</v>
      </c>
      <c r="B224" s="1" t="s">
        <v>447</v>
      </c>
      <c r="C224" s="1" t="str">
        <f>IFERROR(__xludf.DUMMYFUNCTION("CONCATENATE(GOOGLETRANSLATE(B224, ""en"", ""zh-cn""))"),"小计")</f>
        <v>小计</v>
      </c>
      <c r="D224" s="1" t="str">
        <f>IFERROR(__xludf.DUMMYFUNCTION("CONCATENATE(GOOGLETRANSLATE(B224, ""en"", ""ko""))"),"소계")</f>
        <v>소계</v>
      </c>
      <c r="E224" s="2" t="str">
        <f>IFERROR(__xludf.DUMMYFUNCTION("CONCATENATE(GOOGLETRANSLATE(B224, ""en"", ""ja""))"),"小計")</f>
        <v>小計</v>
      </c>
    </row>
    <row r="225" ht="15.75" customHeight="1">
      <c r="A225" s="1" t="s">
        <v>448</v>
      </c>
      <c r="B225" s="1" t="s">
        <v>449</v>
      </c>
      <c r="C225" s="1" t="str">
        <f>IFERROR(__xludf.DUMMYFUNCTION("CONCATENATE(GOOGLETRANSLATE(B225, ""en"", ""zh-cn""))"),"船运")</f>
        <v>船运</v>
      </c>
      <c r="D225" s="1" t="str">
        <f>IFERROR(__xludf.DUMMYFUNCTION("CONCATENATE(GOOGLETRANSLATE(B225, ""en"", ""ko""))"),"해운")</f>
        <v>해운</v>
      </c>
      <c r="E225" s="2" t="str">
        <f>IFERROR(__xludf.DUMMYFUNCTION("CONCATENATE(GOOGLETRANSLATE(B225, ""en"", ""ja""))"),"配送")</f>
        <v>配送</v>
      </c>
    </row>
    <row r="226" ht="15.75" customHeight="1">
      <c r="A226" s="1" t="s">
        <v>450</v>
      </c>
      <c r="B226" s="1" t="s">
        <v>451</v>
      </c>
      <c r="C226" s="1" t="str">
        <f>IFERROR(__xludf.DUMMYFUNCTION("CONCATENATE(GOOGLETRANSLATE(B226, ""en"", ""zh-cn""))"),"优惠券折扣")</f>
        <v>优惠券折扣</v>
      </c>
      <c r="D226" s="1" t="str">
        <f>IFERROR(__xludf.DUMMYFUNCTION("CONCATENATE(GOOGLETRANSLATE(B226, ""en"", ""ko""))"),"쿠폰할인")</f>
        <v>쿠폰할인</v>
      </c>
      <c r="E226" s="2" t="str">
        <f>IFERROR(__xludf.DUMMYFUNCTION("CONCATENATE(GOOGLETRANSLATE(B226, ""en"", ""ja""))"),"クーポン割引")</f>
        <v>クーポン割引</v>
      </c>
    </row>
    <row r="227" ht="15.75" customHeight="1">
      <c r="A227" s="1" t="s">
        <v>452</v>
      </c>
      <c r="B227" s="1" t="s">
        <v>453</v>
      </c>
      <c r="C227" s="1" t="str">
        <f>IFERROR(__xludf.DUMMYFUNCTION("CONCATENATE(GOOGLETRANSLATE(B227, ""en"", ""zh-cn""))"),"不适用")</f>
        <v>不适用</v>
      </c>
      <c r="D227" s="1" t="str">
        <f>IFERROR(__xludf.DUMMYFUNCTION("CONCATENATE(GOOGLETRANSLATE(B227, ""en"", ""ko""))"),"해당 없음")</f>
        <v>해당 없음</v>
      </c>
      <c r="E227" s="2" t="str">
        <f>IFERROR(__xludf.DUMMYFUNCTION("CONCATENATE(GOOGLETRANSLATE(B227, ""en"", ""ja""))"),"該当なし")</f>
        <v>該当なし</v>
      </c>
    </row>
    <row r="228" ht="15.75" customHeight="1">
      <c r="A228" s="1" t="s">
        <v>454</v>
      </c>
      <c r="B228" s="1" t="s">
        <v>455</v>
      </c>
      <c r="C228" s="1" t="str">
        <f>IFERROR(__xludf.DUMMYFUNCTION("CONCATENATE(GOOGLETRANSLATE(B228, ""en"", ""zh-cn""))"),"有存货")</f>
        <v>有存货</v>
      </c>
      <c r="D228" s="1" t="str">
        <f>IFERROR(__xludf.DUMMYFUNCTION("CONCATENATE(GOOGLETRANSLATE(B228, ""en"", ""ko""))"),"재고 있음")</f>
        <v>재고 있음</v>
      </c>
      <c r="E228" s="2" t="str">
        <f>IFERROR(__xludf.DUMMYFUNCTION("CONCATENATE(GOOGLETRANSLATE(B228, ""en"", ""ja""))"),"在庫あり")</f>
        <v>在庫あり</v>
      </c>
    </row>
    <row r="229" ht="15.75" customHeight="1">
      <c r="A229" s="1" t="s">
        <v>456</v>
      </c>
      <c r="B229" s="1" t="s">
        <v>457</v>
      </c>
      <c r="C229" s="1" t="str">
        <f>IFERROR(__xludf.DUMMYFUNCTION("CONCATENATE(GOOGLETRANSLATE(B229, ""en"", ""zh-cn""))"),"立即购买")</f>
        <v>立即购买</v>
      </c>
      <c r="D229" s="1" t="str">
        <f>IFERROR(__xludf.DUMMYFUNCTION("CONCATENATE(GOOGLETRANSLATE(B229, ""en"", ""ko""))"),"지금 구매")</f>
        <v>지금 구매</v>
      </c>
      <c r="E229" s="2" t="str">
        <f>IFERROR(__xludf.DUMMYFUNCTION("CONCATENATE(GOOGLETRANSLATE(B229, ""en"", ""ja""))"),"今すぐ購入")</f>
        <v>今すぐ購入</v>
      </c>
    </row>
    <row r="230" ht="15.75" customHeight="1">
      <c r="A230" s="1" t="s">
        <v>458</v>
      </c>
      <c r="B230" s="1" t="s">
        <v>459</v>
      </c>
      <c r="C230" s="1" t="str">
        <f>IFERROR(__xludf.DUMMYFUNCTION("CONCATENATE(GOOGLETRANSLATE(B230, ""en"", ""zh-cn""))"),"商品已添加到您的购物车！")</f>
        <v>商品已添加到您的购物车！</v>
      </c>
      <c r="D230" s="1" t="str">
        <f>IFERROR(__xludf.DUMMYFUNCTION("CONCATENATE(GOOGLETRANSLATE(B230, ""en"", ""ko""))"),"장바구니에 상품이 추가되었습니다!")</f>
        <v>장바구니에 상품이 추가되었습니다!</v>
      </c>
      <c r="E230" s="2" t="str">
        <f>IFERROR(__xludf.DUMMYFUNCTION("CONCATENATE(GOOGLETRANSLATE(B230, ""en"", ""ja""))"),"商品がカートに追加されました!")</f>
        <v>商品がカートに追加されました!</v>
      </c>
    </row>
    <row r="231" ht="15.75" customHeight="1">
      <c r="A231" s="1" t="s">
        <v>460</v>
      </c>
      <c r="B231" s="1" t="s">
        <v>461</v>
      </c>
      <c r="C231" s="1" t="str">
        <f>IFERROR(__xludf.DUMMYFUNCTION("CONCATENATE(GOOGLETRANSLATE(B231, ""en"", ""zh-cn""))"),"进行结算")</f>
        <v>进行结算</v>
      </c>
      <c r="D231" s="1" t="str">
        <f>IFERROR(__xludf.DUMMYFUNCTION("CONCATENATE(GOOGLETRANSLATE(B231, ""en"", ""ko""))"),"결제로 진행")</f>
        <v>결제로 진행</v>
      </c>
      <c r="E231" s="2" t="str">
        <f>IFERROR(__xludf.DUMMYFUNCTION("CONCATENATE(GOOGLETRANSLATE(B231, ""en"", ""ja""))"),"チェックアウトに進む")</f>
        <v>チェックアウトに進む</v>
      </c>
    </row>
    <row r="232" ht="15.75" customHeight="1">
      <c r="A232" s="1" t="s">
        <v>462</v>
      </c>
      <c r="B232" s="1" t="s">
        <v>463</v>
      </c>
      <c r="C232" s="1" t="str">
        <f>IFERROR(__xludf.DUMMYFUNCTION("CONCATENATE(GOOGLETRANSLATE(B232, ""en"", ""zh-cn""))"),"购物车商品")</f>
        <v>购物车商品</v>
      </c>
      <c r="D232" s="1" t="str">
        <f>IFERROR(__xludf.DUMMYFUNCTION("CONCATENATE(GOOGLETRANSLATE(B232, ""en"", ""ko""))"),"장바구니 항목")</f>
        <v>장바구니 항목</v>
      </c>
      <c r="E232" s="2" t="str">
        <f>IFERROR(__xludf.DUMMYFUNCTION("CONCATENATE(GOOGLETRANSLATE(B232, ""en"", ""ja""))"),"カートアイテム")</f>
        <v>カートアイテム</v>
      </c>
    </row>
    <row r="233" ht="15.75" customHeight="1">
      <c r="A233" s="1" t="s">
        <v>464</v>
      </c>
      <c r="B233" s="1" t="s">
        <v>465</v>
      </c>
      <c r="C233" s="1" t="str">
        <f>IFERROR(__xludf.DUMMYFUNCTION("CONCATENATE(GOOGLETRANSLATE(B233, ""en"", ""zh-cn""))"),"1.我的购物车")</f>
        <v>1.我的购物车</v>
      </c>
      <c r="D233" s="1" t="str">
        <f>IFERROR(__xludf.DUMMYFUNCTION("CONCATENATE(GOOGLETRANSLATE(B233, ""en"", ""ko""))"),"1. 내 장바구니")</f>
        <v>1. 내 장바구니</v>
      </c>
      <c r="E233" s="2" t="str">
        <f>IFERROR(__xludf.DUMMYFUNCTION("CONCATENATE(GOOGLETRANSLATE(B233, ""en"", ""ja""))"),"1. マイカート")</f>
        <v>1. マイカート</v>
      </c>
    </row>
    <row r="234" ht="15.75" customHeight="1">
      <c r="A234" s="1" t="s">
        <v>466</v>
      </c>
      <c r="B234" s="1" t="s">
        <v>467</v>
      </c>
      <c r="C234" s="1" t="str">
        <f>IFERROR(__xludf.DUMMYFUNCTION("CONCATENATE(GOOGLETRANSLATE(B234, ""en"", ""zh-cn""))"),"查看购物车")</f>
        <v>查看购物车</v>
      </c>
      <c r="D234" s="1" t="str">
        <f>IFERROR(__xludf.DUMMYFUNCTION("CONCATENATE(GOOGLETRANSLATE(B234, ""en"", ""ko""))"),"장바구니 보기")</f>
        <v>장바구니 보기</v>
      </c>
      <c r="E234" s="2" t="str">
        <f>IFERROR(__xludf.DUMMYFUNCTION("CONCATENATE(GOOGLETRANSLATE(B234, ""en"", ""ja""))"),"カートを見る")</f>
        <v>カートを見る</v>
      </c>
    </row>
    <row r="235" ht="15.75" customHeight="1">
      <c r="A235" s="1" t="s">
        <v>468</v>
      </c>
      <c r="B235" s="1" t="s">
        <v>469</v>
      </c>
      <c r="C235" s="1" t="str">
        <f>IFERROR(__xludf.DUMMYFUNCTION("CONCATENATE(GOOGLETRANSLATE(B235, ""en"", ""zh-cn""))"),"2. 运输信息")</f>
        <v>2. 运输信息</v>
      </c>
      <c r="D235" s="1" t="str">
        <f>IFERROR(__xludf.DUMMYFUNCTION("CONCATENATE(GOOGLETRANSLATE(B235, ""en"", ""ko""))"),"2. 배송정보")</f>
        <v>2. 배송정보</v>
      </c>
      <c r="E235" s="2" t="str">
        <f>IFERROR(__xludf.DUMMYFUNCTION("CONCATENATE(GOOGLETRANSLATE(B235, ""en"", ""ja""))"),"2. 配送情報")</f>
        <v>2. 配送情報</v>
      </c>
    </row>
    <row r="236" ht="15.75" customHeight="1">
      <c r="A236" s="1" t="s">
        <v>470</v>
      </c>
      <c r="B236" s="1" t="s">
        <v>471</v>
      </c>
      <c r="C236" s="1" t="str">
        <f>IFERROR(__xludf.DUMMYFUNCTION("CONCATENATE(GOOGLETRANSLATE(B236, ""en"", ""zh-cn""))"),"查看")</f>
        <v>查看</v>
      </c>
      <c r="D236" s="1" t="str">
        <f>IFERROR(__xludf.DUMMYFUNCTION("CONCATENATE(GOOGLETRANSLATE(B236, ""en"", ""ko""))"),"점검")</f>
        <v>점검</v>
      </c>
      <c r="E236" s="2" t="str">
        <f>IFERROR(__xludf.DUMMYFUNCTION("CONCATENATE(GOOGLETRANSLATE(B236, ""en"", ""ja""))"),"チェックアウト")</f>
        <v>チェックアウト</v>
      </c>
    </row>
    <row r="237" ht="15.75" customHeight="1">
      <c r="A237" s="1" t="s">
        <v>472</v>
      </c>
      <c r="B237" s="1" t="s">
        <v>473</v>
      </c>
      <c r="C237" s="1" t="str">
        <f>IFERROR(__xludf.DUMMYFUNCTION("CONCATENATE(GOOGLETRANSLATE(B237, ""en"", ""zh-cn""))"),"3. 送货信息")</f>
        <v>3. 送货信息</v>
      </c>
      <c r="D237" s="1" t="str">
        <f>IFERROR(__xludf.DUMMYFUNCTION("CONCATENATE(GOOGLETRANSLATE(B237, ""en"", ""ko""))"),"3. 배송정보")</f>
        <v>3. 배송정보</v>
      </c>
      <c r="E237" s="2" t="str">
        <f>IFERROR(__xludf.DUMMYFUNCTION("CONCATENATE(GOOGLETRANSLATE(B237, ""en"", ""ja""))"),"3. 配送情報")</f>
        <v>3. 配送情報</v>
      </c>
    </row>
    <row r="238" ht="15.75" customHeight="1">
      <c r="A238" s="1" t="s">
        <v>474</v>
      </c>
      <c r="B238" s="1" t="s">
        <v>475</v>
      </c>
      <c r="C238" s="1" t="str">
        <f>IFERROR(__xludf.DUMMYFUNCTION("CONCATENATE(GOOGLETRANSLATE(B238, ""en"", ""zh-cn""))"),"4.付款")</f>
        <v>4.付款</v>
      </c>
      <c r="D238" s="1" t="str">
        <f>IFERROR(__xludf.DUMMYFUNCTION("CONCATENATE(GOOGLETRANSLATE(B238, ""en"", ""ko""))"),"4. 결제")</f>
        <v>4. 결제</v>
      </c>
      <c r="E238" s="2" t="str">
        <f>IFERROR(__xludf.DUMMYFUNCTION("CONCATENATE(GOOGLETRANSLATE(B238, ""en"", ""ja""))"),"4. お支払い")</f>
        <v>4. お支払い</v>
      </c>
    </row>
    <row r="239" ht="15.75" customHeight="1">
      <c r="A239" s="1" t="s">
        <v>476</v>
      </c>
      <c r="B239" s="1" t="s">
        <v>477</v>
      </c>
      <c r="C239" s="1" t="str">
        <f>IFERROR(__xludf.DUMMYFUNCTION("CONCATENATE(GOOGLETRANSLATE(B239, ""en"", ""zh-cn""))"),"5. 确认")</f>
        <v>5. 确认</v>
      </c>
      <c r="D239" s="1" t="str">
        <f>IFERROR(__xludf.DUMMYFUNCTION("CONCATENATE(GOOGLETRANSLATE(B239, ""en"", ""ko""))"),"5. 확인")</f>
        <v>5. 확인</v>
      </c>
      <c r="E239" s="2" t="str">
        <f>IFERROR(__xludf.DUMMYFUNCTION("CONCATENATE(GOOGLETRANSLATE(B239, ""en"", ""ja""))"),"5. 確認")</f>
        <v>5. 確認</v>
      </c>
    </row>
    <row r="240" ht="15.75" customHeight="1">
      <c r="A240" s="1" t="s">
        <v>478</v>
      </c>
      <c r="B240" s="1" t="s">
        <v>479</v>
      </c>
      <c r="C240" s="1" t="str">
        <f>IFERROR(__xludf.DUMMYFUNCTION("CONCATENATE(GOOGLETRANSLATE(B240, ""en"", ""zh-cn""))"),"消除")</f>
        <v>消除</v>
      </c>
      <c r="D240" s="1" t="str">
        <f>IFERROR(__xludf.DUMMYFUNCTION("CONCATENATE(GOOGLETRANSLATE(B240, ""en"", ""ko""))"),"제거하다")</f>
        <v>제거하다</v>
      </c>
      <c r="E240" s="2" t="str">
        <f>IFERROR(__xludf.DUMMYFUNCTION("CONCATENATE(GOOGLETRANSLATE(B240, ""en"", ""ja""))"),"取り除く")</f>
        <v>取り除く</v>
      </c>
    </row>
    <row r="241" ht="15.75" customHeight="1">
      <c r="A241" s="1" t="s">
        <v>480</v>
      </c>
      <c r="B241" s="1" t="s">
        <v>481</v>
      </c>
      <c r="C241" s="1" t="str">
        <f>IFERROR(__xludf.DUMMYFUNCTION("CONCATENATE(GOOGLETRANSLATE(B241, ""en"", ""zh-cn""))"),"返回商店")</f>
        <v>返回商店</v>
      </c>
      <c r="D241" s="1" t="str">
        <f>IFERROR(__xludf.DUMMYFUNCTION("CONCATENATE(GOOGLETRANSLATE(B241, ""en"", ""ko""))"),"상점으로 돌아가기")</f>
        <v>상점으로 돌아가기</v>
      </c>
      <c r="E241" s="2" t="str">
        <f>IFERROR(__xludf.DUMMYFUNCTION("CONCATENATE(GOOGLETRANSLATE(B241, ""en"", ""ja""))"),"ショップに戻る")</f>
        <v>ショップに戻る</v>
      </c>
    </row>
    <row r="242" ht="15.75" customHeight="1">
      <c r="A242" s="1" t="s">
        <v>482</v>
      </c>
      <c r="B242" s="1" t="s">
        <v>483</v>
      </c>
      <c r="C242" s="1" t="str">
        <f>IFERROR(__xludf.DUMMYFUNCTION("CONCATENATE(GOOGLETRANSLATE(B242, ""en"", ""zh-cn""))"),"继续发货")</f>
        <v>继续发货</v>
      </c>
      <c r="D242" s="1" t="str">
        <f>IFERROR(__xludf.DUMMYFUNCTION("CONCATENATE(GOOGLETRANSLATE(B242, ""en"", ""ko""))"),"계속 배송")</f>
        <v>계속 배송</v>
      </c>
      <c r="E242" s="2" t="str">
        <f>IFERROR(__xludf.DUMMYFUNCTION("CONCATENATE(GOOGLETRANSLATE(B242, ""en"", ""ja""))"),"配送に進む")</f>
        <v>配送に進む</v>
      </c>
    </row>
    <row r="243" ht="15.75" customHeight="1">
      <c r="A243" s="1" t="s">
        <v>484</v>
      </c>
      <c r="B243" s="1" t="s">
        <v>485</v>
      </c>
      <c r="C243" s="1" t="str">
        <f>IFERROR(__xludf.DUMMYFUNCTION("CONCATENATE(GOOGLETRANSLATE(B243, ""en"", ""zh-cn""))"),"或者")</f>
        <v>或者</v>
      </c>
      <c r="D243" s="1" t="str">
        <f>IFERROR(__xludf.DUMMYFUNCTION("CONCATENATE(GOOGLETRANSLATE(B243, ""en"", ""ko""))"),"또는")</f>
        <v>또는</v>
      </c>
      <c r="E243" s="2" t="str">
        <f>IFERROR(__xludf.DUMMYFUNCTION("CONCATENATE(GOOGLETRANSLATE(B243, ""en"", ""ja""))"),"または")</f>
        <v>または</v>
      </c>
    </row>
    <row r="244" ht="15.75" customHeight="1">
      <c r="A244" s="1" t="s">
        <v>486</v>
      </c>
      <c r="B244" s="1" t="s">
        <v>487</v>
      </c>
      <c r="C244" s="1" t="str">
        <f>IFERROR(__xludf.DUMMYFUNCTION("CONCATENATE(GOOGLETRANSLATE(B244, ""en"", ""zh-cn""))"),"宾客结账")</f>
        <v>宾客结账</v>
      </c>
      <c r="D244" s="1" t="str">
        <f>IFERROR(__xludf.DUMMYFUNCTION("CONCATENATE(GOOGLETRANSLATE(B244, ""en"", ""ko""))"),"비회원 결제")</f>
        <v>비회원 결제</v>
      </c>
      <c r="E244" s="2" t="str">
        <f>IFERROR(__xludf.DUMMYFUNCTION("CONCATENATE(GOOGLETRANSLATE(B244, ""en"", ""ja""))"),"ゲストチェックアウト")</f>
        <v>ゲストチェックアウト</v>
      </c>
    </row>
    <row r="245" ht="15.75" customHeight="1">
      <c r="A245" s="1" t="s">
        <v>488</v>
      </c>
      <c r="B245" s="1" t="s">
        <v>489</v>
      </c>
      <c r="C245" s="1" t="str">
        <f>IFERROR(__xludf.DUMMYFUNCTION("CONCATENATE(GOOGLETRANSLATE(B245, ""en"", ""zh-cn""))"),"继续查看送货信息")</f>
        <v>继续查看送货信息</v>
      </c>
      <c r="D245" s="1" t="str">
        <f>IFERROR(__xludf.DUMMYFUNCTION("CONCATENATE(GOOGLETRANSLATE(B245, ""en"", ""ko""))"),"배송 정보로 계속")</f>
        <v>배송 정보로 계속</v>
      </c>
      <c r="E245" s="2" t="str">
        <f>IFERROR(__xludf.DUMMYFUNCTION("CONCATENATE(GOOGLETRANSLATE(B245, ""en"", ""ja""))"),"配送情報へ進む")</f>
        <v>配送情報へ進む</v>
      </c>
    </row>
    <row r="246" ht="15.75" customHeight="1">
      <c r="A246" s="1" t="s">
        <v>490</v>
      </c>
      <c r="B246" s="1" t="s">
        <v>491</v>
      </c>
      <c r="C246" s="1" t="str">
        <f>IFERROR(__xludf.DUMMYFUNCTION("CONCATENATE(GOOGLETRANSLATE(B246, ""en"", ""zh-cn""))"),"邮政编码")</f>
        <v>邮政编码</v>
      </c>
      <c r="D246" s="1" t="str">
        <f>IFERROR(__xludf.DUMMYFUNCTION("CONCATENATE(GOOGLETRANSLATE(B246, ""en"", ""ko""))"),"우편번호")</f>
        <v>우편번호</v>
      </c>
      <c r="E246" s="2" t="str">
        <f>IFERROR(__xludf.DUMMYFUNCTION("CONCATENATE(GOOGLETRANSLATE(B246, ""en"", ""ja""))"),"郵便番号")</f>
        <v>郵便番号</v>
      </c>
    </row>
    <row r="247" ht="15.75" customHeight="1">
      <c r="A247" s="1" t="s">
        <v>492</v>
      </c>
      <c r="B247" s="1" t="s">
        <v>493</v>
      </c>
      <c r="C247" s="1" t="str">
        <f>IFERROR(__xludf.DUMMYFUNCTION("CONCATENATE(GOOGLETRANSLATE(B247, ""en"", ""zh-cn""))"),"选择交付类型")</f>
        <v>选择交付类型</v>
      </c>
      <c r="D247" s="1" t="str">
        <f>IFERROR(__xludf.DUMMYFUNCTION("CONCATENATE(GOOGLETRANSLATE(B247, ""en"", ""ko""))"),"배송 유형 선택")</f>
        <v>배송 유형 선택</v>
      </c>
      <c r="E247" s="2" t="str">
        <f>IFERROR(__xludf.DUMMYFUNCTION("CONCATENATE(GOOGLETRANSLATE(B247, ""en"", ""ja""))"),"配送タイプを選択してください")</f>
        <v>配送タイプを選択してください</v>
      </c>
    </row>
    <row r="248" ht="15.75" customHeight="1">
      <c r="A248" s="1" t="s">
        <v>494</v>
      </c>
      <c r="B248" s="1" t="s">
        <v>495</v>
      </c>
      <c r="C248" s="1" t="str">
        <f>IFERROR(__xludf.DUMMYFUNCTION("CONCATENATE(GOOGLETRANSLATE(B248, ""en"", ""zh-cn""))"),"本地取货")</f>
        <v>本地取货</v>
      </c>
      <c r="D248" s="1" t="str">
        <f>IFERROR(__xludf.DUMMYFUNCTION("CONCATENATE(GOOGLETRANSLATE(B248, ""en"", ""ko""))"),"현지 픽업")</f>
        <v>현지 픽업</v>
      </c>
      <c r="E248" s="2" t="str">
        <f>IFERROR(__xludf.DUMMYFUNCTION("CONCATENATE(GOOGLETRANSLATE(B248, ""en"", ""ja""))"),"ローカルピックアップ")</f>
        <v>ローカルピックアップ</v>
      </c>
    </row>
    <row r="249" ht="15.75" customHeight="1">
      <c r="A249" s="1" t="s">
        <v>496</v>
      </c>
      <c r="B249" s="1" t="s">
        <v>497</v>
      </c>
      <c r="C249" s="1" t="str">
        <f>IFERROR(__xludf.DUMMYFUNCTION("CONCATENATE(GOOGLETRANSLATE(B249, ""en"", ""zh-cn""))"),"选择您最近的接送点")</f>
        <v>选择您最近的接送点</v>
      </c>
      <c r="D249" s="1" t="str">
        <f>IFERROR(__xludf.DUMMYFUNCTION("CONCATENATE(GOOGLETRANSLATE(B249, ""en"", ""ko""))"),"가장 가까운 픽업 지점을 선택하세요")</f>
        <v>가장 가까운 픽업 지점을 선택하세요</v>
      </c>
      <c r="E249" s="2" t="str">
        <f>IFERROR(__xludf.DUMMYFUNCTION("CONCATENATE(GOOGLETRANSLATE(B249, ""en"", ""ja""))"),"最寄りの受け取り場所を選択してください")</f>
        <v>最寄りの受け取り場所を選択してください</v>
      </c>
    </row>
    <row r="250" ht="15.75" customHeight="1">
      <c r="A250" s="1" t="s">
        <v>498</v>
      </c>
      <c r="B250" s="1" t="s">
        <v>499</v>
      </c>
      <c r="C250" s="1" t="str">
        <f>IFERROR(__xludf.DUMMYFUNCTION("CONCATENATE(GOOGLETRANSLATE(B250, ""en"", ""zh-cn""))"),"继续付款")</f>
        <v>继续付款</v>
      </c>
      <c r="D250" s="1" t="str">
        <f>IFERROR(__xludf.DUMMYFUNCTION("CONCATENATE(GOOGLETRANSLATE(B250, ""en"", ""ko""))"),"결제 계속")</f>
        <v>결제 계속</v>
      </c>
      <c r="E250" s="2" t="str">
        <f>IFERROR(__xludf.DUMMYFUNCTION("CONCATENATE(GOOGLETRANSLATE(B250, ""en"", ""ja""))"),"支払いに進む")</f>
        <v>支払いに進む</v>
      </c>
    </row>
    <row r="251" ht="15.75" customHeight="1">
      <c r="A251" s="1" t="s">
        <v>500</v>
      </c>
      <c r="B251" s="1" t="s">
        <v>501</v>
      </c>
      <c r="C251" s="1" t="str">
        <f>IFERROR(__xludf.DUMMYFUNCTION("CONCATENATE(GOOGLETRANSLATE(B251, ""en"", ""zh-cn""))"),"选择付款方式")</f>
        <v>选择付款方式</v>
      </c>
      <c r="D251" s="1" t="str">
        <f>IFERROR(__xludf.DUMMYFUNCTION("CONCATENATE(GOOGLETRANSLATE(B251, ""en"", ""ko""))"),"결제 옵션을 선택하세요")</f>
        <v>결제 옵션을 선택하세요</v>
      </c>
      <c r="E251" s="2" t="str">
        <f>IFERROR(__xludf.DUMMYFUNCTION("CONCATENATE(GOOGLETRANSLATE(B251, ""en"", ""ja""))"),"支払いオプションを選択してください")</f>
        <v>支払いオプションを選択してください</v>
      </c>
    </row>
    <row r="252" ht="15.75" customHeight="1">
      <c r="A252" s="1" t="s">
        <v>502</v>
      </c>
      <c r="B252" s="1" t="s">
        <v>503</v>
      </c>
      <c r="C252" s="1" t="str">
        <f>IFERROR(__xludf.DUMMYFUNCTION("CONCATENATE(GOOGLETRANSLATE(B252, ""en"", ""zh-cn""))"),"剃须刀支付")</f>
        <v>剃须刀支付</v>
      </c>
      <c r="D252" s="1" t="str">
        <f>IFERROR(__xludf.DUMMYFUNCTION("CONCATENATE(GOOGLETRANSLATE(B252, ""en"", ""ko""))"),"레이저페이")</f>
        <v>레이저페이</v>
      </c>
      <c r="E252" s="2" t="str">
        <f>IFERROR(__xludf.DUMMYFUNCTION("CONCATENATE(GOOGLETRANSLATE(B252, ""en"", ""ja""))"),"カミソリペイ")</f>
        <v>カミソリペイ</v>
      </c>
    </row>
    <row r="253" ht="15.75" customHeight="1">
      <c r="A253" s="1" t="s">
        <v>504</v>
      </c>
      <c r="B253" s="1" t="s">
        <v>505</v>
      </c>
      <c r="C253" s="1" t="str">
        <f>IFERROR(__xludf.DUMMYFUNCTION("CONCATENATE(GOOGLETRANSLATE(B253, ""en"", ""zh-cn""))"),"支付宝")</f>
        <v>支付宝</v>
      </c>
      <c r="D253" s="1" t="str">
        <f>IFERROR(__xludf.DUMMYFUNCTION("CONCATENATE(GOOGLETRANSLATE(B253, ""en"", ""ko""))"),"급여")</f>
        <v>급여</v>
      </c>
      <c r="E253" s="2" t="str">
        <f>IFERROR(__xludf.DUMMYFUNCTION("CONCATENATE(GOOGLETRANSLATE(B253, ""en"", ""ja""))"),"給与スタック")</f>
        <v>給与スタック</v>
      </c>
    </row>
    <row r="254" ht="15.75" customHeight="1">
      <c r="A254" s="1" t="s">
        <v>506</v>
      </c>
      <c r="B254" s="1" t="s">
        <v>507</v>
      </c>
      <c r="C254" s="1" t="str">
        <f>IFERROR(__xludf.DUMMYFUNCTION("CONCATENATE(GOOGLETRANSLATE(B254, ""en"", ""zh-cn""))"),"时尚支付")</f>
        <v>时尚支付</v>
      </c>
      <c r="D254" s="1" t="str">
        <f>IFERROR(__xludf.DUMMYFUNCTION("CONCATENATE(GOOGLETRANSLATE(B254, ""en"", ""ko""))"),"보그페이")</f>
        <v>보그페이</v>
      </c>
      <c r="E254" s="2" t="str">
        <f>IFERROR(__xludf.DUMMYFUNCTION("CONCATENATE(GOOGLETRANSLATE(B254, ""en"", ""ja""))"),"ヴォーグペイ")</f>
        <v>ヴォーグペイ</v>
      </c>
    </row>
    <row r="255" ht="15.75" customHeight="1">
      <c r="A255" s="1" t="s">
        <v>508</v>
      </c>
      <c r="B255" s="1" t="s">
        <v>508</v>
      </c>
      <c r="C255" s="1" t="str">
        <f>IFERROR(__xludf.DUMMYFUNCTION("CONCATENATE(GOOGLETRANSLATE(B255, ""en"", ""zh-cn""))"),"这儿付款")</f>
        <v>这儿付款</v>
      </c>
      <c r="D255" s="1" t="str">
        <f>IFERROR(__xludf.DUMMYFUNCTION("CONCATENATE(GOOGLETRANSLATE(B255, ""en"", ""ko""))"),"여기에서 지불하세요")</f>
        <v>여기에서 지불하세요</v>
      </c>
      <c r="E255" s="2" t="str">
        <f>IFERROR(__xludf.DUMMYFUNCTION("CONCATENATE(GOOGLETRANSLATE(B255, ""en"", ""ja""))"),"お会計")</f>
        <v>お会計</v>
      </c>
    </row>
    <row r="256" ht="15.75" customHeight="1">
      <c r="A256" s="1" t="s">
        <v>509</v>
      </c>
      <c r="B256" s="1" t="s">
        <v>509</v>
      </c>
      <c r="C256" s="1" t="str">
        <f>IFERROR(__xludf.DUMMYFUNCTION("CONCATENATE(GOOGLETRANSLATE(B256, ""en"", ""zh-cn""))"),"恩天才")</f>
        <v>恩天才</v>
      </c>
      <c r="D256" s="1" t="str">
        <f>IFERROR(__xludf.DUMMYFUNCTION("CONCATENATE(GOOGLETRANSLATE(B256, ""en"", ""ko""))"),"엔게니우스")</f>
        <v>엔게니우스</v>
      </c>
      <c r="E256" s="2" t="str">
        <f>IFERROR(__xludf.DUMMYFUNCTION("CONCATENATE(GOOGLETRANSLATE(B256, ""en"", ""ja""))"),"天才")</f>
        <v>天才</v>
      </c>
    </row>
    <row r="257" ht="15.75" customHeight="1">
      <c r="A257" s="1" t="s">
        <v>510</v>
      </c>
      <c r="B257" s="1" t="s">
        <v>511</v>
      </c>
      <c r="C257" s="1" t="str">
        <f>IFERROR(__xludf.DUMMYFUNCTION("CONCATENATE(GOOGLETRANSLATE(B257, ""en"", ""zh-cn""))"),"支付宝")</f>
        <v>支付宝</v>
      </c>
      <c r="D257" s="1" t="str">
        <f>IFERROR(__xludf.DUMMYFUNCTION("CONCATENATE(GOOGLETRANSLATE(B257, ""en"", ""ko""))"),"지불")</f>
        <v>지불</v>
      </c>
      <c r="E257" s="2" t="str">
        <f>IFERROR(__xludf.DUMMYFUNCTION("CONCATENATE(GOOGLETRANSLATE(B257, ""en"", ""ja""))"),"Paytm")</f>
        <v>Paytm</v>
      </c>
    </row>
    <row r="258" ht="15.75" customHeight="1">
      <c r="A258" s="1" t="s">
        <v>512</v>
      </c>
      <c r="B258" s="1" t="s">
        <v>513</v>
      </c>
      <c r="C258" s="1" t="str">
        <f>IFERROR(__xludf.DUMMYFUNCTION("CONCATENATE(GOOGLETRANSLATE(B258, ""en"", ""zh-cn""))"),"货到付款")</f>
        <v>货到付款</v>
      </c>
      <c r="D258" s="1" t="str">
        <f>IFERROR(__xludf.DUMMYFUNCTION("CONCATENATE(GOOGLETRANSLATE(B258, ""en"", ""ko""))"),"대금 상환")</f>
        <v>대금 상환</v>
      </c>
      <c r="E258" s="2" t="str">
        <f>IFERROR(__xludf.DUMMYFUNCTION("CONCATENATE(GOOGLETRANSLATE(B258, ""en"", ""ja""))"),"代金引換")</f>
        <v>代金引換</v>
      </c>
    </row>
    <row r="259" ht="15.75" customHeight="1">
      <c r="A259" s="1" t="s">
        <v>514</v>
      </c>
      <c r="B259" s="1" t="s">
        <v>515</v>
      </c>
      <c r="C259" s="1" t="str">
        <f>IFERROR(__xludf.DUMMYFUNCTION("CONCATENATE(GOOGLETRANSLATE(B259, ""en"", ""zh-cn""))"),"您的钱包余额：")</f>
        <v>您的钱包余额：</v>
      </c>
      <c r="D259" s="1" t="str">
        <f>IFERROR(__xludf.DUMMYFUNCTION("CONCATENATE(GOOGLETRANSLATE(B259, ""en"", ""ko""))"),"귀하의 지갑 잔액:")</f>
        <v>귀하의 지갑 잔액:</v>
      </c>
      <c r="E259" s="2" t="str">
        <f>IFERROR(__xludf.DUMMYFUNCTION("CONCATENATE(GOOGLETRANSLATE(B259, ""en"", ""ja""))"),"ウォレットの残高:")</f>
        <v>ウォレットの残高:</v>
      </c>
    </row>
    <row r="260" ht="15.75" customHeight="1">
      <c r="A260" s="1" t="s">
        <v>516</v>
      </c>
      <c r="B260" s="1" t="s">
        <v>517</v>
      </c>
      <c r="C260" s="1" t="str">
        <f>IFERROR(__xludf.DUMMYFUNCTION("CONCATENATE(GOOGLETRANSLATE(B260, ""en"", ""zh-cn""))"),"余额不足")</f>
        <v>余额不足</v>
      </c>
      <c r="D260" s="1" t="str">
        <f>IFERROR(__xludf.DUMMYFUNCTION("CONCATENATE(GOOGLETRANSLATE(B260, ""en"", ""ko""))"),"잔액 부족")</f>
        <v>잔액 부족</v>
      </c>
      <c r="E260" s="2" t="str">
        <f>IFERROR(__xludf.DUMMYFUNCTION("CONCATENATE(GOOGLETRANSLATE(B260, ""en"", ""ja""))"),"残高不足")</f>
        <v>残高不足</v>
      </c>
    </row>
    <row r="261" ht="15.75" customHeight="1">
      <c r="A261" s="1" t="s">
        <v>518</v>
      </c>
      <c r="B261" s="1" t="s">
        <v>519</v>
      </c>
      <c r="C261" s="1" t="str">
        <f>IFERROR(__xludf.DUMMYFUNCTION("CONCATENATE(GOOGLETRANSLATE(B261, ""en"", ""zh-cn""))"),"我同意")</f>
        <v>我同意</v>
      </c>
      <c r="D261" s="1" t="str">
        <f>IFERROR(__xludf.DUMMYFUNCTION("CONCATENATE(GOOGLETRANSLATE(B261, ""en"", ""ko""))"),"나는 다음에 동의한다.")</f>
        <v>나는 다음에 동의한다.</v>
      </c>
      <c r="E261" s="2" t="str">
        <f>IFERROR(__xludf.DUMMYFUNCTION("CONCATENATE(GOOGLETRANSLATE(B261, ""en"", ""ja""))"),"に同意します")</f>
        <v>に同意します</v>
      </c>
    </row>
    <row r="262" ht="15.75" customHeight="1">
      <c r="A262" s="1" t="s">
        <v>520</v>
      </c>
      <c r="B262" s="1" t="s">
        <v>521</v>
      </c>
      <c r="C262" s="1" t="str">
        <f>IFERROR(__xludf.DUMMYFUNCTION("CONCATENATE(GOOGLETRANSLATE(B262, ""en"", ""zh-cn""))"),"完成订单")</f>
        <v>完成订单</v>
      </c>
      <c r="D262" s="1" t="str">
        <f>IFERROR(__xludf.DUMMYFUNCTION("CONCATENATE(GOOGLETRANSLATE(B262, ""en"", ""ko""))"),"주문 완료")</f>
        <v>주문 완료</v>
      </c>
      <c r="E262" s="2" t="str">
        <f>IFERROR(__xludf.DUMMYFUNCTION("CONCATENATE(GOOGLETRANSLATE(B262, ""en"", ""ja""))"),"注文を完了する")</f>
        <v>注文を完了する</v>
      </c>
    </row>
    <row r="263" ht="15.75" customHeight="1">
      <c r="A263" s="1" t="s">
        <v>522</v>
      </c>
      <c r="B263" s="1" t="s">
        <v>523</v>
      </c>
      <c r="C263" s="1" t="str">
        <f>IFERROR(__xludf.DUMMYFUNCTION("CONCATENATE(GOOGLETRANSLATE(B263, ""en"", ""zh-cn""))"),"概括")</f>
        <v>概括</v>
      </c>
      <c r="D263" s="1" t="str">
        <f>IFERROR(__xludf.DUMMYFUNCTION("CONCATENATE(GOOGLETRANSLATE(B263, ""en"", ""ko""))"),"요약")</f>
        <v>요약</v>
      </c>
      <c r="E263" s="2" t="str">
        <f>IFERROR(__xludf.DUMMYFUNCTION("CONCATENATE(GOOGLETRANSLATE(B263, ""en"", ""ja""))"),"まとめ")</f>
        <v>まとめ</v>
      </c>
    </row>
    <row r="264" ht="15.75" customHeight="1">
      <c r="A264" s="1" t="s">
        <v>524</v>
      </c>
      <c r="B264" s="1" t="s">
        <v>525</v>
      </c>
      <c r="C264" s="1" t="str">
        <f>IFERROR(__xludf.DUMMYFUNCTION("CONCATENATE(GOOGLETRANSLATE(B264, ""en"", ""zh-cn""))"),"项目")</f>
        <v>项目</v>
      </c>
      <c r="D264" s="1" t="str">
        <f>IFERROR(__xludf.DUMMYFUNCTION("CONCATENATE(GOOGLETRANSLATE(B264, ""en"", ""ko""))"),"품목")</f>
        <v>품목</v>
      </c>
      <c r="E264" s="2" t="str">
        <f>IFERROR(__xludf.DUMMYFUNCTION("CONCATENATE(GOOGLETRANSLATE(B264, ""en"", ""ja""))"),"アイテム")</f>
        <v>アイテム</v>
      </c>
    </row>
    <row r="265" ht="15.75" customHeight="1">
      <c r="A265" s="1" t="s">
        <v>526</v>
      </c>
      <c r="B265" s="1" t="s">
        <v>527</v>
      </c>
      <c r="C265" s="1" t="str">
        <f>IFERROR(__xludf.DUMMYFUNCTION("CONCATENATE(GOOGLETRANSLATE(B265, ""en"", ""zh-cn""))"),"俱乐部总积分")</f>
        <v>俱乐部总积分</v>
      </c>
      <c r="D265" s="1" t="str">
        <f>IFERROR(__xludf.DUMMYFUNCTION("CONCATENATE(GOOGLETRANSLATE(B265, ""en"", ""ko""))"),"총 클럽 포인트")</f>
        <v>총 클럽 포인트</v>
      </c>
      <c r="E265" s="2" t="str">
        <f>IFERROR(__xludf.DUMMYFUNCTION("CONCATENATE(GOOGLETRANSLATE(B265, ""en"", ""ja""))"),"クラブポイント合計")</f>
        <v>クラブポイント合計</v>
      </c>
    </row>
    <row r="266" ht="15.75" customHeight="1">
      <c r="A266" s="1" t="s">
        <v>528</v>
      </c>
      <c r="B266" s="1" t="s">
        <v>529</v>
      </c>
      <c r="C266" s="1" t="str">
        <f>IFERROR(__xludf.DUMMYFUNCTION("CONCATENATE(GOOGLETRANSLATE(B266, ""en"", ""zh-cn""))"),"总运费")</f>
        <v>总运费</v>
      </c>
      <c r="D266" s="1" t="str">
        <f>IFERROR(__xludf.DUMMYFUNCTION("CONCATENATE(GOOGLETRANSLATE(B266, ""en"", ""ko""))"),"총 배송비")</f>
        <v>총 배송비</v>
      </c>
      <c r="E266" s="2" t="str">
        <f>IFERROR(__xludf.DUMMYFUNCTION("CONCATENATE(GOOGLETRANSLATE(B266, ""en"", ""ja""))"),"送料総額")</f>
        <v>送料総額</v>
      </c>
    </row>
    <row r="267" ht="15.75" customHeight="1">
      <c r="A267" s="1" t="s">
        <v>530</v>
      </c>
      <c r="B267" s="1" t="s">
        <v>531</v>
      </c>
      <c r="C267" s="1" t="str">
        <f>IFERROR(__xludf.DUMMYFUNCTION("CONCATENATE(GOOGLETRANSLATE(B267, ""en"", ""zh-cn""))"),"有优惠券代码吗？在此输入")</f>
        <v>有优惠券代码吗？在此输入</v>
      </c>
      <c r="D267" s="1" t="str">
        <f>IFERROR(__xludf.DUMMYFUNCTION("CONCATENATE(GOOGLETRANSLATE(B267, ""en"", ""ko""))"),"쿠폰 코드가 있나요? 여기에 입력하세요")</f>
        <v>쿠폰 코드가 있나요? 여기에 입력하세요</v>
      </c>
      <c r="E267" s="2" t="str">
        <f>IFERROR(__xludf.DUMMYFUNCTION("CONCATENATE(GOOGLETRANSLATE(B267, ""en"", ""ja""))"),"クーポンコードをお持ちですか?ここに入力してください")</f>
        <v>クーポンコードをお持ちですか?ここに入力してください</v>
      </c>
    </row>
    <row r="268" ht="15.75" customHeight="1">
      <c r="A268" s="1" t="s">
        <v>532</v>
      </c>
      <c r="B268" s="1" t="s">
        <v>533</v>
      </c>
      <c r="C268" s="1" t="str">
        <f>IFERROR(__xludf.DUMMYFUNCTION("CONCATENATE(GOOGLETRANSLATE(B268, ""en"", ""zh-cn""))"),"申请")</f>
        <v>申请</v>
      </c>
      <c r="D268" s="1" t="str">
        <f>IFERROR(__xludf.DUMMYFUNCTION("CONCATENATE(GOOGLETRANSLATE(B268, ""en"", ""ko""))"),"적용하다")</f>
        <v>적용하다</v>
      </c>
      <c r="E268" s="2" t="str">
        <f>IFERROR(__xludf.DUMMYFUNCTION("CONCATENATE(GOOGLETRANSLATE(B268, ""en"", ""ja""))"),"適用する")</f>
        <v>適用する</v>
      </c>
    </row>
    <row r="269" ht="15.75" customHeight="1">
      <c r="A269" s="1" t="s">
        <v>534</v>
      </c>
      <c r="B269" s="1" t="s">
        <v>535</v>
      </c>
      <c r="C269" s="1" t="str">
        <f>IFERROR(__xludf.DUMMYFUNCTION("CONCATENATE(GOOGLETRANSLATE(B269, ""en"", ""zh-cn""))"),"您需要同意我们的政策")</f>
        <v>您需要同意我们的政策</v>
      </c>
      <c r="D269" s="1" t="str">
        <f>IFERROR(__xludf.DUMMYFUNCTION("CONCATENATE(GOOGLETRANSLATE(B269, ""en"", ""ko""))"),"우리 정책에 동의해야 합니다.")</f>
        <v>우리 정책에 동의해야 합니다.</v>
      </c>
      <c r="E269" s="2" t="str">
        <f>IFERROR(__xludf.DUMMYFUNCTION("CONCATENATE(GOOGLETRANSLATE(B269, ""en"", ""ja""))"),"当社のポリシーに同意する必要があります")</f>
        <v>当社のポリシーに同意する必要があります</v>
      </c>
    </row>
    <row r="270" ht="15.75" customHeight="1">
      <c r="A270" s="1" t="s">
        <v>536</v>
      </c>
      <c r="B270" s="1" t="s">
        <v>537</v>
      </c>
      <c r="C270" s="1" t="str">
        <f>IFERROR(__xludf.DUMMYFUNCTION("CONCATENATE(GOOGLETRANSLATE(B270, ""en"", ""zh-cn""))"),"忘记密码")</f>
        <v>忘记密码</v>
      </c>
      <c r="D270" s="1" t="str">
        <f>IFERROR(__xludf.DUMMYFUNCTION("CONCATENATE(GOOGLETRANSLATE(B270, ""en"", ""ko""))"),"비밀번호를 잊으셨나요?")</f>
        <v>비밀번호를 잊으셨나요?</v>
      </c>
      <c r="E270" s="2" t="str">
        <f>IFERROR(__xludf.DUMMYFUNCTION("CONCATENATE(GOOGLETRANSLATE(B270, ""en"", ""ja""))"),"パスワードをお忘れですか")</f>
        <v>パスワードをお忘れですか</v>
      </c>
    </row>
    <row r="271" ht="15.75" customHeight="1">
      <c r="A271" s="1" t="s">
        <v>538</v>
      </c>
      <c r="B271" s="1" t="s">
        <v>539</v>
      </c>
      <c r="C271" s="1" t="str">
        <f>IFERROR(__xludf.DUMMYFUNCTION("CONCATENATE(GOOGLETRANSLATE(B271, ""en"", ""zh-cn""))"),"搜索引擎优化设置")</f>
        <v>搜索引擎优化设置</v>
      </c>
      <c r="D271" s="1" t="str">
        <f>IFERROR(__xludf.DUMMYFUNCTION("CONCATENATE(GOOGLETRANSLATE(B271, ""en"", ""ko""))"),"SEO 설정")</f>
        <v>SEO 설정</v>
      </c>
      <c r="E271" s="2" t="str">
        <f>IFERROR(__xludf.DUMMYFUNCTION("CONCATENATE(GOOGLETRANSLATE(B271, ""en"", ""ja""))"),"SEO設定")</f>
        <v>SEO設定</v>
      </c>
    </row>
    <row r="272" ht="15.75" customHeight="1">
      <c r="A272" s="1" t="s">
        <v>540</v>
      </c>
      <c r="B272" s="1" t="s">
        <v>541</v>
      </c>
      <c r="C272" s="1" t="str">
        <f>IFERROR(__xludf.DUMMYFUNCTION("CONCATENATE(GOOGLETRANSLATE(B272, ""en"", ""zh-cn""))"),"系统更新")</f>
        <v>系统更新</v>
      </c>
      <c r="D272" s="1" t="str">
        <f>IFERROR(__xludf.DUMMYFUNCTION("CONCATENATE(GOOGLETRANSLATE(B272, ""en"", ""ko""))"),"시스템 업데이트")</f>
        <v>시스템 업데이트</v>
      </c>
      <c r="E272" s="2" t="str">
        <f>IFERROR(__xludf.DUMMYFUNCTION("CONCATENATE(GOOGLETRANSLATE(B272, ""en"", ""ja""))"),"システムアップデート")</f>
        <v>システムアップデート</v>
      </c>
    </row>
    <row r="273" ht="15.75" customHeight="1">
      <c r="A273" s="1" t="s">
        <v>542</v>
      </c>
      <c r="B273" s="1" t="s">
        <v>543</v>
      </c>
      <c r="C273" s="1" t="str">
        <f>IFERROR(__xludf.DUMMYFUNCTION("CONCATENATE(GOOGLETRANSLATE(B273, ""en"", ""zh-cn""))"),"添加新的付款方式")</f>
        <v>添加新的付款方式</v>
      </c>
      <c r="D273" s="1" t="str">
        <f>IFERROR(__xludf.DUMMYFUNCTION("CONCATENATE(GOOGLETRANSLATE(B273, ""en"", ""ko""))"),"새 결제 수단 추가")</f>
        <v>새 결제 수단 추가</v>
      </c>
      <c r="E273" s="2" t="str">
        <f>IFERROR(__xludf.DUMMYFUNCTION("CONCATENATE(GOOGLETRANSLATE(B273, ""en"", ""ja""))"),"新しい支払い方法を追加")</f>
        <v>新しい支払い方法を追加</v>
      </c>
    </row>
    <row r="274" ht="15.75" customHeight="1">
      <c r="A274" s="1" t="s">
        <v>544</v>
      </c>
      <c r="B274" s="1" t="s">
        <v>545</v>
      </c>
      <c r="C274" s="1" t="str">
        <f>IFERROR(__xludf.DUMMYFUNCTION("CONCATENATE(GOOGLETRANSLATE(B274, ""en"", ""zh-cn""))"),"手动付款方式")</f>
        <v>手动付款方式</v>
      </c>
      <c r="D274" s="1" t="str">
        <f>IFERROR(__xludf.DUMMYFUNCTION("CONCATENATE(GOOGLETRANSLATE(B274, ""en"", ""ko""))"),"수동 결제 방법")</f>
        <v>수동 결제 방법</v>
      </c>
      <c r="E274" s="2" t="str">
        <f>IFERROR(__xludf.DUMMYFUNCTION("CONCATENATE(GOOGLETRANSLATE(B274, ""en"", ""ja""))"),"手動支払い方法")</f>
        <v>手動支払い方法</v>
      </c>
    </row>
    <row r="275" ht="15.75" customHeight="1">
      <c r="A275" s="1" t="s">
        <v>546</v>
      </c>
      <c r="B275" s="1" t="s">
        <v>547</v>
      </c>
      <c r="C275" s="1" t="str">
        <f>IFERROR(__xludf.DUMMYFUNCTION("CONCATENATE(GOOGLETRANSLATE(B275, ""en"", ""zh-cn""))"),"标题")</f>
        <v>标题</v>
      </c>
      <c r="D275" s="1" t="str">
        <f>IFERROR(__xludf.DUMMYFUNCTION("CONCATENATE(GOOGLETRANSLATE(B275, ""en"", ""ko""))"),"표제")</f>
        <v>표제</v>
      </c>
      <c r="E275" s="2" t="str">
        <f>IFERROR(__xludf.DUMMYFUNCTION("CONCATENATE(GOOGLETRANSLATE(B275, ""en"", ""ja""))"),"見出し")</f>
        <v>見出し</v>
      </c>
    </row>
    <row r="276" ht="15.75" customHeight="1">
      <c r="A276" s="1" t="s">
        <v>548</v>
      </c>
      <c r="B276" s="1" t="s">
        <v>549</v>
      </c>
      <c r="C276" s="1" t="str">
        <f>IFERROR(__xludf.DUMMYFUNCTION("CONCATENATE(GOOGLETRANSLATE(B276, ""en"", ""zh-cn""))"),"标识")</f>
        <v>标识</v>
      </c>
      <c r="D276" s="1" t="str">
        <f>IFERROR(__xludf.DUMMYFUNCTION("CONCATENATE(GOOGLETRANSLATE(B276, ""en"", ""ko""))"),"심벌 마크")</f>
        <v>심벌 마크</v>
      </c>
      <c r="E276" s="2" t="str">
        <f>IFERROR(__xludf.DUMMYFUNCTION("CONCATENATE(GOOGLETRANSLATE(B276, ""en"", ""ja""))"),"ロゴ")</f>
        <v>ロゴ</v>
      </c>
    </row>
    <row r="277" ht="15.75" customHeight="1">
      <c r="A277" s="1" t="s">
        <v>550</v>
      </c>
      <c r="B277" s="1" t="s">
        <v>551</v>
      </c>
      <c r="C277" s="1" t="str">
        <f>IFERROR(__xludf.DUMMYFUNCTION("CONCATENATE(GOOGLETRANSLATE(B277, ""en"", ""zh-cn""))"),"手动付款信息")</f>
        <v>手动付款信息</v>
      </c>
      <c r="D277" s="1" t="str">
        <f>IFERROR(__xludf.DUMMYFUNCTION("CONCATENATE(GOOGLETRANSLATE(B277, ""en"", ""ko""))"),"수동 결제 정보")</f>
        <v>수동 결제 정보</v>
      </c>
      <c r="E277" s="2" t="str">
        <f>IFERROR(__xludf.DUMMYFUNCTION("CONCATENATE(GOOGLETRANSLATE(B277, ""en"", ""ja""))"),"手動支払い情報")</f>
        <v>手動支払い情報</v>
      </c>
    </row>
    <row r="278" ht="15.75" customHeight="1">
      <c r="A278" s="1" t="s">
        <v>552</v>
      </c>
      <c r="B278" s="1" t="s">
        <v>553</v>
      </c>
      <c r="C278" s="1" t="str">
        <f>IFERROR(__xludf.DUMMYFUNCTION("CONCATENATE(GOOGLETRANSLATE(B278, ""en"", ""zh-cn""))"),"类型")</f>
        <v>类型</v>
      </c>
      <c r="D278" s="1" t="str">
        <f>IFERROR(__xludf.DUMMYFUNCTION("CONCATENATE(GOOGLETRANSLATE(B278, ""en"", ""ko""))"),"유형")</f>
        <v>유형</v>
      </c>
      <c r="E278" s="2" t="str">
        <f>IFERROR(__xludf.DUMMYFUNCTION("CONCATENATE(GOOGLETRANSLATE(B278, ""en"", ""ja""))"),"タイプ")</f>
        <v>タイプ</v>
      </c>
    </row>
    <row r="279" ht="15.75" customHeight="1">
      <c r="A279" s="1" t="s">
        <v>554</v>
      </c>
      <c r="B279" s="1" t="s">
        <v>555</v>
      </c>
      <c r="C279" s="1" t="str">
        <f>IFERROR(__xludf.DUMMYFUNCTION("CONCATENATE(GOOGLETRANSLATE(B279, ""en"", ""zh-cn""))"),"定制支付")</f>
        <v>定制支付</v>
      </c>
      <c r="D279" s="1" t="str">
        <f>IFERROR(__xludf.DUMMYFUNCTION("CONCATENATE(GOOGLETRANSLATE(B279, ""en"", ""ko""))"),"맞춤 결제")</f>
        <v>맞춤 결제</v>
      </c>
      <c r="E279" s="2" t="str">
        <f>IFERROR(__xludf.DUMMYFUNCTION("CONCATENATE(GOOGLETRANSLATE(B279, ""en"", ""ja""))"),"カスタム支払い")</f>
        <v>カスタム支払い</v>
      </c>
    </row>
    <row r="280" ht="15.75" customHeight="1">
      <c r="A280" s="1" t="s">
        <v>556</v>
      </c>
      <c r="B280" s="1" t="s">
        <v>557</v>
      </c>
      <c r="C280" s="1" t="str">
        <f>IFERROR(__xludf.DUMMYFUNCTION("CONCATENATE(GOOGLETRANSLATE(B280, ""en"", ""zh-cn""))"),"支票付款")</f>
        <v>支票付款</v>
      </c>
      <c r="D280" s="1" t="str">
        <f>IFERROR(__xludf.DUMMYFUNCTION("CONCATENATE(GOOGLETRANSLATE(B280, ""en"", ""ko""))"),"결제 확인")</f>
        <v>결제 확인</v>
      </c>
      <c r="E280" s="2" t="str">
        <f>IFERROR(__xludf.DUMMYFUNCTION("CONCATENATE(GOOGLETRANSLATE(B280, ""en"", ""ja""))"),"支払いの小切手")</f>
        <v>支払いの小切手</v>
      </c>
    </row>
    <row r="281" ht="15.75" customHeight="1">
      <c r="A281" s="1" t="s">
        <v>558</v>
      </c>
      <c r="B281" s="1" t="s">
        <v>559</v>
      </c>
      <c r="C281" s="1" t="str">
        <f>IFERROR(__xludf.DUMMYFUNCTION("CONCATENATE(GOOGLETRANSLATE(B281, ""en"", ""zh-cn""))"),"结账缩略图")</f>
        <v>结账缩略图</v>
      </c>
      <c r="D281" s="1" t="str">
        <f>IFERROR(__xludf.DUMMYFUNCTION("CONCATENATE(GOOGLETRANSLATE(B281, ""en"", ""ko""))"),"결제 썸네일")</f>
        <v>결제 썸네일</v>
      </c>
      <c r="E281" s="2" t="str">
        <f>IFERROR(__xludf.DUMMYFUNCTION("CONCATENATE(GOOGLETRANSLATE(B281, ""en"", ""ja""))"),"チェックアウトのサムネイル")</f>
        <v>チェックアウトのサムネイル</v>
      </c>
    </row>
    <row r="282" ht="15.75" customHeight="1">
      <c r="A282" s="1" t="s">
        <v>560</v>
      </c>
      <c r="B282" s="1" t="s">
        <v>561</v>
      </c>
      <c r="C282" s="1" t="str">
        <f>IFERROR(__xludf.DUMMYFUNCTION("CONCATENATE(GOOGLETRANSLATE(B282, ""en"", ""zh-cn""))"),"付款说明")</f>
        <v>付款说明</v>
      </c>
      <c r="D282" s="1" t="str">
        <f>IFERROR(__xludf.DUMMYFUNCTION("CONCATENATE(GOOGLETRANSLATE(B282, ""en"", ""ko""))"),"결제 안내")</f>
        <v>결제 안내</v>
      </c>
      <c r="E282" s="2" t="str">
        <f>IFERROR(__xludf.DUMMYFUNCTION("CONCATENATE(GOOGLETRANSLATE(B282, ""en"", ""ja""))"),"支払い指示")</f>
        <v>支払い指示</v>
      </c>
    </row>
    <row r="283" ht="15.75" customHeight="1">
      <c r="A283" s="1" t="s">
        <v>562</v>
      </c>
      <c r="B283" s="1" t="s">
        <v>563</v>
      </c>
      <c r="C283" s="1" t="str">
        <f>IFERROR(__xludf.DUMMYFUNCTION("CONCATENATE(GOOGLETRANSLATE(B283, ""en"", ""zh-cn""))"),"银行信息")</f>
        <v>银行信息</v>
      </c>
      <c r="D283" s="1" t="str">
        <f>IFERROR(__xludf.DUMMYFUNCTION("CONCATENATE(GOOGLETRANSLATE(B283, ""en"", ""ko""))"),"은행 정보")</f>
        <v>은행 정보</v>
      </c>
      <c r="E283" s="2" t="str">
        <f>IFERROR(__xludf.DUMMYFUNCTION("CONCATENATE(GOOGLETRANSLATE(B283, ""en"", ""ja""))"),"銀行情報")</f>
        <v>銀行情報</v>
      </c>
    </row>
    <row r="284" ht="15.75" customHeight="1">
      <c r="A284" s="1" t="s">
        <v>564</v>
      </c>
      <c r="B284" s="1" t="s">
        <v>565</v>
      </c>
      <c r="C284" s="1" t="str">
        <f>IFERROR(__xludf.DUMMYFUNCTION("CONCATENATE(GOOGLETRANSLATE(B284, ""en"", ""zh-cn""))"),"选择文件")</f>
        <v>选择文件</v>
      </c>
      <c r="D284" s="1" t="str">
        <f>IFERROR(__xludf.DUMMYFUNCTION("CONCATENATE(GOOGLETRANSLATE(B284, ""en"", ""ko""))"),"파일 선택")</f>
        <v>파일 선택</v>
      </c>
      <c r="E284" s="2" t="str">
        <f>IFERROR(__xludf.DUMMYFUNCTION("CONCATENATE(GOOGLETRANSLATE(B284, ""en"", ""ja""))"),"ファイルの選択")</f>
        <v>ファイルの選択</v>
      </c>
    </row>
    <row r="285" ht="15.75" customHeight="1">
      <c r="A285" s="1" t="s">
        <v>566</v>
      </c>
      <c r="B285" s="1" t="s">
        <v>567</v>
      </c>
      <c r="C285" s="1" t="str">
        <f>IFERROR(__xludf.DUMMYFUNCTION("CONCATENATE(GOOGLETRANSLATE(B285, ""en"", ""zh-cn""))"),"上传新内容")</f>
        <v>上传新内容</v>
      </c>
      <c r="D285" s="1" t="str">
        <f>IFERROR(__xludf.DUMMYFUNCTION("CONCATENATE(GOOGLETRANSLATE(B285, ""en"", ""ko""))"),"새로 업로드")</f>
        <v>새로 업로드</v>
      </c>
      <c r="E285" s="2" t="str">
        <f>IFERROR(__xludf.DUMMYFUNCTION("CONCATENATE(GOOGLETRANSLATE(B285, ""en"", ""ja""))"),"新規アップロード")</f>
        <v>新規アップロード</v>
      </c>
    </row>
    <row r="286" ht="15.75" customHeight="1">
      <c r="A286" s="1" t="s">
        <v>568</v>
      </c>
      <c r="B286" s="1" t="s">
        <v>569</v>
      </c>
      <c r="C286" s="1" t="str">
        <f>IFERROR(__xludf.DUMMYFUNCTION("CONCATENATE(GOOGLETRANSLATE(B286, ""en"", ""zh-cn""))"),"按最新排序")</f>
        <v>按最新排序</v>
      </c>
      <c r="D286" s="1" t="str">
        <f>IFERROR(__xludf.DUMMYFUNCTION("CONCATENATE(GOOGLETRANSLATE(B286, ""en"", ""ko""))"),"최신순으로 정렬")</f>
        <v>최신순으로 정렬</v>
      </c>
      <c r="E286" s="2" t="str">
        <f>IFERROR(__xludf.DUMMYFUNCTION("CONCATENATE(GOOGLETRANSLATE(B286, ""en"", ""ja""))"),"最新順に並べ替える")</f>
        <v>最新順に並べ替える</v>
      </c>
    </row>
    <row r="287" ht="15.75" customHeight="1">
      <c r="A287" s="1" t="s">
        <v>570</v>
      </c>
      <c r="B287" s="1" t="s">
        <v>571</v>
      </c>
      <c r="C287" s="1" t="str">
        <f>IFERROR(__xludf.DUMMYFUNCTION("CONCATENATE(GOOGLETRANSLATE(B287, ""en"", ""zh-cn""))"),"按最旧排序")</f>
        <v>按最旧排序</v>
      </c>
      <c r="D287" s="1" t="str">
        <f>IFERROR(__xludf.DUMMYFUNCTION("CONCATENATE(GOOGLETRANSLATE(B287, ""en"", ""ko""))"),"오래된 순으로 정렬")</f>
        <v>오래된 순으로 정렬</v>
      </c>
      <c r="E287" s="2" t="str">
        <f>IFERROR(__xludf.DUMMYFUNCTION("CONCATENATE(GOOGLETRANSLATE(B287, ""en"", ""ja""))"),"古い順に並べ替える")</f>
        <v>古い順に並べ替える</v>
      </c>
    </row>
    <row r="288" ht="15.75" customHeight="1">
      <c r="A288" s="1" t="s">
        <v>572</v>
      </c>
      <c r="B288" s="1" t="s">
        <v>573</v>
      </c>
      <c r="C288" s="1" t="str">
        <f>IFERROR(__xludf.DUMMYFUNCTION("CONCATENATE(GOOGLETRANSLATE(B288, ""en"", ""zh-cn""))"),"按最小排序")</f>
        <v>按最小排序</v>
      </c>
      <c r="D288" s="1" t="str">
        <f>IFERROR(__xludf.DUMMYFUNCTION("CONCATENATE(GOOGLETRANSLATE(B288, ""en"", ""ko""))"),"가장 작은 것부터 정렬")</f>
        <v>가장 작은 것부터 정렬</v>
      </c>
      <c r="E288" s="2" t="str">
        <f>IFERROR(__xludf.DUMMYFUNCTION("CONCATENATE(GOOGLETRANSLATE(B288, ""en"", ""ja""))"),"小さい順に並べ替える")</f>
        <v>小さい順に並べ替える</v>
      </c>
    </row>
    <row r="289" ht="15.75" customHeight="1">
      <c r="A289" s="1" t="s">
        <v>574</v>
      </c>
      <c r="B289" s="1" t="s">
        <v>575</v>
      </c>
      <c r="C289" s="1" t="str">
        <f>IFERROR(__xludf.DUMMYFUNCTION("CONCATENATE(GOOGLETRANSLATE(B289, ""en"", ""zh-cn""))"),"按最大排序")</f>
        <v>按最大排序</v>
      </c>
      <c r="D289" s="1" t="str">
        <f>IFERROR(__xludf.DUMMYFUNCTION("CONCATENATE(GOOGLETRANSLATE(B289, ""en"", ""ko""))"),"가장 큰 순으로 정렬")</f>
        <v>가장 큰 순으로 정렬</v>
      </c>
      <c r="E289" s="2" t="str">
        <f>IFERROR(__xludf.DUMMYFUNCTION("CONCATENATE(GOOGLETRANSLATE(B289, ""en"", ""ja""))"),"大きい順に並べ替える")</f>
        <v>大きい順に並べ替える</v>
      </c>
    </row>
    <row r="290" ht="15.75" customHeight="1">
      <c r="A290" s="1" t="s">
        <v>576</v>
      </c>
      <c r="B290" s="1" t="s">
        <v>577</v>
      </c>
      <c r="C290" s="1" t="str">
        <f>IFERROR(__xludf.DUMMYFUNCTION("CONCATENATE(GOOGLETRANSLATE(B290, ""en"", ""zh-cn""))"),"仅选定")</f>
        <v>仅选定</v>
      </c>
      <c r="D290" s="1" t="str">
        <f>IFERROR(__xludf.DUMMYFUNCTION("CONCATENATE(GOOGLETRANSLATE(B290, ""en"", ""ko""))"),"선택된 것만")</f>
        <v>선택된 것만</v>
      </c>
      <c r="E290" s="2" t="str">
        <f>IFERROR(__xludf.DUMMYFUNCTION("CONCATENATE(GOOGLETRANSLATE(B290, ""en"", ""ja""))"),"選択されたもののみ")</f>
        <v>選択されたもののみ</v>
      </c>
    </row>
    <row r="291" ht="15.75" customHeight="1">
      <c r="A291" s="1" t="s">
        <v>578</v>
      </c>
      <c r="B291" s="1" t="s">
        <v>579</v>
      </c>
      <c r="C291" s="1" t="str">
        <f>IFERROR(__xludf.DUMMYFUNCTION("CONCATENATE(GOOGLETRANSLATE(B291, ""en"", ""zh-cn""))"),"没有找到文件")</f>
        <v>没有找到文件</v>
      </c>
      <c r="D291" s="1" t="str">
        <f>IFERROR(__xludf.DUMMYFUNCTION("CONCATENATE(GOOGLETRANSLATE(B291, ""en"", ""ko""))"),"파일을 찾을 수 없습니다")</f>
        <v>파일을 찾을 수 없습니다</v>
      </c>
      <c r="E291" s="2" t="str">
        <f>IFERROR(__xludf.DUMMYFUNCTION("CONCATENATE(GOOGLETRANSLATE(B291, ""en"", ""ja""))"),"ファイルが見つかりません")</f>
        <v>ファイルが見つかりません</v>
      </c>
    </row>
    <row r="292" ht="15.75" customHeight="1">
      <c r="A292" s="1" t="s">
        <v>580</v>
      </c>
      <c r="B292" s="1" t="s">
        <v>581</v>
      </c>
      <c r="C292" s="1" t="str">
        <f>IFERROR(__xludf.DUMMYFUNCTION("CONCATENATE(GOOGLETRANSLATE(B292, ""en"", ""zh-cn""))"),"0 已选择文件")</f>
        <v>0 已选择文件</v>
      </c>
      <c r="D292" s="1" t="str">
        <f>IFERROR(__xludf.DUMMYFUNCTION("CONCATENATE(GOOGLETRANSLATE(B292, ""en"", ""ko""))"),"0 파일이 선택되었습니다")</f>
        <v>0 파일이 선택되었습니다</v>
      </c>
      <c r="E292" s="2" t="str">
        <f>IFERROR(__xludf.DUMMYFUNCTION("CONCATENATE(GOOGLETRANSLATE(B292, ""en"", ""ja""))"),"0 ファイルが選択されました")</f>
        <v>0 ファイルが選択されました</v>
      </c>
    </row>
    <row r="293" ht="15.75" customHeight="1">
      <c r="A293" s="1" t="s">
        <v>582</v>
      </c>
      <c r="B293" s="1" t="s">
        <v>583</v>
      </c>
      <c r="C293" s="1" t="str">
        <f>IFERROR(__xludf.DUMMYFUNCTION("CONCATENATE(GOOGLETRANSLATE(B293, ""en"", ""zh-cn""))"),"清除")</f>
        <v>清除</v>
      </c>
      <c r="D293" s="1" t="str">
        <f>IFERROR(__xludf.DUMMYFUNCTION("CONCATENATE(GOOGLETRANSLATE(B293, ""en"", ""ko""))"),"분명한")</f>
        <v>분명한</v>
      </c>
      <c r="E293" s="2" t="str">
        <f>IFERROR(__xludf.DUMMYFUNCTION("CONCATENATE(GOOGLETRANSLATE(B293, ""en"", ""ja""))"),"クリア")</f>
        <v>クリア</v>
      </c>
    </row>
    <row r="294" ht="15.75" customHeight="1">
      <c r="A294" s="1" t="s">
        <v>584</v>
      </c>
      <c r="B294" s="1" t="s">
        <v>585</v>
      </c>
      <c r="C294" s="1" t="str">
        <f>IFERROR(__xludf.DUMMYFUNCTION("CONCATENATE(GOOGLETRANSLATE(B294, ""en"", ""zh-cn""))"),"上一篇")</f>
        <v>上一篇</v>
      </c>
      <c r="D294" s="1" t="str">
        <f>IFERROR(__xludf.DUMMYFUNCTION("CONCATENATE(GOOGLETRANSLATE(B294, ""en"", ""ko""))"),"이전")</f>
        <v>이전</v>
      </c>
      <c r="E294" s="2" t="str">
        <f>IFERROR(__xludf.DUMMYFUNCTION("CONCATENATE(GOOGLETRANSLATE(B294, ""en"", ""ja""))"),"前へ")</f>
        <v>前へ</v>
      </c>
    </row>
    <row r="295" ht="15.75" customHeight="1">
      <c r="A295" s="1" t="s">
        <v>586</v>
      </c>
      <c r="B295" s="1" t="s">
        <v>587</v>
      </c>
      <c r="C295" s="1" t="str">
        <f>IFERROR(__xludf.DUMMYFUNCTION("CONCATENATE(GOOGLETRANSLATE(B295, ""en"", ""zh-cn""))"),"下一个")</f>
        <v>下一个</v>
      </c>
      <c r="D295" s="1" t="str">
        <f>IFERROR(__xludf.DUMMYFUNCTION("CONCATENATE(GOOGLETRANSLATE(B295, ""en"", ""ko""))"),"다음")</f>
        <v>다음</v>
      </c>
      <c r="E295" s="2" t="str">
        <f>IFERROR(__xludf.DUMMYFUNCTION("CONCATENATE(GOOGLETRANSLATE(B295, ""en"", ""ja""))"),"次")</f>
        <v>次</v>
      </c>
    </row>
    <row r="296" ht="15.75" customHeight="1">
      <c r="A296" s="1" t="s">
        <v>588</v>
      </c>
      <c r="B296" s="1" t="s">
        <v>589</v>
      </c>
      <c r="C296" s="1" t="str">
        <f>IFERROR(__xludf.DUMMYFUNCTION("CONCATENATE(GOOGLETRANSLATE(B296, ""en"", ""zh-cn""))"),"添加文件")</f>
        <v>添加文件</v>
      </c>
      <c r="D296" s="1" t="str">
        <f>IFERROR(__xludf.DUMMYFUNCTION("CONCATENATE(GOOGLETRANSLATE(B296, ""en"", ""ko""))"),"파일 추가")</f>
        <v>파일 추가</v>
      </c>
      <c r="E296" s="2" t="str">
        <f>IFERROR(__xludf.DUMMYFUNCTION("CONCATENATE(GOOGLETRANSLATE(B296, ""en"", ""ja""))"),"ファイルの追加")</f>
        <v>ファイルの追加</v>
      </c>
    </row>
    <row r="297" ht="15.75" customHeight="1">
      <c r="A297" s="1" t="s">
        <v>590</v>
      </c>
      <c r="B297" s="1" t="s">
        <v>591</v>
      </c>
      <c r="C297" s="1" t="str">
        <f>IFERROR(__xludf.DUMMYFUNCTION("CONCATENATE(GOOGLETRANSLATE(B297, ""en"", ""zh-cn""))"),"方法已成功插入")</f>
        <v>方法已成功插入</v>
      </c>
      <c r="D297" s="1" t="str">
        <f>IFERROR(__xludf.DUMMYFUNCTION("CONCATENATE(GOOGLETRANSLATE(B297, ""en"", ""ko""))"),"메소드가 성공적으로 삽입되었습니다.")</f>
        <v>메소드가 성공적으로 삽입되었습니다.</v>
      </c>
      <c r="E297" s="2" t="str">
        <f>IFERROR(__xludf.DUMMYFUNCTION("CONCATENATE(GOOGLETRANSLATE(B297, ""en"", ""ja""))"),"メソッドが正常に挿入されました")</f>
        <v>メソッドが正常に挿入されました</v>
      </c>
    </row>
    <row r="298" ht="15.75" customHeight="1">
      <c r="A298" s="1" t="s">
        <v>592</v>
      </c>
      <c r="B298" s="1" t="s">
        <v>593</v>
      </c>
      <c r="C298" s="1" t="str">
        <f>IFERROR(__xludf.DUMMYFUNCTION("CONCATENATE(GOOGLETRANSLATE(B298, ""en"", ""zh-cn""))"),"订购日期")</f>
        <v>订购日期</v>
      </c>
      <c r="D298" s="1" t="str">
        <f>IFERROR(__xludf.DUMMYFUNCTION("CONCATENATE(GOOGLETRANSLATE(B298, ""en"", ""ko""))"),"주문 날짜")</f>
        <v>주문 날짜</v>
      </c>
      <c r="E298" s="2" t="str">
        <f>IFERROR(__xludf.DUMMYFUNCTION("CONCATENATE(GOOGLETRANSLATE(B298, ""en"", ""ja""))"),"注文日")</f>
        <v>注文日</v>
      </c>
    </row>
    <row r="299" ht="15.75" customHeight="1">
      <c r="A299" s="1" t="s">
        <v>594</v>
      </c>
      <c r="B299" s="1" t="s">
        <v>595</v>
      </c>
      <c r="C299" s="1" t="str">
        <f>IFERROR(__xludf.DUMMYFUNCTION("CONCATENATE(GOOGLETRANSLATE(B299, ""en"", ""zh-cn""))"),"记账到")</f>
        <v>记账到</v>
      </c>
      <c r="D299" s="1" t="str">
        <f>IFERROR(__xludf.DUMMYFUNCTION("CONCATENATE(GOOGLETRANSLATE(B299, ""en"", ""ko""))"),"청구 대상")</f>
        <v>청구 대상</v>
      </c>
      <c r="E299" s="2" t="str">
        <f>IFERROR(__xludf.DUMMYFUNCTION("CONCATENATE(GOOGLETRANSLATE(B299, ""en"", ""ja""))"),"請求先")</f>
        <v>請求先</v>
      </c>
    </row>
    <row r="300" ht="15.75" customHeight="1">
      <c r="A300" s="1" t="s">
        <v>596</v>
      </c>
      <c r="B300" s="1" t="s">
        <v>597</v>
      </c>
      <c r="C300" s="1" t="str">
        <f>IFERROR(__xludf.DUMMYFUNCTION("CONCATENATE(GOOGLETRANSLATE(B300, ""en"", ""zh-cn""))"),"小计")</f>
        <v>小计</v>
      </c>
      <c r="D300" s="1" t="str">
        <f>IFERROR(__xludf.DUMMYFUNCTION("CONCATENATE(GOOGLETRANSLATE(B300, ""en"", ""ko""))"),"소계")</f>
        <v>소계</v>
      </c>
      <c r="E300" s="2" t="str">
        <f>IFERROR(__xludf.DUMMYFUNCTION("CONCATENATE(GOOGLETRANSLATE(B300, ""en"", ""ja""))"),"小計")</f>
        <v>小計</v>
      </c>
    </row>
    <row r="301" ht="15.75" customHeight="1">
      <c r="A301" s="1" t="s">
        <v>598</v>
      </c>
      <c r="B301" s="1" t="s">
        <v>599</v>
      </c>
      <c r="C301" s="1" t="str">
        <f>IFERROR(__xludf.DUMMYFUNCTION("CONCATENATE(GOOGLETRANSLATE(B301, ""en"", ""zh-cn""))"),"总税额")</f>
        <v>总税额</v>
      </c>
      <c r="D301" s="1" t="str">
        <f>IFERROR(__xludf.DUMMYFUNCTION("CONCATENATE(GOOGLETRANSLATE(B301, ""en"", ""ko""))"),"총 세금")</f>
        <v>총 세금</v>
      </c>
      <c r="E301" s="2" t="str">
        <f>IFERROR(__xludf.DUMMYFUNCTION("CONCATENATE(GOOGLETRANSLATE(B301, ""en"", ""ja""))"),"合計税額")</f>
        <v>合計税額</v>
      </c>
    </row>
    <row r="302" ht="15.75" customHeight="1">
      <c r="A302" s="1" t="s">
        <v>600</v>
      </c>
      <c r="B302" s="1" t="s">
        <v>601</v>
      </c>
      <c r="C302" s="1" t="str">
        <f>IFERROR(__xludf.DUMMYFUNCTION("CONCATENATE(GOOGLETRANSLATE(B302, ""en"", ""zh-cn""))"),"累计")</f>
        <v>累计</v>
      </c>
      <c r="D302" s="1" t="str">
        <f>IFERROR(__xludf.DUMMYFUNCTION("CONCATENATE(GOOGLETRANSLATE(B302, ""en"", ""ko""))"),"총계")</f>
        <v>총계</v>
      </c>
      <c r="E302" s="2" t="str">
        <f>IFERROR(__xludf.DUMMYFUNCTION("CONCATENATE(GOOGLETRANSLATE(B302, ""en"", ""ja""))"),"総計")</f>
        <v>総計</v>
      </c>
    </row>
    <row r="303" ht="15.75" customHeight="1">
      <c r="A303" s="1" t="s">
        <v>602</v>
      </c>
      <c r="B303" s="1" t="s">
        <v>603</v>
      </c>
      <c r="C303" s="1" t="str">
        <f>IFERROR(__xludf.DUMMYFUNCTION("CONCATENATE(GOOGLETRANSLATE(B303, ""en"", ""zh-cn""))"),"您的订单已成功下达。请提交购买历史记录中的付款信息")</f>
        <v>您的订单已成功下达。请提交购买历史记录中的付款信息</v>
      </c>
      <c r="D303" s="1" t="str">
        <f>IFERROR(__xludf.DUMMYFUNCTION("CONCATENATE(GOOGLETRANSLATE(B303, ""en"", ""ko""))"),"귀하의 주문이 성공적으로 접수되었습니다. 구매 내역에서 결제 정보를 제출해 주세요.")</f>
        <v>귀하의 주문이 성공적으로 접수되었습니다. 구매 내역에서 결제 정보를 제출해 주세요.</v>
      </c>
      <c r="E303" s="2" t="str">
        <f>IFERROR(__xludf.DUMMYFUNCTION("CONCATENATE(GOOGLETRANSLATE(B303, ""en"", ""ja""))"),"ご注文は正常に完了しました。購入履歴からお支払い情報を送信してください")</f>
        <v>ご注文は正常に完了しました。購入履歴からお支払い情報を送信してください</v>
      </c>
    </row>
    <row r="304" ht="15.75" customHeight="1">
      <c r="A304" s="1" t="s">
        <v>604</v>
      </c>
      <c r="B304" s="1" t="s">
        <v>605</v>
      </c>
      <c r="C304" s="1" t="str">
        <f>IFERROR(__xludf.DUMMYFUNCTION("CONCATENATE(GOOGLETRANSLATE(B304, ""en"", ""zh-cn""))"),"感谢您的订单！")</f>
        <v>感谢您的订单！</v>
      </c>
      <c r="D304" s="1" t="str">
        <f>IFERROR(__xludf.DUMMYFUNCTION("CONCATENATE(GOOGLETRANSLATE(B304, ""en"", ""ko""))"),"주문해주셔서 감사합니다!")</f>
        <v>주문해주셔서 감사합니다!</v>
      </c>
      <c r="E304" s="2" t="str">
        <f>IFERROR(__xludf.DUMMYFUNCTION("CONCATENATE(GOOGLETRANSLATE(B304, ""en"", ""ja""))"),"ご注文ありがとうございます!")</f>
        <v>ご注文ありがとうございます!</v>
      </c>
    </row>
    <row r="305" ht="15.75" customHeight="1">
      <c r="A305" s="1" t="s">
        <v>426</v>
      </c>
      <c r="B305" s="1" t="s">
        <v>606</v>
      </c>
      <c r="C305" s="1" t="str">
        <f>IFERROR(__xludf.DUMMYFUNCTION("CONCATENATE(GOOGLETRANSLATE(B305, ""en"", ""zh-cn""))"),"订购代码：")</f>
        <v>订购代码：</v>
      </c>
      <c r="D305" s="1" t="str">
        <f>IFERROR(__xludf.DUMMYFUNCTION("CONCATENATE(GOOGLETRANSLATE(B305, ""en"", ""ko""))"),"주문 코드:")</f>
        <v>주문 코드:</v>
      </c>
      <c r="E305" s="2" t="str">
        <f>IFERROR(__xludf.DUMMYFUNCTION("CONCATENATE(GOOGLETRANSLATE(B305, ""en"", ""ja""))"),"注文コード:")</f>
        <v>注文コード:</v>
      </c>
    </row>
    <row r="306" ht="15.75" customHeight="1">
      <c r="A306" s="1" t="s">
        <v>607</v>
      </c>
      <c r="B306" s="1" t="s">
        <v>608</v>
      </c>
      <c r="C306" s="1" t="str">
        <f>IFERROR(__xludf.DUMMYFUNCTION("CONCATENATE(GOOGLETRANSLATE(B306, ""en"", ""zh-cn""))"),"副本或您的订单摘要已发送至")</f>
        <v>副本或您的订单摘要已发送至</v>
      </c>
      <c r="D306" s="1" t="str">
        <f>IFERROR(__xludf.DUMMYFUNCTION("CONCATENATE(GOOGLETRANSLATE(B306, ""en"", ""ko""))"),"사본 또는 주문 요약이 다음 주소로 전송되었습니다.")</f>
        <v>사본 또는 주문 요약이 다음 주소로 전송되었습니다.</v>
      </c>
      <c r="E306" s="2" t="str">
        <f>IFERROR(__xludf.DUMMYFUNCTION("CONCATENATE(GOOGLETRANSLATE(B306, ""en"", ""ja""))"),"コピーまたは注文概要が次の宛先に送信されました。")</f>
        <v>コピーまたは注文概要が次の宛先に送信されました。</v>
      </c>
    </row>
    <row r="307" ht="15.75" customHeight="1">
      <c r="A307" s="1" t="s">
        <v>609</v>
      </c>
      <c r="B307" s="1" t="s">
        <v>610</v>
      </c>
      <c r="C307" s="1" t="str">
        <f>IFERROR(__xludf.DUMMYFUNCTION("CONCATENATE(GOOGLETRANSLATE(B307, ""en"", ""zh-cn""))"),"付款")</f>
        <v>付款</v>
      </c>
      <c r="D307" s="1" t="str">
        <f>IFERROR(__xludf.DUMMYFUNCTION("CONCATENATE(GOOGLETRANSLATE(B307, ""en"", ""ko""))"),"결제하기")</f>
        <v>결제하기</v>
      </c>
      <c r="E307" s="2" t="str">
        <f>IFERROR(__xludf.DUMMYFUNCTION("CONCATENATE(GOOGLETRANSLATE(B307, ""en"", ""ja""))"),"支払いをする")</f>
        <v>支払いをする</v>
      </c>
    </row>
    <row r="308" ht="15.75" customHeight="1">
      <c r="A308" s="1" t="s">
        <v>611</v>
      </c>
      <c r="B308" s="1" t="s">
        <v>612</v>
      </c>
      <c r="C308" s="1" t="str">
        <f>IFERROR(__xludf.DUMMYFUNCTION("CONCATENATE(GOOGLETRANSLATE(B308, ""en"", ""zh-cn""))"),"付款截图")</f>
        <v>付款截图</v>
      </c>
      <c r="D308" s="1" t="str">
        <f>IFERROR(__xludf.DUMMYFUNCTION("CONCATENATE(GOOGLETRANSLATE(B308, ""en"", ""ko""))"),"결제 스크린샷")</f>
        <v>결제 스크린샷</v>
      </c>
      <c r="E308" s="2" t="str">
        <f>IFERROR(__xludf.DUMMYFUNCTION("CONCATENATE(GOOGLETRANSLATE(B308, ""en"", ""ja""))"),"支払いのスクリーンショット")</f>
        <v>支払いのスクリーンショット</v>
      </c>
    </row>
    <row r="309" ht="15.75" customHeight="1">
      <c r="A309" s="1" t="s">
        <v>613</v>
      </c>
      <c r="B309" s="1" t="s">
        <v>614</v>
      </c>
      <c r="C309" s="1" t="str">
        <f>IFERROR(__xludf.DUMMYFUNCTION("CONCATENATE(GOOGLETRANSLATE(B309, ""en"", ""zh-cn""))"),"贝宝凭证")</f>
        <v>贝宝凭证</v>
      </c>
      <c r="D309" s="1" t="str">
        <f>IFERROR(__xludf.DUMMYFUNCTION("CONCATENATE(GOOGLETRANSLATE(B309, ""en"", ""ko""))"),"페이팔 자격 증명")</f>
        <v>페이팔 자격 증명</v>
      </c>
      <c r="E309" s="2" t="str">
        <f>IFERROR(__xludf.DUMMYFUNCTION("CONCATENATE(GOOGLETRANSLATE(B309, ""en"", ""ja""))"),"Paypal 認証情報")</f>
        <v>Paypal 認証情報</v>
      </c>
    </row>
    <row r="310" ht="15.75" customHeight="1">
      <c r="A310" s="1" t="s">
        <v>615</v>
      </c>
      <c r="B310" s="1" t="s">
        <v>616</v>
      </c>
      <c r="C310" s="1" t="str">
        <f>IFERROR(__xludf.DUMMYFUNCTION("CONCATENATE(GOOGLETRANSLATE(B310, ""en"", ""zh-cn""))"),"贝宝客户 ID")</f>
        <v>贝宝客户 ID</v>
      </c>
      <c r="D310" s="1" t="str">
        <f>IFERROR(__xludf.DUMMYFUNCTION("CONCATENATE(GOOGLETRANSLATE(B310, ""en"", ""ko""))"),"페이팔 클라이언트 ID")</f>
        <v>페이팔 클라이언트 ID</v>
      </c>
      <c r="E310" s="2" t="str">
        <f>IFERROR(__xludf.DUMMYFUNCTION("CONCATENATE(GOOGLETRANSLATE(B310, ""en"", ""ja""))"),"PaypalクライアントID")</f>
        <v>PaypalクライアントID</v>
      </c>
    </row>
    <row r="311" ht="15.75" customHeight="1">
      <c r="A311" s="1" t="s">
        <v>617</v>
      </c>
      <c r="B311" s="1" t="s">
        <v>618</v>
      </c>
      <c r="C311" s="1" t="str">
        <f>IFERROR(__xludf.DUMMYFUNCTION("CONCATENATE(GOOGLETRANSLATE(B311, ""en"", ""zh-cn""))"),"Paypal 客户秘密")</f>
        <v>Paypal 客户秘密</v>
      </c>
      <c r="D311" s="1" t="str">
        <f>IFERROR(__xludf.DUMMYFUNCTION("CONCATENATE(GOOGLETRANSLATE(B311, ""en"", ""ko""))"),"페이팔 클라이언트 비밀번호")</f>
        <v>페이팔 클라이언트 비밀번호</v>
      </c>
      <c r="E311" s="2" t="str">
        <f>IFERROR(__xludf.DUMMYFUNCTION("CONCATENATE(GOOGLETRANSLATE(B311, ""en"", ""ja""))"),"Paypal クライアント シークレット")</f>
        <v>Paypal クライアント シークレット</v>
      </c>
    </row>
    <row r="312" ht="15.75" customHeight="1">
      <c r="A312" s="1" t="s">
        <v>619</v>
      </c>
      <c r="B312" s="1" t="s">
        <v>620</v>
      </c>
      <c r="C312" s="1" t="str">
        <f>IFERROR(__xludf.DUMMYFUNCTION("CONCATENATE(GOOGLETRANSLATE(B312, ""en"", ""zh-cn""))"),"Paypal沙盒模式")</f>
        <v>Paypal沙盒模式</v>
      </c>
      <c r="D312" s="1" t="str">
        <f>IFERROR(__xludf.DUMMYFUNCTION("CONCATENATE(GOOGLETRANSLATE(B312, ""en"", ""ko""))"),"페이팔 샌드박스 모드")</f>
        <v>페이팔 샌드박스 모드</v>
      </c>
      <c r="E312" s="2" t="str">
        <f>IFERROR(__xludf.DUMMYFUNCTION("CONCATENATE(GOOGLETRANSLATE(B312, ""en"", ""ja""))"),"Paypal サンドボックス モード")</f>
        <v>Paypal サンドボックス モード</v>
      </c>
    </row>
    <row r="313" ht="15.75" customHeight="1">
      <c r="A313" s="1" t="s">
        <v>621</v>
      </c>
      <c r="B313" s="1" t="s">
        <v>622</v>
      </c>
      <c r="C313" s="1" t="str">
        <f>IFERROR(__xludf.DUMMYFUNCTION("CONCATENATE(GOOGLETRANSLATE(B313, ""en"", ""zh-cn""))"),"Sslcommerz 凭证")</f>
        <v>Sslcommerz 凭证</v>
      </c>
      <c r="D313" s="1" t="str">
        <f>IFERROR(__xludf.DUMMYFUNCTION("CONCATENATE(GOOGLETRANSLATE(B313, ""en"", ""ko""))"),"Sslcommerz 자격 증명")</f>
        <v>Sslcommerz 자격 증명</v>
      </c>
      <c r="E313" s="2" t="str">
        <f>IFERROR(__xludf.DUMMYFUNCTION("CONCATENATE(GOOGLETRANSLATE(B313, ""en"", ""ja""))"),"Sslcommerz 資格情報")</f>
        <v>Sslcommerz 資格情報</v>
      </c>
    </row>
    <row r="314" ht="15.75" customHeight="1">
      <c r="A314" s="1" t="s">
        <v>623</v>
      </c>
      <c r="B314" s="1" t="s">
        <v>624</v>
      </c>
      <c r="C314" s="1" t="str">
        <f>IFERROR(__xludf.DUMMYFUNCTION("CONCATENATE(GOOGLETRANSLATE(B314, ""en"", ""zh-cn""))"),"Sslcz 商店 ID")</f>
        <v>Sslcz 商店 ID</v>
      </c>
      <c r="D314" s="1" t="str">
        <f>IFERROR(__xludf.DUMMYFUNCTION("CONCATENATE(GOOGLETRANSLATE(B314, ""en"", ""ko""))"),"SSLcz 매장 ID")</f>
        <v>SSLcz 매장 ID</v>
      </c>
      <c r="E314" s="2" t="str">
        <f>IFERROR(__xludf.DUMMYFUNCTION("CONCATENATE(GOOGLETRANSLATE(B314, ""en"", ""ja""))"),"Sslcz ストア ID")</f>
        <v>Sslcz ストア ID</v>
      </c>
    </row>
    <row r="315" ht="15.75" customHeight="1">
      <c r="A315" s="1" t="s">
        <v>625</v>
      </c>
      <c r="B315" s="1" t="s">
        <v>626</v>
      </c>
      <c r="C315" s="1" t="str">
        <f>IFERROR(__xludf.DUMMYFUNCTION("CONCATENATE(GOOGLETRANSLATE(B315, ""en"", ""zh-cn""))"),"sslcz 存储密码")</f>
        <v>sslcz 存储密码</v>
      </c>
      <c r="D315" s="1" t="str">
        <f>IFERROR(__xludf.DUMMYFUNCTION("CONCATENATE(GOOGLETRANSLATE(B315, ""en"", ""ko""))"),"SSLcz 매장 비밀번호")</f>
        <v>SSLcz 매장 비밀번호</v>
      </c>
      <c r="E315" s="2" t="str">
        <f>IFERROR(__xludf.DUMMYFUNCTION("CONCATENATE(GOOGLETRANSLATE(B315, ""en"", ""ja""))"),"sslczストアのパスワード")</f>
        <v>sslczストアのパスワード</v>
      </c>
    </row>
    <row r="316" ht="15.75" customHeight="1">
      <c r="A316" s="1" t="s">
        <v>627</v>
      </c>
      <c r="B316" s="1" t="s">
        <v>628</v>
      </c>
      <c r="C316" s="1" t="str">
        <f>IFERROR(__xludf.DUMMYFUNCTION("CONCATENATE(GOOGLETRANSLATE(B316, ""en"", ""zh-cn""))"),"Sslcommerz 沙盒模式")</f>
        <v>Sslcommerz 沙盒模式</v>
      </c>
      <c r="D316" s="1" t="str">
        <f>IFERROR(__xludf.DUMMYFUNCTION("CONCATENATE(GOOGLETRANSLATE(B316, ""en"", ""ko""))"),"Sslcommerz 샌드박스 모드")</f>
        <v>Sslcommerz 샌드박스 모드</v>
      </c>
      <c r="E316" s="2" t="str">
        <f>IFERROR(__xludf.DUMMYFUNCTION("CONCATENATE(GOOGLETRANSLATE(B316, ""en"", ""ja""))"),"Sslcommerz サンドボックス モード")</f>
        <v>Sslcommerz サンドボックス モード</v>
      </c>
    </row>
    <row r="317" ht="15.75" customHeight="1">
      <c r="A317" s="1" t="s">
        <v>629</v>
      </c>
      <c r="B317" s="1" t="s">
        <v>630</v>
      </c>
      <c r="C317" s="1" t="str">
        <f>IFERROR(__xludf.DUMMYFUNCTION("CONCATENATE(GOOGLETRANSLATE(B317, ""en"", ""zh-cn""))"),"条纹凭证")</f>
        <v>条纹凭证</v>
      </c>
      <c r="D317" s="1" t="str">
        <f>IFERROR(__xludf.DUMMYFUNCTION("CONCATENATE(GOOGLETRANSLATE(B317, ""en"", ""ko""))"),"스트라이프 자격 증명")</f>
        <v>스트라이프 자격 증명</v>
      </c>
      <c r="E317" s="2" t="str">
        <f>IFERROR(__xludf.DUMMYFUNCTION("CONCATENATE(GOOGLETRANSLATE(B317, ""en"", ""ja""))"),"ストライプ認証情報")</f>
        <v>ストライプ認証情報</v>
      </c>
    </row>
    <row r="318" ht="15.75" customHeight="1">
      <c r="A318" s="1" t="s">
        <v>631</v>
      </c>
      <c r="B318" s="1" t="s">
        <v>632</v>
      </c>
      <c r="C318" s="1" t="str">
        <f>IFERROR(__xludf.DUMMYFUNCTION("CONCATENATE(GOOGLETRANSLATE(B318, ""en"", ""zh-cn""))"),"条纹键")</f>
        <v>条纹键</v>
      </c>
      <c r="D318" s="1" t="str">
        <f>IFERROR(__xludf.DUMMYFUNCTION("CONCATENATE(GOOGLETRANSLATE(B318, ""en"", ""ko""))"),"스트라이프 키")</f>
        <v>스트라이프 키</v>
      </c>
      <c r="E318" s="2" t="str">
        <f>IFERROR(__xludf.DUMMYFUNCTION("CONCATENATE(GOOGLETRANSLATE(B318, ""en"", ""ja""))"),"ストライプキー")</f>
        <v>ストライプキー</v>
      </c>
    </row>
    <row r="319" ht="15.75" customHeight="1">
      <c r="A319" s="1" t="s">
        <v>633</v>
      </c>
      <c r="B319" s="1" t="s">
        <v>634</v>
      </c>
      <c r="C319" s="1" t="str">
        <f>IFERROR(__xludf.DUMMYFUNCTION("CONCATENATE(GOOGLETRANSLATE(B319, ""en"", ""zh-cn""))"),"条纹的秘密")</f>
        <v>条纹的秘密</v>
      </c>
      <c r="D319" s="1" t="str">
        <f>IFERROR(__xludf.DUMMYFUNCTION("CONCATENATE(GOOGLETRANSLATE(B319, ""en"", ""ko""))"),"스트라이프 시크릿")</f>
        <v>스트라이프 시크릿</v>
      </c>
      <c r="E319" s="2" t="str">
        <f>IFERROR(__xludf.DUMMYFUNCTION("CONCATENATE(GOOGLETRANSLATE(B319, ""en"", ""ja""))"),"ストライプの秘密")</f>
        <v>ストライプの秘密</v>
      </c>
    </row>
    <row r="320" ht="15.75" customHeight="1">
      <c r="A320" s="1" t="s">
        <v>635</v>
      </c>
      <c r="B320" s="1" t="s">
        <v>636</v>
      </c>
      <c r="C320" s="1" t="str">
        <f>IFERROR(__xludf.DUMMYFUNCTION("CONCATENATE(GOOGLETRANSLATE(B320, ""en"", ""zh-cn""))"),"RazorPay 凭证")</f>
        <v>RazorPay 凭证</v>
      </c>
      <c r="D320" s="1" t="str">
        <f>IFERROR(__xludf.DUMMYFUNCTION("CONCATENATE(GOOGLETRANSLATE(B320, ""en"", ""ko""))"),"RazorPay 자격 증명")</f>
        <v>RazorPay 자격 증명</v>
      </c>
      <c r="E320" s="2" t="str">
        <f>IFERROR(__xludf.DUMMYFUNCTION("CONCATENATE(GOOGLETRANSLATE(B320, ""en"", ""ja""))"),"RazorPay 認証情報")</f>
        <v>RazorPay 認証情報</v>
      </c>
    </row>
    <row r="321" ht="15.75" customHeight="1">
      <c r="A321" s="1" t="s">
        <v>637</v>
      </c>
      <c r="B321" s="1" t="s">
        <v>638</v>
      </c>
      <c r="C321" s="1" t="str">
        <f>IFERROR(__xludf.DUMMYFUNCTION("CONCATENATE(GOOGLETRANSLATE(B321, ""en"", ""zh-cn""))"),"剃须刀钥匙")</f>
        <v>剃须刀钥匙</v>
      </c>
      <c r="D321" s="1" t="str">
        <f>IFERROR(__xludf.DUMMYFUNCTION("CONCATENATE(GOOGLETRANSLATE(B321, ""en"", ""ko""))"),"면도칼 열쇠")</f>
        <v>면도칼 열쇠</v>
      </c>
      <c r="E321" s="2" t="str">
        <f>IFERROR(__xludf.DUMMYFUNCTION("CONCATENATE(GOOGLETRANSLATE(B321, ""en"", ""ja""))"),"カミソリのキー")</f>
        <v>カミソリのキー</v>
      </c>
    </row>
    <row r="322" ht="15.75" customHeight="1">
      <c r="A322" s="1" t="s">
        <v>639</v>
      </c>
      <c r="B322" s="1" t="s">
        <v>640</v>
      </c>
      <c r="C322" s="1" t="str">
        <f>IFERROR(__xludf.DUMMYFUNCTION("CONCATENATE(GOOGLETRANSLATE(B322, ""en"", ""zh-cn""))"),"剃须刀的秘密")</f>
        <v>剃须刀的秘密</v>
      </c>
      <c r="D322" s="1" t="str">
        <f>IFERROR(__xludf.DUMMYFUNCTION("CONCATENATE(GOOGLETRANSLATE(B322, ""en"", ""ko""))"),"면도기의 비밀")</f>
        <v>면도기의 비밀</v>
      </c>
      <c r="E322" s="2" t="str">
        <f>IFERROR(__xludf.DUMMYFUNCTION("CONCATENATE(GOOGLETRANSLATE(B322, ""en"", ""ja""))"),"カミソリの秘密")</f>
        <v>カミソリの秘密</v>
      </c>
    </row>
    <row r="323" ht="15.75" customHeight="1">
      <c r="A323" s="1" t="s">
        <v>641</v>
      </c>
      <c r="B323" s="1" t="s">
        <v>642</v>
      </c>
      <c r="C323" s="1" t="str">
        <f>IFERROR(__xludf.DUMMYFUNCTION("CONCATENATE(GOOGLETRANSLATE(B323, ""en"", ""zh-cn""))"),"Instamojo 凭证")</f>
        <v>Instamojo 凭证</v>
      </c>
      <c r="D323" s="1" t="str">
        <f>IFERROR(__xludf.DUMMYFUNCTION("CONCATENATE(GOOGLETRANSLATE(B323, ""en"", ""ko""))"),"Instamojo 자격 증명")</f>
        <v>Instamojo 자격 증명</v>
      </c>
      <c r="E323" s="2" t="str">
        <f>IFERROR(__xludf.DUMMYFUNCTION("CONCATENATE(GOOGLETRANSLATE(B323, ""en"", ""ja""))"),"Instamojo 資格情報")</f>
        <v>Instamojo 資格情報</v>
      </c>
    </row>
    <row r="324" ht="15.75" customHeight="1">
      <c r="A324" s="1" t="s">
        <v>643</v>
      </c>
      <c r="B324" s="1" t="s">
        <v>644</v>
      </c>
      <c r="C324" s="1" t="str">
        <f>IFERROR(__xludf.DUMMYFUNCTION("CONCATENATE(GOOGLETRANSLATE(B324, ""en"", ""zh-cn""))"),"API密钥")</f>
        <v>API密钥</v>
      </c>
      <c r="D324" s="1" t="str">
        <f>IFERROR(__xludf.DUMMYFUNCTION("CONCATENATE(GOOGLETRANSLATE(B324, ""en"", ""ko""))"),"API 키")</f>
        <v>API 키</v>
      </c>
      <c r="E324" s="2" t="str">
        <f>IFERROR(__xludf.DUMMYFUNCTION("CONCATENATE(GOOGLETRANSLATE(B324, ""en"", ""ja""))"),"APIキー")</f>
        <v>APIキー</v>
      </c>
    </row>
    <row r="325" ht="15.75" customHeight="1">
      <c r="A325" s="1" t="s">
        <v>645</v>
      </c>
      <c r="B325" s="1" t="s">
        <v>646</v>
      </c>
      <c r="C325" s="1" t="str">
        <f>IFERROR(__xludf.DUMMYFUNCTION("CONCATENATE(GOOGLETRANSLATE(B325, ""en"", ""zh-cn""))"),"即时通讯 API 密钥")</f>
        <v>即时通讯 API 密钥</v>
      </c>
      <c r="D325" s="1" t="str">
        <f>IFERROR(__xludf.DUMMYFUNCTION("CONCATENATE(GOOGLETRANSLATE(B325, ""en"", ""ko""))"),"메신저 API 키")</f>
        <v>메신저 API 키</v>
      </c>
      <c r="E325" s="2" t="str">
        <f>IFERROR(__xludf.DUMMYFUNCTION("CONCATENATE(GOOGLETRANSLATE(B325, ""en"", ""ja""))"),"IM APIキー")</f>
        <v>IM APIキー</v>
      </c>
    </row>
    <row r="326" ht="15.75" customHeight="1">
      <c r="A326" s="1" t="s">
        <v>647</v>
      </c>
      <c r="B326" s="1" t="s">
        <v>648</v>
      </c>
      <c r="C326" s="1" t="str">
        <f>IFERROR(__xludf.DUMMYFUNCTION("CONCATENATE(GOOGLETRANSLATE(B326, ""en"", ""zh-cn""))"),"授权令牌")</f>
        <v>授权令牌</v>
      </c>
      <c r="D326" s="1" t="str">
        <f>IFERROR(__xludf.DUMMYFUNCTION("CONCATENATE(GOOGLETRANSLATE(B326, ""en"", ""ko""))"),"인증 토큰")</f>
        <v>인증 토큰</v>
      </c>
      <c r="E326" s="2" t="str">
        <f>IFERROR(__xludf.DUMMYFUNCTION("CONCATENATE(GOOGLETRANSLATE(B326, ""en"", ""ja""))"),"認証トークン")</f>
        <v>認証トークン</v>
      </c>
    </row>
    <row r="327" ht="15.75" customHeight="1">
      <c r="A327" s="1" t="s">
        <v>649</v>
      </c>
      <c r="B327" s="1" t="s">
        <v>650</v>
      </c>
      <c r="C327" s="1" t="str">
        <f>IFERROR(__xludf.DUMMYFUNCTION("CONCATENATE(GOOGLETRANSLATE(B327, ""en"", ""zh-cn""))"),"IM 身份验证令牌")</f>
        <v>IM 身份验证令牌</v>
      </c>
      <c r="D327" s="1" t="str">
        <f>IFERROR(__xludf.DUMMYFUNCTION("CONCATENATE(GOOGLETRANSLATE(B327, ""en"", ""ko""))"),"IM 인증 토큰")</f>
        <v>IM 인증 토큰</v>
      </c>
      <c r="E327" s="2" t="str">
        <f>IFERROR(__xludf.DUMMYFUNCTION("CONCATENATE(GOOGLETRANSLATE(B327, ""en"", ""ja""))"),"IM認証トークン")</f>
        <v>IM認証トークン</v>
      </c>
    </row>
    <row r="328" ht="15.75" customHeight="1">
      <c r="A328" s="1" t="s">
        <v>651</v>
      </c>
      <c r="B328" s="1" t="s">
        <v>652</v>
      </c>
      <c r="C328" s="1" t="str">
        <f>IFERROR(__xludf.DUMMYFUNCTION("CONCATENATE(GOOGLETRANSLATE(B328, ""en"", ""zh-cn""))"),"Instamojo 沙盒模式")</f>
        <v>Instamojo 沙盒模式</v>
      </c>
      <c r="D328" s="1" t="str">
        <f>IFERROR(__xludf.DUMMYFUNCTION("CONCATENATE(GOOGLETRANSLATE(B328, ""en"", ""ko""))"),"Instamojo 샌드박스 모드")</f>
        <v>Instamojo 샌드박스 모드</v>
      </c>
      <c r="E328" s="2" t="str">
        <f>IFERROR(__xludf.DUMMYFUNCTION("CONCATENATE(GOOGLETRANSLATE(B328, ""en"", ""ja""))"),"Instamojo サンドボックス モード")</f>
        <v>Instamojo サンドボックス モード</v>
      </c>
    </row>
    <row r="329" ht="15.75" customHeight="1">
      <c r="A329" s="1" t="s">
        <v>653</v>
      </c>
      <c r="B329" s="1" t="s">
        <v>654</v>
      </c>
      <c r="C329" s="1" t="str">
        <f>IFERROR(__xludf.DUMMYFUNCTION("CONCATENATE(GOOGLETRANSLATE(B329, ""en"", ""zh-cn""))"),"PayStack凭证")</f>
        <v>PayStack凭证</v>
      </c>
      <c r="D329" s="1" t="str">
        <f>IFERROR(__xludf.DUMMYFUNCTION("CONCATENATE(GOOGLETRANSLATE(B329, ""en"", ""ko""))"),"PayStack 자격 증명")</f>
        <v>PayStack 자격 증명</v>
      </c>
      <c r="E329" s="2" t="str">
        <f>IFERROR(__xludf.DUMMYFUNCTION("CONCATENATE(GOOGLETRANSLATE(B329, ""en"", ""ja""))"),"ペイスタック資格情報")</f>
        <v>ペイスタック資格情報</v>
      </c>
    </row>
    <row r="330" ht="15.75" customHeight="1">
      <c r="A330" s="1" t="s">
        <v>655</v>
      </c>
      <c r="B330" s="1" t="s">
        <v>656</v>
      </c>
      <c r="C330" s="1" t="str">
        <f>IFERROR(__xludf.DUMMYFUNCTION("CONCATENATE(GOOGLETRANSLATE(B330, ""en"", ""zh-cn""))"),"公钥")</f>
        <v>公钥</v>
      </c>
      <c r="D330" s="1" t="str">
        <f>IFERROR(__xludf.DUMMYFUNCTION("CONCATENATE(GOOGLETRANSLATE(B330, ""en"", ""ko""))"),"공개 키")</f>
        <v>공개 키</v>
      </c>
      <c r="E330" s="2" t="str">
        <f>IFERROR(__xludf.DUMMYFUNCTION("CONCATENATE(GOOGLETRANSLATE(B330, ""en"", ""ja""))"),"公開鍵")</f>
        <v>公開鍵</v>
      </c>
    </row>
    <row r="331" ht="15.75" customHeight="1">
      <c r="A331" s="1" t="s">
        <v>657</v>
      </c>
      <c r="B331" s="1" t="s">
        <v>658</v>
      </c>
      <c r="C331" s="1" t="str">
        <f>IFERROR(__xludf.DUMMYFUNCTION("CONCATENATE(GOOGLETRANSLATE(B331, ""en"", ""zh-cn""))"),"秘密钥匙")</f>
        <v>秘密钥匙</v>
      </c>
      <c r="D331" s="1" t="str">
        <f>IFERROR(__xludf.DUMMYFUNCTION("CONCATENATE(GOOGLETRANSLATE(B331, ""en"", ""ko""))"),"비밀 키")</f>
        <v>비밀 키</v>
      </c>
      <c r="E331" s="2" t="str">
        <f>IFERROR(__xludf.DUMMYFUNCTION("CONCATENATE(GOOGLETRANSLATE(B331, ""en"", ""ja""))"),"秘密鍵")</f>
        <v>秘密鍵</v>
      </c>
    </row>
    <row r="332" ht="15.75" customHeight="1">
      <c r="A332" s="1" t="s">
        <v>659</v>
      </c>
      <c r="B332" s="1" t="s">
        <v>660</v>
      </c>
      <c r="C332" s="1" t="str">
        <f>IFERROR(__xludf.DUMMYFUNCTION("CONCATENATE(GOOGLETRANSLATE(B332, ""en"", ""zh-cn""))"),"商户邮箱")</f>
        <v>商户邮箱</v>
      </c>
      <c r="D332" s="1" t="str">
        <f>IFERROR(__xludf.DUMMYFUNCTION("CONCATENATE(GOOGLETRANSLATE(B332, ""en"", ""ko""))"),"판매자 이메일")</f>
        <v>판매자 이메일</v>
      </c>
      <c r="E332" s="2" t="str">
        <f>IFERROR(__xludf.DUMMYFUNCTION("CONCATENATE(GOOGLETRANSLATE(B332, ""en"", ""ja""))"),"販売者のメールアドレス")</f>
        <v>販売者のメールアドレス</v>
      </c>
    </row>
    <row r="333" ht="15.75" customHeight="1">
      <c r="A333" s="1" t="s">
        <v>661</v>
      </c>
      <c r="B333" s="1" t="s">
        <v>662</v>
      </c>
      <c r="C333" s="1" t="str">
        <f>IFERROR(__xludf.DUMMYFUNCTION("CONCATENATE(GOOGLETRANSLATE(B333, ""en"", ""zh-cn""))"),"VoguePay 凭证")</f>
        <v>VoguePay 凭证</v>
      </c>
      <c r="D333" s="1" t="str">
        <f>IFERROR(__xludf.DUMMYFUNCTION("CONCATENATE(GOOGLETRANSLATE(B333, ""en"", ""ko""))"),"VoguePay 자격 증명")</f>
        <v>VoguePay 자격 증명</v>
      </c>
      <c r="E333" s="2" t="str">
        <f>IFERROR(__xludf.DUMMYFUNCTION("CONCATENATE(GOOGLETRANSLATE(B333, ""en"", ""ja""))"),"VoguePay 資格情報")</f>
        <v>VoguePay 資格情報</v>
      </c>
    </row>
    <row r="334" ht="15.75" customHeight="1">
      <c r="A334" s="1" t="s">
        <v>663</v>
      </c>
      <c r="B334" s="1" t="s">
        <v>664</v>
      </c>
      <c r="C334" s="1" t="str">
        <f>IFERROR(__xludf.DUMMYFUNCTION("CONCATENATE(GOOGLETRANSLATE(B334, ""en"", ""zh-cn""))"),"商户编号")</f>
        <v>商户编号</v>
      </c>
      <c r="D334" s="1" t="str">
        <f>IFERROR(__xludf.DUMMYFUNCTION("CONCATENATE(GOOGLETRANSLATE(B334, ""en"", ""ko""))"),"판매자 ID")</f>
        <v>판매자 ID</v>
      </c>
      <c r="E334" s="2" t="str">
        <f>IFERROR(__xludf.DUMMYFUNCTION("CONCATENATE(GOOGLETRANSLATE(B334, ""en"", ""ja""))"),"販売者ID")</f>
        <v>販売者ID</v>
      </c>
    </row>
    <row r="335" ht="15.75" customHeight="1">
      <c r="A335" s="1" t="s">
        <v>665</v>
      </c>
      <c r="B335" s="1" t="s">
        <v>666</v>
      </c>
      <c r="C335" s="1" t="str">
        <f>IFERROR(__xludf.DUMMYFUNCTION("CONCATENATE(GOOGLETRANSLATE(B335, ""en"", ""zh-cn""))"),"沙盒模式")</f>
        <v>沙盒模式</v>
      </c>
      <c r="D335" s="1" t="str">
        <f>IFERROR(__xludf.DUMMYFUNCTION("CONCATENATE(GOOGLETRANSLATE(B335, ""en"", ""ko""))"),"샌드박스 모드")</f>
        <v>샌드박스 모드</v>
      </c>
      <c r="E335" s="2" t="str">
        <f>IFERROR(__xludf.DUMMYFUNCTION("CONCATENATE(GOOGLETRANSLATE(B335, ""en"", ""ja""))"),"サンドボックスモード")</f>
        <v>サンドボックスモード</v>
      </c>
    </row>
    <row r="336" ht="15.75" customHeight="1">
      <c r="A336" s="1" t="s">
        <v>667</v>
      </c>
      <c r="B336" s="1" t="s">
        <v>668</v>
      </c>
      <c r="C336" s="1" t="str">
        <f>IFERROR(__xludf.DUMMYFUNCTION("CONCATENATE(GOOGLETRANSLATE(B336, ""en"", ""zh-cn""))"),"付款凭证")</f>
        <v>付款凭证</v>
      </c>
      <c r="D336" s="1" t="str">
        <f>IFERROR(__xludf.DUMMYFUNCTION("CONCATENATE(GOOGLETRANSLATE(B336, ""en"", ""ko""))"),"Payhere 자격증명")</f>
        <v>Payhere 자격증명</v>
      </c>
      <c r="E336" s="2" t="str">
        <f>IFERROR(__xludf.DUMMYFUNCTION("CONCATENATE(GOOGLETRANSLATE(B336, ""en"", ""ja""))"),"支払い資格情報")</f>
        <v>支払い資格情報</v>
      </c>
    </row>
    <row r="337" ht="15.75" customHeight="1">
      <c r="A337" s="1" t="s">
        <v>669</v>
      </c>
      <c r="B337" s="1" t="s">
        <v>670</v>
      </c>
      <c r="C337" s="1" t="str">
        <f>IFERROR(__xludf.DUMMYFUNCTION("CONCATENATE(GOOGLETRANSLATE(B337, ""en"", ""zh-cn""))"),"付款商户 ID")</f>
        <v>付款商户 ID</v>
      </c>
      <c r="D337" s="1" t="str">
        <f>IFERROR(__xludf.DUMMYFUNCTION("CONCATENATE(GOOGLETRANSLATE(B337, ""en"", ""ko""))"),"PAYHERE 판매자 ID")</f>
        <v>PAYHERE 판매자 ID</v>
      </c>
      <c r="E337" s="2" t="str">
        <f>IFERROR(__xludf.DUMMYFUNCTION("CONCATENATE(GOOGLETRANSLATE(B337, ""en"", ""ja""))"),"PAYHERE 販売者 ID")</f>
        <v>PAYHERE 販売者 ID</v>
      </c>
    </row>
    <row r="338" ht="15.75" customHeight="1">
      <c r="A338" s="1" t="s">
        <v>671</v>
      </c>
      <c r="B338" s="1" t="s">
        <v>672</v>
      </c>
      <c r="C338" s="1" t="str">
        <f>IFERROR(__xludf.DUMMYFUNCTION("CONCATENATE(GOOGLETRANSLATE(B338, ""en"", ""zh-cn""))"),"付款秘诀")</f>
        <v>付款秘诀</v>
      </c>
      <c r="D338" s="1" t="str">
        <f>IFERROR(__xludf.DUMMYFUNCTION("CONCATENATE(GOOGLETRANSLATE(B338, ""en"", ""ko""))"),"페이히어 비밀")</f>
        <v>페이히어 비밀</v>
      </c>
      <c r="E338" s="2" t="str">
        <f>IFERROR(__xludf.DUMMYFUNCTION("CONCATENATE(GOOGLETRANSLATE(B338, ""en"", ""ja""))"),"支払いの秘密")</f>
        <v>支払いの秘密</v>
      </c>
    </row>
    <row r="339" ht="15.75" customHeight="1">
      <c r="A339" s="1" t="s">
        <v>673</v>
      </c>
      <c r="B339" s="1" t="s">
        <v>674</v>
      </c>
      <c r="C339" s="1" t="str">
        <f>IFERROR(__xludf.DUMMYFUNCTION("CONCATENATE(GOOGLETRANSLATE(B339, ""en"", ""zh-cn""))"),"付款货币")</f>
        <v>付款货币</v>
      </c>
      <c r="D339" s="1" t="str">
        <f>IFERROR(__xludf.DUMMYFUNCTION("CONCATENATE(GOOGLETRANSLATE(B339, ""en"", ""ko""))"),"페이히어 통화")</f>
        <v>페이히어 통화</v>
      </c>
      <c r="E339" s="2" t="str">
        <f>IFERROR(__xludf.DUMMYFUNCTION("CONCATENATE(GOOGLETRANSLATE(B339, ""en"", ""ja""))"),"支払い通貨")</f>
        <v>支払い通貨</v>
      </c>
    </row>
    <row r="340" ht="15.75" customHeight="1">
      <c r="A340" s="1" t="s">
        <v>675</v>
      </c>
      <c r="B340" s="1" t="s">
        <v>676</v>
      </c>
      <c r="C340" s="1" t="str">
        <f>IFERROR(__xludf.DUMMYFUNCTION("CONCATENATE(GOOGLETRANSLATE(B340, ""en"", ""zh-cn""))"),"Payhere沙盒模式")</f>
        <v>Payhere沙盒模式</v>
      </c>
      <c r="D340" s="1" t="str">
        <f>IFERROR(__xludf.DUMMYFUNCTION("CONCATENATE(GOOGLETRANSLATE(B340, ""en"", ""ko""))"),"Payhere 샌드박스 모드")</f>
        <v>Payhere 샌드박스 모드</v>
      </c>
      <c r="E340" s="2" t="str">
        <f>IFERROR(__xludf.DUMMYFUNCTION("CONCATENATE(GOOGLETRANSLATE(B340, ""en"", ""ja""))"),"Payhereサンドボックスモード")</f>
        <v>Payhereサンドボックスモード</v>
      </c>
    </row>
    <row r="341" ht="15.75" customHeight="1">
      <c r="A341" s="1" t="s">
        <v>677</v>
      </c>
      <c r="B341" s="1" t="s">
        <v>678</v>
      </c>
      <c r="C341" s="1" t="str">
        <f>IFERROR(__xludf.DUMMYFUNCTION("CONCATENATE(GOOGLETRANSLATE(B341, ""en"", ""zh-cn""))"),"Ngenius 凭证")</f>
        <v>Ngenius 凭证</v>
      </c>
      <c r="D341" s="1" t="str">
        <f>IFERROR(__xludf.DUMMYFUNCTION("CONCATENATE(GOOGLETRANSLATE(B341, ""en"", ""ko""))"),"Ngenius 자격 증명")</f>
        <v>Ngenius 자격 증명</v>
      </c>
      <c r="E341" s="2" t="str">
        <f>IFERROR(__xludf.DUMMYFUNCTION("CONCATENATE(GOOGLETRANSLATE(B341, ""en"", ""ja""))"),"Ngenius 資格情報")</f>
        <v>Ngenius 資格情報</v>
      </c>
    </row>
    <row r="342" ht="15.75" customHeight="1">
      <c r="A342" s="1" t="s">
        <v>679</v>
      </c>
      <c r="B342" s="1" t="s">
        <v>680</v>
      </c>
      <c r="C342" s="1" t="str">
        <f>IFERROR(__xludf.DUMMYFUNCTION("CONCATENATE(GOOGLETRANSLATE(B342, ""en"", ""zh-cn""))"),"NGENIUS 出口 ID")</f>
        <v>NGENIUS 出口 ID</v>
      </c>
      <c r="D342" s="1" t="str">
        <f>IFERROR(__xludf.DUMMYFUNCTION("CONCATENATE(GOOGLETRANSLATE(B342, ""en"", ""ko""))"),"NGENIUS 매장 ID")</f>
        <v>NGENIUS 매장 ID</v>
      </c>
      <c r="E342" s="2" t="str">
        <f>IFERROR(__xludf.DUMMYFUNCTION("CONCATENATE(GOOGLETRANSLATE(B342, ""en"", ""ja""))"),"NGENIUS アウトレット ID")</f>
        <v>NGENIUS アウトレット ID</v>
      </c>
    </row>
    <row r="343" ht="15.75" customHeight="1">
      <c r="A343" s="1" t="s">
        <v>681</v>
      </c>
      <c r="B343" s="1" t="s">
        <v>682</v>
      </c>
      <c r="C343" s="1" t="str">
        <f>IFERROR(__xludf.DUMMYFUNCTION("CONCATENATE(GOOGLETRANSLATE(B343, ""en"", ""zh-cn""))"),"NGENIUS API 密钥")</f>
        <v>NGENIUS API 密钥</v>
      </c>
      <c r="D343" s="1" t="str">
        <f>IFERROR(__xludf.DUMMYFUNCTION("CONCATENATE(GOOGLETRANSLATE(B343, ""en"", ""ko""))"),"NGENIUS API 키")</f>
        <v>NGENIUS API 키</v>
      </c>
      <c r="E343" s="2" t="str">
        <f>IFERROR(__xludf.DUMMYFUNCTION("CONCATENATE(GOOGLETRANSLATE(B343, ""en"", ""ja""))"),"NGENIUS APIキー")</f>
        <v>NGENIUS APIキー</v>
      </c>
    </row>
    <row r="344" ht="15.75" customHeight="1">
      <c r="A344" s="1" t="s">
        <v>683</v>
      </c>
      <c r="B344" s="1" t="s">
        <v>684</v>
      </c>
      <c r="C344" s="1" t="str">
        <f>IFERROR(__xludf.DUMMYFUNCTION("CONCATENATE(GOOGLETRANSLATE(B344, ""en"", ""zh-cn""))"),"NGENIUS 货币")</f>
        <v>NGENIUS 货币</v>
      </c>
      <c r="D344" s="1" t="str">
        <f>IFERROR(__xludf.DUMMYFUNCTION("CONCATENATE(GOOGLETRANSLATE(B344, ""en"", ""ko""))"),"엔게니어스 통화")</f>
        <v>엔게니어스 통화</v>
      </c>
      <c r="E344" s="2" t="str">
        <f>IFERROR(__xludf.DUMMYFUNCTION("CONCATENATE(GOOGLETRANSLATE(B344, ""en"", ""ja""))"),"ジーニアス通貨")</f>
        <v>ジーニアス通貨</v>
      </c>
    </row>
    <row r="345" ht="15.75" customHeight="1">
      <c r="A345" s="1" t="s">
        <v>685</v>
      </c>
      <c r="B345" s="1" t="s">
        <v>686</v>
      </c>
      <c r="C345" s="1" t="str">
        <f>IFERROR(__xludf.DUMMYFUNCTION("CONCATENATE(GOOGLETRANSLATE(B345, ""en"", ""zh-cn""))"),"姆佩萨凭证")</f>
        <v>姆佩萨凭证</v>
      </c>
      <c r="D345" s="1" t="str">
        <f>IFERROR(__xludf.DUMMYFUNCTION("CONCATENATE(GOOGLETRANSLATE(B345, ""en"", ""ko""))"),"Mpesa 자격 증명")</f>
        <v>Mpesa 자격 증명</v>
      </c>
      <c r="E345" s="2" t="str">
        <f>IFERROR(__xludf.DUMMYFUNCTION("CONCATENATE(GOOGLETRANSLATE(B345, ""en"", ""ja""))"),"ムペサの資格情報")</f>
        <v>ムペサの資格情報</v>
      </c>
    </row>
    <row r="346" ht="15.75" customHeight="1">
      <c r="A346" s="1" t="s">
        <v>687</v>
      </c>
      <c r="B346" s="1" t="s">
        <v>688</v>
      </c>
      <c r="C346" s="1" t="str">
        <f>IFERROR(__xludf.DUMMYFUNCTION("CONCATENATE(GOOGLETRANSLATE(B346, ""en"", ""zh-cn""))"),"MPESA 消费者密钥")</f>
        <v>MPESA 消费者密钥</v>
      </c>
      <c r="D346" s="1" t="str">
        <f>IFERROR(__xludf.DUMMYFUNCTION("CONCATENATE(GOOGLETRANSLATE(B346, ""en"", ""ko""))"),"MPESA 소비자 키")</f>
        <v>MPESA 소비자 키</v>
      </c>
      <c r="E346" s="2" t="str">
        <f>IFERROR(__xludf.DUMMYFUNCTION("CONCATENATE(GOOGLETRANSLATE(B346, ""en"", ""ja""))"),"MPESA コンシューマ キー")</f>
        <v>MPESA コンシューマ キー</v>
      </c>
    </row>
    <row r="347" ht="15.75" customHeight="1">
      <c r="A347" s="1" t="s">
        <v>687</v>
      </c>
      <c r="B347" s="1" t="s">
        <v>689</v>
      </c>
      <c r="C347" s="1" t="str">
        <f>IFERROR(__xludf.DUMMYFUNCTION("CONCATENATE(GOOGLETRANSLATE(B347, ""en"", ""zh-cn""))"),"MPESA_CONSUMER_KEY")</f>
        <v>MPESA_CONSUMER_KEY</v>
      </c>
      <c r="D347" s="1" t="str">
        <f>IFERROR(__xludf.DUMMYFUNCTION("CONCATENATE(GOOGLETRANSLATE(B347, ""en"", ""ko""))"),"MPESA_CONSUMER_KEY")</f>
        <v>MPESA_CONSUMER_KEY</v>
      </c>
      <c r="E347" s="2" t="str">
        <f>IFERROR(__xludf.DUMMYFUNCTION("CONCATENATE(GOOGLETRANSLATE(B347, ""en"", ""ja""))"),"MPESA_CONSUMER_KEY")</f>
        <v>MPESA_CONSUMER_KEY</v>
      </c>
    </row>
    <row r="348" ht="15.75" customHeight="1">
      <c r="A348" s="1" t="s">
        <v>690</v>
      </c>
      <c r="B348" s="1" t="s">
        <v>691</v>
      </c>
      <c r="C348" s="1" t="str">
        <f>IFERROR(__xludf.DUMMYFUNCTION("CONCATENATE(GOOGLETRANSLATE(B348, ""en"", ""zh-cn""))"),"MPESA 消费者秘密")</f>
        <v>MPESA 消费者秘密</v>
      </c>
      <c r="D348" s="1" t="str">
        <f>IFERROR(__xludf.DUMMYFUNCTION("CONCATENATE(GOOGLETRANSLATE(B348, ""en"", ""ko""))"),"MPESA 소비자 비밀")</f>
        <v>MPESA 소비자 비밀</v>
      </c>
      <c r="E348" s="2" t="str">
        <f>IFERROR(__xludf.DUMMYFUNCTION("CONCATENATE(GOOGLETRANSLATE(B348, ""en"", ""ja""))"),"MPESA 消費者の秘密")</f>
        <v>MPESA 消費者の秘密</v>
      </c>
    </row>
    <row r="349" ht="15.75" customHeight="1">
      <c r="A349" s="1" t="s">
        <v>690</v>
      </c>
      <c r="B349" s="1" t="s">
        <v>692</v>
      </c>
      <c r="C349" s="1" t="str">
        <f>IFERROR(__xludf.DUMMYFUNCTION("CONCATENATE(GOOGLETRANSLATE(B349, ""en"", ""zh-cn""))"),"MPESA_CONSUMER_SECRET")</f>
        <v>MPESA_CONSUMER_SECRET</v>
      </c>
      <c r="D349" s="1" t="str">
        <f>IFERROR(__xludf.DUMMYFUNCTION("CONCATENATE(GOOGLETRANSLATE(B349, ""en"", ""ko""))"),"MPESA_CONSUMER_SECRET")</f>
        <v>MPESA_CONSUMER_SECRET</v>
      </c>
      <c r="E349" s="2" t="str">
        <f>IFERROR(__xludf.DUMMYFUNCTION("CONCATENATE(GOOGLETRANSLATE(B349, ""en"", ""ja""))"),"MPESA_CONSUMER_SECRET")</f>
        <v>MPESA_CONSUMER_SECRET</v>
      </c>
    </row>
    <row r="350" ht="15.75" customHeight="1">
      <c r="A350" s="1" t="s">
        <v>693</v>
      </c>
      <c r="B350" s="1" t="s">
        <v>694</v>
      </c>
      <c r="C350" s="1" t="str">
        <f>IFERROR(__xludf.DUMMYFUNCTION("CONCATENATE(GOOGLETRANSLATE(B350, ""en"", ""zh-cn""))"),"MPESA 短代码")</f>
        <v>MPESA 短代码</v>
      </c>
      <c r="D350" s="1" t="str">
        <f>IFERROR(__xludf.DUMMYFUNCTION("CONCATENATE(GOOGLETRANSLATE(B350, ""en"", ""ko""))"),"MPESA 단축 코드")</f>
        <v>MPESA 단축 코드</v>
      </c>
      <c r="E350" s="2" t="str">
        <f>IFERROR(__xludf.DUMMYFUNCTION("CONCATENATE(GOOGLETRANSLATE(B350, ""en"", ""ja""))"),"MPESA ショートコード")</f>
        <v>MPESA ショートコード</v>
      </c>
    </row>
    <row r="351" ht="15.75" customHeight="1">
      <c r="A351" s="1" t="s">
        <v>693</v>
      </c>
      <c r="B351" s="1" t="s">
        <v>695</v>
      </c>
      <c r="C351" s="1" t="str">
        <f>IFERROR(__xludf.DUMMYFUNCTION("CONCATENATE(GOOGLETRANSLATE(B351, ""en"", ""zh-cn""))"),"MPESA_SHORT_CODE")</f>
        <v>MPESA_SHORT_CODE</v>
      </c>
      <c r="D351" s="1" t="str">
        <f>IFERROR(__xludf.DUMMYFUNCTION("CONCATENATE(GOOGLETRANSLATE(B351, ""en"", ""ko""))"),"MPESA_SHORT_CODE")</f>
        <v>MPESA_SHORT_CODE</v>
      </c>
      <c r="E351" s="2" t="str">
        <f>IFERROR(__xludf.DUMMYFUNCTION("CONCATENATE(GOOGLETRANSLATE(B351, ""en"", ""ja""))"),"MPESA_SHORT_CODE")</f>
        <v>MPESA_SHORT_CODE</v>
      </c>
    </row>
    <row r="352" ht="15.75" customHeight="1">
      <c r="A352" s="1" t="s">
        <v>696</v>
      </c>
      <c r="B352" s="1" t="s">
        <v>697</v>
      </c>
      <c r="C352" s="1" t="str">
        <f>IFERROR(__xludf.DUMMYFUNCTION("CONCATENATE(GOOGLETRANSLATE(B352, ""en"", ""zh-cn""))"),"MPESA 沙盒激活")</f>
        <v>MPESA 沙盒激活</v>
      </c>
      <c r="D352" s="1" t="str">
        <f>IFERROR(__xludf.DUMMYFUNCTION("CONCATENATE(GOOGLETRANSLATE(B352, ""en"", ""ko""))"),"MPESA 샌드박스 활성화")</f>
        <v>MPESA 샌드박스 활성화</v>
      </c>
      <c r="E352" s="2" t="str">
        <f>IFERROR(__xludf.DUMMYFUNCTION("CONCATENATE(GOOGLETRANSLATE(B352, ""en"", ""ja""))"),"MPESA サンドボックスのアクティベーション")</f>
        <v>MPESA サンドボックスのアクティベーション</v>
      </c>
    </row>
    <row r="353" ht="15.75" customHeight="1">
      <c r="A353" s="1" t="s">
        <v>698</v>
      </c>
      <c r="B353" s="1" t="s">
        <v>699</v>
      </c>
      <c r="C353" s="1" t="str">
        <f>IFERROR(__xludf.DUMMYFUNCTION("CONCATENATE(GOOGLETRANSLATE(B353, ""en"", ""zh-cn""))"),"Flutterwave 凭证")</f>
        <v>Flutterwave 凭证</v>
      </c>
      <c r="D353" s="1" t="str">
        <f>IFERROR(__xludf.DUMMYFUNCTION("CONCATENATE(GOOGLETRANSLATE(B353, ""en"", ""ko""))"),"Flutterwave 자격 증명")</f>
        <v>Flutterwave 자격 증명</v>
      </c>
      <c r="E353" s="2" t="str">
        <f>IFERROR(__xludf.DUMMYFUNCTION("CONCATENATE(GOOGLETRANSLATE(B353, ""en"", ""ja""))"),"Flutterwave 資格情報")</f>
        <v>Flutterwave 資格情報</v>
      </c>
    </row>
    <row r="354" ht="15.75" customHeight="1">
      <c r="A354" s="1" t="s">
        <v>700</v>
      </c>
      <c r="B354" s="1" t="s">
        <v>701</v>
      </c>
      <c r="C354" s="1" t="str">
        <f>IFERROR(__xludf.DUMMYFUNCTION("CONCATENATE(GOOGLETRANSLATE(B354, ""en"", ""zh-cn""))"),"RAVE_PUBLIC_KEY")</f>
        <v>RAVE_PUBLIC_KEY</v>
      </c>
      <c r="D354" s="1" t="str">
        <f>IFERROR(__xludf.DUMMYFUNCTION("CONCATENATE(GOOGLETRANSLATE(B354, ""en"", ""ko""))"),"RAVE_PUBLIC_KEY")</f>
        <v>RAVE_PUBLIC_KEY</v>
      </c>
      <c r="E354" s="2" t="str">
        <f>IFERROR(__xludf.DUMMYFUNCTION("CONCATENATE(GOOGLETRANSLATE(B354, ""en"", ""ja""))"),"RAVE_PUBLIC_KEY")</f>
        <v>RAVE_PUBLIC_KEY</v>
      </c>
    </row>
    <row r="355" ht="15.75" customHeight="1">
      <c r="A355" s="1" t="s">
        <v>702</v>
      </c>
      <c r="B355" s="1" t="s">
        <v>703</v>
      </c>
      <c r="C355" s="1" t="str">
        <f>IFERROR(__xludf.DUMMYFUNCTION("CONCATENATE(GOOGLETRANSLATE(B355, ""en"", ""zh-cn""))"),"RAVE_SECRET_KEY")</f>
        <v>RAVE_SECRET_KEY</v>
      </c>
      <c r="D355" s="1" t="str">
        <f>IFERROR(__xludf.DUMMYFUNCTION("CONCATENATE(GOOGLETRANSLATE(B355, ""en"", ""ko""))"),"RAVE_SECRET_KEY")</f>
        <v>RAVE_SECRET_KEY</v>
      </c>
      <c r="E355" s="2" t="str">
        <f>IFERROR(__xludf.DUMMYFUNCTION("CONCATENATE(GOOGLETRANSLATE(B355, ""en"", ""ja""))"),"RAVE_SECRET_KEY")</f>
        <v>RAVE_SECRET_KEY</v>
      </c>
    </row>
    <row r="356" ht="15.75" customHeight="1">
      <c r="A356" s="1" t="s">
        <v>704</v>
      </c>
      <c r="B356" s="1" t="s">
        <v>705</v>
      </c>
      <c r="C356" s="1" t="str">
        <f>IFERROR(__xludf.DUMMYFUNCTION("CONCATENATE(GOOGLETRANSLATE(B356, ""en"", ""zh-cn""))"),"RAVE_TITLE")</f>
        <v>RAVE_TITLE</v>
      </c>
      <c r="D356" s="1" t="str">
        <f>IFERROR(__xludf.DUMMYFUNCTION("CONCATENATE(GOOGLETRANSLATE(B356, ""en"", ""ko""))"),"RAVE_TITLE")</f>
        <v>RAVE_TITLE</v>
      </c>
      <c r="E356" s="2" t="str">
        <f>IFERROR(__xludf.DUMMYFUNCTION("CONCATENATE(GOOGLETRANSLATE(B356, ""en"", ""ja""))"),"RAVE_TITLE")</f>
        <v>RAVE_TITLE</v>
      </c>
    </row>
    <row r="357" ht="15.75" customHeight="1">
      <c r="A357" s="1" t="s">
        <v>706</v>
      </c>
      <c r="B357" s="1" t="s">
        <v>707</v>
      </c>
      <c r="C357" s="1" t="str">
        <f>IFERROR(__xludf.DUMMYFUNCTION("CONCATENATE(GOOGLETRANSLATE(B357, ""en"", ""zh-cn""))"),"雄鹿激活")</f>
        <v>雄鹿激活</v>
      </c>
      <c r="D357" s="1" t="str">
        <f>IFERROR(__xludf.DUMMYFUNCTION("CONCATENATE(GOOGLETRANSLATE(B357, ""en"", ""ko""))"),"스테인 활성화")</f>
        <v>스테인 활성화</v>
      </c>
      <c r="E357" s="2" t="str">
        <f>IFERROR(__xludf.DUMMYFUNCTION("CONCATENATE(GOOGLETRANSLATE(B357, ""en"", ""ja""))"),"ステージジンの活性化")</f>
        <v>ステージジンの活性化</v>
      </c>
    </row>
    <row r="358" ht="15.75" customHeight="1">
      <c r="A358" s="1" t="s">
        <v>708</v>
      </c>
      <c r="B358" s="1" t="s">
        <v>709</v>
      </c>
      <c r="C358" s="1" t="str">
        <f>IFERROR(__xludf.DUMMYFUNCTION("CONCATENATE(GOOGLETRANSLATE(B358, ""en"", ""zh-cn""))"),"所有产品")</f>
        <v>所有产品</v>
      </c>
      <c r="D358" s="1" t="str">
        <f>IFERROR(__xludf.DUMMYFUNCTION("CONCATENATE(GOOGLETRANSLATE(B358, ""en"", ""ko""))"),"모든 제품")</f>
        <v>모든 제품</v>
      </c>
      <c r="E358" s="2" t="str">
        <f>IFERROR(__xludf.DUMMYFUNCTION("CONCATENATE(GOOGLETRANSLATE(B358, ""en"", ""ja""))"),"すべての製品")</f>
        <v>すべての製品</v>
      </c>
    </row>
    <row r="359" ht="15.75" customHeight="1">
      <c r="A359" s="1" t="s">
        <v>710</v>
      </c>
      <c r="B359" s="1" t="s">
        <v>711</v>
      </c>
      <c r="C359" s="1" t="str">
        <f>IFERROR(__xludf.DUMMYFUNCTION("CONCATENATE(GOOGLETRANSLATE(B359, ""en"", ""zh-cn""))"),"排序方式")</f>
        <v>排序方式</v>
      </c>
      <c r="D359" s="1" t="str">
        <f>IFERROR(__xludf.DUMMYFUNCTION("CONCATENATE(GOOGLETRANSLATE(B359, ""en"", ""ko""))"),"정렬 기준")</f>
        <v>정렬 기준</v>
      </c>
      <c r="E359" s="2" t="str">
        <f>IFERROR(__xludf.DUMMYFUNCTION("CONCATENATE(GOOGLETRANSLATE(B359, ""en"", ""ja""))"),"並べ替え")</f>
        <v>並べ替え</v>
      </c>
    </row>
    <row r="360" ht="15.75" customHeight="1">
      <c r="A360" s="1" t="s">
        <v>712</v>
      </c>
      <c r="B360" s="1" t="s">
        <v>713</v>
      </c>
      <c r="C360" s="1" t="str">
        <f>IFERROR(__xludf.DUMMYFUNCTION("CONCATENATE(GOOGLETRANSLATE(B360, ""en"", ""zh-cn""))"),"评级（高 &gt; 低）")</f>
        <v>评级（高 &gt; 低）</v>
      </c>
      <c r="D360" s="1" t="str">
        <f>IFERROR(__xludf.DUMMYFUNCTION("CONCATENATE(GOOGLETRANSLATE(B360, ""en"", ""ko""))"),"평점(높음 &gt; 낮음)")</f>
        <v>평점(높음 &gt; 낮음)</v>
      </c>
      <c r="E360" s="2" t="str">
        <f>IFERROR(__xludf.DUMMYFUNCTION("CONCATENATE(GOOGLETRANSLATE(B360, ""en"", ""ja""))"),"評価 (高 &gt; 低)")</f>
        <v>評価 (高 &gt; 低)</v>
      </c>
    </row>
    <row r="361" ht="15.75" customHeight="1">
      <c r="A361" s="1" t="s">
        <v>714</v>
      </c>
      <c r="B361" s="1" t="s">
        <v>715</v>
      </c>
      <c r="C361" s="1" t="str">
        <f>IFERROR(__xludf.DUMMYFUNCTION("CONCATENATE(GOOGLETRANSLATE(B361, ""en"", ""zh-cn""))"),"评级（低&gt;高）")</f>
        <v>评级（低&gt;高）</v>
      </c>
      <c r="D361" s="1" t="str">
        <f>IFERROR(__xludf.DUMMYFUNCTION("CONCATENATE(GOOGLETRANSLATE(B361, ""en"", ""ko""))"),"평점(낮음 &gt; 높음)")</f>
        <v>평점(낮음 &gt; 높음)</v>
      </c>
      <c r="E361" s="2" t="str">
        <f>IFERROR(__xludf.DUMMYFUNCTION("CONCATENATE(GOOGLETRANSLATE(B361, ""en"", ""ja""))"),"評価 (低 &gt; 高)")</f>
        <v>評価 (低 &gt; 高)</v>
      </c>
    </row>
    <row r="362" ht="15.75" customHeight="1">
      <c r="A362" s="1" t="s">
        <v>716</v>
      </c>
      <c r="B362" s="1" t="s">
        <v>717</v>
      </c>
      <c r="C362" s="1" t="str">
        <f>IFERROR(__xludf.DUMMYFUNCTION("CONCATENATE(GOOGLETRANSLATE(B362, ""en"", ""zh-cn""))"),"销售数量（高 &gt; 低）")</f>
        <v>销售数量（高 &gt; 低）</v>
      </c>
      <c r="D362" s="1" t="str">
        <f>IFERROR(__xludf.DUMMYFUNCTION("CONCATENATE(GOOGLETRANSLATE(B362, ""en"", ""ko""))"),"판매량(높음 &gt; 낮음)")</f>
        <v>판매량(높음 &gt; 낮음)</v>
      </c>
      <c r="E362" s="2" t="str">
        <f>IFERROR(__xludf.DUMMYFUNCTION("CONCATENATE(GOOGLETRANSLATE(B362, ""en"", ""ja""))"),"販売数 (高 &gt; 低)")</f>
        <v>販売数 (高 &gt; 低)</v>
      </c>
    </row>
    <row r="363" ht="15.75" customHeight="1">
      <c r="A363" s="1" t="s">
        <v>718</v>
      </c>
      <c r="B363" s="1" t="s">
        <v>719</v>
      </c>
      <c r="C363" s="1" t="str">
        <f>IFERROR(__xludf.DUMMYFUNCTION("CONCATENATE(GOOGLETRANSLATE(B363, ""en"", ""zh-cn""))"),"销售数量（低 &gt; 高）")</f>
        <v>销售数量（低 &gt; 高）</v>
      </c>
      <c r="D363" s="1" t="str">
        <f>IFERROR(__xludf.DUMMYFUNCTION("CONCATENATE(GOOGLETRANSLATE(B363, ""en"", ""ko""))"),"판매 건수(낮음 &gt; 높음)")</f>
        <v>판매 건수(낮음 &gt; 높음)</v>
      </c>
      <c r="E363" s="2" t="str">
        <f>IFERROR(__xludf.DUMMYFUNCTION("CONCATENATE(GOOGLETRANSLATE(B363, ""en"", ""ja""))"),"販売数 (低 &gt; 高)")</f>
        <v>販売数 (低 &gt; 高)</v>
      </c>
    </row>
    <row r="364" ht="15.75" customHeight="1">
      <c r="A364" s="1" t="s">
        <v>720</v>
      </c>
      <c r="B364" s="1" t="s">
        <v>721</v>
      </c>
      <c r="C364" s="1" t="str">
        <f>IFERROR(__xludf.DUMMYFUNCTION("CONCATENATE(GOOGLETRANSLATE(B364, ""en"", ""zh-cn""))"),"基本价格（高&gt;低）")</f>
        <v>基本价格（高&gt;低）</v>
      </c>
      <c r="D364" s="1" t="str">
        <f>IFERROR(__xludf.DUMMYFUNCTION("CONCATENATE(GOOGLETRANSLATE(B364, ""en"", ""ko""))"),"기준가(고가 &gt; 저가)")</f>
        <v>기준가(고가 &gt; 저가)</v>
      </c>
      <c r="E364" s="2" t="str">
        <f>IFERROR(__xludf.DUMMYFUNCTION("CONCATENATE(GOOGLETRANSLATE(B364, ""en"", ""ja""))"),"基本価格 (高 &gt; 低)")</f>
        <v>基本価格 (高 &gt; 低)</v>
      </c>
    </row>
    <row r="365" ht="15.75" customHeight="1">
      <c r="A365" s="1" t="s">
        <v>722</v>
      </c>
      <c r="B365" s="1" t="s">
        <v>723</v>
      </c>
      <c r="C365" s="1" t="str">
        <f>IFERROR(__xludf.DUMMYFUNCTION("CONCATENATE(GOOGLETRANSLATE(B365, ""en"", ""zh-cn""))"),"基本价格（低&gt;高）")</f>
        <v>基本价格（低&gt;高）</v>
      </c>
      <c r="D365" s="1" t="str">
        <f>IFERROR(__xludf.DUMMYFUNCTION("CONCATENATE(GOOGLETRANSLATE(B365, ""en"", ""ko""))"),"기준가(낮음 &gt; 높음)")</f>
        <v>기준가(낮음 &gt; 높음)</v>
      </c>
      <c r="E365" s="2" t="str">
        <f>IFERROR(__xludf.DUMMYFUNCTION("CONCATENATE(GOOGLETRANSLATE(B365, ""en"", ""ja""))"),"基本価格 (低価格 &gt; 高価格)")</f>
        <v>基本価格 (低価格 &gt; 高価格)</v>
      </c>
    </row>
    <row r="366" ht="15.75" customHeight="1">
      <c r="A366" s="1" t="s">
        <v>724</v>
      </c>
      <c r="B366" s="1" t="s">
        <v>725</v>
      </c>
      <c r="C366" s="1" t="str">
        <f>IFERROR(__xludf.DUMMYFUNCTION("CONCATENATE(GOOGLETRANSLATE(B366, ""en"", ""zh-cn""))"),"输入并输入")</f>
        <v>输入并输入</v>
      </c>
      <c r="D366" s="1" t="str">
        <f>IFERROR(__xludf.DUMMYFUNCTION("CONCATENATE(GOOGLETRANSLATE(B366, ""en"", ""ko""))"),"입력 및 입력")</f>
        <v>입력 및 입력</v>
      </c>
      <c r="E366" s="2" t="str">
        <f>IFERROR(__xludf.DUMMYFUNCTION("CONCATENATE(GOOGLETRANSLATE(B366, ""en"", ""ja""))"),"入力して入力してください")</f>
        <v>入力して入力してください</v>
      </c>
    </row>
    <row r="367" ht="15.75" customHeight="1">
      <c r="A367" s="1" t="s">
        <v>726</v>
      </c>
      <c r="B367" s="1" t="s">
        <v>727</v>
      </c>
      <c r="C367" s="1" t="str">
        <f>IFERROR(__xludf.DUMMYFUNCTION("CONCATENATE(GOOGLETRANSLATE(B367, ""en"", ""zh-cn""))"),"添加者")</f>
        <v>添加者</v>
      </c>
      <c r="D367" s="1" t="str">
        <f>IFERROR(__xludf.DUMMYFUNCTION("CONCATENATE(GOOGLETRANSLATE(B367, ""en"", ""ko""))"),"추가한 사람")</f>
        <v>추가한 사람</v>
      </c>
      <c r="E367" s="2" t="str">
        <f>IFERROR(__xludf.DUMMYFUNCTION("CONCATENATE(GOOGLETRANSLATE(B367, ""en"", ""ja""))"),"追加者")</f>
        <v>追加者</v>
      </c>
    </row>
    <row r="368" ht="15.75" customHeight="1">
      <c r="A368" s="1" t="s">
        <v>728</v>
      </c>
      <c r="B368" s="1" t="s">
        <v>729</v>
      </c>
      <c r="C368" s="1" t="str">
        <f>IFERROR(__xludf.DUMMYFUNCTION("CONCATENATE(GOOGLETRANSLATE(B368, ""en"", ""zh-cn""))"),"销售数量")</f>
        <v>销售数量</v>
      </c>
      <c r="D368" s="1" t="str">
        <f>IFERROR(__xludf.DUMMYFUNCTION("CONCATENATE(GOOGLETRANSLATE(B368, ""en"", ""ko""))"),"판매 건수")</f>
        <v>판매 건수</v>
      </c>
      <c r="E368" s="2" t="str">
        <f>IFERROR(__xludf.DUMMYFUNCTION("CONCATENATE(GOOGLETRANSLATE(B368, ""en"", ""ja""))"),"販売数")</f>
        <v>販売数</v>
      </c>
    </row>
    <row r="369" ht="15.75" customHeight="1">
      <c r="A369" s="1" t="s">
        <v>730</v>
      </c>
      <c r="B369" s="1" t="s">
        <v>731</v>
      </c>
      <c r="C369" s="1" t="str">
        <f>IFERROR(__xludf.DUMMYFUNCTION("CONCATENATE(GOOGLETRANSLATE(B369, ""en"", ""zh-cn""))"),"总库存")</f>
        <v>总库存</v>
      </c>
      <c r="D369" s="1" t="str">
        <f>IFERROR(__xludf.DUMMYFUNCTION("CONCATENATE(GOOGLETRANSLATE(B369, ""en"", ""ko""))"),"총 재고")</f>
        <v>총 재고</v>
      </c>
      <c r="E369" s="2" t="str">
        <f>IFERROR(__xludf.DUMMYFUNCTION("CONCATENATE(GOOGLETRANSLATE(B369, ""en"", ""ja""))"),"総在庫数")</f>
        <v>総在庫数</v>
      </c>
    </row>
    <row r="370" ht="15.75" customHeight="1">
      <c r="A370" s="1" t="s">
        <v>732</v>
      </c>
      <c r="B370" s="1" t="s">
        <v>733</v>
      </c>
      <c r="C370" s="1" t="str">
        <f>IFERROR(__xludf.DUMMYFUNCTION("CONCATENATE(GOOGLETRANSLATE(B370, ""en"", ""zh-cn""))"),"今日优惠")</f>
        <v>今日优惠</v>
      </c>
      <c r="D370" s="1" t="str">
        <f>IFERROR(__xludf.DUMMYFUNCTION("CONCATENATE(GOOGLETRANSLATE(B370, ""en"", ""ko""))"),"오늘의 거래")</f>
        <v>오늘의 거래</v>
      </c>
      <c r="E370" s="2" t="str">
        <f>IFERROR(__xludf.DUMMYFUNCTION("CONCATENATE(GOOGLETRANSLATE(B370, ""en"", ""ja""))"),"今日の取引")</f>
        <v>今日の取引</v>
      </c>
    </row>
    <row r="371" ht="15.75" customHeight="1">
      <c r="A371" s="1" t="s">
        <v>734</v>
      </c>
      <c r="B371" s="1" t="s">
        <v>735</v>
      </c>
      <c r="C371" s="1" t="str">
        <f>IFERROR(__xludf.DUMMYFUNCTION("CONCATENATE(GOOGLETRANSLATE(B371, ""en"", ""zh-cn""))"),"等级")</f>
        <v>等级</v>
      </c>
      <c r="D371" s="1" t="str">
        <f>IFERROR(__xludf.DUMMYFUNCTION("CONCATENATE(GOOGLETRANSLATE(B371, ""en"", ""ko""))"),"평가")</f>
        <v>평가</v>
      </c>
      <c r="E371" s="2" t="str">
        <f>IFERROR(__xludf.DUMMYFUNCTION("CONCATENATE(GOOGLETRANSLATE(B371, ""en"", ""ja""))"),"評価")</f>
        <v>評価</v>
      </c>
    </row>
    <row r="372" ht="15.75" customHeight="1">
      <c r="A372" s="1" t="s">
        <v>736</v>
      </c>
      <c r="B372" s="1" t="s">
        <v>736</v>
      </c>
      <c r="C372" s="1" t="str">
        <f>IFERROR(__xludf.DUMMYFUNCTION("CONCATENATE(GOOGLETRANSLATE(B372, ""en"", ""zh-cn""))"),"次")</f>
        <v>次</v>
      </c>
      <c r="D372" s="1" t="str">
        <f>IFERROR(__xludf.DUMMYFUNCTION("CONCATENATE(GOOGLETRANSLATE(B372, ""en"", ""ko""))"),"타임스")</f>
        <v>타임스</v>
      </c>
      <c r="E372" s="2" t="str">
        <f>IFERROR(__xludf.DUMMYFUNCTION("CONCATENATE(GOOGLETRANSLATE(B372, ""en"", ""ja""))"),"回")</f>
        <v>回</v>
      </c>
    </row>
    <row r="373" ht="15.75" customHeight="1">
      <c r="A373" s="1" t="s">
        <v>737</v>
      </c>
      <c r="B373" s="1" t="s">
        <v>738</v>
      </c>
      <c r="C373" s="1" t="str">
        <f>IFERROR(__xludf.DUMMYFUNCTION("CONCATENATE(GOOGLETRANSLATE(B373, ""en"", ""zh-cn""))"),"添加新产品")</f>
        <v>添加新产品</v>
      </c>
      <c r="D373" s="1" t="str">
        <f>IFERROR(__xludf.DUMMYFUNCTION("CONCATENATE(GOOGLETRANSLATE(B373, ""en"", ""ko""))"),"새로운 제품 추가")</f>
        <v>새로운 제품 추가</v>
      </c>
      <c r="E373" s="2" t="str">
        <f>IFERROR(__xludf.DUMMYFUNCTION("CONCATENATE(GOOGLETRANSLATE(B373, ""en"", ""ja""))"),"新しい製品を追加")</f>
        <v>新しい製品を追加</v>
      </c>
    </row>
    <row r="374" ht="15.75" customHeight="1">
      <c r="A374" s="1" t="s">
        <v>739</v>
      </c>
      <c r="B374" s="1" t="s">
        <v>740</v>
      </c>
      <c r="C374" s="1" t="str">
        <f>IFERROR(__xludf.DUMMYFUNCTION("CONCATENATE(GOOGLETRANSLATE(B374, ""en"", ""zh-cn""))"),"产品信息")</f>
        <v>产品信息</v>
      </c>
      <c r="D374" s="1" t="str">
        <f>IFERROR(__xludf.DUMMYFUNCTION("CONCATENATE(GOOGLETRANSLATE(B374, ""en"", ""ko""))"),"제품정보")</f>
        <v>제품정보</v>
      </c>
      <c r="E374" s="2" t="str">
        <f>IFERROR(__xludf.DUMMYFUNCTION("CONCATENATE(GOOGLETRANSLATE(B374, ""en"", ""ja""))"),"製品情報")</f>
        <v>製品情報</v>
      </c>
    </row>
    <row r="375" ht="15.75" customHeight="1">
      <c r="A375" s="1" t="s">
        <v>741</v>
      </c>
      <c r="B375" s="1" t="s">
        <v>742</v>
      </c>
      <c r="C375" s="1" t="str">
        <f>IFERROR(__xludf.DUMMYFUNCTION("CONCATENATE(GOOGLETRANSLATE(B375, ""en"", ""zh-cn""))"),"单元")</f>
        <v>单元</v>
      </c>
      <c r="D375" s="1" t="str">
        <f>IFERROR(__xludf.DUMMYFUNCTION("CONCATENATE(GOOGLETRANSLATE(B375, ""en"", ""ko""))"),"단위")</f>
        <v>단위</v>
      </c>
      <c r="E375" s="2" t="str">
        <f>IFERROR(__xludf.DUMMYFUNCTION("CONCATENATE(GOOGLETRANSLATE(B375, ""en"", ""ja""))"),"ユニット")</f>
        <v>ユニット</v>
      </c>
    </row>
    <row r="376" ht="15.75" customHeight="1">
      <c r="A376" s="1" t="s">
        <v>743</v>
      </c>
      <c r="B376" s="1" t="s">
        <v>744</v>
      </c>
      <c r="C376" s="1" t="str">
        <f>IFERROR(__xludf.DUMMYFUNCTION("CONCATENATE(GOOGLETRANSLATE(B376, ""en"", ""zh-cn""))"),"单位（例如 KG、Pc 等）")</f>
        <v>单位（例如 KG、Pc 等）</v>
      </c>
      <c r="D376" s="1" t="str">
        <f>IFERROR(__xludf.DUMMYFUNCTION("CONCATENATE(GOOGLETRANSLATE(B376, ""en"", ""ko""))"),"단위(예: KG, PC 등)")</f>
        <v>단위(예: KG, PC 등)</v>
      </c>
      <c r="E376" s="2" t="str">
        <f>IFERROR(__xludf.DUMMYFUNCTION("CONCATENATE(GOOGLETRANSLATE(B376, ""en"", ""ja""))"),"単位 (例: KG、Pc など)")</f>
        <v>単位 (例: KG、Pc など)</v>
      </c>
    </row>
    <row r="377" ht="15.75" customHeight="1">
      <c r="A377" s="1" t="s">
        <v>745</v>
      </c>
      <c r="B377" s="1" t="s">
        <v>746</v>
      </c>
      <c r="C377" s="1" t="str">
        <f>IFERROR(__xludf.DUMMYFUNCTION("CONCATENATE(GOOGLETRANSLATE(B377, ""en"", ""zh-cn""))"),"最低数量")</f>
        <v>最低数量</v>
      </c>
      <c r="D377" s="1" t="str">
        <f>IFERROR(__xludf.DUMMYFUNCTION("CONCATENATE(GOOGLETRANSLATE(B377, ""en"", ""ko""))"),"최소 수량")</f>
        <v>최소 수량</v>
      </c>
      <c r="E377" s="2" t="str">
        <f>IFERROR(__xludf.DUMMYFUNCTION("CONCATENATE(GOOGLETRANSLATE(B377, ""en"", ""ja""))"),"最小数量")</f>
        <v>最小数量</v>
      </c>
    </row>
    <row r="378" ht="15.75" customHeight="1">
      <c r="A378" s="1" t="s">
        <v>747</v>
      </c>
      <c r="B378" s="1" t="s">
        <v>748</v>
      </c>
      <c r="C378" s="1" t="str">
        <f>IFERROR(__xludf.DUMMYFUNCTION("CONCATENATE(GOOGLETRANSLATE(B378, ""en"", ""zh-cn""))"),"标签")</f>
        <v>标签</v>
      </c>
      <c r="D378" s="1" t="str">
        <f>IFERROR(__xludf.DUMMYFUNCTION("CONCATENATE(GOOGLETRANSLATE(B378, ""en"", ""ko""))"),"태그")</f>
        <v>태그</v>
      </c>
      <c r="E378" s="2" t="str">
        <f>IFERROR(__xludf.DUMMYFUNCTION("CONCATENATE(GOOGLETRANSLATE(B378, ""en"", ""ja""))"),"タグ")</f>
        <v>タグ</v>
      </c>
    </row>
    <row r="379" ht="15.75" customHeight="1">
      <c r="A379" s="1" t="s">
        <v>749</v>
      </c>
      <c r="B379" s="1" t="s">
        <v>750</v>
      </c>
      <c r="C379" s="1" t="str">
        <f>IFERROR(__xludf.DUMMYFUNCTION("CONCATENATE(GOOGLETRANSLATE(B379, ""en"", ""zh-cn""))"),"输入并按 Enter 键添加标签")</f>
        <v>输入并按 Enter 键添加标签</v>
      </c>
      <c r="D379" s="1" t="str">
        <f>IFERROR(__xludf.DUMMYFUNCTION("CONCATENATE(GOOGLETRANSLATE(B379, ""en"", ""ko""))"),"태그를 추가하려면 입력하고 Enter 키를 누르세요.")</f>
        <v>태그를 추가하려면 입력하고 Enter 키를 누르세요.</v>
      </c>
      <c r="E379" s="2" t="str">
        <f>IFERROR(__xludf.DUMMYFUNCTION("CONCATENATE(GOOGLETRANSLATE(B379, ""en"", ""ja""))"),"と入力して Enter キーを押してタグを追加します")</f>
        <v>と入力して Enter キーを押してタグを追加します</v>
      </c>
    </row>
    <row r="380" ht="15.75" customHeight="1">
      <c r="A380" s="1" t="s">
        <v>751</v>
      </c>
      <c r="B380" s="1" t="s">
        <v>752</v>
      </c>
      <c r="C380" s="1" t="str">
        <f>IFERROR(__xludf.DUMMYFUNCTION("CONCATENATE(GOOGLETRANSLATE(B380, ""en"", ""zh-cn""))"),"条码")</f>
        <v>条码</v>
      </c>
      <c r="D380" s="1" t="str">
        <f>IFERROR(__xludf.DUMMYFUNCTION("CONCATENATE(GOOGLETRANSLATE(B380, ""en"", ""ko""))"),"바코드")</f>
        <v>바코드</v>
      </c>
      <c r="E380" s="2" t="str">
        <f>IFERROR(__xludf.DUMMYFUNCTION("CONCATENATE(GOOGLETRANSLATE(B380, ""en"", ""ja""))"),"バーコード")</f>
        <v>バーコード</v>
      </c>
    </row>
    <row r="381" ht="15.75" customHeight="1">
      <c r="A381" s="1" t="s">
        <v>753</v>
      </c>
      <c r="B381" s="1" t="s">
        <v>754</v>
      </c>
      <c r="C381" s="1" t="str">
        <f>IFERROR(__xludf.DUMMYFUNCTION("CONCATENATE(GOOGLETRANSLATE(B381, ""en"", ""zh-cn""))"),"可退款")</f>
        <v>可退款</v>
      </c>
      <c r="D381" s="1" t="str">
        <f>IFERROR(__xludf.DUMMYFUNCTION("CONCATENATE(GOOGLETRANSLATE(B381, ""en"", ""ko""))"),"환불 가능")</f>
        <v>환불 가능</v>
      </c>
      <c r="E381" s="2" t="str">
        <f>IFERROR(__xludf.DUMMYFUNCTION("CONCATENATE(GOOGLETRANSLATE(B381, ""en"", ""ja""))"),"返金可能")</f>
        <v>返金可能</v>
      </c>
    </row>
    <row r="382" ht="15.75" customHeight="1">
      <c r="A382" s="1" t="s">
        <v>755</v>
      </c>
      <c r="B382" s="1" t="s">
        <v>756</v>
      </c>
      <c r="C382" s="1" t="str">
        <f>IFERROR(__xludf.DUMMYFUNCTION("CONCATENATE(GOOGLETRANSLATE(B382, ""en"", ""zh-cn""))"),"产品图片")</f>
        <v>产品图片</v>
      </c>
      <c r="D382" s="1" t="str">
        <f>IFERROR(__xludf.DUMMYFUNCTION("CONCATENATE(GOOGLETRANSLATE(B382, ""en"", ""ko""))"),"제품 이미지")</f>
        <v>제품 이미지</v>
      </c>
      <c r="E382" s="2" t="str">
        <f>IFERROR(__xludf.DUMMYFUNCTION("CONCATENATE(GOOGLETRANSLATE(B382, ""en"", ""ja""))"),"製品画像")</f>
        <v>製品画像</v>
      </c>
    </row>
    <row r="383" ht="15.75" customHeight="1">
      <c r="A383" s="1" t="s">
        <v>757</v>
      </c>
      <c r="B383" s="1" t="s">
        <v>758</v>
      </c>
      <c r="C383" s="1" t="str">
        <f>IFERROR(__xludf.DUMMYFUNCTION("CONCATENATE(GOOGLETRANSLATE(B383, ""en"", ""zh-cn""))"),"画廊图片")</f>
        <v>画廊图片</v>
      </c>
      <c r="D383" s="1" t="str">
        <f>IFERROR(__xludf.DUMMYFUNCTION("CONCATENATE(GOOGLETRANSLATE(B383, ""en"", ""ko""))"),"갤러리 이미지")</f>
        <v>갤러리 이미지</v>
      </c>
      <c r="E383" s="2" t="str">
        <f>IFERROR(__xludf.DUMMYFUNCTION("CONCATENATE(GOOGLETRANSLATE(B383, ""en"", ""ja""))"),"ギャラリー画像")</f>
        <v>ギャラリー画像</v>
      </c>
    </row>
    <row r="384" ht="15.75" customHeight="1">
      <c r="A384" s="1" t="s">
        <v>759</v>
      </c>
      <c r="B384" s="1" t="s">
        <v>760</v>
      </c>
      <c r="C384" s="1" t="str">
        <f>IFERROR(__xludf.DUMMYFUNCTION("CONCATENATE(GOOGLETRANSLATE(B384, ""en"", ""zh-cn""))"),"今日优惠更新成功")</f>
        <v>今日优惠更新成功</v>
      </c>
      <c r="D384" s="1" t="str">
        <f>IFERROR(__xludf.DUMMYFUNCTION("CONCATENATE(GOOGLETRANSLATE(B384, ""en"", ""ko""))"),"오늘의 거래가 성공적으로 업데이트되었습니다.")</f>
        <v>오늘의 거래가 성공적으로 업데이트되었습니다.</v>
      </c>
      <c r="E384" s="2" t="str">
        <f>IFERROR(__xludf.DUMMYFUNCTION("CONCATENATE(GOOGLETRANSLATE(B384, ""en"", ""ja""))"),"今日の取引が正常に更新されました")</f>
        <v>今日の取引が正常に更新されました</v>
      </c>
    </row>
    <row r="385" ht="15.75" customHeight="1">
      <c r="A385" s="1" t="s">
        <v>761</v>
      </c>
      <c r="B385" s="1" t="s">
        <v>762</v>
      </c>
      <c r="C385" s="1" t="str">
        <f>IFERROR(__xludf.DUMMYFUNCTION("CONCATENATE(GOOGLETRANSLATE(B385, ""en"", ""zh-cn""))"),"已发布的产品更新成功")</f>
        <v>已发布的产品更新成功</v>
      </c>
      <c r="D385" s="1" t="str">
        <f>IFERROR(__xludf.DUMMYFUNCTION("CONCATENATE(GOOGLETRANSLATE(B385, ""en"", ""ko""))"),"게시된 제품이 업데이트되었습니다.")</f>
        <v>게시된 제품이 업데이트되었습니다.</v>
      </c>
      <c r="E385" s="2" t="str">
        <f>IFERROR(__xludf.DUMMYFUNCTION("CONCATENATE(GOOGLETRANSLATE(B385, ""en"", ""ja""))"),"公開された製品が正常に更新されました")</f>
        <v>公開された製品が正常に更新されました</v>
      </c>
    </row>
    <row r="386" ht="15.75" customHeight="1">
      <c r="A386" s="1" t="s">
        <v>763</v>
      </c>
      <c r="B386" s="1" t="s">
        <v>764</v>
      </c>
      <c r="C386" s="1" t="str">
        <f>IFERROR(__xludf.DUMMYFUNCTION("CONCATENATE(GOOGLETRANSLATE(B386, ""en"", ""zh-cn""))"),"缩略图")</f>
        <v>缩略图</v>
      </c>
      <c r="D386" s="1" t="str">
        <f>IFERROR(__xludf.DUMMYFUNCTION("CONCATENATE(GOOGLETRANSLATE(B386, ""en"", ""ko""))"),"썸네일 이미지")</f>
        <v>썸네일 이미지</v>
      </c>
      <c r="E386" s="2" t="str">
        <f>IFERROR(__xludf.DUMMYFUNCTION("CONCATENATE(GOOGLETRANSLATE(B386, ""en"", ""ja""))"),"サムネイル画像")</f>
        <v>サムネイル画像</v>
      </c>
    </row>
    <row r="387" ht="15.75" customHeight="1">
      <c r="A387" s="1" t="s">
        <v>765</v>
      </c>
      <c r="B387" s="1" t="s">
        <v>766</v>
      </c>
      <c r="C387" s="1" t="str">
        <f>IFERROR(__xludf.DUMMYFUNCTION("CONCATENATE(GOOGLETRANSLATE(B387, ""en"", ""zh-cn""))"),"特色产品更新成功")</f>
        <v>特色产品更新成功</v>
      </c>
      <c r="D387" s="1" t="str">
        <f>IFERROR(__xludf.DUMMYFUNCTION("CONCATENATE(GOOGLETRANSLATE(B387, ""en"", ""ko""))"),"추천 제품이 성공적으로 업데이트되었습니다.")</f>
        <v>추천 제품이 성공적으로 업데이트되었습니다.</v>
      </c>
      <c r="E387" s="2" t="str">
        <f>IFERROR(__xludf.DUMMYFUNCTION("CONCATENATE(GOOGLETRANSLATE(B387, ""en"", ""ja""))"),"注目の製品が正常に更新されました")</f>
        <v>注目の製品が正常に更新されました</v>
      </c>
    </row>
    <row r="388" ht="15.75" customHeight="1">
      <c r="A388" s="1" t="s">
        <v>767</v>
      </c>
      <c r="B388" s="1" t="s">
        <v>768</v>
      </c>
      <c r="C388" s="1" t="str">
        <f>IFERROR(__xludf.DUMMYFUNCTION("CONCATENATE(GOOGLETRANSLATE(B388, ""en"", ""zh-cn""))"),"产品视频")</f>
        <v>产品视频</v>
      </c>
      <c r="D388" s="1" t="str">
        <f>IFERROR(__xludf.DUMMYFUNCTION("CONCATENATE(GOOGLETRANSLATE(B388, ""en"", ""ko""))"),"제품 동영상")</f>
        <v>제품 동영상</v>
      </c>
      <c r="E388" s="2" t="str">
        <f>IFERROR(__xludf.DUMMYFUNCTION("CONCATENATE(GOOGLETRANSLATE(B388, ""en"", ""ja""))"),"製品ビデオ")</f>
        <v>製品ビデオ</v>
      </c>
    </row>
    <row r="389" ht="15.75" customHeight="1">
      <c r="A389" s="1" t="s">
        <v>769</v>
      </c>
      <c r="B389" s="1" t="s">
        <v>770</v>
      </c>
      <c r="C389" s="1" t="str">
        <f>IFERROR(__xludf.DUMMYFUNCTION("CONCATENATE(GOOGLETRANSLATE(B389, ""en"", ""zh-cn""))"),"视频提供商")</f>
        <v>视频提供商</v>
      </c>
      <c r="D389" s="1" t="str">
        <f>IFERROR(__xludf.DUMMYFUNCTION("CONCATENATE(GOOGLETRANSLATE(B389, ""en"", ""ko""))"),"비디오 제공업체")</f>
        <v>비디오 제공업체</v>
      </c>
      <c r="E389" s="2" t="str">
        <f>IFERROR(__xludf.DUMMYFUNCTION("CONCATENATE(GOOGLETRANSLATE(B389, ""en"", ""ja""))"),"ビデオプロバイダー")</f>
        <v>ビデオプロバイダー</v>
      </c>
    </row>
    <row r="390" ht="15.75" customHeight="1">
      <c r="A390" s="1" t="s">
        <v>771</v>
      </c>
      <c r="B390" s="1" t="s">
        <v>772</v>
      </c>
      <c r="C390" s="1" t="str">
        <f>IFERROR(__xludf.DUMMYFUNCTION("CONCATENATE(GOOGLETRANSLATE(B390, ""en"", ""zh-cn""))"),"YouTube")</f>
        <v>YouTube</v>
      </c>
      <c r="D390" s="1" t="str">
        <f>IFERROR(__xludf.DUMMYFUNCTION("CONCATENATE(GOOGLETRANSLATE(B390, ""en"", ""ko""))"),"유튜브")</f>
        <v>유튜브</v>
      </c>
      <c r="E390" s="2" t="str">
        <f>IFERROR(__xludf.DUMMYFUNCTION("CONCATENATE(GOOGLETRANSLATE(B390, ""en"", ""ja""))"),"ユーチューブ")</f>
        <v>ユーチューブ</v>
      </c>
    </row>
    <row r="391" ht="15.75" customHeight="1">
      <c r="A391" s="1" t="s">
        <v>773</v>
      </c>
      <c r="B391" s="1" t="s">
        <v>774</v>
      </c>
      <c r="C391" s="1" t="str">
        <f>IFERROR(__xludf.DUMMYFUNCTION("CONCATENATE(GOOGLETRANSLATE(B391, ""en"", ""zh-cn""))"),"每日运动")</f>
        <v>每日运动</v>
      </c>
      <c r="D391" s="1" t="str">
        <f>IFERROR(__xludf.DUMMYFUNCTION("CONCATENATE(GOOGLETRANSLATE(B391, ""en"", ""ko""))"),"데일리모션")</f>
        <v>데일리모션</v>
      </c>
      <c r="E391" s="2" t="str">
        <f>IFERROR(__xludf.DUMMYFUNCTION("CONCATENATE(GOOGLETRANSLATE(B391, ""en"", ""ja""))"),"デイリーモーション")</f>
        <v>デイリーモーション</v>
      </c>
    </row>
    <row r="392" ht="15.75" customHeight="1">
      <c r="A392" s="1" t="s">
        <v>775</v>
      </c>
      <c r="B392" s="1" t="s">
        <v>776</v>
      </c>
      <c r="C392" s="1" t="str">
        <f>IFERROR(__xludf.DUMMYFUNCTION("CONCATENATE(GOOGLETRANSLATE(B392, ""en"", ""zh-cn""))"),"维梅奥")</f>
        <v>维梅奥</v>
      </c>
      <c r="D392" s="1" t="str">
        <f>IFERROR(__xludf.DUMMYFUNCTION("CONCATENATE(GOOGLETRANSLATE(B392, ""en"", ""ko""))"),"비메오")</f>
        <v>비메오</v>
      </c>
      <c r="E392" s="2" t="str">
        <f>IFERROR(__xludf.DUMMYFUNCTION("CONCATENATE(GOOGLETRANSLATE(B392, ""en"", ""ja""))"),"ヴィメオ")</f>
        <v>ヴィメオ</v>
      </c>
    </row>
    <row r="393" ht="15.75" customHeight="1">
      <c r="A393" s="1" t="s">
        <v>777</v>
      </c>
      <c r="B393" s="1" t="s">
        <v>778</v>
      </c>
      <c r="C393" s="1" t="str">
        <f>IFERROR(__xludf.DUMMYFUNCTION("CONCATENATE(GOOGLETRANSLATE(B393, ""en"", ""zh-cn""))"),"视频链接")</f>
        <v>视频链接</v>
      </c>
      <c r="D393" s="1" t="str">
        <f>IFERROR(__xludf.DUMMYFUNCTION("CONCATENATE(GOOGLETRANSLATE(B393, ""en"", ""ko""))"),"비디오 링크")</f>
        <v>비디오 링크</v>
      </c>
      <c r="E393" s="2" t="str">
        <f>IFERROR(__xludf.DUMMYFUNCTION("CONCATENATE(GOOGLETRANSLATE(B393, ""en"", ""ja""))"),"ビデオリンク")</f>
        <v>ビデオリンク</v>
      </c>
    </row>
    <row r="394" ht="15.75" customHeight="1">
      <c r="A394" s="1" t="s">
        <v>779</v>
      </c>
      <c r="B394" s="1" t="s">
        <v>780</v>
      </c>
      <c r="C394" s="1" t="str">
        <f>IFERROR(__xludf.DUMMYFUNCTION("CONCATENATE(GOOGLETRANSLATE(B394, ""en"", ""zh-cn""))"),"产品变化")</f>
        <v>产品变化</v>
      </c>
      <c r="D394" s="1" t="str">
        <f>IFERROR(__xludf.DUMMYFUNCTION("CONCATENATE(GOOGLETRANSLATE(B394, ""en"", ""ko""))"),"제품 변형")</f>
        <v>제품 변형</v>
      </c>
      <c r="E394" s="2" t="str">
        <f>IFERROR(__xludf.DUMMYFUNCTION("CONCATENATE(GOOGLETRANSLATE(B394, ""en"", ""ja""))"),"製品バリエーション")</f>
        <v>製品バリエーション</v>
      </c>
    </row>
    <row r="395" ht="15.75" customHeight="1">
      <c r="A395" s="1" t="s">
        <v>781</v>
      </c>
      <c r="B395" s="1" t="s">
        <v>782</v>
      </c>
      <c r="C395" s="1" t="str">
        <f>IFERROR(__xludf.DUMMYFUNCTION("CONCATENATE(GOOGLETRANSLATE(B395, ""en"", ""zh-cn""))"),"颜色")</f>
        <v>颜色</v>
      </c>
      <c r="D395" s="1" t="str">
        <f>IFERROR(__xludf.DUMMYFUNCTION("CONCATENATE(GOOGLETRANSLATE(B395, ""en"", ""ko""))"),"그림 물감")</f>
        <v>그림 물감</v>
      </c>
      <c r="E395" s="2" t="str">
        <f>IFERROR(__xludf.DUMMYFUNCTION("CONCATENATE(GOOGLETRANSLATE(B395, ""en"", ""ja""))"),"色")</f>
        <v>色</v>
      </c>
    </row>
    <row r="396" ht="15.75" customHeight="1">
      <c r="A396" s="1" t="s">
        <v>783</v>
      </c>
      <c r="B396" s="1" t="s">
        <v>784</v>
      </c>
      <c r="C396" s="1" t="str">
        <f>IFERROR(__xludf.DUMMYFUNCTION("CONCATENATE(GOOGLETRANSLATE(B396, ""en"", ""zh-cn""))"),"属性")</f>
        <v>属性</v>
      </c>
      <c r="D396" s="1" t="str">
        <f>IFERROR(__xludf.DUMMYFUNCTION("CONCATENATE(GOOGLETRANSLATE(B396, ""en"", ""ko""))"),"속성")</f>
        <v>속성</v>
      </c>
      <c r="E396" s="2" t="str">
        <f>IFERROR(__xludf.DUMMYFUNCTION("CONCATENATE(GOOGLETRANSLATE(B396, ""en"", ""ja""))"),"属性")</f>
        <v>属性</v>
      </c>
    </row>
    <row r="397" ht="15.75" customHeight="1">
      <c r="A397" s="1" t="s">
        <v>785</v>
      </c>
      <c r="B397" s="1" t="s">
        <v>786</v>
      </c>
      <c r="C397" s="1" t="str">
        <f>IFERROR(__xludf.DUMMYFUNCTION("CONCATENATE(GOOGLETRANSLATE(B397, ""en"", ""zh-cn""))"),"选择属性")</f>
        <v>选择属性</v>
      </c>
      <c r="D397" s="1" t="str">
        <f>IFERROR(__xludf.DUMMYFUNCTION("CONCATENATE(GOOGLETRANSLATE(B397, ""en"", ""ko""))"),"속성 선택")</f>
        <v>속성 선택</v>
      </c>
      <c r="E397" s="2" t="str">
        <f>IFERROR(__xludf.DUMMYFUNCTION("CONCATENATE(GOOGLETRANSLATE(B397, ""en"", ""ja""))"),"属性の選択")</f>
        <v>属性の選択</v>
      </c>
    </row>
    <row r="398" ht="15.75" customHeight="1">
      <c r="A398" s="1" t="s">
        <v>787</v>
      </c>
      <c r="B398" s="1" t="s">
        <v>788</v>
      </c>
      <c r="C398" s="1" t="str">
        <f>IFERROR(__xludf.DUMMYFUNCTION("CONCATENATE(GOOGLETRANSLATE(B398, ""en"", ""zh-cn""))"),"选择该产品的属性，然后输入每个属性的值")</f>
        <v>选择该产品的属性，然后输入每个属性的值</v>
      </c>
      <c r="D398" s="1" t="str">
        <f>IFERROR(__xludf.DUMMYFUNCTION("CONCATENATE(GOOGLETRANSLATE(B398, ""en"", ""ko""))"),"이 제품의 속성을 선택한 후 각 속성의 값을 입력하세요.")</f>
        <v>이 제품의 속성을 선택한 후 각 속성의 값을 입력하세요.</v>
      </c>
      <c r="E398" s="2" t="str">
        <f>IFERROR(__xludf.DUMMYFUNCTION("CONCATENATE(GOOGLETRANSLATE(B398, ""en"", ""ja""))"),"この製品の属性を選択し、各属性の値を入力します")</f>
        <v>この製品の属性を選択し、各属性の値を入力します</v>
      </c>
    </row>
    <row r="399" ht="15.75" customHeight="1">
      <c r="A399" s="1" t="s">
        <v>789</v>
      </c>
      <c r="B399" s="1" t="s">
        <v>790</v>
      </c>
      <c r="C399" s="1" t="str">
        <f>IFERROR(__xludf.DUMMYFUNCTION("CONCATENATE(GOOGLETRANSLATE(B399, ""en"", ""zh-cn""))"),"产品价格+库存")</f>
        <v>产品价格+库存</v>
      </c>
      <c r="D399" s="1" t="str">
        <f>IFERROR(__xludf.DUMMYFUNCTION("CONCATENATE(GOOGLETRANSLATE(B399, ""en"", ""ko""))"),"제품 가격 + 재고")</f>
        <v>제품 가격 + 재고</v>
      </c>
      <c r="E399" s="2" t="str">
        <f>IFERROR(__xludf.DUMMYFUNCTION("CONCATENATE(GOOGLETRANSLATE(B399, ""en"", ""ja""))"),"商品価格+在庫")</f>
        <v>商品価格+在庫</v>
      </c>
    </row>
    <row r="400" ht="15.75" customHeight="1">
      <c r="A400" s="1" t="s">
        <v>791</v>
      </c>
      <c r="B400" s="1" t="s">
        <v>792</v>
      </c>
      <c r="C400" s="1" t="str">
        <f>IFERROR(__xludf.DUMMYFUNCTION("CONCATENATE(GOOGLETRANSLATE(B400, ""en"", ""zh-cn""))"),"单价")</f>
        <v>单价</v>
      </c>
      <c r="D400" s="1" t="str">
        <f>IFERROR(__xludf.DUMMYFUNCTION("CONCATENATE(GOOGLETRANSLATE(B400, ""en"", ""ko""))"),"단가")</f>
        <v>단가</v>
      </c>
      <c r="E400" s="2" t="str">
        <f>IFERROR(__xludf.DUMMYFUNCTION("CONCATENATE(GOOGLETRANSLATE(B400, ""en"", ""ja""))"),"単価")</f>
        <v>単価</v>
      </c>
    </row>
    <row r="401" ht="15.75" customHeight="1">
      <c r="A401" s="1" t="s">
        <v>793</v>
      </c>
      <c r="B401" s="1" t="s">
        <v>794</v>
      </c>
      <c r="C401" s="1" t="str">
        <f>IFERROR(__xludf.DUMMYFUNCTION("CONCATENATE(GOOGLETRANSLATE(B401, ""en"", ""zh-cn""))"),"购买价格")</f>
        <v>购买价格</v>
      </c>
      <c r="D401" s="1" t="str">
        <f>IFERROR(__xludf.DUMMYFUNCTION("CONCATENATE(GOOGLETRANSLATE(B401, ""en"", ""ko""))"),"구매 가격")</f>
        <v>구매 가격</v>
      </c>
      <c r="E401" s="2" t="str">
        <f>IFERROR(__xludf.DUMMYFUNCTION("CONCATENATE(GOOGLETRANSLATE(B401, ""en"", ""ja""))"),"購入価格")</f>
        <v>購入価格</v>
      </c>
    </row>
    <row r="402" ht="15.75" customHeight="1">
      <c r="A402" s="1" t="s">
        <v>795</v>
      </c>
      <c r="B402" s="1" t="s">
        <v>796</v>
      </c>
      <c r="C402" s="1" t="str">
        <f>IFERROR(__xludf.DUMMYFUNCTION("CONCATENATE(GOOGLETRANSLATE(B402, ""en"", ""zh-cn""))"),"平坦的")</f>
        <v>平坦的</v>
      </c>
      <c r="D402" s="1" t="str">
        <f>IFERROR(__xludf.DUMMYFUNCTION("CONCATENATE(GOOGLETRANSLATE(B402, ""en"", ""ko""))"),"평평한")</f>
        <v>평평한</v>
      </c>
      <c r="E402" s="2" t="str">
        <f>IFERROR(__xludf.DUMMYFUNCTION("CONCATENATE(GOOGLETRANSLATE(B402, ""en"", ""ja""))"),"フラット")</f>
        <v>フラット</v>
      </c>
    </row>
    <row r="403" ht="15.75" customHeight="1">
      <c r="A403" s="1" t="s">
        <v>797</v>
      </c>
      <c r="B403" s="1" t="s">
        <v>798</v>
      </c>
      <c r="C403" s="1" t="str">
        <f>IFERROR(__xludf.DUMMYFUNCTION("CONCATENATE(GOOGLETRANSLATE(B403, ""en"", ""zh-cn""))"),"百分比")</f>
        <v>百分比</v>
      </c>
      <c r="D403" s="1" t="str">
        <f>IFERROR(__xludf.DUMMYFUNCTION("CONCATENATE(GOOGLETRANSLATE(B403, ""en"", ""ko""))"),"퍼센트")</f>
        <v>퍼센트</v>
      </c>
      <c r="E403" s="2" t="str">
        <f>IFERROR(__xludf.DUMMYFUNCTION("CONCATENATE(GOOGLETRANSLATE(B403, ""en"", ""ja""))"),"パーセント")</f>
        <v>パーセント</v>
      </c>
    </row>
    <row r="404" ht="15.75" customHeight="1">
      <c r="A404" s="1" t="s">
        <v>799</v>
      </c>
      <c r="B404" s="1" t="s">
        <v>800</v>
      </c>
      <c r="C404" s="1" t="str">
        <f>IFERROR(__xludf.DUMMYFUNCTION("CONCATENATE(GOOGLETRANSLATE(B404, ""en"", ""zh-cn""))"),"折扣")</f>
        <v>折扣</v>
      </c>
      <c r="D404" s="1" t="str">
        <f>IFERROR(__xludf.DUMMYFUNCTION("CONCATENATE(GOOGLETRANSLATE(B404, ""en"", ""ko""))"),"할인")</f>
        <v>할인</v>
      </c>
      <c r="E404" s="2" t="str">
        <f>IFERROR(__xludf.DUMMYFUNCTION("CONCATENATE(GOOGLETRANSLATE(B404, ""en"", ""ja""))"),"割引")</f>
        <v>割引</v>
      </c>
    </row>
    <row r="405" ht="15.75" customHeight="1">
      <c r="A405" s="1" t="s">
        <v>801</v>
      </c>
      <c r="B405" s="1" t="s">
        <v>802</v>
      </c>
      <c r="C405" s="1" t="str">
        <f>IFERROR(__xludf.DUMMYFUNCTION("CONCATENATE(GOOGLETRANSLATE(B405, ""en"", ""zh-cn""))"),"产品描述")</f>
        <v>产品描述</v>
      </c>
      <c r="D405" s="1" t="str">
        <f>IFERROR(__xludf.DUMMYFUNCTION("CONCATENATE(GOOGLETRANSLATE(B405, ""en"", ""ko""))"),"제품 설명")</f>
        <v>제품 설명</v>
      </c>
      <c r="E405" s="2" t="str">
        <f>IFERROR(__xludf.DUMMYFUNCTION("CONCATENATE(GOOGLETRANSLATE(B405, ""en"", ""ja""))"),"製品説明")</f>
        <v>製品説明</v>
      </c>
    </row>
    <row r="406" ht="15.75" customHeight="1">
      <c r="A406" s="1" t="s">
        <v>803</v>
      </c>
      <c r="B406" s="1" t="s">
        <v>804</v>
      </c>
      <c r="C406" s="1" t="str">
        <f>IFERROR(__xludf.DUMMYFUNCTION("CONCATENATE(GOOGLETRANSLATE(B406, ""en"", ""zh-cn""))"),"产品运费")</f>
        <v>产品运费</v>
      </c>
      <c r="D406" s="1" t="str">
        <f>IFERROR(__xludf.DUMMYFUNCTION("CONCATENATE(GOOGLETRANSLATE(B406, ""en"", ""ko""))"),"제품 배송비")</f>
        <v>제품 배송비</v>
      </c>
      <c r="E406" s="2" t="str">
        <f>IFERROR(__xludf.DUMMYFUNCTION("CONCATENATE(GOOGLETRANSLATE(B406, ""en"", ""ja""))"),"商品の送料")</f>
        <v>商品の送料</v>
      </c>
    </row>
    <row r="407" ht="15.75" customHeight="1">
      <c r="A407" s="1" t="s">
        <v>805</v>
      </c>
      <c r="B407" s="1" t="s">
        <v>806</v>
      </c>
      <c r="C407" s="1" t="str">
        <f>IFERROR(__xludf.DUMMYFUNCTION("CONCATENATE(GOOGLETRANSLATE(B407, ""en"", ""zh-cn""))"),"免运费")</f>
        <v>免运费</v>
      </c>
      <c r="D407" s="1" t="str">
        <f>IFERROR(__xludf.DUMMYFUNCTION("CONCATENATE(GOOGLETRANSLATE(B407, ""en"", ""ko""))"),"무료 배송")</f>
        <v>무료 배송</v>
      </c>
      <c r="E407" s="2" t="str">
        <f>IFERROR(__xludf.DUMMYFUNCTION("CONCATENATE(GOOGLETRANSLATE(B407, ""en"", ""ja""))"),"送料無料")</f>
        <v>送料無料</v>
      </c>
    </row>
    <row r="408" ht="15.75" customHeight="1">
      <c r="A408" s="1" t="s">
        <v>807</v>
      </c>
      <c r="B408" s="1" t="s">
        <v>808</v>
      </c>
      <c r="C408" s="1" t="str">
        <f>IFERROR(__xludf.DUMMYFUNCTION("CONCATENATE(GOOGLETRANSLATE(B408, ""en"", ""zh-cn""))"),"扁平率")</f>
        <v>扁平率</v>
      </c>
      <c r="D408" s="1" t="str">
        <f>IFERROR(__xludf.DUMMYFUNCTION("CONCATENATE(GOOGLETRANSLATE(B408, ""en"", ""ko""))"),"고정 요금")</f>
        <v>고정 요금</v>
      </c>
      <c r="E408" s="2" t="str">
        <f>IFERROR(__xludf.DUMMYFUNCTION("CONCATENATE(GOOGLETRANSLATE(B408, ""en"", ""ja""))"),"定額制料金")</f>
        <v>定額制料金</v>
      </c>
    </row>
    <row r="409" ht="15.75" customHeight="1">
      <c r="A409" s="1" t="s">
        <v>809</v>
      </c>
      <c r="B409" s="1" t="s">
        <v>810</v>
      </c>
      <c r="C409" s="1" t="str">
        <f>IFERROR(__xludf.DUMMYFUNCTION("CONCATENATE(GOOGLETRANSLATE(B409, ""en"", ""zh-cn""))"),"运费")</f>
        <v>运费</v>
      </c>
      <c r="D409" s="1" t="str">
        <f>IFERROR(__xludf.DUMMYFUNCTION("CONCATENATE(GOOGLETRANSLATE(B409, ""en"", ""ko""))"),"배송비")</f>
        <v>배송비</v>
      </c>
      <c r="E409" s="2" t="str">
        <f>IFERROR(__xludf.DUMMYFUNCTION("CONCATENATE(GOOGLETRANSLATE(B409, ""en"", ""ja""))"),"送料")</f>
        <v>送料</v>
      </c>
    </row>
    <row r="410" ht="15.75" customHeight="1">
      <c r="A410" s="1" t="s">
        <v>811</v>
      </c>
      <c r="B410" s="1" t="s">
        <v>812</v>
      </c>
      <c r="C410" s="1" t="str">
        <f>IFERROR(__xludf.DUMMYFUNCTION("CONCATENATE(GOOGLETRANSLATE(B410, ""en"", ""zh-cn""))"),"PDF 规格")</f>
        <v>PDF 规格</v>
      </c>
      <c r="D410" s="1" t="str">
        <f>IFERROR(__xludf.DUMMYFUNCTION("CONCATENATE(GOOGLETRANSLATE(B410, ""en"", ""ko""))"),"PDF 사양")</f>
        <v>PDF 사양</v>
      </c>
      <c r="E410" s="2" t="str">
        <f>IFERROR(__xludf.DUMMYFUNCTION("CONCATENATE(GOOGLETRANSLATE(B410, ""en"", ""ja""))"),"PDF仕様書")</f>
        <v>PDF仕様書</v>
      </c>
    </row>
    <row r="411" ht="15.75" customHeight="1">
      <c r="A411" s="1" t="s">
        <v>813</v>
      </c>
      <c r="B411" s="1" t="s">
        <v>814</v>
      </c>
      <c r="C411" s="1" t="str">
        <f>IFERROR(__xludf.DUMMYFUNCTION("CONCATENATE(GOOGLETRANSLATE(B411, ""en"", ""zh-cn""))"),"SEO 元标签")</f>
        <v>SEO 元标签</v>
      </c>
      <c r="D411" s="1" t="str">
        <f>IFERROR(__xludf.DUMMYFUNCTION("CONCATENATE(GOOGLETRANSLATE(B411, ""en"", ""ko""))"),"SEO 메타 태그")</f>
        <v>SEO 메타 태그</v>
      </c>
      <c r="E411" s="2" t="str">
        <f>IFERROR(__xludf.DUMMYFUNCTION("CONCATENATE(GOOGLETRANSLATE(B411, ""en"", ""ja""))"),"SEOメタタグ")</f>
        <v>SEOメタタグ</v>
      </c>
    </row>
    <row r="412" ht="15.75" customHeight="1">
      <c r="A412" s="1" t="s">
        <v>815</v>
      </c>
      <c r="B412" s="1" t="s">
        <v>816</v>
      </c>
      <c r="C412" s="1" t="str">
        <f>IFERROR(__xludf.DUMMYFUNCTION("CONCATENATE(GOOGLETRANSLATE(B412, ""en"", ""zh-cn""))"),"元标题")</f>
        <v>元标题</v>
      </c>
      <c r="D412" s="1" t="str">
        <f>IFERROR(__xludf.DUMMYFUNCTION("CONCATENATE(GOOGLETRANSLATE(B412, ""en"", ""ko""))"),"메타 제목")</f>
        <v>메타 제목</v>
      </c>
      <c r="E412" s="2" t="str">
        <f>IFERROR(__xludf.DUMMYFUNCTION("CONCATENATE(GOOGLETRANSLATE(B412, ""en"", ""ja""))"),"メタタイトル")</f>
        <v>メタタイトル</v>
      </c>
    </row>
    <row r="413" ht="15.75" customHeight="1">
      <c r="A413" s="1" t="s">
        <v>817</v>
      </c>
      <c r="B413" s="1" t="s">
        <v>818</v>
      </c>
      <c r="C413" s="1" t="str">
        <f>IFERROR(__xludf.DUMMYFUNCTION("CONCATENATE(GOOGLETRANSLATE(B413, ""en"", ""zh-cn""))"),"元图像")</f>
        <v>元图像</v>
      </c>
      <c r="D413" s="1" t="str">
        <f>IFERROR(__xludf.DUMMYFUNCTION("CONCATENATE(GOOGLETRANSLATE(B413, ""en"", ""ko""))"),"메타 이미지")</f>
        <v>메타 이미지</v>
      </c>
      <c r="E413" s="2" t="str">
        <f>IFERROR(__xludf.DUMMYFUNCTION("CONCATENATE(GOOGLETRANSLATE(B413, ""en"", ""ja""))"),"メタイメージ")</f>
        <v>メタイメージ</v>
      </c>
    </row>
    <row r="414" ht="15.75" customHeight="1">
      <c r="A414" s="1" t="s">
        <v>819</v>
      </c>
      <c r="B414" s="1" t="s">
        <v>820</v>
      </c>
      <c r="C414" s="1" t="str">
        <f>IFERROR(__xludf.DUMMYFUNCTION("CONCATENATE(GOOGLETRANSLATE(B414, ""en"", ""zh-cn""))"),"选择标题")</f>
        <v>选择标题</v>
      </c>
      <c r="D414" s="1" t="str">
        <f>IFERROR(__xludf.DUMMYFUNCTION("CONCATENATE(GOOGLETRANSLATE(B414, ""en"", ""ko""))"),"선택 제목")</f>
        <v>선택 제목</v>
      </c>
      <c r="E414" s="2" t="str">
        <f>IFERROR(__xludf.DUMMYFUNCTION("CONCATENATE(GOOGLETRANSLATE(B414, ""en"", ""ja""))"),"選択肢のタイトル")</f>
        <v>選択肢のタイトル</v>
      </c>
    </row>
    <row r="415" ht="15.75" customHeight="1">
      <c r="A415" s="1" t="s">
        <v>821</v>
      </c>
      <c r="B415" s="1" t="s">
        <v>822</v>
      </c>
      <c r="C415" s="1" t="str">
        <f>IFERROR(__xludf.DUMMYFUNCTION("CONCATENATE(GOOGLETRANSLATE(B415, ""en"", ""zh-cn""))"),"输入选择值")</f>
        <v>输入选择值</v>
      </c>
      <c r="D415" s="1" t="str">
        <f>IFERROR(__xludf.DUMMYFUNCTION("CONCATENATE(GOOGLETRANSLATE(B415, ""en"", ""ko""))"),"선택 값을 입력하세요")</f>
        <v>선택 값을 입력하세요</v>
      </c>
      <c r="E415" s="2" t="str">
        <f>IFERROR(__xludf.DUMMYFUNCTION("CONCATENATE(GOOGLETRANSLATE(B415, ""en"", ""ja""))"),"選択値を入力してください")</f>
        <v>選択値を入力してください</v>
      </c>
    </row>
    <row r="416" ht="15.75" customHeight="1">
      <c r="A416" s="1" t="s">
        <v>823</v>
      </c>
      <c r="B416" s="1" t="s">
        <v>824</v>
      </c>
      <c r="C416" s="1" t="str">
        <f>IFERROR(__xludf.DUMMYFUNCTION("CONCATENATE(GOOGLETRANSLATE(B416, ""en"", ""zh-cn""))"),"所有类别A")</f>
        <v>所有类别A</v>
      </c>
      <c r="D416" s="1" t="str">
        <f>IFERROR(__xludf.DUMMYFUNCTION("CONCATENATE(GOOGLETRANSLATE(B416, ""en"", ""ko""))"),"모든 카테고리 A")</f>
        <v>모든 카테고리 A</v>
      </c>
      <c r="E416" s="2" t="str">
        <f>IFERROR(__xludf.DUMMYFUNCTION("CONCATENATE(GOOGLETRANSLATE(B416, ""en"", ""ja""))"),"すべてのカテゴリーA")</f>
        <v>すべてのカテゴリーA</v>
      </c>
    </row>
    <row r="417" ht="15.75" customHeight="1">
      <c r="A417" s="1" t="s">
        <v>825</v>
      </c>
      <c r="B417" s="1" t="s">
        <v>826</v>
      </c>
      <c r="C417" s="1" t="str">
        <f>IFERROR(__xludf.DUMMYFUNCTION("CONCATENATE(GOOGLETRANSLATE(B417, ""en"", ""zh-cn""))"),"添加新类别")</f>
        <v>添加新类别</v>
      </c>
      <c r="D417" s="1" t="str">
        <f>IFERROR(__xludf.DUMMYFUNCTION("CONCATENATE(GOOGLETRANSLATE(B417, ""en"", ""ko""))"),"새 카테고리 추가")</f>
        <v>새 카테고리 추가</v>
      </c>
      <c r="E417" s="2" t="str">
        <f>IFERROR(__xludf.DUMMYFUNCTION("CONCATENATE(GOOGLETRANSLATE(B417, ""en"", ""ja""))"),"新しいカテゴリを追加")</f>
        <v>新しいカテゴリを追加</v>
      </c>
    </row>
    <row r="418" ht="15.75" customHeight="1">
      <c r="A418" s="1" t="s">
        <v>827</v>
      </c>
      <c r="B418" s="1" t="s">
        <v>828</v>
      </c>
      <c r="C418" s="1" t="str">
        <f>IFERROR(__xludf.DUMMYFUNCTION("CONCATENATE(GOOGLETRANSLATE(B418, ""en"", ""zh-cn""))"),"输入名称并输入")</f>
        <v>输入名称并输入</v>
      </c>
      <c r="D418" s="1" t="str">
        <f>IFERROR(__xludf.DUMMYFUNCTION("CONCATENATE(GOOGLETRANSLATE(B418, ""en"", ""ko""))"),"이름을 입력하고 Enter를 누르세요.")</f>
        <v>이름을 입력하고 Enter를 누르세요.</v>
      </c>
      <c r="E418" s="2" t="str">
        <f>IFERROR(__xludf.DUMMYFUNCTION("CONCATENATE(GOOGLETRANSLATE(B418, ""en"", ""ja""))"),"名前を入力してEnter")</f>
        <v>名前を入力してEnter</v>
      </c>
    </row>
    <row r="419" ht="15.75" customHeight="1">
      <c r="A419" s="1" t="s">
        <v>829</v>
      </c>
      <c r="B419" s="1" t="s">
        <v>830</v>
      </c>
      <c r="C419" s="1" t="str">
        <f>IFERROR(__xludf.DUMMYFUNCTION("CONCATENATE(GOOGLETRANSLATE(B419, ""en"", ""zh-cn""))"),"横幅")</f>
        <v>横幅</v>
      </c>
      <c r="D419" s="1" t="str">
        <f>IFERROR(__xludf.DUMMYFUNCTION("CONCATENATE(GOOGLETRANSLATE(B419, ""en"", ""ko""))"),"기치")</f>
        <v>기치</v>
      </c>
      <c r="E419" s="2" t="str">
        <f>IFERROR(__xludf.DUMMYFUNCTION("CONCATENATE(GOOGLETRANSLATE(B419, ""en"", ""ja""))"),"バナー")</f>
        <v>バナー</v>
      </c>
    </row>
    <row r="420" ht="15.75" customHeight="1">
      <c r="A420" s="1" t="s">
        <v>831</v>
      </c>
      <c r="B420" s="1" t="s">
        <v>832</v>
      </c>
      <c r="C420" s="1" t="str">
        <f>IFERROR(__xludf.DUMMYFUNCTION("CONCATENATE(GOOGLETRANSLATE(B420, ""en"", ""zh-cn""))"),"委员会")</f>
        <v>委员会</v>
      </c>
      <c r="D420" s="1" t="str">
        <f>IFERROR(__xludf.DUMMYFUNCTION("CONCATENATE(GOOGLETRANSLATE(B420, ""en"", ""ko""))"),"수수료")</f>
        <v>수수료</v>
      </c>
      <c r="E420" s="2" t="str">
        <f>IFERROR(__xludf.DUMMYFUNCTION("CONCATENATE(GOOGLETRANSLATE(B420, ""en"", ""ja""))"),"手数料")</f>
        <v>手数料</v>
      </c>
    </row>
    <row r="421" ht="15.75" customHeight="1">
      <c r="A421" s="1" t="s">
        <v>833</v>
      </c>
      <c r="B421" s="1" t="s">
        <v>833</v>
      </c>
      <c r="C421" s="1" t="str">
        <f>IFERROR(__xludf.DUMMYFUNCTION("CONCATENATE(GOOGLETRANSLATE(B421, ""en"", ""zh-cn""))"),"图标")</f>
        <v>图标</v>
      </c>
      <c r="D421" s="1" t="str">
        <f>IFERROR(__xludf.DUMMYFUNCTION("CONCATENATE(GOOGLETRANSLATE(B421, ""en"", ""ko""))"),"상")</f>
        <v>상</v>
      </c>
      <c r="E421" s="2" t="str">
        <f>IFERROR(__xludf.DUMMYFUNCTION("CONCATENATE(GOOGLETRANSLATE(B421, ""en"", ""ja""))"),"アイコン")</f>
        <v>アイコン</v>
      </c>
    </row>
    <row r="422" ht="15.75" customHeight="1">
      <c r="A422" s="1" t="s">
        <v>834</v>
      </c>
      <c r="B422" s="1" t="s">
        <v>835</v>
      </c>
      <c r="C422" s="1" t="str">
        <f>IFERROR(__xludf.DUMMYFUNCTION("CONCATENATE(GOOGLETRANSLATE(B422, ""en"", ""zh-cn""))"),"特色类别更新成功")</f>
        <v>特色类别更新成功</v>
      </c>
      <c r="D422" s="1" t="str">
        <f>IFERROR(__xludf.DUMMYFUNCTION("CONCATENATE(GOOGLETRANSLATE(B422, ""en"", ""ko""))"),"추천 카테고리가 업데이트되었습니다.")</f>
        <v>추천 카테고리가 업데이트되었습니다.</v>
      </c>
      <c r="E422" s="2" t="str">
        <f>IFERROR(__xludf.DUMMYFUNCTION("CONCATENATE(GOOGLETRANSLATE(B422, ""en"", ""ja""))"),"注目のカテゴリが正常に更新されました")</f>
        <v>注目のカテゴリが正常に更新されました</v>
      </c>
    </row>
    <row r="423" ht="15.75" customHeight="1">
      <c r="A423" s="1" t="s">
        <v>836</v>
      </c>
      <c r="B423" s="1" t="s">
        <v>837</v>
      </c>
      <c r="C423" s="1" t="str">
        <f>IFERROR(__xludf.DUMMYFUNCTION("CONCATENATE(GOOGLETRANSLATE(B423, ""en"", ""zh-cn""))"),"热的")</f>
        <v>热的</v>
      </c>
      <c r="D423" s="1" t="str">
        <f>IFERROR(__xludf.DUMMYFUNCTION("CONCATENATE(GOOGLETRANSLATE(B423, ""en"", ""ko""))"),"더운")</f>
        <v>더운</v>
      </c>
      <c r="E423" s="2" t="str">
        <f>IFERROR(__xludf.DUMMYFUNCTION("CONCATENATE(GOOGLETRANSLATE(B423, ""en"", ""ja""))"),"熱い")</f>
        <v>熱い</v>
      </c>
    </row>
    <row r="424" ht="15.75" customHeight="1">
      <c r="A424" s="1" t="s">
        <v>838</v>
      </c>
      <c r="B424" s="1" t="s">
        <v>839</v>
      </c>
      <c r="C424" s="1" t="str">
        <f>IFERROR(__xludf.DUMMYFUNCTION("CONCATENATE(GOOGLETRANSLATE(B424, ""en"", ""zh-cn""))"),"按付款状态过滤")</f>
        <v>按付款状态过滤</v>
      </c>
      <c r="D424" s="1" t="str">
        <f>IFERROR(__xludf.DUMMYFUNCTION("CONCATENATE(GOOGLETRANSLATE(B424, ""en"", ""ko""))"),"결제 상태로 필터링")</f>
        <v>결제 상태로 필터링</v>
      </c>
      <c r="E424" s="2" t="str">
        <f>IFERROR(__xludf.DUMMYFUNCTION("CONCATENATE(GOOGLETRANSLATE(B424, ""en"", ""ja""))"),"支払いステータスでフィルタリングする")</f>
        <v>支払いステータスでフィルタリングする</v>
      </c>
    </row>
    <row r="425" ht="15.75" customHeight="1">
      <c r="A425" s="1" t="s">
        <v>414</v>
      </c>
      <c r="B425" s="1" t="s">
        <v>840</v>
      </c>
      <c r="C425" s="1" t="str">
        <f>IFERROR(__xludf.DUMMYFUNCTION("CONCATENATE(GOOGLETRANSLATE(B425, ""en"", ""zh-cn""))"),"未付")</f>
        <v>未付</v>
      </c>
      <c r="D425" s="1" t="str">
        <f>IFERROR(__xludf.DUMMYFUNCTION("CONCATENATE(GOOGLETRANSLATE(B425, ""en"", ""ko""))"),"미지급")</f>
        <v>미지급</v>
      </c>
      <c r="E425" s="2" t="str">
        <f>IFERROR(__xludf.DUMMYFUNCTION("CONCATENATE(GOOGLETRANSLATE(B425, ""en"", ""ja""))"),"未払い")</f>
        <v>未払い</v>
      </c>
    </row>
    <row r="426" ht="15.75" customHeight="1">
      <c r="A426" s="1" t="s">
        <v>841</v>
      </c>
      <c r="B426" s="1" t="s">
        <v>842</v>
      </c>
      <c r="C426" s="1" t="str">
        <f>IFERROR(__xludf.DUMMYFUNCTION("CONCATENATE(GOOGLETRANSLATE(B426, ""en"", ""zh-cn""))"),"按交付状态过滤")</f>
        <v>按交付状态过滤</v>
      </c>
      <c r="D426" s="1" t="str">
        <f>IFERROR(__xludf.DUMMYFUNCTION("CONCATENATE(GOOGLETRANSLATE(B426, ""en"", ""ko""))"),"배송 상태로 필터링")</f>
        <v>배송 상태로 필터링</v>
      </c>
      <c r="E426" s="2" t="str">
        <f>IFERROR(__xludf.DUMMYFUNCTION("CONCATENATE(GOOGLETRANSLATE(B426, ""en"", ""ja""))"),"配信ステータスによるフィルタリング")</f>
        <v>配信ステータスによるフィルタリング</v>
      </c>
    </row>
    <row r="427" ht="15.75" customHeight="1">
      <c r="A427" s="1" t="s">
        <v>843</v>
      </c>
      <c r="B427" s="1" t="s">
        <v>844</v>
      </c>
      <c r="C427" s="1" t="str">
        <f>IFERROR(__xludf.DUMMYFUNCTION("CONCATENATE(GOOGLETRANSLATE(B427, ""en"", ""zh-cn""))"),"待办的")</f>
        <v>待办的</v>
      </c>
      <c r="D427" s="1" t="str">
        <f>IFERROR(__xludf.DUMMYFUNCTION("CONCATENATE(GOOGLETRANSLATE(B427, ""en"", ""ko""))"),"보류 중")</f>
        <v>보류 중</v>
      </c>
      <c r="E427" s="2" t="str">
        <f>IFERROR(__xludf.DUMMYFUNCTION("CONCATENATE(GOOGLETRANSLATE(B427, ""en"", ""ja""))"),"保留中")</f>
        <v>保留中</v>
      </c>
    </row>
    <row r="428" ht="15.75" customHeight="1">
      <c r="A428" s="1" t="s">
        <v>845</v>
      </c>
      <c r="B428" s="1" t="s">
        <v>846</v>
      </c>
      <c r="C428" s="1" t="str">
        <f>IFERROR(__xludf.DUMMYFUNCTION("CONCATENATE(GOOGLETRANSLATE(B428, ""en"", ""zh-cn""))"),"输入订单代码并按 Enter 键")</f>
        <v>输入订单代码并按 Enter 键</v>
      </c>
      <c r="D428" s="1" t="str">
        <f>IFERROR(__xludf.DUMMYFUNCTION("CONCATENATE(GOOGLETRANSLATE(B428, ""en"", ""ko""))"),"주문 코드를 입력하고 Enter 키를 누르세요.")</f>
        <v>주문 코드를 입력하고 Enter 키를 누르세요.</v>
      </c>
      <c r="E428" s="2" t="str">
        <f>IFERROR(__xludf.DUMMYFUNCTION("CONCATENATE(GOOGLETRANSLATE(B428, ""en"", ""ja""))"),"注文コードを入力して Enter キーを押します")</f>
        <v>注文コードを入力して Enter キーを押します</v>
      </c>
    </row>
    <row r="429" ht="15.75" customHeight="1">
      <c r="A429" s="1" t="s">
        <v>847</v>
      </c>
      <c r="B429" s="1" t="s">
        <v>848</v>
      </c>
      <c r="C429" s="1" t="str">
        <f>IFERROR(__xludf.DUMMYFUNCTION("CONCATENATE(GOOGLETRANSLATE(B429, ""en"", ""zh-cn""))"),"编号。产品数量")</f>
        <v>编号。产品数量</v>
      </c>
      <c r="D429" s="1" t="str">
        <f>IFERROR(__xludf.DUMMYFUNCTION("CONCATENATE(GOOGLETRANSLATE(B429, ""en"", ""ko""))"),"번호 제품수")</f>
        <v>번호 제품수</v>
      </c>
      <c r="E429" s="2" t="str">
        <f>IFERROR(__xludf.DUMMYFUNCTION("CONCATENATE(GOOGLETRANSLATE(B429, ""en"", ""ja""))"),"うーん。製品の")</f>
        <v>うーん。製品の</v>
      </c>
    </row>
    <row r="430" ht="15.75" customHeight="1">
      <c r="A430" s="1" t="s">
        <v>849</v>
      </c>
      <c r="B430" s="1" t="s">
        <v>850</v>
      </c>
      <c r="C430" s="1" t="str">
        <f>IFERROR(__xludf.DUMMYFUNCTION("CONCATENATE(GOOGLETRANSLATE(B430, ""en"", ""zh-cn""))"),"走进顾客")</f>
        <v>走进顾客</v>
      </c>
      <c r="D430" s="1" t="str">
        <f>IFERROR(__xludf.DUMMYFUNCTION("CONCATENATE(GOOGLETRANSLATE(B430, ""en"", ""ko""))"),"고객 방문")</f>
        <v>고객 방문</v>
      </c>
      <c r="E430" s="2" t="str">
        <f>IFERROR(__xludf.DUMMYFUNCTION("CONCATENATE(GOOGLETRANSLATE(B430, ""en"", ""ja""))"),"ウォークイン顧客")</f>
        <v>ウォークイン顧客</v>
      </c>
    </row>
    <row r="431" ht="15.75" customHeight="1">
      <c r="A431" s="1" t="s">
        <v>851</v>
      </c>
      <c r="B431" s="1" t="s">
        <v>852</v>
      </c>
      <c r="C431" s="1" t="str">
        <f>IFERROR(__xludf.DUMMYFUNCTION("CONCATENATE(GOOGLETRANSLATE(B431, ""en"", ""zh-cn""))"),"数量")</f>
        <v>数量</v>
      </c>
      <c r="D431" s="1" t="str">
        <f>IFERROR(__xludf.DUMMYFUNCTION("CONCATENATE(GOOGLETRANSLATE(B431, ""en"", ""ko""))"),"수량")</f>
        <v>수량</v>
      </c>
      <c r="E431" s="2" t="str">
        <f>IFERROR(__xludf.DUMMYFUNCTION("CONCATENATE(GOOGLETRANSLATE(B431, ""en"", ""ja""))"),"数量")</f>
        <v>数量</v>
      </c>
    </row>
    <row r="432" ht="15.75" customHeight="1">
      <c r="A432" s="1" t="s">
        <v>853</v>
      </c>
      <c r="B432" s="1" t="s">
        <v>854</v>
      </c>
      <c r="C432" s="1" t="str">
        <f>IFERROR(__xludf.DUMMYFUNCTION("CONCATENATE(GOOGLETRANSLATE(B432, ""en"", ""zh-cn""))"),"不含运费")</f>
        <v>不含运费</v>
      </c>
      <c r="D432" s="1" t="str">
        <f>IFERROR(__xludf.DUMMYFUNCTION("CONCATENATE(GOOGLETRANSLATE(B432, ""en"", ""ko""))"),"배송비 없이")</f>
        <v>배송비 없이</v>
      </c>
      <c r="E432" s="2" t="str">
        <f>IFERROR(__xludf.DUMMYFUNCTION("CONCATENATE(GOOGLETRANSLATE(B432, ""en"", ""ja""))"),"送料なし")</f>
        <v>送料なし</v>
      </c>
    </row>
    <row r="433" ht="15.75" customHeight="1">
      <c r="A433" s="1" t="s">
        <v>855</v>
      </c>
      <c r="B433" s="1" t="s">
        <v>856</v>
      </c>
      <c r="C433" s="1" t="str">
        <f>IFERROR(__xludf.DUMMYFUNCTION("CONCATENATE(GOOGLETRANSLATE(B433, ""en"", ""zh-cn""))"),"含运费")</f>
        <v>含运费</v>
      </c>
      <c r="D433" s="1" t="str">
        <f>IFERROR(__xludf.DUMMYFUNCTION("CONCATENATE(GOOGLETRANSLATE(B433, ""en"", ""ko""))"),"배송비 포함")</f>
        <v>배송비 포함</v>
      </c>
      <c r="E433" s="2" t="str">
        <f>IFERROR(__xludf.DUMMYFUNCTION("CONCATENATE(GOOGLETRANSLATE(B433, ""en"", ""ja""))"),"送料込み")</f>
        <v>送料込み</v>
      </c>
    </row>
    <row r="434" ht="15.75" customHeight="1">
      <c r="A434" s="1" t="s">
        <v>857</v>
      </c>
      <c r="B434" s="1" t="s">
        <v>858</v>
      </c>
      <c r="C434" s="1" t="str">
        <f>IFERROR(__xludf.DUMMYFUNCTION("CONCATENATE(GOOGLETRANSLATE(B434, ""en"", ""zh-cn""))"),"现金支付")</f>
        <v>现金支付</v>
      </c>
      <c r="D434" s="1" t="str">
        <f>IFERROR(__xludf.DUMMYFUNCTION("CONCATENATE(GOOGLETRANSLATE(B434, ""en"", ""ko""))"),"현금으로 지불")</f>
        <v>현금으로 지불</v>
      </c>
      <c r="E434" s="2" t="str">
        <f>IFERROR(__xludf.DUMMYFUNCTION("CONCATENATE(GOOGLETRANSLATE(B434, ""en"", ""ja""))"),"現金で支払う")</f>
        <v>現金で支払う</v>
      </c>
    </row>
    <row r="435" ht="15.75" customHeight="1">
      <c r="A435" s="1" t="s">
        <v>859</v>
      </c>
      <c r="B435" s="1" t="s">
        <v>860</v>
      </c>
      <c r="C435" s="1" t="str">
        <f>IFERROR(__xludf.DUMMYFUNCTION("CONCATENATE(GOOGLETRANSLATE(B435, ""en"", ""zh-cn""))"),"收件地址")</f>
        <v>收件地址</v>
      </c>
      <c r="D435" s="1" t="str">
        <f>IFERROR(__xludf.DUMMYFUNCTION("CONCATENATE(GOOGLETRANSLATE(B435, ""en"", ""ko""))"),"배송 주소")</f>
        <v>배송 주소</v>
      </c>
      <c r="E435" s="2" t="str">
        <f>IFERROR(__xludf.DUMMYFUNCTION("CONCATENATE(GOOGLETRANSLATE(B435, ""en"", ""ja""))"),"お届け先の住所")</f>
        <v>お届け先の住所</v>
      </c>
    </row>
    <row r="436" ht="15.75" customHeight="1">
      <c r="A436" s="1" t="s">
        <v>861</v>
      </c>
      <c r="B436" s="1" t="s">
        <v>862</v>
      </c>
      <c r="C436" s="1" t="str">
        <f>IFERROR(__xludf.DUMMYFUNCTION("CONCATENATE(GOOGLETRANSLATE(B436, ""en"", ""zh-cn""))"),"关闭")</f>
        <v>关闭</v>
      </c>
      <c r="D436" s="1" t="str">
        <f>IFERROR(__xludf.DUMMYFUNCTION("CONCATENATE(GOOGLETRANSLATE(B436, ""en"", ""ko""))"),"닫다")</f>
        <v>닫다</v>
      </c>
      <c r="E436" s="2" t="str">
        <f>IFERROR(__xludf.DUMMYFUNCTION("CONCATENATE(GOOGLETRANSLATE(B436, ""en"", ""ja""))"),"近い")</f>
        <v>近い</v>
      </c>
    </row>
    <row r="437" ht="15.75" customHeight="1">
      <c r="A437" s="1" t="s">
        <v>863</v>
      </c>
      <c r="B437" s="1" t="s">
        <v>864</v>
      </c>
      <c r="C437" s="1" t="str">
        <f>IFERROR(__xludf.DUMMYFUNCTION("CONCATENATE(GOOGLETRANSLATE(B437, ""en"", ""zh-cn""))"),"选择国家")</f>
        <v>选择国家</v>
      </c>
      <c r="D437" s="1" t="str">
        <f>IFERROR(__xludf.DUMMYFUNCTION("CONCATENATE(GOOGLETRANSLATE(B437, ""en"", ""ko""))"),"국가 선택")</f>
        <v>국가 선택</v>
      </c>
      <c r="E437" s="2" t="str">
        <f>IFERROR(__xludf.DUMMYFUNCTION("CONCATENATE(GOOGLETRANSLATE(B437, ""en"", ""ja""))"),"国を選択してください")</f>
        <v>国を選択してください</v>
      </c>
    </row>
    <row r="438" ht="15.75" customHeight="1">
      <c r="A438" s="1" t="s">
        <v>865</v>
      </c>
      <c r="B438" s="1" t="s">
        <v>866</v>
      </c>
      <c r="C438" s="1" t="str">
        <f>IFERROR(__xludf.DUMMYFUNCTION("CONCATENATE(GOOGLETRANSLATE(B438, ""en"", ""zh-cn""))"),"订单确认")</f>
        <v>订单确认</v>
      </c>
      <c r="D438" s="1" t="str">
        <f>IFERROR(__xludf.DUMMYFUNCTION("CONCATENATE(GOOGLETRANSLATE(B438, ""en"", ""ko""))"),"주문 확인")</f>
        <v>주문 확인</v>
      </c>
      <c r="E438" s="2" t="str">
        <f>IFERROR(__xludf.DUMMYFUNCTION("CONCATENATE(GOOGLETRANSLATE(B438, ""en"", ""ja""))"),"注文確認")</f>
        <v>注文確認</v>
      </c>
    </row>
    <row r="439" ht="15.75" customHeight="1">
      <c r="A439" s="1" t="s">
        <v>867</v>
      </c>
      <c r="B439" s="1" t="s">
        <v>868</v>
      </c>
      <c r="C439" s="1" t="str">
        <f>IFERROR(__xludf.DUMMYFUNCTION("CONCATENATE(GOOGLETRANSLATE(B439, ""en"", ""zh-cn""))"),"您确定确认此订单吗？")</f>
        <v>您确定确认此订单吗？</v>
      </c>
      <c r="D439" s="1" t="str">
        <f>IFERROR(__xludf.DUMMYFUNCTION("CONCATENATE(GOOGLETRANSLATE(B439, ""en"", ""ko""))"),"이 주문을 확인하시겠습니까?")</f>
        <v>이 주문을 확인하시겠습니까?</v>
      </c>
      <c r="E439" s="2" t="str">
        <f>IFERROR(__xludf.DUMMYFUNCTION("CONCATENATE(GOOGLETRANSLATE(B439, ""en"", ""ja""))"),"この注文を確認してもよろしいですか?")</f>
        <v>この注文を確認してもよろしいですか?</v>
      </c>
    </row>
    <row r="440" ht="15.75" customHeight="1">
      <c r="A440" s="1" t="s">
        <v>869</v>
      </c>
      <c r="B440" s="1" t="s">
        <v>870</v>
      </c>
      <c r="C440" s="1" t="str">
        <f>IFERROR(__xludf.DUMMYFUNCTION("CONCATENATE(GOOGLETRANSLATE(B440, ""en"", ""zh-cn""))"),"确认订单")</f>
        <v>确认订单</v>
      </c>
      <c r="D440" s="1" t="str">
        <f>IFERROR(__xludf.DUMMYFUNCTION("CONCATENATE(GOOGLETRANSLATE(B440, ""en"", ""ko""))"),"주문 확인")</f>
        <v>주문 확인</v>
      </c>
      <c r="E440" s="2" t="str">
        <f>IFERROR(__xludf.DUMMYFUNCTION("CONCATENATE(GOOGLETRANSLATE(B440, ""en"", ""ja""))"),"注文の確認")</f>
        <v>注文の確認</v>
      </c>
    </row>
    <row r="441" ht="15.75" customHeight="1">
      <c r="A441" s="1" t="s">
        <v>871</v>
      </c>
      <c r="B441" s="1" t="s">
        <v>872</v>
      </c>
      <c r="C441" s="1" t="str">
        <f>IFERROR(__xludf.DUMMYFUNCTION("CONCATENATE(GOOGLETRANSLATE(B441, ""en"", ""zh-cn""))"),"个人信息")</f>
        <v>个人信息</v>
      </c>
      <c r="D441" s="1" t="str">
        <f>IFERROR(__xludf.DUMMYFUNCTION("CONCATENATE(GOOGLETRANSLATE(B441, ""en"", ""ko""))"),"개인정보")</f>
        <v>개인정보</v>
      </c>
      <c r="E441" s="2" t="str">
        <f>IFERROR(__xludf.DUMMYFUNCTION("CONCATENATE(GOOGLETRANSLATE(B441, ""en"", ""ja""))"),"個人情報")</f>
        <v>個人情報</v>
      </c>
    </row>
    <row r="442" ht="15.75" customHeight="1">
      <c r="A442" s="1" t="s">
        <v>873</v>
      </c>
      <c r="B442" s="1" t="s">
        <v>874</v>
      </c>
      <c r="C442" s="1" t="str">
        <f>IFERROR(__xludf.DUMMYFUNCTION("CONCATENATE(GOOGLETRANSLATE(B442, ""en"", ""zh-cn""))"),"重复密码")</f>
        <v>重复密码</v>
      </c>
      <c r="D442" s="1" t="str">
        <f>IFERROR(__xludf.DUMMYFUNCTION("CONCATENATE(GOOGLETRANSLATE(B442, ""en"", ""ko""))"),"비밀번호 반복")</f>
        <v>비밀번호 반복</v>
      </c>
      <c r="E442" s="2" t="str">
        <f>IFERROR(__xludf.DUMMYFUNCTION("CONCATENATE(GOOGLETRANSLATE(B442, ""en"", ""ja""))"),"パスワードを再度入力してください")</f>
        <v>パスワードを再度入力してください</v>
      </c>
    </row>
    <row r="443" ht="15.75" customHeight="1">
      <c r="A443" s="1" t="s">
        <v>875</v>
      </c>
      <c r="B443" s="1" t="s">
        <v>876</v>
      </c>
      <c r="C443" s="1" t="str">
        <f>IFERROR(__xludf.DUMMYFUNCTION("CONCATENATE(GOOGLETRANSLATE(B443, ""en"", ""zh-cn""))"),"店铺名称")</f>
        <v>店铺名称</v>
      </c>
      <c r="D443" s="1" t="str">
        <f>IFERROR(__xludf.DUMMYFUNCTION("CONCATENATE(GOOGLETRANSLATE(B443, ""en"", ""ko""))"),"상점 이름")</f>
        <v>상점 이름</v>
      </c>
      <c r="E443" s="2" t="str">
        <f>IFERROR(__xludf.DUMMYFUNCTION("CONCATENATE(GOOGLETRANSLATE(B443, ""en"", ""ja""))"),"店名")</f>
        <v>店名</v>
      </c>
    </row>
    <row r="444" ht="15.75" customHeight="1">
      <c r="A444" s="1" t="s">
        <v>877</v>
      </c>
      <c r="B444" s="1" t="s">
        <v>878</v>
      </c>
      <c r="C444" s="1" t="str">
        <f>IFERROR(__xludf.DUMMYFUNCTION("CONCATENATE(GOOGLETRANSLATE(B444, ""en"", ""zh-cn""))"),"注册您的商店")</f>
        <v>注册您的商店</v>
      </c>
      <c r="D444" s="1" t="str">
        <f>IFERROR(__xludf.DUMMYFUNCTION("CONCATENATE(GOOGLETRANSLATE(B444, ""en"", ""ko""))"),"상점 등록")</f>
        <v>상점 등록</v>
      </c>
      <c r="E444" s="2" t="str">
        <f>IFERROR(__xludf.DUMMYFUNCTION("CONCATENATE(GOOGLETRANSLATE(B444, ""en"", ""ja""))"),"ショップを登録する")</f>
        <v>ショップを登録する</v>
      </c>
    </row>
    <row r="445" ht="15.75" customHeight="1">
      <c r="A445" s="1" t="s">
        <v>879</v>
      </c>
      <c r="B445" s="1" t="s">
        <v>880</v>
      </c>
      <c r="C445" s="1" t="str">
        <f>IFERROR(__xludf.DUMMYFUNCTION("CONCATENATE(GOOGLETRANSLATE(B445, ""en"", ""zh-cn""))"),"附属信息")</f>
        <v>附属信息</v>
      </c>
      <c r="D445" s="1" t="str">
        <f>IFERROR(__xludf.DUMMYFUNCTION("CONCATENATE(GOOGLETRANSLATE(B445, ""en"", ""ko""))"),"제휴정보")</f>
        <v>제휴정보</v>
      </c>
      <c r="E445" s="2" t="str">
        <f>IFERROR(__xludf.DUMMYFUNCTION("CONCATENATE(GOOGLETRANSLATE(B445, ""en"", ""ja""))"),"アフィリエイト情報")</f>
        <v>アフィリエイト情報</v>
      </c>
    </row>
    <row r="446" ht="15.75" customHeight="1">
      <c r="A446" s="1" t="s">
        <v>881</v>
      </c>
      <c r="B446" s="1" t="s">
        <v>882</v>
      </c>
      <c r="C446" s="1" t="str">
        <f>IFERROR(__xludf.DUMMYFUNCTION("CONCATENATE(GOOGLETRANSLATE(B446, ""en"", ""zh-cn""))"),"附属机构")</f>
        <v>附属机构</v>
      </c>
      <c r="D446" s="1" t="str">
        <f>IFERROR(__xludf.DUMMYFUNCTION("CONCATENATE(GOOGLETRANSLATE(B446, ""en"", ""ko""))"),"제휴하다")</f>
        <v>제휴하다</v>
      </c>
      <c r="E446" s="2" t="str">
        <f>IFERROR(__xludf.DUMMYFUNCTION("CONCATENATE(GOOGLETRANSLATE(B446, ""en"", ""ja""))"),"アフィリエイト")</f>
        <v>アフィリエイト</v>
      </c>
    </row>
    <row r="447" ht="15.75" customHeight="1">
      <c r="A447" s="1" t="s">
        <v>883</v>
      </c>
      <c r="B447" s="1" t="s">
        <v>884</v>
      </c>
      <c r="C447" s="1" t="str">
        <f>IFERROR(__xludf.DUMMYFUNCTION("CONCATENATE(GOOGLETRANSLATE(B447, ""en"", ""zh-cn""))"),"用户信息")</f>
        <v>用户信息</v>
      </c>
      <c r="D447" s="1" t="str">
        <f>IFERROR(__xludf.DUMMYFUNCTION("CONCATENATE(GOOGLETRANSLATE(B447, ""en"", ""ko""))"),"사용자 정보")</f>
        <v>사용자 정보</v>
      </c>
      <c r="E447" s="2" t="str">
        <f>IFERROR(__xludf.DUMMYFUNCTION("CONCATENATE(GOOGLETRANSLATE(B447, ""en"", ""ja""))"),"ユーザー情報")</f>
        <v>ユーザー情報</v>
      </c>
    </row>
    <row r="448" ht="15.75" customHeight="1">
      <c r="A448" s="1" t="s">
        <v>885</v>
      </c>
      <c r="B448" s="1" t="s">
        <v>886</v>
      </c>
      <c r="C448" s="1" t="str">
        <f>IFERROR(__xludf.DUMMYFUNCTION("CONCATENATE(GOOGLETRANSLATE(B448, ""en"", ""zh-cn""))"),"已安装插件")</f>
        <v>已安装插件</v>
      </c>
      <c r="D448" s="1" t="str">
        <f>IFERROR(__xludf.DUMMYFUNCTION("CONCATENATE(GOOGLETRANSLATE(B448, ""en"", ""ko""))"),"설치된 애드온")</f>
        <v>설치된 애드온</v>
      </c>
      <c r="E448" s="2" t="str">
        <f>IFERROR(__xludf.DUMMYFUNCTION("CONCATENATE(GOOGLETRANSLATE(B448, ""en"", ""ja""))"),"インストールされたアドオン")</f>
        <v>インストールされたアドオン</v>
      </c>
    </row>
    <row r="449" ht="15.75" customHeight="1">
      <c r="A449" s="1" t="s">
        <v>887</v>
      </c>
      <c r="B449" s="1" t="s">
        <v>888</v>
      </c>
      <c r="C449" s="1" t="str">
        <f>IFERROR(__xludf.DUMMYFUNCTION("CONCATENATE(GOOGLETRANSLATE(B449, ""en"", ""zh-cn""))"),"可用插件")</f>
        <v>可用插件</v>
      </c>
      <c r="D449" s="1" t="str">
        <f>IFERROR(__xludf.DUMMYFUNCTION("CONCATENATE(GOOGLETRANSLATE(B449, ""en"", ""ko""))"),"사용 가능한 애드온")</f>
        <v>사용 가능한 애드온</v>
      </c>
      <c r="E449" s="2" t="str">
        <f>IFERROR(__xludf.DUMMYFUNCTION("CONCATENATE(GOOGLETRANSLATE(B449, ""en"", ""ja""))"),"利用可能なアドオン")</f>
        <v>利用可能なアドオン</v>
      </c>
    </row>
    <row r="450" ht="15.75" customHeight="1">
      <c r="A450" s="1" t="s">
        <v>889</v>
      </c>
      <c r="B450" s="1" t="s">
        <v>890</v>
      </c>
      <c r="C450" s="1" t="str">
        <f>IFERROR(__xludf.DUMMYFUNCTION("CONCATENATE(GOOGLETRANSLATE(B450, ""en"", ""zh-cn""))"),"安装新插件")</f>
        <v>安装新插件</v>
      </c>
      <c r="D450" s="1" t="str">
        <f>IFERROR(__xludf.DUMMYFUNCTION("CONCATENATE(GOOGLETRANSLATE(B450, ""en"", ""ko""))"),"새로운 애드온 설치")</f>
        <v>새로운 애드온 설치</v>
      </c>
      <c r="E450" s="2" t="str">
        <f>IFERROR(__xludf.DUMMYFUNCTION("CONCATENATE(GOOGLETRANSLATE(B450, ""en"", ""ja""))"),"新しいアドオンをインストールする")</f>
        <v>新しいアドオンをインストールする</v>
      </c>
    </row>
    <row r="451" ht="15.75" customHeight="1">
      <c r="A451" s="1" t="s">
        <v>891</v>
      </c>
      <c r="B451" s="1" t="s">
        <v>892</v>
      </c>
      <c r="C451" s="1" t="str">
        <f>IFERROR(__xludf.DUMMYFUNCTION("CONCATENATE(GOOGLETRANSLATE(B451, ""en"", ""zh-cn""))"),"版本")</f>
        <v>版本</v>
      </c>
      <c r="D451" s="1" t="str">
        <f>IFERROR(__xludf.DUMMYFUNCTION("CONCATENATE(GOOGLETRANSLATE(B451, ""en"", ""ko""))"),"버전")</f>
        <v>버전</v>
      </c>
      <c r="E451" s="2" t="str">
        <f>IFERROR(__xludf.DUMMYFUNCTION("CONCATENATE(GOOGLETRANSLATE(B451, ""en"", ""ja""))"),"バージョン")</f>
        <v>バージョン</v>
      </c>
    </row>
    <row r="452" ht="15.75" customHeight="1">
      <c r="A452" s="1" t="s">
        <v>893</v>
      </c>
      <c r="B452" s="1" t="s">
        <v>894</v>
      </c>
      <c r="C452" s="1" t="str">
        <f>IFERROR(__xludf.DUMMYFUNCTION("CONCATENATE(GOOGLETRANSLATE(B452, ""en"", ""zh-cn""))"),"活性")</f>
        <v>活性</v>
      </c>
      <c r="D452" s="1" t="str">
        <f>IFERROR(__xludf.DUMMYFUNCTION("CONCATENATE(GOOGLETRANSLATE(B452, ""en"", ""ko""))"),"활성화됨")</f>
        <v>활성화됨</v>
      </c>
      <c r="E452" s="2" t="str">
        <f>IFERROR(__xludf.DUMMYFUNCTION("CONCATENATE(GOOGLETRANSLATE(B452, ""en"", ""ja""))"),"アクティブ化されました")</f>
        <v>アクティブ化されました</v>
      </c>
    </row>
    <row r="453" ht="15.75" customHeight="1">
      <c r="A453" s="1" t="s">
        <v>895</v>
      </c>
      <c r="B453" s="1" t="s">
        <v>896</v>
      </c>
      <c r="C453" s="1" t="str">
        <f>IFERROR(__xludf.DUMMYFUNCTION("CONCATENATE(GOOGLETRANSLATE(B453, ""en"", ""zh-cn""))"),"已停用")</f>
        <v>已停用</v>
      </c>
      <c r="D453" s="1" t="str">
        <f>IFERROR(__xludf.DUMMYFUNCTION("CONCATENATE(GOOGLETRANSLATE(B453, ""en"", ""ko""))"),"비활성화됨")</f>
        <v>비활성화됨</v>
      </c>
      <c r="E453" s="2" t="str">
        <f>IFERROR(__xludf.DUMMYFUNCTION("CONCATENATE(GOOGLETRANSLATE(B453, ""en"", ""ja""))"),"無効化されました")</f>
        <v>無効化されました</v>
      </c>
    </row>
    <row r="454" ht="15.75" customHeight="1">
      <c r="A454" s="1" t="s">
        <v>897</v>
      </c>
      <c r="B454" s="1" t="s">
        <v>898</v>
      </c>
      <c r="C454" s="1" t="str">
        <f>IFERROR(__xludf.DUMMYFUNCTION("CONCATENATE(GOOGLETRANSLATE(B454, ""en"", ""zh-cn""))"),"激活一次性密码")</f>
        <v>激活一次性密码</v>
      </c>
      <c r="D454" s="1" t="str">
        <f>IFERROR(__xludf.DUMMYFUNCTION("CONCATENATE(GOOGLETRANSLATE(B454, ""en"", ""ko""))"),"OTP 활성화")</f>
        <v>OTP 활성화</v>
      </c>
      <c r="E454" s="2" t="str">
        <f>IFERROR(__xludf.DUMMYFUNCTION("CONCATENATE(GOOGLETRANSLATE(B454, ""en"", ""ja""))"),"OTPを有効にする")</f>
        <v>OTPを有効にする</v>
      </c>
    </row>
    <row r="455" ht="15.75" customHeight="1">
      <c r="A455" s="1" t="s">
        <v>899</v>
      </c>
      <c r="B455" s="1" t="s">
        <v>900</v>
      </c>
      <c r="C455" s="1" t="str">
        <f>IFERROR(__xludf.DUMMYFUNCTION("CONCATENATE(GOOGLETRANSLATE(B455, ""en"", ""zh-cn""))"),"OTP 将用于")</f>
        <v>OTP 将用于</v>
      </c>
      <c r="D455" s="1" t="str">
        <f>IFERROR(__xludf.DUMMYFUNCTION("CONCATENATE(GOOGLETRANSLATE(B455, ""en"", ""ko""))"),"OTP는 다음 용도로 사용됩니다.")</f>
        <v>OTP는 다음 용도로 사용됩니다.</v>
      </c>
      <c r="E455" s="2" t="str">
        <f>IFERROR(__xludf.DUMMYFUNCTION("CONCATENATE(GOOGLETRANSLATE(B455, ""en"", ""ja""))"),"OTP の使用目的")</f>
        <v>OTP の使用目的</v>
      </c>
    </row>
    <row r="456" ht="15.75" customHeight="1">
      <c r="A456" s="1" t="s">
        <v>901</v>
      </c>
      <c r="B456" s="1" t="s">
        <v>902</v>
      </c>
      <c r="C456" s="1" t="str">
        <f>IFERROR(__xludf.DUMMYFUNCTION("CONCATENATE(GOOGLETRANSLATE(B456, ""en"", ""zh-cn""))"),"设置更新成功")</f>
        <v>设置更新成功</v>
      </c>
      <c r="D456" s="1" t="str">
        <f>IFERROR(__xludf.DUMMYFUNCTION("CONCATENATE(GOOGLETRANSLATE(B456, ""en"", ""ko""))"),"설정이 업데이트되었습니다.")</f>
        <v>설정이 업데이트되었습니다.</v>
      </c>
      <c r="E456" s="2" t="str">
        <f>IFERROR(__xludf.DUMMYFUNCTION("CONCATENATE(GOOGLETRANSLATE(B456, ""en"", ""ja""))"),"設定が正常に更新されました")</f>
        <v>設定が正常に更新されました</v>
      </c>
    </row>
    <row r="457" ht="15.75" customHeight="1">
      <c r="A457" s="1" t="s">
        <v>903</v>
      </c>
      <c r="B457" s="1" t="s">
        <v>904</v>
      </c>
      <c r="C457" s="1" t="str">
        <f>IFERROR(__xludf.DUMMYFUNCTION("CONCATENATE(GOOGLETRANSLATE(B457, ""en"", ""zh-cn""))"),"产品负责人")</f>
        <v>产品负责人</v>
      </c>
      <c r="D457" s="1" t="str">
        <f>IFERROR(__xludf.DUMMYFUNCTION("CONCATENATE(GOOGLETRANSLATE(B457, ""en"", ""ko""))"),"제품 소유자")</f>
        <v>제품 소유자</v>
      </c>
      <c r="E457" s="2" t="str">
        <f>IFERROR(__xludf.DUMMYFUNCTION("CONCATENATE(GOOGLETRANSLATE(B457, ""en"", ""ja""))"),"プロダクトオーナー")</f>
        <v>プロダクトオーナー</v>
      </c>
    </row>
    <row r="458" ht="15.75" customHeight="1">
      <c r="A458" s="1" t="s">
        <v>905</v>
      </c>
      <c r="B458" s="1" t="s">
        <v>906</v>
      </c>
      <c r="C458" s="1" t="str">
        <f>IFERROR(__xludf.DUMMYFUNCTION("CONCATENATE(GOOGLETRANSLATE(B458, ""en"", ""zh-cn""))"),"观点")</f>
        <v>观点</v>
      </c>
      <c r="D458" s="1" t="str">
        <f>IFERROR(__xludf.DUMMYFUNCTION("CONCATENATE(GOOGLETRANSLATE(B458, ""en"", ""ko""))"),"가리키다")</f>
        <v>가리키다</v>
      </c>
      <c r="E458" s="2" t="str">
        <f>IFERROR(__xludf.DUMMYFUNCTION("CONCATENATE(GOOGLETRANSLATE(B458, ""en"", ""ja""))"),"ポイント")</f>
        <v>ポイント</v>
      </c>
    </row>
    <row r="459" ht="15.75" customHeight="1">
      <c r="A459" s="1" t="s">
        <v>907</v>
      </c>
      <c r="B459" s="1" t="s">
        <v>908</v>
      </c>
      <c r="C459" s="1" t="str">
        <f>IFERROR(__xludf.DUMMYFUNCTION("CONCATENATE(GOOGLETRANSLATE(B459, ""en"", ""zh-cn""))"),"一定范围内的产品设定点")</f>
        <v>一定范围内的产品设定点</v>
      </c>
      <c r="D459" s="1" t="str">
        <f>IFERROR(__xludf.DUMMYFUNCTION("CONCATENATE(GOOGLETRANSLATE(B459, ""en"", ""ko""))"),"범위 내의 제품에 대한 설정점")</f>
        <v>범위 내의 제품에 대한 설정점</v>
      </c>
      <c r="E459" s="2" t="str">
        <f>IFERROR(__xludf.DUMMYFUNCTION("CONCATENATE(GOOGLETRANSLATE(B459, ""en"", ""ja""))"),"範囲内の製品の設定点")</f>
        <v>範囲内の製品の設定点</v>
      </c>
    </row>
    <row r="460" ht="15.75" customHeight="1">
      <c r="A460" s="1" t="s">
        <v>909</v>
      </c>
      <c r="B460" s="1" t="s">
        <v>910</v>
      </c>
      <c r="C460" s="1" t="str">
        <f>IFERROR(__xludf.DUMMYFUNCTION("CONCATENATE(GOOGLETRANSLATE(B460, ""en"", ""zh-cn""))"),"多种产品的设定点")</f>
        <v>多种产品的设定点</v>
      </c>
      <c r="D460" s="1" t="str">
        <f>IFERROR(__xludf.DUMMYFUNCTION("CONCATENATE(GOOGLETRANSLATE(B460, ""en"", ""ko""))"),"여러 제품에 대한 설정점")</f>
        <v>여러 제품에 대한 설정점</v>
      </c>
      <c r="E460" s="2" t="str">
        <f>IFERROR(__xludf.DUMMYFUNCTION("CONCATENATE(GOOGLETRANSLATE(B460, ""en"", ""ja""))"),"複数の製品のセットポイント")</f>
        <v>複数の製品のセットポイント</v>
      </c>
    </row>
    <row r="461" ht="15.75" customHeight="1">
      <c r="A461" s="1" t="s">
        <v>911</v>
      </c>
      <c r="B461" s="1" t="s">
        <v>912</v>
      </c>
      <c r="C461" s="1" t="str">
        <f>IFERROR(__xludf.DUMMYFUNCTION("CONCATENATE(GOOGLETRANSLATE(B461, ""en"", ""zh-cn""))"),"最低价格")</f>
        <v>最低价格</v>
      </c>
      <c r="D461" s="1" t="str">
        <f>IFERROR(__xludf.DUMMYFUNCTION("CONCATENATE(GOOGLETRANSLATE(B461, ""en"", ""ko""))"),"최소 가격")</f>
        <v>최소 가격</v>
      </c>
      <c r="E461" s="2" t="str">
        <f>IFERROR(__xludf.DUMMYFUNCTION("CONCATENATE(GOOGLETRANSLATE(B461, ""en"", ""ja""))"),"最低価格")</f>
        <v>最低価格</v>
      </c>
    </row>
    <row r="462" ht="15.75" customHeight="1">
      <c r="A462" s="1" t="s">
        <v>913</v>
      </c>
      <c r="B462" s="1" t="s">
        <v>914</v>
      </c>
      <c r="C462" s="1" t="str">
        <f>IFERROR(__xludf.DUMMYFUNCTION("CONCATENATE(GOOGLETRANSLATE(B462, ""en"", ""zh-cn""))"),"最高价格")</f>
        <v>最高价格</v>
      </c>
      <c r="D462" s="1" t="str">
        <f>IFERROR(__xludf.DUMMYFUNCTION("CONCATENATE(GOOGLETRANSLATE(B462, ""en"", ""ko""))"),"최대 가격")</f>
        <v>최대 가격</v>
      </c>
      <c r="E462" s="2" t="str">
        <f>IFERROR(__xludf.DUMMYFUNCTION("CONCATENATE(GOOGLETRANSLATE(B462, ""en"", ""ja""))"),"最高価格")</f>
        <v>最高価格</v>
      </c>
    </row>
    <row r="463" ht="15.75" customHeight="1">
      <c r="A463" s="1" t="s">
        <v>915</v>
      </c>
      <c r="B463" s="1" t="s">
        <v>916</v>
      </c>
      <c r="C463" s="1" t="str">
        <f>IFERROR(__xludf.DUMMYFUNCTION("CONCATENATE(GOOGLETRANSLATE(B463, ""en"", ""zh-cn""))"),"所有产品的设定点")</f>
        <v>所有产品的设定点</v>
      </c>
      <c r="D463" s="1" t="str">
        <f>IFERROR(__xludf.DUMMYFUNCTION("CONCATENATE(GOOGLETRANSLATE(B463, ""en"", ""ko""))"),"모든 제품에 대한 설정값")</f>
        <v>모든 제품에 대한 설정값</v>
      </c>
      <c r="E463" s="2" t="str">
        <f>IFERROR(__xludf.DUMMYFUNCTION("CONCATENATE(GOOGLETRANSLATE(B463, ""en"", ""ja""))"),"すべての製品の設定値")</f>
        <v>すべての製品の設定値</v>
      </c>
    </row>
    <row r="464" ht="15.75" customHeight="1">
      <c r="A464" s="1" t="s">
        <v>917</v>
      </c>
      <c r="B464" s="1" t="s">
        <v>918</v>
      </c>
      <c r="C464" s="1" t="str">
        <f>IFERROR(__xludf.DUMMYFUNCTION("CONCATENATE(GOOGLETRANSLATE(B464, ""en"", ""zh-cn""))"),"设定点为")</f>
        <v>设定点为</v>
      </c>
      <c r="D464" s="1" t="str">
        <f>IFERROR(__xludf.DUMMYFUNCTION("CONCATENATE(GOOGLETRANSLATE(B464, ""en"", ""ko""))"),"설정값:")</f>
        <v>설정값:</v>
      </c>
      <c r="E464" s="2" t="str">
        <f>IFERROR(__xludf.DUMMYFUNCTION("CONCATENATE(GOOGLETRANSLATE(B464, ""en"", ""ja""))"),"設定点")</f>
        <v>設定点</v>
      </c>
    </row>
    <row r="465" ht="15.75" customHeight="1">
      <c r="A465" s="1" t="s">
        <v>919</v>
      </c>
      <c r="B465" s="1" t="s">
        <v>920</v>
      </c>
      <c r="C465" s="1" t="str">
        <f>IFERROR(__xludf.DUMMYFUNCTION("CONCATENATE(GOOGLETRANSLATE(B465, ""en"", ""zh-cn""))"),"转换状态")</f>
        <v>转换状态</v>
      </c>
      <c r="D465" s="1" t="str">
        <f>IFERROR(__xludf.DUMMYFUNCTION("CONCATENATE(GOOGLETRANSLATE(B465, ""en"", ""ko""))"),"변환 상태")</f>
        <v>변환 상태</v>
      </c>
      <c r="E465" s="2" t="str">
        <f>IFERROR(__xludf.DUMMYFUNCTION("CONCATENATE(GOOGLETRANSLATE(B465, ""en"", ""ja""))"),"ステータスの変換")</f>
        <v>ステータスの変換</v>
      </c>
    </row>
    <row r="466" ht="15.75" customHeight="1">
      <c r="A466" s="1" t="s">
        <v>921</v>
      </c>
      <c r="B466" s="1" t="s">
        <v>922</v>
      </c>
      <c r="C466" s="1" t="str">
        <f>IFERROR(__xludf.DUMMYFUNCTION("CONCATENATE(GOOGLETRANSLATE(B466, ""en"", ""zh-cn""))"),"赚取于")</f>
        <v>赚取于</v>
      </c>
      <c r="D466" s="1" t="str">
        <f>IFERROR(__xludf.DUMMYFUNCTION("CONCATENATE(GOOGLETRANSLATE(B466, ""en"", ""ko""))"),"획득 시간")</f>
        <v>획득 시간</v>
      </c>
      <c r="E466" s="2" t="str">
        <f>IFERROR(__xludf.DUMMYFUNCTION("CONCATENATE(GOOGLETRANSLATE(B466, ""en"", ""ja""))"),"で獲得")</f>
        <v>で獲得</v>
      </c>
    </row>
    <row r="467" ht="15.75" customHeight="1">
      <c r="A467" s="1" t="s">
        <v>923</v>
      </c>
      <c r="B467" s="1" t="s">
        <v>924</v>
      </c>
      <c r="C467" s="1" t="str">
        <f>IFERROR(__xludf.DUMMYFUNCTION("CONCATENATE(GOOGLETRANSLATE(B467, ""en"", ""zh-cn""))"),"基于卖家的销售报告")</f>
        <v>基于卖家的销售报告</v>
      </c>
      <c r="D467" s="1" t="str">
        <f>IFERROR(__xludf.DUMMYFUNCTION("CONCATENATE(GOOGLETRANSLATE(B467, ""en"", ""ko""))"),"판매자 기반 판매 보고서")</f>
        <v>판매자 기반 판매 보고서</v>
      </c>
      <c r="E467" s="2" t="str">
        <f>IFERROR(__xludf.DUMMYFUNCTION("CONCATENATE(GOOGLETRANSLATE(B467, ""en"", ""ja""))"),"販売者ベースの販売レポート")</f>
        <v>販売者ベースの販売レポート</v>
      </c>
    </row>
    <row r="468" ht="15.75" customHeight="1">
      <c r="A468" s="1" t="s">
        <v>925</v>
      </c>
      <c r="B468" s="1" t="s">
        <v>926</v>
      </c>
      <c r="C468" s="1" t="str">
        <f>IFERROR(__xludf.DUMMYFUNCTION("CONCATENATE(GOOGLETRANSLATE(B468, ""en"", ""zh-cn""))"),"按验证状态排序")</f>
        <v>按验证状态排序</v>
      </c>
      <c r="D468" s="1" t="str">
        <f>IFERROR(__xludf.DUMMYFUNCTION("CONCATENATE(GOOGLETRANSLATE(B468, ""en"", ""ko""))"),"검증 상태별로 정렬")</f>
        <v>검증 상태별로 정렬</v>
      </c>
      <c r="E468" s="2" t="str">
        <f>IFERROR(__xludf.DUMMYFUNCTION("CONCATENATE(GOOGLETRANSLATE(B468, ""en"", ""ja""))"),"検証ステータスで並べ替える")</f>
        <v>検証ステータスで並べ替える</v>
      </c>
    </row>
    <row r="469" ht="15.75" customHeight="1">
      <c r="A469" s="1" t="s">
        <v>927</v>
      </c>
      <c r="B469" s="1" t="s">
        <v>928</v>
      </c>
      <c r="C469" s="1" t="str">
        <f>IFERROR(__xludf.DUMMYFUNCTION("CONCATENATE(GOOGLETRANSLATE(B469, ""en"", ""zh-cn""))"),"得到正式认可的")</f>
        <v>得到正式认可的</v>
      </c>
      <c r="D469" s="1" t="str">
        <f>IFERROR(__xludf.DUMMYFUNCTION("CONCATENATE(GOOGLETRANSLATE(B469, ""en"", ""ko""))"),"승인됨")</f>
        <v>승인됨</v>
      </c>
      <c r="E469" s="2" t="str">
        <f>IFERROR(__xludf.DUMMYFUNCTION("CONCATENATE(GOOGLETRANSLATE(B469, ""en"", ""ja""))"),"承認された")</f>
        <v>承認された</v>
      </c>
    </row>
    <row r="470" ht="15.75" customHeight="1">
      <c r="A470" s="1" t="s">
        <v>929</v>
      </c>
      <c r="B470" s="1" t="s">
        <v>930</v>
      </c>
      <c r="C470" s="1" t="str">
        <f>IFERROR(__xludf.DUMMYFUNCTION("CONCATENATE(GOOGLETRANSLATE(B470, ""en"", ""zh-cn""))"),"未获批准")</f>
        <v>未获批准</v>
      </c>
      <c r="D470" s="1" t="str">
        <f>IFERROR(__xludf.DUMMYFUNCTION("CONCATENATE(GOOGLETRANSLATE(B470, ""en"", ""ko""))"),"승인되지 않음")</f>
        <v>승인되지 않음</v>
      </c>
      <c r="E470" s="2" t="str">
        <f>IFERROR(__xludf.DUMMYFUNCTION("CONCATENATE(GOOGLETRANSLATE(B470, ""en"", ""ja""))"),"未承認")</f>
        <v>未承認</v>
      </c>
    </row>
    <row r="471" ht="15.75" customHeight="1">
      <c r="A471" s="1" t="s">
        <v>931</v>
      </c>
      <c r="B471" s="1" t="s">
        <v>932</v>
      </c>
      <c r="C471" s="1" t="str">
        <f>IFERROR(__xludf.DUMMYFUNCTION("CONCATENATE(GOOGLETRANSLATE(B471, ""en"", ""zh-cn""))"),"筛选")</f>
        <v>筛选</v>
      </c>
      <c r="D471" s="1" t="str">
        <f>IFERROR(__xludf.DUMMYFUNCTION("CONCATENATE(GOOGLETRANSLATE(B471, ""en"", ""ko""))"),"필터")</f>
        <v>필터</v>
      </c>
      <c r="E471" s="2" t="str">
        <f>IFERROR(__xludf.DUMMYFUNCTION("CONCATENATE(GOOGLETRANSLATE(B471, ""en"", ""ja""))"),"フィルター")</f>
        <v>フィルター</v>
      </c>
    </row>
    <row r="472" ht="15.75" customHeight="1">
      <c r="A472" s="1" t="s">
        <v>933</v>
      </c>
      <c r="B472" s="1" t="s">
        <v>934</v>
      </c>
      <c r="C472" s="1" t="str">
        <f>IFERROR(__xludf.DUMMYFUNCTION("CONCATENATE(GOOGLETRANSLATE(B472, ""en"", ""zh-cn""))"),"卖家名称")</f>
        <v>卖家名称</v>
      </c>
      <c r="D472" s="1" t="str">
        <f>IFERROR(__xludf.DUMMYFUNCTION("CONCATENATE(GOOGLETRANSLATE(B472, ""en"", ""ko""))"),"판매자 이름")</f>
        <v>판매자 이름</v>
      </c>
      <c r="E472" s="2" t="str">
        <f>IFERROR(__xludf.DUMMYFUNCTION("CONCATENATE(GOOGLETRANSLATE(B472, ""en"", ""ja""))"),"販売者名")</f>
        <v>販売者名</v>
      </c>
    </row>
    <row r="473" ht="15.75" customHeight="1">
      <c r="A473" s="1" t="s">
        <v>935</v>
      </c>
      <c r="B473" s="1" t="s">
        <v>936</v>
      </c>
      <c r="C473" s="1" t="str">
        <f>IFERROR(__xludf.DUMMYFUNCTION("CONCATENATE(GOOGLETRANSLATE(B473, ""en"", ""zh-cn""))"),"产品销售数量")</f>
        <v>产品销售数量</v>
      </c>
      <c r="D473" s="1" t="str">
        <f>IFERROR(__xludf.DUMMYFUNCTION("CONCATENATE(GOOGLETRANSLATE(B473, ""en"", ""ko""))"),"제품판매수")</f>
        <v>제품판매수</v>
      </c>
      <c r="E473" s="2" t="str">
        <f>IFERROR(__xludf.DUMMYFUNCTION("CONCATENATE(GOOGLETRANSLATE(B473, ""en"", ""ja""))"),"商品販売数")</f>
        <v>商品販売数</v>
      </c>
    </row>
    <row r="474" ht="15.75" customHeight="1">
      <c r="A474" s="1" t="s">
        <v>937</v>
      </c>
      <c r="B474" s="1" t="s">
        <v>938</v>
      </c>
      <c r="C474" s="1" t="str">
        <f>IFERROR(__xludf.DUMMYFUNCTION("CONCATENATE(GOOGLETRANSLATE(B474, ""en"", ""zh-cn""))"),"订单金额")</f>
        <v>订单金额</v>
      </c>
      <c r="D474" s="1" t="str">
        <f>IFERROR(__xludf.DUMMYFUNCTION("CONCATENATE(GOOGLETRANSLATE(B474, ""en"", ""ko""))"),"주문금액")</f>
        <v>주문금액</v>
      </c>
      <c r="E474" s="2" t="str">
        <f>IFERROR(__xludf.DUMMYFUNCTION("CONCATENATE(GOOGLETRANSLATE(B474, ""en"", ""ja""))"),"注文金額")</f>
        <v>注文金額</v>
      </c>
    </row>
    <row r="475" ht="15.75" customHeight="1">
      <c r="A475" s="1" t="s">
        <v>939</v>
      </c>
      <c r="B475" s="1" t="s">
        <v>940</v>
      </c>
      <c r="C475" s="1" t="str">
        <f>IFERROR(__xludf.DUMMYFUNCTION("CONCATENATE(GOOGLETRANSLATE(B475, ""en"", ""zh-cn""))"),"Facebook 聊天设置")</f>
        <v>Facebook 聊天设置</v>
      </c>
      <c r="D475" s="1" t="str">
        <f>IFERROR(__xludf.DUMMYFUNCTION("CONCATENATE(GOOGLETRANSLATE(B475, ""en"", ""ko""))"),"페이스북 채팅 설정")</f>
        <v>페이스북 채팅 설정</v>
      </c>
      <c r="E475" s="2" t="str">
        <f>IFERROR(__xludf.DUMMYFUNCTION("CONCATENATE(GOOGLETRANSLATE(B475, ""en"", ""ja""))"),"Facebookチャット設定")</f>
        <v>Facebookチャット設定</v>
      </c>
    </row>
    <row r="476" ht="15.75" customHeight="1">
      <c r="A476" s="1" t="s">
        <v>941</v>
      </c>
      <c r="B476" s="1" t="s">
        <v>942</v>
      </c>
      <c r="C476" s="1" t="str">
        <f>IFERROR(__xludf.DUMMYFUNCTION("CONCATENATE(GOOGLETRANSLATE(B476, ""en"", ""zh-cn""))"),"Facebook 页面 ID")</f>
        <v>Facebook 页面 ID</v>
      </c>
      <c r="D476" s="1" t="str">
        <f>IFERROR(__xludf.DUMMYFUNCTION("CONCATENATE(GOOGLETRANSLATE(B476, ""en"", ""ko""))"),"페이스북 페이지 ID")</f>
        <v>페이스북 페이지 ID</v>
      </c>
      <c r="E476" s="2" t="str">
        <f>IFERROR(__xludf.DUMMYFUNCTION("CONCATENATE(GOOGLETRANSLATE(B476, ""en"", ""ja""))"),"FacebookページID")</f>
        <v>FacebookページID</v>
      </c>
    </row>
    <row r="477" ht="15.75" customHeight="1">
      <c r="A477" s="1" t="s">
        <v>943</v>
      </c>
      <c r="B477" s="1" t="s">
        <v>944</v>
      </c>
      <c r="C477" s="1" t="str">
        <f>IFERROR(__xludf.DUMMYFUNCTION("CONCATENATE(GOOGLETRANSLATE(B477, ""en"", ""zh-cn""))"),"配置 Facebook 聊天时请小心。如果配置不正确，您将不会在用户端站点上看到信使图标。")</f>
        <v>配置 Facebook 聊天时请小心。如果配置不正确，您将不会在用户端站点上看到信使图标。</v>
      </c>
      <c r="D477" s="1" t="str">
        <f>IFERROR(__xludf.DUMMYFUNCTION("CONCATENATE(GOOGLETRANSLATE(B477, ""en"", ""ko""))"),"Facebook 채팅을 구성할 때 주의하시기 바랍니다. 잘못된 구성으로 인해 사용자 측 사이트에 메신저 아이콘이 표시되지 않습니다.")</f>
        <v>Facebook 채팅을 구성할 때 주의하시기 바랍니다. 잘못된 구성으로 인해 사용자 측 사이트에 메신저 아이콘이 표시되지 않습니다.</v>
      </c>
      <c r="E477" s="2" t="str">
        <f>IFERROR(__xludf.DUMMYFUNCTION("CONCATENATE(GOOGLETRANSLATE(B477, ""en"", ""ja""))"),"Facebook チャットを設定するときは注意してください。構成が正しくないと、ユーザーエンドサイトにメッセンジャーアイコンが表示されません。")</f>
        <v>Facebook チャットを設定するときは注意してください。構成が正しくないと、ユーザーエンドサイトにメッセンジャーアイコンが表示されません。</v>
      </c>
    </row>
    <row r="478" ht="15.75" customHeight="1">
      <c r="A478" s="1" t="s">
        <v>945</v>
      </c>
      <c r="B478" s="1" t="s">
        <v>946</v>
      </c>
      <c r="C478" s="1" t="str">
        <f>IFERROR(__xludf.DUMMYFUNCTION("CONCATENATE(GOOGLETRANSLATE(B478, ""en"", ""zh-cn""))"),"登录您的 Facebook 页面")</f>
        <v>登录您的 Facebook 页面</v>
      </c>
      <c r="D478" s="1" t="str">
        <f>IFERROR(__xludf.DUMMYFUNCTION("CONCATENATE(GOOGLETRANSLATE(B478, ""en"", ""ko""))"),"페이스북 페이지에 로그인하세요")</f>
        <v>페이스북 페이지에 로그인하세요</v>
      </c>
      <c r="E478" s="2" t="str">
        <f>IFERROR(__xludf.DUMMYFUNCTION("CONCATENATE(GOOGLETRANSLATE(B478, ""en"", ""ja""))"),"Facebook ページにログインします")</f>
        <v>Facebook ページにログインします</v>
      </c>
    </row>
    <row r="479" ht="15.75" customHeight="1">
      <c r="A479" s="1" t="s">
        <v>947</v>
      </c>
      <c r="B479" s="1" t="s">
        <v>948</v>
      </c>
      <c r="C479" s="1" t="str">
        <f>IFERROR(__xludf.DUMMYFUNCTION("CONCATENATE(GOOGLETRANSLATE(B479, ""en"", ""zh-cn""))"),"找到 Facebook 页面的“关于”选项")</f>
        <v>找到 Facebook 页面的“关于”选项</v>
      </c>
      <c r="D479" s="1" t="str">
        <f>IFERROR(__xludf.DUMMYFUNCTION("CONCATENATE(GOOGLETRANSLATE(B479, ""en"", ""ko""))"),"페이스북 페이지의 정보 옵션을 찾으세요")</f>
        <v>페이스북 페이지의 정보 옵션을 찾으세요</v>
      </c>
      <c r="E479" s="2" t="str">
        <f>IFERROR(__xludf.DUMMYFUNCTION("CONCATENATE(GOOGLETRANSLATE(B479, ""en"", ""ja""))"),"Facebook ページの「About」オプションを見つけます")</f>
        <v>Facebook ページの「About」オプションを見つけます</v>
      </c>
    </row>
    <row r="480" ht="15.75" customHeight="1">
      <c r="A480" s="1" t="s">
        <v>949</v>
      </c>
      <c r="B480" s="1" t="s">
        <v>950</v>
      </c>
      <c r="C480" s="1" t="str">
        <f>IFERROR(__xludf.DUMMYFUNCTION("CONCATENATE(GOOGLETRANSLATE(B480, ""en"", ""zh-cn""))"),"在最底部，您可以找到“Facebook Page ID”")</f>
        <v>在最底部，您可以找到“Facebook Page ID”</v>
      </c>
      <c r="D480" s="1" t="str">
        <f>IFERROR(__xludf.DUMMYFUNCTION("CONCATENATE(GOOGLETRANSLATE(B480, ""en"", ""ko""))"),"맨 하단에 \""페이스북 페이지 ID\""가 있습니다.")</f>
        <v>맨 하단에 \"페이스북 페이지 ID\"가 있습니다.</v>
      </c>
      <c r="E480" s="2" t="str">
        <f>IFERROR(__xludf.DUMMYFUNCTION("CONCATENATE(GOOGLETRANSLATE(B480, ""en"", ""ja""))"),"一番下に「Facebook ページ ID」があります。")</f>
        <v>一番下に「Facebook ページ ID」があります。</v>
      </c>
    </row>
    <row r="481" ht="15.75" customHeight="1">
      <c r="A481" s="1" t="s">
        <v>951</v>
      </c>
      <c r="B481" s="1" t="s">
        <v>952</v>
      </c>
      <c r="C481" s="1" t="str">
        <f>IFERROR(__xludf.DUMMYFUNCTION("CONCATENATE(GOOGLETRANSLATE(B481, ""en"", ""zh-cn""))"),"转到页面的“设置”并找到“高级消息传递”选项")</f>
        <v>转到页面的“设置”并找到“高级消息传递”选项</v>
      </c>
      <c r="D481" s="1" t="str">
        <f>IFERROR(__xludf.DUMMYFUNCTION("CONCATENATE(GOOGLETRANSLATE(B481, ""en"", ""ko""))"),"페이지 설정으로 이동하여 \""고급 메시지\"" 옵션을 찾으세요.")</f>
        <v>페이지 설정으로 이동하여 \"고급 메시지\" 옵션을 찾으세요.</v>
      </c>
      <c r="E481" s="2" t="str">
        <f>IFERROR(__xludf.DUMMYFUNCTION("CONCATENATE(GOOGLETRANSLATE(B481, ""en"", ""ja""))"),"ページの設定に移動し、「アドバンス メッセージング」のオプションを見つけます。")</f>
        <v>ページの設定に移動し、「アドバンス メッセージング」のオプションを見つけます。</v>
      </c>
    </row>
    <row r="482" ht="15.75" customHeight="1">
      <c r="A482" s="1" t="s">
        <v>953</v>
      </c>
      <c r="B482" s="1" t="s">
        <v>954</v>
      </c>
      <c r="C482" s="1" t="str">
        <f>IFERROR(__xludf.DUMMYFUNCTION("CONCATENATE(GOOGLETRANSLATE(B482, ""en"", ""zh-cn""))"),"向下滚动该页面，您将看到“列入白名单的域名”")</f>
        <v>向下滚动该页面，您将看到“列入白名单的域名”</v>
      </c>
      <c r="D482" s="1" t="str">
        <f>IFERROR(__xludf.DUMMYFUNCTION("CONCATENATE(GOOGLETRANSLATE(B482, ""en"", ""ko""))"),"해당 페이지를 아래로 스크롤하면 \""화이트리스트 도메인\""이 표시됩니다.")</f>
        <v>해당 페이지를 아래로 스크롤하면 \"화이트리스트 도메인\"이 표시됩니다.</v>
      </c>
      <c r="E482" s="2" t="str">
        <f>IFERROR(__xludf.DUMMYFUNCTION("CONCATENATE(GOOGLETRANSLATE(B482, ""en"", ""ja""))"),"そのページを下にスクロールすると、「ホワイトリストに登録されたドメイン」が表示されます。")</f>
        <v>そのページを下にスクロールすると、「ホワイトリストに登録されたドメイン」が表示されます。</v>
      </c>
    </row>
    <row r="483" ht="15.75" customHeight="1">
      <c r="A483" s="1" t="s">
        <v>955</v>
      </c>
      <c r="B483" s="1" t="s">
        <v>956</v>
      </c>
      <c r="C483" s="1" t="str">
        <f>IFERROR(__xludf.DUMMYFUNCTION("CONCATENATE(GOOGLETRANSLATE(B483, ""en"", ""zh-cn""))"),"设置您的网站域名")</f>
        <v>设置您的网站域名</v>
      </c>
      <c r="D483" s="1" t="str">
        <f>IFERROR(__xludf.DUMMYFUNCTION("CONCATENATE(GOOGLETRANSLATE(B483, ""en"", ""ko""))"),"웹사이트 도메인 이름 설정")</f>
        <v>웹사이트 도메인 이름 설정</v>
      </c>
      <c r="E483" s="2" t="str">
        <f>IFERROR(__xludf.DUMMYFUNCTION("CONCATENATE(GOOGLETRANSLATE(B483, ""en"", ""ja""))"),"ウェブサイトのドメイン名を設定する")</f>
        <v>ウェブサイトのドメイン名を設定する</v>
      </c>
    </row>
    <row r="484" ht="15.75" customHeight="1">
      <c r="A484" s="1" t="s">
        <v>957</v>
      </c>
      <c r="B484" s="1" t="s">
        <v>958</v>
      </c>
      <c r="C484" s="1" t="str">
        <f>IFERROR(__xludf.DUMMYFUNCTION("CONCATENATE(GOOGLETRANSLATE(B484, ""en"", ""zh-cn""))"),"谷歌 reCAPTCHA 设置")</f>
        <v>谷歌 reCAPTCHA 设置</v>
      </c>
      <c r="D484" s="1" t="str">
        <f>IFERROR(__xludf.DUMMYFUNCTION("CONCATENATE(GOOGLETRANSLATE(B484, ""en"", ""ko""))"),"구글 reCAPTCHA 설정")</f>
        <v>구글 reCAPTCHA 설정</v>
      </c>
      <c r="E484" s="2" t="str">
        <f>IFERROR(__xludf.DUMMYFUNCTION("CONCATENATE(GOOGLETRANSLATE(B484, ""en"", ""ja""))"),"Google reCAPTCHA設定")</f>
        <v>Google reCAPTCHA設定</v>
      </c>
    </row>
    <row r="485" ht="15.75" customHeight="1">
      <c r="A485" s="1" t="s">
        <v>959</v>
      </c>
      <c r="B485" s="1" t="s">
        <v>960</v>
      </c>
      <c r="C485" s="1" t="str">
        <f>IFERROR(__xludf.DUMMYFUNCTION("CONCATENATE(GOOGLETRANSLATE(B485, ""en"", ""zh-cn""))"),"站点密钥")</f>
        <v>站点密钥</v>
      </c>
      <c r="D485" s="1" t="str">
        <f>IFERROR(__xludf.DUMMYFUNCTION("CONCATENATE(GOOGLETRANSLATE(B485, ""en"", ""ko""))"),"사이트 키")</f>
        <v>사이트 키</v>
      </c>
      <c r="E485" s="2" t="str">
        <f>IFERROR(__xludf.DUMMYFUNCTION("CONCATENATE(GOOGLETRANSLATE(B485, ""en"", ""ja""))"),"サイトキー")</f>
        <v>サイトキー</v>
      </c>
    </row>
    <row r="486" ht="15.75" customHeight="1">
      <c r="A486" s="1" t="s">
        <v>961</v>
      </c>
      <c r="B486" s="1" t="s">
        <v>962</v>
      </c>
      <c r="C486" s="1" t="str">
        <f>IFERROR(__xludf.DUMMYFUNCTION("CONCATENATE(GOOGLETRANSLATE(B486, ""en"", ""zh-cn""))"),"选择运送方式")</f>
        <v>选择运送方式</v>
      </c>
      <c r="D486" s="1" t="str">
        <f>IFERROR(__xludf.DUMMYFUNCTION("CONCATENATE(GOOGLETRANSLATE(B486, ""en"", ""ko""))"),"배송 방법 선택")</f>
        <v>배송 방법 선택</v>
      </c>
      <c r="E486" s="2" t="str">
        <f>IFERROR(__xludf.DUMMYFUNCTION("CONCATENATE(GOOGLETRANSLATE(B486, ""en"", ""ja""))"),"配送方法を選択してください")</f>
        <v>配送方法を選択してください</v>
      </c>
    </row>
    <row r="487" ht="15.75" customHeight="1">
      <c r="A487" s="1" t="s">
        <v>963</v>
      </c>
      <c r="B487" s="1" t="s">
        <v>964</v>
      </c>
      <c r="C487" s="1" t="str">
        <f>IFERROR(__xludf.DUMMYFUNCTION("CONCATENATE(GOOGLETRANSLATE(B487, ""en"", ""zh-cn""))"),"产品明智的运输成本")</f>
        <v>产品明智的运输成本</v>
      </c>
      <c r="D487" s="1" t="str">
        <f>IFERROR(__xludf.DUMMYFUNCTION("CONCATENATE(GOOGLETRANSLATE(B487, ""en"", ""ko""))"),"제품 현명한 배송비")</f>
        <v>제품 현명한 배송비</v>
      </c>
      <c r="E487" s="2" t="str">
        <f>IFERROR(__xludf.DUMMYFUNCTION("CONCATENATE(GOOGLETRANSLATE(B487, ""en"", ""ja""))"),"商品ごとの送料")</f>
        <v>商品ごとの送料</v>
      </c>
    </row>
    <row r="488" ht="15.75" customHeight="1">
      <c r="A488" s="1" t="s">
        <v>965</v>
      </c>
      <c r="B488" s="1" t="s">
        <v>966</v>
      </c>
      <c r="C488" s="1" t="str">
        <f>IFERROR(__xludf.DUMMYFUNCTION("CONCATENATE(GOOGLETRANSLATE(B488, ""en"", ""zh-cn""))"),"统一运费")</f>
        <v>统一运费</v>
      </c>
      <c r="D488" s="1" t="str">
        <f>IFERROR(__xludf.DUMMYFUNCTION("CONCATENATE(GOOGLETRANSLATE(B488, ""en"", ""ko""))"),"정액 배송비")</f>
        <v>정액 배송비</v>
      </c>
      <c r="E488" s="2" t="str">
        <f>IFERROR(__xludf.DUMMYFUNCTION("CONCATENATE(GOOGLETRANSLATE(B488, ""en"", ""ja""))"),"定額送料")</f>
        <v>定額送料</v>
      </c>
    </row>
    <row r="489" ht="15.75" customHeight="1">
      <c r="A489" s="1" t="s">
        <v>967</v>
      </c>
      <c r="B489" s="1" t="s">
        <v>968</v>
      </c>
      <c r="C489" s="1" t="str">
        <f>IFERROR(__xludf.DUMMYFUNCTION("CONCATENATE(GOOGLETRANSLATE(B489, ""en"", ""zh-cn""))"),"卖家明智的统一运费")</f>
        <v>卖家明智的统一运费</v>
      </c>
      <c r="D489" s="1" t="str">
        <f>IFERROR(__xludf.DUMMYFUNCTION("CONCATENATE(GOOGLETRANSLATE(B489, ""en"", ""ko""))"),"판매자 현명한 균일 배송비")</f>
        <v>판매자 현명한 균일 배송비</v>
      </c>
      <c r="E489" s="2" t="str">
        <f>IFERROR(__xludf.DUMMYFUNCTION("CONCATENATE(GOOGLETRANSLATE(B489, ""en"", ""ja""))"),"セラーワイズ一律送料")</f>
        <v>セラーワイズ一律送料</v>
      </c>
    </row>
    <row r="490" ht="15.75" customHeight="1">
      <c r="A490" s="1" t="s">
        <v>969</v>
      </c>
      <c r="B490" s="1" t="s">
        <v>970</v>
      </c>
      <c r="C490" s="1" t="str">
        <f>IFERROR(__xludf.DUMMYFUNCTION("CONCATENATE(GOOGLETRANSLATE(B490, ""en"", ""zh-cn""))"),"笔记")</f>
        <v>笔记</v>
      </c>
      <c r="D490" s="1" t="str">
        <f>IFERROR(__xludf.DUMMYFUNCTION("CONCATENATE(GOOGLETRANSLATE(B490, ""en"", ""ko""))"),"메모")</f>
        <v>메모</v>
      </c>
      <c r="E490" s="2" t="str">
        <f>IFERROR(__xludf.DUMMYFUNCTION("CONCATENATE(GOOGLETRANSLATE(B490, ""en"", ""ja""))"),"注記")</f>
        <v>注記</v>
      </c>
    </row>
    <row r="491" ht="15.75" customHeight="1">
      <c r="A491" s="1" t="s">
        <v>971</v>
      </c>
      <c r="B491" s="1" t="s">
        <v>972</v>
      </c>
      <c r="C491" s="1" t="str">
        <f>IFERROR(__xludf.DUMMYFUNCTION("CONCATENATE(GOOGLETRANSLATE(B491, ""en"", ""zh-cn""))"),"产品明智的运输成本计算：运输成本是通过添加每个产品的运输成本来计算的")</f>
        <v>产品明智的运输成本计算：运输成本是通过添加每个产品的运输成本来计算的</v>
      </c>
      <c r="D491" s="1" t="str">
        <f>IFERROR(__xludf.DUMMYFUNCTION("CONCATENATE(GOOGLETRANSLATE(B491, ""en"", ""ko""))"),"제품별 배송비 계산: 각 제품의 배송비를 합산하여 배송비를 계산합니다.")</f>
        <v>제품별 배송비 계산: 각 제품의 배송비를 합산하여 배송비를 계산합니다.</v>
      </c>
      <c r="E491" s="2" t="str">
        <f>IFERROR(__xludf.DUMMYFUNCTION("CONCATENATE(GOOGLETRANSLATE(B491, ""en"", ""ja""))"),"商品ごとの送料計算: 送料は各商品の送料を加算して計算されます。")</f>
        <v>商品ごとの送料計算: 送料は各商品の送料を加算して計算されます。</v>
      </c>
    </row>
    <row r="492" ht="15.75" customHeight="1">
      <c r="A492" s="1" t="s">
        <v>973</v>
      </c>
      <c r="B492" s="1" t="s">
        <v>974</v>
      </c>
      <c r="C492" s="1" t="str">
        <f>IFERROR(__xludf.DUMMYFUNCTION("CONCATENATE(GOOGLETRANSLATE(B492, ""en"", ""zh-cn""))"),"统一费率运输成本计算：客户购买多少产品并不重要。运费是固定的")</f>
        <v>统一费率运输成本计算：客户购买多少产品并不重要。运费是固定的</v>
      </c>
      <c r="D492" s="1" t="str">
        <f>IFERROR(__xludf.DUMMYFUNCTION("CONCATENATE(GOOGLETRANSLATE(B492, ""en"", ""ko""))"),"고정 요금 배송비 계산: 고객이 구매하는 제품 수는 중요하지 않습니다. 배송비는 정해져있습니다")</f>
        <v>고정 요금 배송비 계산: 고객이 구매하는 제품 수는 중요하지 않습니다. 배송비는 정해져있습니다</v>
      </c>
      <c r="E492" s="2" t="str">
        <f>IFERROR(__xludf.DUMMYFUNCTION("CONCATENATE(GOOGLETRANSLATE(B492, ""en"", ""ja""))"),"定額配送料の計算: 顧客が購入する製品の数は関係ありません。送料は固定です")</f>
        <v>定額配送料の計算: 顧客が購入する製品の数は関係ありません。送料は固定です</v>
      </c>
    </row>
    <row r="493" ht="15.75" customHeight="1">
      <c r="A493" s="1" t="s">
        <v>975</v>
      </c>
      <c r="B493" s="1" t="s">
        <v>976</v>
      </c>
      <c r="C493" s="1" t="str">
        <f>IFERROR(__xludf.DUMMYFUNCTION("CONCATENATE(GOOGLETRANSLATE(B493, ""en"", ""zh-cn""))"),"卖家明智的统一运输成本计算：每个卖家的固定费率。如果客户从两个卖家处购买 2 个产品，则运费是通过添加每个卖家的固定运费来计算的")</f>
        <v>卖家明智的统一运输成本计算：每个卖家的固定费率。如果客户从两个卖家处购买 2 个产品，则运费是通过添加每个卖家的固定运费来计算的</v>
      </c>
      <c r="D493" s="1" t="str">
        <f>IFERROR(__xludf.DUMMYFUNCTION("CONCATENATE(GOOGLETRANSLATE(B493, ""en"", ""ko""))"),"판매자 현명한 균일 배송비 계산: 각 판매자에 대한 고정 요금. 고객이 두 판매자로부터 2개의 제품을 구매한 경우 배송비는 각 판매자의 균일 배송비를 합산하여 계산됩니다.")</f>
        <v>판매자 현명한 균일 배송비 계산: 각 판매자에 대한 고정 요금. 고객이 두 판매자로부터 2개의 제품을 구매한 경우 배송비는 각 판매자의 균일 배송비를 합산하여 계산됩니다.</v>
      </c>
      <c r="E493" s="2" t="str">
        <f>IFERROR(__xludf.DUMMYFUNCTION("CONCATENATE(GOOGLETRANSLATE(B493, ""en"", ""ja""))"),"セラーワイズフラット送料計算: 各セラーの固定料金。顧客が 2 つの販売者から 2 つの製品を購入した場合、送料は各販売者の一律送料を加算して計算されます。")</f>
        <v>セラーワイズフラット送料計算: 各セラーの固定料金。顧客が 2 つの販売者から 2 つの製品を購入した場合、送料は各販売者の一律送料を加算して計算されます。</v>
      </c>
    </row>
    <row r="494" ht="15.75" customHeight="1">
      <c r="A494" s="1" t="s">
        <v>977</v>
      </c>
      <c r="B494" s="1" t="s">
        <v>978</v>
      </c>
      <c r="C494" s="1" t="str">
        <f>IFERROR(__xludf.DUMMYFUNCTION("CONCATENATE(GOOGLETRANSLATE(B494, ""en"", ""zh-cn""))"),"统一费率成本")</f>
        <v>统一费率成本</v>
      </c>
      <c r="D494" s="1" t="str">
        <f>IFERROR(__xludf.DUMMYFUNCTION("CONCATENATE(GOOGLETRANSLATE(B494, ""en"", ""ko""))"),"정액 요금 비용")</f>
        <v>정액 요금 비용</v>
      </c>
      <c r="E494" s="2" t="str">
        <f>IFERROR(__xludf.DUMMYFUNCTION("CONCATENATE(GOOGLETRANSLATE(B494, ""en"", ""ja""))"),"定額料金")</f>
        <v>定額料金</v>
      </c>
    </row>
    <row r="495" ht="15.75" customHeight="1">
      <c r="A495" s="1" t="s">
        <v>979</v>
      </c>
      <c r="B495" s="1" t="s">
        <v>980</v>
      </c>
      <c r="C495" s="1" t="str">
        <f>IFERROR(__xludf.DUMMYFUNCTION("CONCATENATE(GOOGLETRANSLATE(B495, ""en"", ""zh-cn""))"),"管理产品的运费")</f>
        <v>管理产品的运费</v>
      </c>
      <c r="D495" s="1" t="str">
        <f>IFERROR(__xludf.DUMMYFUNCTION("CONCATENATE(GOOGLETRANSLATE(B495, ""en"", ""ko""))"),"관리 제품의 배송비")</f>
        <v>관리 제품의 배송비</v>
      </c>
      <c r="E495" s="2" t="str">
        <f>IFERROR(__xludf.DUMMYFUNCTION("CONCATENATE(GOOGLETRANSLATE(B495, ""en"", ""ja""))"),"管理製品の送料")</f>
        <v>管理製品の送料</v>
      </c>
    </row>
    <row r="496" ht="15.75" customHeight="1">
      <c r="A496" s="1" t="s">
        <v>981</v>
      </c>
      <c r="B496" s="1" t="s">
        <v>982</v>
      </c>
      <c r="C496" s="1" t="str">
        <f>IFERROR(__xludf.DUMMYFUNCTION("CONCATENATE(GOOGLETRANSLATE(B496, ""en"", ""zh-cn""))"),"国家")</f>
        <v>国家</v>
      </c>
      <c r="D496" s="1" t="str">
        <f>IFERROR(__xludf.DUMMYFUNCTION("CONCATENATE(GOOGLETRANSLATE(B496, ""en"", ""ko""))"),"국가")</f>
        <v>국가</v>
      </c>
      <c r="E496" s="2" t="str">
        <f>IFERROR(__xludf.DUMMYFUNCTION("CONCATENATE(GOOGLETRANSLATE(B496, ""en"", ""ja""))"),"国")</f>
        <v>国</v>
      </c>
    </row>
    <row r="497" ht="15.75" customHeight="1">
      <c r="A497" s="1" t="s">
        <v>983</v>
      </c>
      <c r="B497" s="1" t="s">
        <v>984</v>
      </c>
      <c r="C497" s="1" t="str">
        <f>IFERROR(__xludf.DUMMYFUNCTION("CONCATENATE(GOOGLETRANSLATE(B497, ""en"", ""zh-cn""))"),"显示/隐藏")</f>
        <v>显示/隐藏</v>
      </c>
      <c r="D497" s="1" t="str">
        <f>IFERROR(__xludf.DUMMYFUNCTION("CONCATENATE(GOOGLETRANSLATE(B497, ""en"", ""ko""))"),"표시/숨기기")</f>
        <v>표시/숨기기</v>
      </c>
      <c r="E497" s="2" t="str">
        <f>IFERROR(__xludf.DUMMYFUNCTION("CONCATENATE(GOOGLETRANSLATE(B497, ""en"", ""ja""))"),"表示/非表示")</f>
        <v>表示/非表示</v>
      </c>
    </row>
    <row r="498" ht="15.75" customHeight="1">
      <c r="A498" s="1" t="s">
        <v>985</v>
      </c>
      <c r="B498" s="1" t="s">
        <v>986</v>
      </c>
      <c r="C498" s="1" t="str">
        <f>IFERROR(__xludf.DUMMYFUNCTION("CONCATENATE(GOOGLETRANSLATE(B498, ""en"", ""zh-cn""))"),"国家/地区状态更新成功")</f>
        <v>国家/地区状态更新成功</v>
      </c>
      <c r="D498" s="1" t="str">
        <f>IFERROR(__xludf.DUMMYFUNCTION("CONCATENATE(GOOGLETRANSLATE(B498, ""en"", ""ko""))"),"국가 상태가 업데이트되었습니다.")</f>
        <v>국가 상태가 업데이트되었습니다.</v>
      </c>
      <c r="E498" s="2" t="str">
        <f>IFERROR(__xludf.DUMMYFUNCTION("CONCATENATE(GOOGLETRANSLATE(B498, ""en"", ""ja""))"),"国のステータスが正常に更新されました")</f>
        <v>国のステータスが正常に更新されました</v>
      </c>
    </row>
    <row r="499" ht="15.75" customHeight="1">
      <c r="A499" s="1" t="s">
        <v>987</v>
      </c>
      <c r="B499" s="1" t="s">
        <v>988</v>
      </c>
      <c r="C499" s="1" t="str">
        <f>IFERROR(__xludf.DUMMYFUNCTION("CONCATENATE(GOOGLETRANSLATE(B499, ""en"", ""zh-cn""))"),"所有子类别")</f>
        <v>所有子类别</v>
      </c>
      <c r="D499" s="1" t="str">
        <f>IFERROR(__xludf.DUMMYFUNCTION("CONCATENATE(GOOGLETRANSLATE(B499, ""en"", ""ko""))"),"모든 하위 카테고리")</f>
        <v>모든 하위 카테고리</v>
      </c>
      <c r="E499" s="2" t="str">
        <f>IFERROR(__xludf.DUMMYFUNCTION("CONCATENATE(GOOGLETRANSLATE(B499, ""en"", ""ja""))"),"すべてのサブカテゴリ")</f>
        <v>すべてのサブカテゴリ</v>
      </c>
    </row>
    <row r="500" ht="15.75" customHeight="1">
      <c r="A500" s="1" t="s">
        <v>989</v>
      </c>
      <c r="B500" s="1" t="s">
        <v>990</v>
      </c>
      <c r="C500" s="1" t="str">
        <f>IFERROR(__xludf.DUMMYFUNCTION("CONCATENATE(GOOGLETRANSLATE(B500, ""en"", ""zh-cn""))"),"添加新子类别")</f>
        <v>添加新子类别</v>
      </c>
      <c r="D500" s="1" t="str">
        <f>IFERROR(__xludf.DUMMYFUNCTION("CONCATENATE(GOOGLETRANSLATE(B500, ""en"", ""ko""))"),"새 하위 카테고리 추가")</f>
        <v>새 하위 카테고리 추가</v>
      </c>
      <c r="E500" s="2" t="str">
        <f>IFERROR(__xludf.DUMMYFUNCTION("CONCATENATE(GOOGLETRANSLATE(B500, ""en"", ""ja""))"),"新しいサブカテゴリを追加")</f>
        <v>新しいサブカテゴリを追加</v>
      </c>
    </row>
    <row r="501" ht="15.75" customHeight="1">
      <c r="A501" s="1" t="s">
        <v>991</v>
      </c>
      <c r="B501" s="1" t="s">
        <v>992</v>
      </c>
      <c r="C501" s="1" t="str">
        <f>IFERROR(__xludf.DUMMYFUNCTION("CONCATENATE(GOOGLETRANSLATE(B501, ""en"", ""zh-cn""))"),"子类别")</f>
        <v>子类别</v>
      </c>
      <c r="D501" s="1" t="str">
        <f>IFERROR(__xludf.DUMMYFUNCTION("CONCATENATE(GOOGLETRANSLATE(B501, ""en"", ""ko""))"),"하위 카테고리")</f>
        <v>하위 카테고리</v>
      </c>
      <c r="E501" s="2" t="str">
        <f>IFERROR(__xludf.DUMMYFUNCTION("CONCATENATE(GOOGLETRANSLATE(B501, ""en"", ""ja""))"),"サブカテゴリ")</f>
        <v>サブカテゴリ</v>
      </c>
    </row>
    <row r="502" ht="15.75" customHeight="1">
      <c r="A502" s="1" t="s">
        <v>993</v>
      </c>
      <c r="B502" s="1" t="s">
        <v>994</v>
      </c>
      <c r="C502" s="1" t="str">
        <f>IFERROR(__xludf.DUMMYFUNCTION("CONCATENATE(GOOGLETRANSLATE(B502, ""en"", ""zh-cn""))"),"子类别信息")</f>
        <v>子类别信息</v>
      </c>
      <c r="D502" s="1" t="str">
        <f>IFERROR(__xludf.DUMMYFUNCTION("CONCATENATE(GOOGLETRANSLATE(B502, ""en"", ""ko""))"),"하위 카테고리 정보")</f>
        <v>하위 카테고리 정보</v>
      </c>
      <c r="E502" s="2" t="str">
        <f>IFERROR(__xludf.DUMMYFUNCTION("CONCATENATE(GOOGLETRANSLATE(B502, ""en"", ""ja""))"),"サブカテゴリー情報")</f>
        <v>サブカテゴリー情報</v>
      </c>
    </row>
    <row r="503" ht="15.75" customHeight="1">
      <c r="A503" s="1" t="s">
        <v>995</v>
      </c>
      <c r="B503" s="1" t="s">
        <v>996</v>
      </c>
      <c r="C503" s="1" t="str">
        <f>IFERROR(__xludf.DUMMYFUNCTION("CONCATENATE(GOOGLETRANSLATE(B503, ""en"", ""zh-cn""))"),"蛞蝓")</f>
        <v>蛞蝓</v>
      </c>
      <c r="D503" s="1" t="str">
        <f>IFERROR(__xludf.DUMMYFUNCTION("CONCATENATE(GOOGLETRANSLATE(B503, ""en"", ""ko""))"),"강타")</f>
        <v>강타</v>
      </c>
      <c r="E503" s="2" t="str">
        <f>IFERROR(__xludf.DUMMYFUNCTION("CONCATENATE(GOOGLETRANSLATE(B503, ""en"", ""ja""))"),"ナメクジ")</f>
        <v>ナメクジ</v>
      </c>
    </row>
    <row r="504" ht="15.75" customHeight="1">
      <c r="A504" s="1" t="s">
        <v>997</v>
      </c>
      <c r="B504" s="1" t="s">
        <v>998</v>
      </c>
      <c r="C504" s="1" t="str">
        <f>IFERROR(__xludf.DUMMYFUNCTION("CONCATENATE(GOOGLETRANSLATE(B504, ""en"", ""zh-cn""))"),"所有子子类别")</f>
        <v>所有子子类别</v>
      </c>
      <c r="D504" s="1" t="str">
        <f>IFERROR(__xludf.DUMMYFUNCTION("CONCATENATE(GOOGLETRANSLATE(B504, ""en"", ""ko""))"),"모든 하위 하위 카테고리")</f>
        <v>모든 하위 하위 카테고리</v>
      </c>
      <c r="E504" s="2" t="str">
        <f>IFERROR(__xludf.DUMMYFUNCTION("CONCATENATE(GOOGLETRANSLATE(B504, ""en"", ""ja""))"),"すべてのサブサブカテゴリ")</f>
        <v>すべてのサブサブカテゴリ</v>
      </c>
    </row>
    <row r="505" ht="15.75" customHeight="1">
      <c r="A505" s="1" t="s">
        <v>999</v>
      </c>
      <c r="B505" s="1" t="s">
        <v>1000</v>
      </c>
      <c r="C505" s="1" t="str">
        <f>IFERROR(__xludf.DUMMYFUNCTION("CONCATENATE(GOOGLETRANSLATE(B505, ""en"", ""zh-cn""))"),"添加新的子子类别")</f>
        <v>添加新的子子类别</v>
      </c>
      <c r="D505" s="1" t="str">
        <f>IFERROR(__xludf.DUMMYFUNCTION("CONCATENATE(GOOGLETRANSLATE(B505, ""en"", ""ko""))"),"새 하위 하위 카테고리 추가")</f>
        <v>새 하위 하위 카테고리 추가</v>
      </c>
      <c r="E505" s="2" t="str">
        <f>IFERROR(__xludf.DUMMYFUNCTION("CONCATENATE(GOOGLETRANSLATE(B505, ""en"", ""ja""))"),"新しいサブサブカテゴリを追加")</f>
        <v>新しいサブサブカテゴリを追加</v>
      </c>
    </row>
    <row r="506" ht="15.75" customHeight="1">
      <c r="A506" s="1" t="s">
        <v>1001</v>
      </c>
      <c r="B506" s="1" t="s">
        <v>1002</v>
      </c>
      <c r="C506" s="1" t="str">
        <f>IFERROR(__xludf.DUMMYFUNCTION("CONCATENATE(GOOGLETRANSLATE(B506, ""en"", ""zh-cn""))"),"子子类别")</f>
        <v>子子类别</v>
      </c>
      <c r="D506" s="1" t="str">
        <f>IFERROR(__xludf.DUMMYFUNCTION("CONCATENATE(GOOGLETRANSLATE(B506, ""en"", ""ko""))"),"하위 하위 카테고리")</f>
        <v>하위 하위 카테고리</v>
      </c>
      <c r="E506" s="2" t="str">
        <f>IFERROR(__xludf.DUMMYFUNCTION("CONCATENATE(GOOGLETRANSLATE(B506, ""en"", ""ja""))"),"サブサブカテゴリー")</f>
        <v>サブサブカテゴリー</v>
      </c>
    </row>
    <row r="507" ht="15.75" customHeight="1">
      <c r="A507" s="1" t="s">
        <v>1003</v>
      </c>
      <c r="B507" s="1" t="s">
        <v>1004</v>
      </c>
      <c r="C507" s="1" t="str">
        <f>IFERROR(__xludf.DUMMYFUNCTION("CONCATENATE(GOOGLETRANSLATE(B507, ""en"", ""zh-cn""))"),"设为默认值")</f>
        <v>设为默认值</v>
      </c>
      <c r="D507" s="1" t="str">
        <f>IFERROR(__xludf.DUMMYFUNCTION("CONCATENATE(GOOGLETRANSLATE(B507, ""en"", ""ko""))"),"이것을 기본값으로 설정")</f>
        <v>이것을 기본값으로 설정</v>
      </c>
      <c r="E507" s="2" t="str">
        <f>IFERROR(__xludf.DUMMYFUNCTION("CONCATENATE(GOOGLETRANSLATE(B507, ""en"", ""ja""))"),"これをデフォルトにする")</f>
        <v>これをデフォルトにする</v>
      </c>
    </row>
    <row r="508" ht="15.75" customHeight="1">
      <c r="A508" s="1" t="s">
        <v>1005</v>
      </c>
      <c r="B508" s="1" t="s">
        <v>1006</v>
      </c>
      <c r="C508" s="1" t="str">
        <f>IFERROR(__xludf.DUMMYFUNCTION("CONCATENATE(GOOGLETRANSLATE(B508, ""en"", ""zh-cn""))"),"商店")</f>
        <v>商店</v>
      </c>
      <c r="D508" s="1" t="str">
        <f>IFERROR(__xludf.DUMMYFUNCTION("CONCATENATE(GOOGLETRANSLATE(B508, ""en"", ""ko""))"),"상점")</f>
        <v>상점</v>
      </c>
      <c r="E508" s="2" t="str">
        <f>IFERROR(__xludf.DUMMYFUNCTION("CONCATENATE(GOOGLETRANSLATE(B508, ""en"", ""ja""))"),"ショップ")</f>
        <v>ショップ</v>
      </c>
    </row>
    <row r="509" ht="15.75" customHeight="1">
      <c r="A509" s="1" t="s">
        <v>1007</v>
      </c>
      <c r="B509" s="1" t="s">
        <v>1008</v>
      </c>
      <c r="C509" s="1" t="str">
        <f>IFERROR(__xludf.DUMMYFUNCTION("CONCATENATE(GOOGLETRANSLATE(B509, ""en"", ""zh-cn""))"),"女装与时尚")</f>
        <v>女装与时尚</v>
      </c>
      <c r="D509" s="1" t="str">
        <f>IFERROR(__xludf.DUMMYFUNCTION("CONCATENATE(GOOGLETRANSLATE(B509, ""en"", ""ko""))"),"여성 의류 및 패션")</f>
        <v>여성 의류 및 패션</v>
      </c>
      <c r="E509" s="2" t="str">
        <f>IFERROR(__xludf.DUMMYFUNCTION("CONCATENATE(GOOGLETRANSLATE(B509, ""en"", ""ja""))"),"女性の衣類とファッション")</f>
        <v>女性の衣類とファッション</v>
      </c>
    </row>
    <row r="510" ht="15.75" customHeight="1">
      <c r="A510" s="1" t="s">
        <v>1009</v>
      </c>
      <c r="B510" s="1" t="s">
        <v>1010</v>
      </c>
      <c r="C510" s="1" t="str">
        <f>IFERROR(__xludf.DUMMYFUNCTION("CONCATENATE(GOOGLETRANSLATE(B510, ""en"", ""zh-cn""))"),"手机和平板电脑")</f>
        <v>手机和平板电脑</v>
      </c>
      <c r="D510" s="1" t="str">
        <f>IFERROR(__xludf.DUMMYFUNCTION("CONCATENATE(GOOGLETRANSLATE(B510, ""en"", ""ko""))"),"휴대폰 및 탭")</f>
        <v>휴대폰 및 탭</v>
      </c>
      <c r="E510" s="2" t="str">
        <f>IFERROR(__xludf.DUMMYFUNCTION("CONCATENATE(GOOGLETRANSLATE(B510, ""en"", ""ja""))"),"携帯電話とタブ")</f>
        <v>携帯電話とタブ</v>
      </c>
    </row>
    <row r="511" ht="15.75" customHeight="1">
      <c r="A511" s="1" t="s">
        <v>1011</v>
      </c>
      <c r="B511" s="1" t="s">
        <v>1012</v>
      </c>
      <c r="C511" s="1" t="str">
        <f>IFERROR(__xludf.DUMMYFUNCTION("CONCATENATE(GOOGLETRANSLATE(B511, ""en"", ""zh-cn""))"),"欢迎来到")</f>
        <v>欢迎来到</v>
      </c>
      <c r="D511" s="1" t="str">
        <f>IFERROR(__xludf.DUMMYFUNCTION("CONCATENATE(GOOGLETRANSLATE(B511, ""en"", ""ko""))"),"에 오신 것을 환영합니다")</f>
        <v>에 오신 것을 환영합니다</v>
      </c>
      <c r="E511" s="2" t="str">
        <f>IFERROR(__xludf.DUMMYFUNCTION("CONCATENATE(GOOGLETRANSLATE(B511, ""en"", ""ja""))"),"へようこそ")</f>
        <v>へようこそ</v>
      </c>
    </row>
    <row r="512" ht="15.75" customHeight="1">
      <c r="A512" s="1" t="s">
        <v>1013</v>
      </c>
      <c r="B512" s="1" t="s">
        <v>1014</v>
      </c>
      <c r="C512" s="1" t="str">
        <f>IFERROR(__xludf.DUMMYFUNCTION("CONCATENATE(GOOGLETRANSLATE(B512, ""en"", ""zh-cn""))"),"创建一个新帐户")</f>
        <v>创建一个新帐户</v>
      </c>
      <c r="D512" s="1" t="str">
        <f>IFERROR(__xludf.DUMMYFUNCTION("CONCATENATE(GOOGLETRANSLATE(B512, ""en"", ""ko""))"),"새 계정 만들기")</f>
        <v>새 계정 만들기</v>
      </c>
      <c r="E512" s="2" t="str">
        <f>IFERROR(__xludf.DUMMYFUNCTION("CONCATENATE(GOOGLETRANSLATE(B512, ""en"", ""ja""))"),"新しいアカウントを作成する")</f>
        <v>新しいアカウントを作成する</v>
      </c>
    </row>
    <row r="513" ht="15.75" customHeight="1">
      <c r="A513" s="1" t="s">
        <v>1015</v>
      </c>
      <c r="B513" s="1" t="s">
        <v>1016</v>
      </c>
      <c r="C513" s="1" t="str">
        <f>IFERROR(__xludf.DUMMYFUNCTION("CONCATENATE(GOOGLETRANSLATE(B513, ""en"", ""zh-cn""))"),"姓名")</f>
        <v>姓名</v>
      </c>
      <c r="D513" s="1" t="str">
        <f>IFERROR(__xludf.DUMMYFUNCTION("CONCATENATE(GOOGLETRANSLATE(B513, ""en"", ""ko""))"),"성명")</f>
        <v>성명</v>
      </c>
      <c r="E513" s="2" t="str">
        <f>IFERROR(__xludf.DUMMYFUNCTION("CONCATENATE(GOOGLETRANSLATE(B513, ""en"", ""ja""))"),"フルネーム")</f>
        <v>フルネーム</v>
      </c>
    </row>
    <row r="514" ht="15.75" customHeight="1">
      <c r="A514" s="1" t="s">
        <v>1017</v>
      </c>
      <c r="B514" s="1" t="s">
        <v>1017</v>
      </c>
      <c r="C514" s="1" t="str">
        <f>IFERROR(__xludf.DUMMYFUNCTION("CONCATENATE(GOOGLETRANSLATE(B514, ""en"", ""zh-cn""))"),"密码")</f>
        <v>密码</v>
      </c>
      <c r="D514" s="1" t="str">
        <f>IFERROR(__xludf.DUMMYFUNCTION("CONCATENATE(GOOGLETRANSLATE(B514, ""en"", ""ko""))"),"비밀번호")</f>
        <v>비밀번호</v>
      </c>
      <c r="E514" s="2" t="str">
        <f>IFERROR(__xludf.DUMMYFUNCTION("CONCATENATE(GOOGLETRANSLATE(B514, ""en"", ""ja""))"),"パスワード")</f>
        <v>パスワード</v>
      </c>
    </row>
    <row r="515" ht="15.75" customHeight="1">
      <c r="A515" s="1" t="s">
        <v>1018</v>
      </c>
      <c r="B515" s="1" t="s">
        <v>1019</v>
      </c>
      <c r="C515" s="1" t="str">
        <f>IFERROR(__xludf.DUMMYFUNCTION("CONCATENATE(GOOGLETRANSLATE(B515, ""en"", ""zh-cn""))"),"确认密码")</f>
        <v>确认密码</v>
      </c>
      <c r="D515" s="1" t="str">
        <f>IFERROR(__xludf.DUMMYFUNCTION("CONCATENATE(GOOGLETRANSLATE(B515, ""en"", ""ko""))"),"비밀번호 확인")</f>
        <v>비밀번호 확인</v>
      </c>
      <c r="E515" s="2" t="str">
        <f>IFERROR(__xludf.DUMMYFUNCTION("CONCATENATE(GOOGLETRANSLATE(B515, ""en"", ""ja""))"),"パスワードの確認")</f>
        <v>パスワードの確認</v>
      </c>
    </row>
    <row r="516" ht="15.75" customHeight="1">
      <c r="A516" s="1" t="s">
        <v>1020</v>
      </c>
      <c r="B516" s="1" t="s">
        <v>1021</v>
      </c>
      <c r="C516" s="1" t="str">
        <f>IFERROR(__xludf.DUMMYFUNCTION("CONCATENATE(GOOGLETRANSLATE(B516, ""en"", ""zh-cn""))"),"我同意")</f>
        <v>我同意</v>
      </c>
      <c r="D516" s="1" t="str">
        <f>IFERROR(__xludf.DUMMYFUNCTION("CONCATENATE(GOOGLETRANSLATE(B516, ""en"", ""ko""))"),"나는 동의한다")</f>
        <v>나는 동의한다</v>
      </c>
      <c r="E516" s="2" t="str">
        <f>IFERROR(__xludf.DUMMYFUNCTION("CONCATENATE(GOOGLETRANSLATE(B516, ""en"", ""ja""))"),"私はそれに同意します")</f>
        <v>私はそれに同意します</v>
      </c>
    </row>
    <row r="517" ht="15.75" customHeight="1">
      <c r="A517" s="1" t="s">
        <v>1022</v>
      </c>
      <c r="B517" s="1" t="s">
        <v>1023</v>
      </c>
      <c r="C517" s="1" t="str">
        <f>IFERROR(__xludf.DUMMYFUNCTION("CONCATENATE(GOOGLETRANSLATE(B517, ""en"", ""zh-cn""))"),"条款和条件")</f>
        <v>条款和条件</v>
      </c>
      <c r="D517" s="1" t="str">
        <f>IFERROR(__xludf.DUMMYFUNCTION("CONCATENATE(GOOGLETRANSLATE(B517, ""en"", ""ko""))"),"이용약관")</f>
        <v>이용약관</v>
      </c>
      <c r="E517" s="2" t="str">
        <f>IFERROR(__xludf.DUMMYFUNCTION("CONCATENATE(GOOGLETRANSLATE(B517, ""en"", ""ja""))"),"利用規約")</f>
        <v>利用規約</v>
      </c>
    </row>
    <row r="518" ht="15.75" customHeight="1">
      <c r="A518" s="1" t="s">
        <v>1024</v>
      </c>
      <c r="B518" s="1" t="s">
        <v>1025</v>
      </c>
      <c r="C518" s="1" t="str">
        <f>IFERROR(__xludf.DUMMYFUNCTION("CONCATENATE(GOOGLETRANSLATE(B518, ""en"", ""zh-cn""))"),"登记")</f>
        <v>登记</v>
      </c>
      <c r="D518" s="1" t="str">
        <f>IFERROR(__xludf.DUMMYFUNCTION("CONCATENATE(GOOGLETRANSLATE(B518, ""en"", ""ko""))"),"등록하다")</f>
        <v>등록하다</v>
      </c>
      <c r="E518" s="2" t="str">
        <f>IFERROR(__xludf.DUMMYFUNCTION("CONCATENATE(GOOGLETRANSLATE(B518, ""en"", ""ja""))"),"登録する")</f>
        <v>登録する</v>
      </c>
    </row>
    <row r="519" ht="15.75" customHeight="1">
      <c r="A519" s="1" t="s">
        <v>1026</v>
      </c>
      <c r="B519" s="1" t="s">
        <v>1027</v>
      </c>
      <c r="C519" s="1" t="str">
        <f>IFERROR(__xludf.DUMMYFUNCTION("CONCATENATE(GOOGLETRANSLATE(B519, ""en"", ""zh-cn""))"),"已有账户")</f>
        <v>已有账户</v>
      </c>
      <c r="D519" s="1" t="str">
        <f>IFERROR(__xludf.DUMMYFUNCTION("CONCATENATE(GOOGLETRANSLATE(B519, ""en"", ""ko""))"),"이미 계정이 있습니다")</f>
        <v>이미 계정이 있습니다</v>
      </c>
      <c r="E519" s="2" t="str">
        <f>IFERROR(__xludf.DUMMYFUNCTION("CONCATENATE(GOOGLETRANSLATE(B519, ""en"", ""ja""))"),"すでにアカウントをお持ちです")</f>
        <v>すでにアカウントをお持ちです</v>
      </c>
    </row>
    <row r="520" ht="15.75" customHeight="1">
      <c r="A520" s="1" t="s">
        <v>1028</v>
      </c>
      <c r="B520" s="1" t="s">
        <v>1029</v>
      </c>
      <c r="C520" s="1" t="str">
        <f>IFERROR(__xludf.DUMMYFUNCTION("CONCATENATE(GOOGLETRANSLATE(B520, ""en"", ""zh-cn""))"),"注册为")</f>
        <v>注册为</v>
      </c>
      <c r="D520" s="1" t="str">
        <f>IFERROR(__xludf.DUMMYFUNCTION("CONCATENATE(GOOGLETRANSLATE(B520, ""en"", ""ko""))"),"다음으로 가입하세요")</f>
        <v>다음으로 가입하세요</v>
      </c>
      <c r="E520" s="2" t="str">
        <f>IFERROR(__xludf.DUMMYFUNCTION("CONCATENATE(GOOGLETRANSLATE(B520, ""en"", ""ja""))"),"でサインアップ")</f>
        <v>でサインアップ</v>
      </c>
    </row>
    <row r="521" ht="15.75" customHeight="1">
      <c r="A521" s="1" t="s">
        <v>1030</v>
      </c>
      <c r="B521" s="1" t="s">
        <v>1031</v>
      </c>
      <c r="C521" s="1" t="str">
        <f>IFERROR(__xludf.DUMMYFUNCTION("CONCATENATE(GOOGLETRANSLATE(B521, ""en"", ""zh-cn""))"),"我同意条款和条件")</f>
        <v>我同意条款和条件</v>
      </c>
      <c r="D521" s="1" t="str">
        <f>IFERROR(__xludf.DUMMYFUNCTION("CONCATENATE(GOOGLETRANSLATE(B521, ""en"", ""ko""))"),"이용약관에 동의합니다.")</f>
        <v>이용약관에 동의합니다.</v>
      </c>
      <c r="E521" s="2" t="str">
        <f>IFERROR(__xludf.DUMMYFUNCTION("CONCATENATE(GOOGLETRANSLATE(B521, ""en"", ""ja""))"),"利用規約に同意します")</f>
        <v>利用規約に同意します</v>
      </c>
    </row>
    <row r="522" ht="15.75" customHeight="1">
      <c r="A522" s="1" t="s">
        <v>1032</v>
      </c>
      <c r="B522" s="1" t="s">
        <v>1033</v>
      </c>
      <c r="C522" s="1" t="str">
        <f>IFERROR(__xludf.DUMMYFUNCTION("CONCATENATE(GOOGLETRANSLATE(B522, ""en"", ""zh-cn""))"),"所有角色")</f>
        <v>所有角色</v>
      </c>
      <c r="D522" s="1" t="str">
        <f>IFERROR(__xludf.DUMMYFUNCTION("CONCATENATE(GOOGLETRANSLATE(B522, ""en"", ""ko""))"),"모든 역할")</f>
        <v>모든 역할</v>
      </c>
      <c r="E522" s="2" t="str">
        <f>IFERROR(__xludf.DUMMYFUNCTION("CONCATENATE(GOOGLETRANSLATE(B522, ""en"", ""ja""))"),"すべての役割")</f>
        <v>すべての役割</v>
      </c>
    </row>
    <row r="523" ht="15.75" customHeight="1">
      <c r="A523" s="1" t="s">
        <v>1034</v>
      </c>
      <c r="B523" s="1" t="s">
        <v>1035</v>
      </c>
      <c r="C523" s="1" t="str">
        <f>IFERROR(__xludf.DUMMYFUNCTION("CONCATENATE(GOOGLETRANSLATE(B523, ""en"", ""zh-cn""))"),"添加新角色")</f>
        <v>添加新角色</v>
      </c>
      <c r="D523" s="1" t="str">
        <f>IFERROR(__xludf.DUMMYFUNCTION("CONCATENATE(GOOGLETRANSLATE(B523, ""en"", ""ko""))"),"새 역할 추가")</f>
        <v>새 역할 추가</v>
      </c>
      <c r="E523" s="2" t="str">
        <f>IFERROR(__xludf.DUMMYFUNCTION("CONCATENATE(GOOGLETRANSLATE(B523, ""en"", ""ja""))"),"新しい役割の追加")</f>
        <v>新しい役割の追加</v>
      </c>
    </row>
    <row r="524" ht="15.75" customHeight="1">
      <c r="A524" s="1" t="s">
        <v>1036</v>
      </c>
      <c r="B524" s="1" t="s">
        <v>1037</v>
      </c>
      <c r="C524" s="1" t="str">
        <f>IFERROR(__xludf.DUMMYFUNCTION("CONCATENATE(GOOGLETRANSLATE(B524, ""en"", ""zh-cn""))"),"角色")</f>
        <v>角色</v>
      </c>
      <c r="D524" s="1" t="str">
        <f>IFERROR(__xludf.DUMMYFUNCTION("CONCATENATE(GOOGLETRANSLATE(B524, ""en"", ""ko""))"),"역할")</f>
        <v>역할</v>
      </c>
      <c r="E524" s="2" t="str">
        <f>IFERROR(__xludf.DUMMYFUNCTION("CONCATENATE(GOOGLETRANSLATE(B524, ""en"", ""ja""))"),"役割")</f>
        <v>役割</v>
      </c>
    </row>
    <row r="525" ht="15.75" customHeight="1">
      <c r="A525" s="1" t="s">
        <v>1038</v>
      </c>
      <c r="B525" s="1" t="s">
        <v>1039</v>
      </c>
      <c r="C525" s="1" t="str">
        <f>IFERROR(__xludf.DUMMYFUNCTION("CONCATENATE(GOOGLETRANSLATE(B525, ""en"", ""zh-cn""))"),"添加新员工")</f>
        <v>添加新员工</v>
      </c>
      <c r="D525" s="1" t="str">
        <f>IFERROR(__xludf.DUMMYFUNCTION("CONCATENATE(GOOGLETRANSLATE(B525, ""en"", ""ko""))"),"새로운 직원 추가")</f>
        <v>새로운 직원 추가</v>
      </c>
      <c r="E525" s="2" t="str">
        <f>IFERROR(__xludf.DUMMYFUNCTION("CONCATENATE(GOOGLETRANSLATE(B525, ""en"", ""ja""))"),"新しいスタッフを追加する")</f>
        <v>新しいスタッフを追加する</v>
      </c>
    </row>
    <row r="526" ht="15.75" customHeight="1">
      <c r="A526" s="1" t="s">
        <v>1040</v>
      </c>
      <c r="B526" s="1" t="s">
        <v>1041</v>
      </c>
      <c r="C526" s="1" t="str">
        <f>IFERROR(__xludf.DUMMYFUNCTION("CONCATENATE(GOOGLETRANSLATE(B526, ""en"", ""zh-cn""))"),"角色")</f>
        <v>角色</v>
      </c>
      <c r="D526" s="1" t="str">
        <f>IFERROR(__xludf.DUMMYFUNCTION("CONCATENATE(GOOGLETRANSLATE(B526, ""en"", ""ko""))"),"역할")</f>
        <v>역할</v>
      </c>
      <c r="E526" s="2" t="str">
        <f>IFERROR(__xludf.DUMMYFUNCTION("CONCATENATE(GOOGLETRANSLATE(B526, ""en"", ""ja""))"),"役割")</f>
        <v>役割</v>
      </c>
    </row>
    <row r="527" ht="15.75" customHeight="1">
      <c r="A527" s="1" t="s">
        <v>1042</v>
      </c>
      <c r="B527" s="1" t="s">
        <v>1043</v>
      </c>
      <c r="C527" s="1" t="str">
        <f>IFERROR(__xludf.DUMMYFUNCTION("CONCATENATE(GOOGLETRANSLATE(B527, ""en"", ""zh-cn""))"),"前端网站名称")</f>
        <v>前端网站名称</v>
      </c>
      <c r="D527" s="1" t="str">
        <f>IFERROR(__xludf.DUMMYFUNCTION("CONCATENATE(GOOGLETRANSLATE(B527, ""en"", ""ko""))"),"프런트엔드 웹사이트 이름")</f>
        <v>프런트엔드 웹사이트 이름</v>
      </c>
      <c r="E527" s="2" t="str">
        <f>IFERROR(__xludf.DUMMYFUNCTION("CONCATENATE(GOOGLETRANSLATE(B527, ""en"", ""ja""))"),"フロントエンド Web サイト名")</f>
        <v>フロントエンド Web サイト名</v>
      </c>
    </row>
    <row r="528" ht="15.75" customHeight="1">
      <c r="A528" s="1" t="s">
        <v>1044</v>
      </c>
      <c r="B528" s="1" t="s">
        <v>1045</v>
      </c>
      <c r="C528" s="1" t="str">
        <f>IFERROR(__xludf.DUMMYFUNCTION("CONCATENATE(GOOGLETRANSLATE(B528, ""en"", ""zh-cn""))"),"网站名称")</f>
        <v>网站名称</v>
      </c>
      <c r="D528" s="1" t="str">
        <f>IFERROR(__xludf.DUMMYFUNCTION("CONCATENATE(GOOGLETRANSLATE(B528, ""en"", ""ko""))"),"웹사이트 이름")</f>
        <v>웹사이트 이름</v>
      </c>
      <c r="E528" s="2" t="str">
        <f>IFERROR(__xludf.DUMMYFUNCTION("CONCATENATE(GOOGLETRANSLATE(B528, ""en"", ""ja""))"),"ウェブサイト名")</f>
        <v>ウェブサイト名</v>
      </c>
    </row>
    <row r="529" ht="15.75" customHeight="1">
      <c r="A529" s="1" t="s">
        <v>1046</v>
      </c>
      <c r="B529" s="1" t="s">
        <v>1047</v>
      </c>
      <c r="C529" s="1" t="str">
        <f>IFERROR(__xludf.DUMMYFUNCTION("CONCATENATE(GOOGLETRANSLATE(B529, ""en"", ""zh-cn""))"),"网站座右铭")</f>
        <v>网站座右铭</v>
      </c>
      <c r="D529" s="1" t="str">
        <f>IFERROR(__xludf.DUMMYFUNCTION("CONCATENATE(GOOGLETRANSLATE(B529, ""en"", ""ko""))"),"사이트 모토")</f>
        <v>사이트 모토</v>
      </c>
      <c r="E529" s="2" t="str">
        <f>IFERROR(__xludf.DUMMYFUNCTION("CONCATENATE(GOOGLETRANSLATE(B529, ""en"", ""ja""))"),"サイトモットー")</f>
        <v>サイトモットー</v>
      </c>
    </row>
    <row r="530" ht="15.75" customHeight="1">
      <c r="A530" s="1" t="s">
        <v>1048</v>
      </c>
      <c r="B530" s="1" t="s">
        <v>1049</v>
      </c>
      <c r="C530" s="1" t="str">
        <f>IFERROR(__xludf.DUMMYFUNCTION("CONCATENATE(GOOGLETRANSLATE(B530, ""en"", ""zh-cn""))"),"最佳电子商务网站")</f>
        <v>最佳电子商务网站</v>
      </c>
      <c r="D530" s="1" t="str">
        <f>IFERROR(__xludf.DUMMYFUNCTION("CONCATENATE(GOOGLETRANSLATE(B530, ""en"", ""ko""))"),"최고의 전자상거래 웹사이트")</f>
        <v>최고의 전자상거래 웹사이트</v>
      </c>
      <c r="E530" s="2" t="str">
        <f>IFERROR(__xludf.DUMMYFUNCTION("CONCATENATE(GOOGLETRANSLATE(B530, ""en"", ""ja""))"),"ベスト e コマース ウェブサイト")</f>
        <v>ベスト e コマース ウェブサイト</v>
      </c>
    </row>
    <row r="531" ht="15.75" customHeight="1">
      <c r="A531" s="1" t="s">
        <v>1050</v>
      </c>
      <c r="B531" s="1" t="s">
        <v>1051</v>
      </c>
      <c r="C531" s="1" t="str">
        <f>IFERROR(__xludf.DUMMYFUNCTION("CONCATENATE(GOOGLETRANSLATE(B531, ""en"", ""zh-cn""))"),"网站图标")</f>
        <v>网站图标</v>
      </c>
      <c r="D531" s="1" t="str">
        <f>IFERROR(__xludf.DUMMYFUNCTION("CONCATENATE(GOOGLETRANSLATE(B531, ""en"", ""ko""))"),"사이트 아이콘")</f>
        <v>사이트 아이콘</v>
      </c>
      <c r="E531" s="2" t="str">
        <f>IFERROR(__xludf.DUMMYFUNCTION("CONCATENATE(GOOGLETRANSLATE(B531, ""en"", ""ja""))"),"サイトアイコン")</f>
        <v>サイトアイコン</v>
      </c>
    </row>
    <row r="532" ht="15.75" customHeight="1">
      <c r="A532" s="1" t="s">
        <v>1052</v>
      </c>
      <c r="B532" s="1" t="s">
        <v>1053</v>
      </c>
      <c r="C532" s="1" t="str">
        <f>IFERROR(__xludf.DUMMYFUNCTION("CONCATENATE(GOOGLETRANSLATE(B532, ""en"", ""zh-cn""))"),"网站图标。 32x32.png")</f>
        <v>网站图标。 32x32.png</v>
      </c>
      <c r="D532" s="1" t="str">
        <f>IFERROR(__xludf.DUMMYFUNCTION("CONCATENATE(GOOGLETRANSLATE(B532, ""en"", ""ko""))"),"웹사이트 파비콘. 32x32.png")</f>
        <v>웹사이트 파비콘. 32x32.png</v>
      </c>
      <c r="E532" s="2" t="str">
        <f>IFERROR(__xludf.DUMMYFUNCTION("CONCATENATE(GOOGLETRANSLATE(B532, ""en"", ""ja""))"),"ウェブサイトのファビコン。 32x32 .png")</f>
        <v>ウェブサイトのファビコン。 32x32 .png</v>
      </c>
    </row>
    <row r="533" ht="15.75" customHeight="1">
      <c r="A533" s="1" t="s">
        <v>1054</v>
      </c>
      <c r="B533" s="1" t="s">
        <v>1055</v>
      </c>
      <c r="C533" s="1" t="str">
        <f>IFERROR(__xludf.DUMMYFUNCTION("CONCATENATE(GOOGLETRANSLATE(B533, ""en"", ""zh-cn""))"),"网站基色")</f>
        <v>网站基色</v>
      </c>
      <c r="D533" s="1" t="str">
        <f>IFERROR(__xludf.DUMMYFUNCTION("CONCATENATE(GOOGLETRANSLATE(B533, ""en"", ""ko""))"),"웹사이트 기본 색상")</f>
        <v>웹사이트 기본 색상</v>
      </c>
      <c r="E533" s="2" t="str">
        <f>IFERROR(__xludf.DUMMYFUNCTION("CONCATENATE(GOOGLETRANSLATE(B533, ""en"", ""ja""))"),"ウェブサイトのベースカラー")</f>
        <v>ウェブサイトのベースカラー</v>
      </c>
    </row>
    <row r="534" ht="15.75" customHeight="1">
      <c r="A534" s="1" t="s">
        <v>1056</v>
      </c>
      <c r="B534" s="1" t="s">
        <v>1057</v>
      </c>
      <c r="C534" s="1" t="str">
        <f>IFERROR(__xludf.DUMMYFUNCTION("CONCATENATE(GOOGLETRANSLATE(B534, ""en"", ""zh-cn""))"),"十六进制颜色代码")</f>
        <v>十六进制颜色代码</v>
      </c>
      <c r="D534" s="1" t="str">
        <f>IFERROR(__xludf.DUMMYFUNCTION("CONCATENATE(GOOGLETRANSLATE(B534, ""en"", ""ko""))"),"16진수 색상 코드")</f>
        <v>16진수 색상 코드</v>
      </c>
      <c r="E534" s="2" t="str">
        <f>IFERROR(__xludf.DUMMYFUNCTION("CONCATENATE(GOOGLETRANSLATE(B534, ""en"", ""ja""))"),"16進数のカラーコード")</f>
        <v>16進数のカラーコード</v>
      </c>
    </row>
    <row r="535" ht="15.75" customHeight="1">
      <c r="A535" s="1" t="s">
        <v>1058</v>
      </c>
      <c r="B535" s="1" t="s">
        <v>1059</v>
      </c>
      <c r="C535" s="1" t="str">
        <f>IFERROR(__xludf.DUMMYFUNCTION("CONCATENATE(GOOGLETRANSLATE(B535, ""en"", ""zh-cn""))"),"网站基本悬停颜色")</f>
        <v>网站基本悬停颜色</v>
      </c>
      <c r="D535" s="1" t="str">
        <f>IFERROR(__xludf.DUMMYFUNCTION("CONCATENATE(GOOGLETRANSLATE(B535, ""en"", ""ko""))"),"웹사이트 기본 호버 색상")</f>
        <v>웹사이트 기본 호버 색상</v>
      </c>
      <c r="E535" s="2" t="str">
        <f>IFERROR(__xludf.DUMMYFUNCTION("CONCATENATE(GOOGLETRANSLATE(B535, ""en"", ""ja""))"),"ウェブサイトのベースホバーカラー")</f>
        <v>ウェブサイトのベースホバーカラー</v>
      </c>
    </row>
    <row r="536" ht="15.75" customHeight="1">
      <c r="A536" s="1" t="s">
        <v>1060</v>
      </c>
      <c r="B536" s="1" t="s">
        <v>1061</v>
      </c>
      <c r="C536" s="1" t="str">
        <f>IFERROR(__xludf.DUMMYFUNCTION("CONCATENATE(GOOGLETRANSLATE(B536, ""en"", ""zh-cn""))"),"更新")</f>
        <v>更新</v>
      </c>
      <c r="D536" s="1" t="str">
        <f>IFERROR(__xludf.DUMMYFUNCTION("CONCATENATE(GOOGLETRANSLATE(B536, ""en"", ""ko""))"),"업데이트")</f>
        <v>업데이트</v>
      </c>
      <c r="E536" s="2" t="str">
        <f>IFERROR(__xludf.DUMMYFUNCTION("CONCATENATE(GOOGLETRANSLATE(B536, ""en"", ""ja""))"),"アップデート")</f>
        <v>アップデート</v>
      </c>
    </row>
    <row r="537" ht="15.75" customHeight="1">
      <c r="A537" s="1" t="s">
        <v>1062</v>
      </c>
      <c r="B537" s="1" t="s">
        <v>1063</v>
      </c>
      <c r="C537" s="1" t="str">
        <f>IFERROR(__xludf.DUMMYFUNCTION("CONCATENATE(GOOGLETRANSLATE(B537, ""en"", ""zh-cn""))"),"全球搜索引擎优化")</f>
        <v>全球搜索引擎优化</v>
      </c>
      <c r="D537" s="1" t="str">
        <f>IFERROR(__xludf.DUMMYFUNCTION("CONCATENATE(GOOGLETRANSLATE(B537, ""en"", ""ko""))"),"글로벌서")</f>
        <v>글로벌서</v>
      </c>
      <c r="E537" s="2" t="str">
        <f>IFERROR(__xludf.DUMMYFUNCTION("CONCATENATE(GOOGLETRANSLATE(B537, ""en"", ""ja""))"),"グローバルSEO")</f>
        <v>グローバルSEO</v>
      </c>
    </row>
    <row r="538" ht="15.75" customHeight="1">
      <c r="A538" s="1" t="s">
        <v>1064</v>
      </c>
      <c r="B538" s="1" t="s">
        <v>1065</v>
      </c>
      <c r="C538" s="1" t="str">
        <f>IFERROR(__xludf.DUMMYFUNCTION("CONCATENATE(GOOGLETRANSLATE(B538, ""en"", ""zh-cn""))"),"元描述")</f>
        <v>元描述</v>
      </c>
      <c r="D538" s="1" t="str">
        <f>IFERROR(__xludf.DUMMYFUNCTION("CONCATENATE(GOOGLETRANSLATE(B538, ""en"", ""ko""))"),"메타 설명")</f>
        <v>메타 설명</v>
      </c>
      <c r="E538" s="2" t="str">
        <f>IFERROR(__xludf.DUMMYFUNCTION("CONCATENATE(GOOGLETRANSLATE(B538, ""en"", ""ja""))"),"メタディスクリプション")</f>
        <v>メタディスクリプション</v>
      </c>
    </row>
    <row r="539" ht="15.75" customHeight="1">
      <c r="A539" s="1" t="s">
        <v>1066</v>
      </c>
      <c r="B539" s="1" t="s">
        <v>1067</v>
      </c>
      <c r="C539" s="1" t="str">
        <f>IFERROR(__xludf.DUMMYFUNCTION("CONCATENATE(GOOGLETRANSLATE(B539, ""en"", ""zh-cn""))"),"关键词")</f>
        <v>关键词</v>
      </c>
      <c r="D539" s="1" t="str">
        <f>IFERROR(__xludf.DUMMYFUNCTION("CONCATENATE(GOOGLETRANSLATE(B539, ""en"", ""ko""))"),"키워드")</f>
        <v>키워드</v>
      </c>
      <c r="E539" s="2" t="str">
        <f>IFERROR(__xludf.DUMMYFUNCTION("CONCATENATE(GOOGLETRANSLATE(B539, ""en"", ""ja""))"),"キーワード")</f>
        <v>キーワード</v>
      </c>
    </row>
    <row r="540" ht="15.75" customHeight="1">
      <c r="A540" s="1" t="s">
        <v>1068</v>
      </c>
      <c r="B540" s="1" t="s">
        <v>1069</v>
      </c>
      <c r="C540" s="1" t="str">
        <f>IFERROR(__xludf.DUMMYFUNCTION("CONCATENATE(GOOGLETRANSLATE(B540, ""en"", ""zh-cn""))"),"用逗号分隔")</f>
        <v>用逗号分隔</v>
      </c>
      <c r="D540" s="1" t="str">
        <f>IFERROR(__xludf.DUMMYFUNCTION("CONCATENATE(GOOGLETRANSLATE(B540, ""en"", ""ko""))"),"혼수상태로 분리")</f>
        <v>혼수상태로 분리</v>
      </c>
      <c r="E540" s="2" t="str">
        <f>IFERROR(__xludf.DUMMYFUNCTION("CONCATENATE(GOOGLETRANSLATE(B540, ""en"", ""ja""))"),"コマで区切る")</f>
        <v>コマで区切る</v>
      </c>
    </row>
    <row r="541" ht="15.75" customHeight="1">
      <c r="A541" s="1" t="s">
        <v>1070</v>
      </c>
      <c r="B541" s="1" t="s">
        <v>1071</v>
      </c>
      <c r="C541" s="1" t="str">
        <f>IFERROR(__xludf.DUMMYFUNCTION("CONCATENATE(GOOGLETRANSLATE(B541, ""en"", ""zh-cn""))"),"网站页面")</f>
        <v>网站页面</v>
      </c>
      <c r="D541" s="1" t="str">
        <f>IFERROR(__xludf.DUMMYFUNCTION("CONCATENATE(GOOGLETRANSLATE(B541, ""en"", ""ko""))"),"웹사이트 페이지")</f>
        <v>웹사이트 페이지</v>
      </c>
      <c r="E541" s="2" t="str">
        <f>IFERROR(__xludf.DUMMYFUNCTION("CONCATENATE(GOOGLETRANSLATE(B541, ""en"", ""ja""))"),"ウェブサイトのページ")</f>
        <v>ウェブサイトのページ</v>
      </c>
    </row>
    <row r="542" ht="15.75" customHeight="1">
      <c r="A542" s="1" t="s">
        <v>1072</v>
      </c>
      <c r="B542" s="1" t="s">
        <v>1073</v>
      </c>
      <c r="C542" s="1" t="str">
        <f>IFERROR(__xludf.DUMMYFUNCTION("CONCATENATE(GOOGLETRANSLATE(B542, ""en"", ""zh-cn""))"),"所有页面")</f>
        <v>所有页面</v>
      </c>
      <c r="D542" s="1" t="str">
        <f>IFERROR(__xludf.DUMMYFUNCTION("CONCATENATE(GOOGLETRANSLATE(B542, ""en"", ""ko""))"),"모든 페이지")</f>
        <v>모든 페이지</v>
      </c>
      <c r="E542" s="2" t="str">
        <f>IFERROR(__xludf.DUMMYFUNCTION("CONCATENATE(GOOGLETRANSLATE(B542, ""en"", ""ja""))"),"すべてのページ")</f>
        <v>すべてのページ</v>
      </c>
    </row>
    <row r="543" ht="15.75" customHeight="1">
      <c r="A543" s="1" t="s">
        <v>1074</v>
      </c>
      <c r="B543" s="1" t="s">
        <v>1075</v>
      </c>
      <c r="C543" s="1" t="str">
        <f>IFERROR(__xludf.DUMMYFUNCTION("CONCATENATE(GOOGLETRANSLATE(B543, ""en"", ""zh-cn""))"),"添加新页面")</f>
        <v>添加新页面</v>
      </c>
      <c r="D543" s="1" t="str">
        <f>IFERROR(__xludf.DUMMYFUNCTION("CONCATENATE(GOOGLETRANSLATE(B543, ""en"", ""ko""))"),"새 페이지 추가")</f>
        <v>새 페이지 추가</v>
      </c>
      <c r="E543" s="2" t="str">
        <f>IFERROR(__xludf.DUMMYFUNCTION("CONCATENATE(GOOGLETRANSLATE(B543, ""en"", ""ja""))"),"新しいページを追加")</f>
        <v>新しいページを追加</v>
      </c>
    </row>
    <row r="544" ht="15.75" customHeight="1">
      <c r="A544" s="1" t="s">
        <v>1076</v>
      </c>
      <c r="B544" s="1" t="s">
        <v>1077</v>
      </c>
      <c r="C544" s="1" t="str">
        <f>IFERROR(__xludf.DUMMYFUNCTION("CONCATENATE(GOOGLETRANSLATE(B544, ""en"", ""zh-cn""))"),"网址")</f>
        <v>网址</v>
      </c>
      <c r="D544" s="1" t="str">
        <f>IFERROR(__xludf.DUMMYFUNCTION("CONCATENATE(GOOGLETRANSLATE(B544, ""en"", ""ko""))"),"URL")</f>
        <v>URL</v>
      </c>
      <c r="E544" s="2" t="str">
        <f>IFERROR(__xludf.DUMMYFUNCTION("CONCATENATE(GOOGLETRANSLATE(B544, ""en"", ""ja""))"),"URL")</f>
        <v>URL</v>
      </c>
    </row>
    <row r="545" ht="15.75" customHeight="1">
      <c r="A545" s="1" t="s">
        <v>1078</v>
      </c>
      <c r="B545" s="1" t="s">
        <v>1079</v>
      </c>
      <c r="C545" s="1" t="str">
        <f>IFERROR(__xludf.DUMMYFUNCTION("CONCATENATE(GOOGLETRANSLATE(B545, ""en"", ""zh-cn""))"),"行动")</f>
        <v>行动</v>
      </c>
      <c r="D545" s="1" t="str">
        <f>IFERROR(__xludf.DUMMYFUNCTION("CONCATENATE(GOOGLETRANSLATE(B545, ""en"", ""ko""))"),"행위")</f>
        <v>행위</v>
      </c>
      <c r="E545" s="2" t="str">
        <f>IFERROR(__xludf.DUMMYFUNCTION("CONCATENATE(GOOGLETRANSLATE(B545, ""en"", ""ja""))"),"アクション")</f>
        <v>アクション</v>
      </c>
    </row>
    <row r="546" ht="15.75" customHeight="1">
      <c r="A546" s="1" t="s">
        <v>1080</v>
      </c>
      <c r="B546" s="1" t="s">
        <v>1081</v>
      </c>
      <c r="C546" s="1" t="str">
        <f>IFERROR(__xludf.DUMMYFUNCTION("CONCATENATE(GOOGLETRANSLATE(B546, ""en"", ""zh-cn""))"),"编辑页面信息")</f>
        <v>编辑页面信息</v>
      </c>
      <c r="D546" s="1" t="str">
        <f>IFERROR(__xludf.DUMMYFUNCTION("CONCATENATE(GOOGLETRANSLATE(B546, ""en"", ""ko""))"),"페이지 정보 편집")</f>
        <v>페이지 정보 편집</v>
      </c>
      <c r="E546" s="2" t="str">
        <f>IFERROR(__xludf.DUMMYFUNCTION("CONCATENATE(GOOGLETRANSLATE(B546, ""en"", ""ja""))"),"ページ情報の編集")</f>
        <v>ページ情報の編集</v>
      </c>
    </row>
    <row r="547" ht="15.75" customHeight="1">
      <c r="A547" s="1" t="s">
        <v>1082</v>
      </c>
      <c r="B547" s="1" t="s">
        <v>1083</v>
      </c>
      <c r="C547" s="1" t="str">
        <f>IFERROR(__xludf.DUMMYFUNCTION("CONCATENATE(GOOGLETRANSLATE(B547, ""en"", ""zh-cn""))"),"页面内容")</f>
        <v>页面内容</v>
      </c>
      <c r="D547" s="1" t="str">
        <f>IFERROR(__xludf.DUMMYFUNCTION("CONCATENATE(GOOGLETRANSLATE(B547, ""en"", ""ko""))"),"페이지 콘텐츠")</f>
        <v>페이지 콘텐츠</v>
      </c>
      <c r="E547" s="2" t="str">
        <f>IFERROR(__xludf.DUMMYFUNCTION("CONCATENATE(GOOGLETRANSLATE(B547, ""en"", ""ja""))"),"ページコンテンツ")</f>
        <v>ページコンテンツ</v>
      </c>
    </row>
    <row r="548" ht="15.75" customHeight="1">
      <c r="A548" s="1" t="s">
        <v>1084</v>
      </c>
      <c r="B548" s="1" t="s">
        <v>1085</v>
      </c>
      <c r="C548" s="1" t="str">
        <f>IFERROR(__xludf.DUMMYFUNCTION("CONCATENATE(GOOGLETRANSLATE(B548, ""en"", ""zh-cn""))"),"标题")</f>
        <v>标题</v>
      </c>
      <c r="D548" s="1" t="str">
        <f>IFERROR(__xludf.DUMMYFUNCTION("CONCATENATE(GOOGLETRANSLATE(B548, ""en"", ""ko""))"),"제목")</f>
        <v>제목</v>
      </c>
      <c r="E548" s="2" t="str">
        <f>IFERROR(__xludf.DUMMYFUNCTION("CONCATENATE(GOOGLETRANSLATE(B548, ""en"", ""ja""))"),"タイトル")</f>
        <v>タイトル</v>
      </c>
    </row>
    <row r="549" ht="15.75" customHeight="1">
      <c r="A549" s="1" t="s">
        <v>1086</v>
      </c>
      <c r="B549" s="1" t="s">
        <v>1087</v>
      </c>
      <c r="C549" s="1" t="str">
        <f>IFERROR(__xludf.DUMMYFUNCTION("CONCATENATE(GOOGLETRANSLATE(B549, ""en"", ""zh-cn""))"),"关联")</f>
        <v>关联</v>
      </c>
      <c r="D549" s="1" t="str">
        <f>IFERROR(__xludf.DUMMYFUNCTION("CONCATENATE(GOOGLETRANSLATE(B549, ""en"", ""ko""))"),"링크")</f>
        <v>링크</v>
      </c>
      <c r="E549" s="2" t="str">
        <f>IFERROR(__xludf.DUMMYFUNCTION("CONCATENATE(GOOGLETRANSLATE(B549, ""en"", ""ja""))"),"リンク")</f>
        <v>リンク</v>
      </c>
    </row>
    <row r="550" ht="15.75" customHeight="1">
      <c r="A550" s="1" t="s">
        <v>1088</v>
      </c>
      <c r="B550" s="1" t="s">
        <v>1089</v>
      </c>
      <c r="C550" s="1" t="str">
        <f>IFERROR(__xludf.DUMMYFUNCTION("CONCATENATE(GOOGLETRANSLATE(B550, ""en"", ""zh-cn""))"),"仅使用字符、数字、连字符")</f>
        <v>仅使用字符、数字、连字符</v>
      </c>
      <c r="D550" s="1" t="str">
        <f>IFERROR(__xludf.DUMMYFUNCTION("CONCATENATE(GOOGLETRANSLATE(B550, ""en"", ""ko""))"),"문자, 숫자, 하이픈만 사용하세요.")</f>
        <v>문자, 숫자, 하이픈만 사용하세요.</v>
      </c>
      <c r="E550" s="2" t="str">
        <f>IFERROR(__xludf.DUMMYFUNCTION("CONCATENATE(GOOGLETRANSLATE(B550, ""en"", ""ja""))"),"文字、数字、ハイフンのみを使用してください")</f>
        <v>文字、数字、ハイフンのみを使用してください</v>
      </c>
    </row>
    <row r="551" ht="15.75" customHeight="1">
      <c r="A551" s="1" t="s">
        <v>1090</v>
      </c>
      <c r="B551" s="1" t="s">
        <v>1091</v>
      </c>
      <c r="C551" s="1" t="str">
        <f>IFERROR(__xludf.DUMMYFUNCTION("CONCATENATE(GOOGLETRANSLATE(B551, ""en"", ""zh-cn""))"),"添加内容")</f>
        <v>添加内容</v>
      </c>
      <c r="D551" s="1" t="str">
        <f>IFERROR(__xludf.DUMMYFUNCTION("CONCATENATE(GOOGLETRANSLATE(B551, ""en"", ""ko""))"),"콘텐츠 추가")</f>
        <v>콘텐츠 추가</v>
      </c>
      <c r="E551" s="2" t="str">
        <f>IFERROR(__xludf.DUMMYFUNCTION("CONCATENATE(GOOGLETRANSLATE(B551, ""en"", ""ja""))"),"コンテンツの追加")</f>
        <v>コンテンツの追加</v>
      </c>
    </row>
    <row r="552" ht="15.75" customHeight="1">
      <c r="A552" s="1" t="s">
        <v>1092</v>
      </c>
      <c r="B552" s="1" t="s">
        <v>1093</v>
      </c>
      <c r="C552" s="1" t="str">
        <f>IFERROR(__xludf.DUMMYFUNCTION("CONCATENATE(GOOGLETRANSLATE(B552, ""en"", ""zh-cn""))"),"搜索引擎优化领域")</f>
        <v>搜索引擎优化领域</v>
      </c>
      <c r="D552" s="1" t="str">
        <f>IFERROR(__xludf.DUMMYFUNCTION("CONCATENATE(GOOGLETRANSLATE(B552, ""en"", ""ko""))"),"서필드")</f>
        <v>서필드</v>
      </c>
      <c r="E552" s="2" t="str">
        <f>IFERROR(__xludf.DUMMYFUNCTION("CONCATENATE(GOOGLETRANSLATE(B552, ""en"", ""ja""))"),"ソ・フィールズ")</f>
        <v>ソ・フィールズ</v>
      </c>
    </row>
    <row r="553" ht="15.75" customHeight="1">
      <c r="A553" s="1" t="s">
        <v>1094</v>
      </c>
      <c r="B553" s="1" t="s">
        <v>1095</v>
      </c>
      <c r="C553" s="1" t="str">
        <f>IFERROR(__xludf.DUMMYFUNCTION("CONCATENATE(GOOGLETRANSLATE(B553, ""en"", ""zh-cn""))"),"更新页面")</f>
        <v>更新页面</v>
      </c>
      <c r="D553" s="1" t="str">
        <f>IFERROR(__xludf.DUMMYFUNCTION("CONCATENATE(GOOGLETRANSLATE(B553, ""en"", ""ko""))"),"업데이트 페이지")</f>
        <v>업데이트 페이지</v>
      </c>
      <c r="E553" s="2" t="str">
        <f>IFERROR(__xludf.DUMMYFUNCTION("CONCATENATE(GOOGLETRANSLATE(B553, ""en"", ""ja""))"),"更新ページ")</f>
        <v>更新ページ</v>
      </c>
    </row>
    <row r="554" ht="15.75" customHeight="1">
      <c r="A554" s="1" t="s">
        <v>1096</v>
      </c>
      <c r="B554" s="1" t="s">
        <v>1097</v>
      </c>
      <c r="C554" s="1" t="str">
        <f>IFERROR(__xludf.DUMMYFUNCTION("CONCATENATE(GOOGLETRANSLATE(B554, ""en"", ""zh-cn""))"),"默认语言")</f>
        <v>默认语言</v>
      </c>
      <c r="D554" s="1" t="str">
        <f>IFERROR(__xludf.DUMMYFUNCTION("CONCATENATE(GOOGLETRANSLATE(B554, ""en"", ""ko""))"),"기본 언어")</f>
        <v>기본 언어</v>
      </c>
      <c r="E554" s="2" t="str">
        <f>IFERROR(__xludf.DUMMYFUNCTION("CONCATENATE(GOOGLETRANSLATE(B554, ""en"", ""ja""))"),"デフォルトの言語")</f>
        <v>デフォルトの言語</v>
      </c>
    </row>
    <row r="555" ht="15.75" customHeight="1">
      <c r="A555" s="1" t="s">
        <v>1098</v>
      </c>
      <c r="B555" s="1" t="s">
        <v>1099</v>
      </c>
      <c r="C555" s="1" t="str">
        <f>IFERROR(__xludf.DUMMYFUNCTION("CONCATENATE(GOOGLETRANSLATE(B555, ""en"", ""zh-cn""))"),"添加新语言")</f>
        <v>添加新语言</v>
      </c>
      <c r="D555" s="1" t="str">
        <f>IFERROR(__xludf.DUMMYFUNCTION("CONCATENATE(GOOGLETRANSLATE(B555, ""en"", ""ko""))"),"새 언어 추가")</f>
        <v>새 언어 추가</v>
      </c>
      <c r="E555" s="2" t="str">
        <f>IFERROR(__xludf.DUMMYFUNCTION("CONCATENATE(GOOGLETRANSLATE(B555, ""en"", ""ja""))"),"新しい言語を追加")</f>
        <v>新しい言語を追加</v>
      </c>
    </row>
    <row r="556" ht="15.75" customHeight="1">
      <c r="A556" s="1" t="s">
        <v>1100</v>
      </c>
      <c r="B556" s="1" t="s">
        <v>1101</v>
      </c>
      <c r="C556" s="1" t="str">
        <f>IFERROR(__xludf.DUMMYFUNCTION("CONCATENATE(GOOGLETRANSLATE(B556, ""en"", ""zh-cn""))"),"RTL")</f>
        <v>RTL</v>
      </c>
      <c r="D556" s="1" t="str">
        <f>IFERROR(__xludf.DUMMYFUNCTION("CONCATENATE(GOOGLETRANSLATE(B556, ""en"", ""ko""))"),"RTL")</f>
        <v>RTL</v>
      </c>
      <c r="E556" s="2" t="str">
        <f>IFERROR(__xludf.DUMMYFUNCTION("CONCATENATE(GOOGLETRANSLATE(B556, ""en"", ""ja""))"),"RTL")</f>
        <v>RTL</v>
      </c>
    </row>
    <row r="557" ht="15.75" customHeight="1">
      <c r="A557" s="1" t="s">
        <v>1102</v>
      </c>
      <c r="B557" s="1" t="s">
        <v>1103</v>
      </c>
      <c r="C557" s="1" t="str">
        <f>IFERROR(__xludf.DUMMYFUNCTION("CONCATENATE(GOOGLETRANSLATE(B557, ""en"", ""zh-cn""))"),"翻译")</f>
        <v>翻译</v>
      </c>
      <c r="D557" s="1" t="str">
        <f>IFERROR(__xludf.DUMMYFUNCTION("CONCATENATE(GOOGLETRANSLATE(B557, ""en"", ""ko""))"),"번역")</f>
        <v>번역</v>
      </c>
      <c r="E557" s="2" t="str">
        <f>IFERROR(__xludf.DUMMYFUNCTION("CONCATENATE(GOOGLETRANSLATE(B557, ""en"", ""ja""))"),"翻訳")</f>
        <v>翻訳</v>
      </c>
    </row>
    <row r="558" ht="15.75" customHeight="1">
      <c r="A558" s="1" t="s">
        <v>1104</v>
      </c>
      <c r="B558" s="1" t="s">
        <v>1105</v>
      </c>
      <c r="C558" s="1" t="str">
        <f>IFERROR(__xludf.DUMMYFUNCTION("CONCATENATE(GOOGLETRANSLATE(B558, ""en"", ""zh-cn""))"),"语言信息")</f>
        <v>语言信息</v>
      </c>
      <c r="D558" s="1" t="str">
        <f>IFERROR(__xludf.DUMMYFUNCTION("CONCATENATE(GOOGLETRANSLATE(B558, ""en"", ""ko""))"),"언어정보")</f>
        <v>언어정보</v>
      </c>
      <c r="E558" s="2" t="str">
        <f>IFERROR(__xludf.DUMMYFUNCTION("CONCATENATE(GOOGLETRANSLATE(B558, ""en"", ""ja""))"),"言語情報")</f>
        <v>言語情報</v>
      </c>
    </row>
    <row r="559" ht="15.75" customHeight="1">
      <c r="A559" s="1" t="s">
        <v>1106</v>
      </c>
      <c r="B559" s="1" t="s">
        <v>1107</v>
      </c>
      <c r="C559" s="1" t="str">
        <f>IFERROR(__xludf.DUMMYFUNCTION("CONCATENATE(GOOGLETRANSLATE(B559, ""en"", ""zh-cn""))"),"保存页面")</f>
        <v>保存页面</v>
      </c>
      <c r="D559" s="1" t="str">
        <f>IFERROR(__xludf.DUMMYFUNCTION("CONCATENATE(GOOGLETRANSLATE(B559, ""en"", ""ko""))"),"페이지 저장")</f>
        <v>페이지 저장</v>
      </c>
      <c r="E559" s="2" t="str">
        <f>IFERROR(__xludf.DUMMYFUNCTION("CONCATENATE(GOOGLETRANSLATE(B559, ""en"", ""ja""))"),"ページを保存")</f>
        <v>ページを保存</v>
      </c>
    </row>
    <row r="560" ht="15.75" customHeight="1">
      <c r="A560" s="1" t="s">
        <v>1108</v>
      </c>
      <c r="B560" s="1" t="s">
        <v>1109</v>
      </c>
      <c r="C560" s="1" t="str">
        <f>IFERROR(__xludf.DUMMYFUNCTION("CONCATENATE(GOOGLETRANSLATE(B560, ""en"", ""zh-cn""))"),"主页设置")</f>
        <v>主页设置</v>
      </c>
      <c r="D560" s="1" t="str">
        <f>IFERROR(__xludf.DUMMYFUNCTION("CONCATENATE(GOOGLETRANSLATE(B560, ""en"", ""ko""))"),"홈 페이지 설정")</f>
        <v>홈 페이지 설정</v>
      </c>
      <c r="E560" s="2" t="str">
        <f>IFERROR(__xludf.DUMMYFUNCTION("CONCATENATE(GOOGLETRANSLATE(B560, ""en"", ""ja""))"),"ホームページの設定")</f>
        <v>ホームページの設定</v>
      </c>
    </row>
    <row r="561" ht="15.75" customHeight="1">
      <c r="A561" s="1" t="s">
        <v>1110</v>
      </c>
      <c r="B561" s="1" t="s">
        <v>1111</v>
      </c>
      <c r="C561" s="1" t="str">
        <f>IFERROR(__xludf.DUMMYFUNCTION("CONCATENATE(GOOGLETRANSLATE(B561, ""en"", ""zh-cn""))"),"主页滑块")</f>
        <v>主页滑块</v>
      </c>
      <c r="D561" s="1" t="str">
        <f>IFERROR(__xludf.DUMMYFUNCTION("CONCATENATE(GOOGLETRANSLATE(B561, ""en"", ""ko""))"),"홈 슬라이더")</f>
        <v>홈 슬라이더</v>
      </c>
      <c r="E561" s="2" t="str">
        <f>IFERROR(__xludf.DUMMYFUNCTION("CONCATENATE(GOOGLETRANSLATE(B561, ""en"", ""ja""))"),"ホームスライダー")</f>
        <v>ホームスライダー</v>
      </c>
    </row>
    <row r="562" ht="15.75" customHeight="1">
      <c r="A562" s="1" t="s">
        <v>1112</v>
      </c>
      <c r="B562" s="1" t="s">
        <v>1113</v>
      </c>
      <c r="C562" s="1" t="str">
        <f>IFERROR(__xludf.DUMMYFUNCTION("CONCATENATE(GOOGLETRANSLATE(B562, ""en"", ""zh-cn""))"),"照片和链接")</f>
        <v>照片和链接</v>
      </c>
      <c r="D562" s="1" t="str">
        <f>IFERROR(__xludf.DUMMYFUNCTION("CONCATENATE(GOOGLETRANSLATE(B562, ""en"", ""ko""))"),"사진 및 링크")</f>
        <v>사진 및 링크</v>
      </c>
      <c r="E562" s="2" t="str">
        <f>IFERROR(__xludf.DUMMYFUNCTION("CONCATENATE(GOOGLETRANSLATE(B562, ""en"", ""ja""))"),"写真とリンク")</f>
        <v>写真とリンク</v>
      </c>
    </row>
    <row r="563" ht="15.75" customHeight="1">
      <c r="A563" s="1" t="s">
        <v>1114</v>
      </c>
      <c r="B563" s="1" t="s">
        <v>1115</v>
      </c>
      <c r="C563" s="1" t="str">
        <f>IFERROR(__xludf.DUMMYFUNCTION("CONCATENATE(GOOGLETRANSLATE(B563, ""en"", ""zh-cn""))"),"添加新内容")</f>
        <v>添加新内容</v>
      </c>
      <c r="D563" s="1" t="str">
        <f>IFERROR(__xludf.DUMMYFUNCTION("CONCATENATE(GOOGLETRANSLATE(B563, ""en"", ""ko""))"),"새로 추가")</f>
        <v>새로 추가</v>
      </c>
      <c r="E563" s="2" t="str">
        <f>IFERROR(__xludf.DUMMYFUNCTION("CONCATENATE(GOOGLETRANSLATE(B563, ""en"", ""ja""))"),"新規追加")</f>
        <v>新規追加</v>
      </c>
    </row>
    <row r="564" ht="15.75" customHeight="1">
      <c r="A564" s="1" t="s">
        <v>1116</v>
      </c>
      <c r="B564" s="1" t="s">
        <v>1117</v>
      </c>
      <c r="C564" s="1" t="str">
        <f>IFERROR(__xludf.DUMMYFUNCTION("CONCATENATE(GOOGLETRANSLATE(B564, ""en"", ""zh-cn""))"),"首页 分类")</f>
        <v>首页 分类</v>
      </c>
      <c r="D564" s="1" t="str">
        <f>IFERROR(__xludf.DUMMYFUNCTION("CONCATENATE(GOOGLETRANSLATE(B564, ""en"", ""ko""))"),"홈 카테고리")</f>
        <v>홈 카테고리</v>
      </c>
      <c r="E564" s="2" t="str">
        <f>IFERROR(__xludf.DUMMYFUNCTION("CONCATENATE(GOOGLETRANSLATE(B564, ""en"", ""ja""))"),"ホーム カテゴリ")</f>
        <v>ホーム カテゴリ</v>
      </c>
    </row>
    <row r="565" ht="15.75" customHeight="1">
      <c r="A565" s="1" t="s">
        <v>1118</v>
      </c>
      <c r="B565" s="1" t="s">
        <v>1119</v>
      </c>
      <c r="C565" s="1" t="str">
        <f>IFERROR(__xludf.DUMMYFUNCTION("CONCATENATE(GOOGLETRANSLATE(B565, ""en"", ""zh-cn""))"),"主页横幅 1（最多 3 个）")</f>
        <v>主页横幅 1（最多 3 个）</v>
      </c>
      <c r="D565" s="1" t="str">
        <f>IFERROR(__xludf.DUMMYFUNCTION("CONCATENATE(GOOGLETRANSLATE(B565, ""en"", ""ko""))"),"홈 배너 1(최대 3개)")</f>
        <v>홈 배너 1(최대 3개)</v>
      </c>
      <c r="E565" s="2" t="str">
        <f>IFERROR(__xludf.DUMMYFUNCTION("CONCATENATE(GOOGLETRANSLATE(B565, ""en"", ""ja""))"),"ホームバナー 1 (最大 3)")</f>
        <v>ホームバナー 1 (最大 3)</v>
      </c>
    </row>
    <row r="566" ht="15.75" customHeight="1">
      <c r="A566" s="1" t="s">
        <v>1120</v>
      </c>
      <c r="B566" s="1" t="s">
        <v>1121</v>
      </c>
      <c r="C566" s="1" t="str">
        <f>IFERROR(__xludf.DUMMYFUNCTION("CONCATENATE(GOOGLETRANSLATE(B566, ""en"", ""zh-cn""))"),"横幅和链接")</f>
        <v>横幅和链接</v>
      </c>
      <c r="D566" s="1" t="str">
        <f>IFERROR(__xludf.DUMMYFUNCTION("CONCATENATE(GOOGLETRANSLATE(B566, ""en"", ""ko""))"),"배너 및 링크")</f>
        <v>배너 및 링크</v>
      </c>
      <c r="E566" s="2" t="str">
        <f>IFERROR(__xludf.DUMMYFUNCTION("CONCATENATE(GOOGLETRANSLATE(B566, ""en"", ""ja""))"),"バナーとリンク")</f>
        <v>バナーとリンク</v>
      </c>
    </row>
    <row r="567" ht="15.75" customHeight="1">
      <c r="A567" s="1" t="s">
        <v>1122</v>
      </c>
      <c r="B567" s="1" t="s">
        <v>1123</v>
      </c>
      <c r="C567" s="1" t="str">
        <f>IFERROR(__xludf.DUMMYFUNCTION("CONCATENATE(GOOGLETRANSLATE(B567, ""en"", ""zh-cn""))"),"主页横幅 2（最多 3 个）")</f>
        <v>主页横幅 2（最多 3 个）</v>
      </c>
      <c r="D567" s="1" t="str">
        <f>IFERROR(__xludf.DUMMYFUNCTION("CONCATENATE(GOOGLETRANSLATE(B567, ""en"", ""ko""))"),"홈 배너 2(최대 3개)")</f>
        <v>홈 배너 2(최대 3개)</v>
      </c>
      <c r="E567" s="2" t="str">
        <f>IFERROR(__xludf.DUMMYFUNCTION("CONCATENATE(GOOGLETRANSLATE(B567, ""en"", ""ja""))"),"ホームバナー 2 (最大 3)")</f>
        <v>ホームバナー 2 (最大 3)</v>
      </c>
    </row>
    <row r="568" ht="15.75" customHeight="1">
      <c r="A568" s="1" t="s">
        <v>1124</v>
      </c>
      <c r="B568" s="1" t="s">
        <v>1125</v>
      </c>
      <c r="C568" s="1" t="str">
        <f>IFERROR(__xludf.DUMMYFUNCTION("CONCATENATE(GOOGLETRANSLATE(B568, ""en"", ""zh-cn""))"),"前10名")</f>
        <v>前10名</v>
      </c>
      <c r="D568" s="1" t="str">
        <f>IFERROR(__xludf.DUMMYFUNCTION("CONCATENATE(GOOGLETRANSLATE(B568, ""en"", ""ko""))"),"상위 10위")</f>
        <v>상위 10위</v>
      </c>
      <c r="E568" s="2" t="str">
        <f>IFERROR(__xludf.DUMMYFUNCTION("CONCATENATE(GOOGLETRANSLATE(B568, ""en"", ""ja""))"),"トップ10")</f>
        <v>トップ10</v>
      </c>
    </row>
    <row r="569" ht="15.75" customHeight="1">
      <c r="A569" s="1" t="s">
        <v>1126</v>
      </c>
      <c r="B569" s="1" t="s">
        <v>1127</v>
      </c>
      <c r="C569" s="1" t="str">
        <f>IFERROR(__xludf.DUMMYFUNCTION("CONCATENATE(GOOGLETRANSLATE(B569, ""en"", ""zh-cn""))"),"热门类别（最多 10 个）")</f>
        <v>热门类别（最多 10 个）</v>
      </c>
      <c r="D569" s="1" t="str">
        <f>IFERROR(__xludf.DUMMYFUNCTION("CONCATENATE(GOOGLETRANSLATE(B569, ""en"", ""ko""))"),"상위 카테고리(최대 10개)")</f>
        <v>상위 카테고리(최대 10개)</v>
      </c>
      <c r="E569" s="2" t="str">
        <f>IFERROR(__xludf.DUMMYFUNCTION("CONCATENATE(GOOGLETRANSLATE(B569, ""en"", ""ja""))"),"トップカテゴリー (最大 10)")</f>
        <v>トップカテゴリー (最大 10)</v>
      </c>
    </row>
    <row r="570" ht="15.75" customHeight="1">
      <c r="A570" s="1" t="s">
        <v>1128</v>
      </c>
      <c r="B570" s="1" t="s">
        <v>1129</v>
      </c>
      <c r="C570" s="1" t="str">
        <f>IFERROR(__xludf.DUMMYFUNCTION("CONCATENATE(GOOGLETRANSLATE(B570, ""en"", ""zh-cn""))"),"热门品牌（最多 10 个）")</f>
        <v>热门品牌（最多 10 个）</v>
      </c>
      <c r="D570" s="1" t="str">
        <f>IFERROR(__xludf.DUMMYFUNCTION("CONCATENATE(GOOGLETRANSLATE(B570, ""en"", ""ko""))"),"인기 브랜드(최대 10개)")</f>
        <v>인기 브랜드(최대 10개)</v>
      </c>
      <c r="E570" s="2" t="str">
        <f>IFERROR(__xludf.DUMMYFUNCTION("CONCATENATE(GOOGLETRANSLATE(B570, ""en"", ""ja""))"),"人気ブランド (最大 10)")</f>
        <v>人気ブランド (最大 10)</v>
      </c>
    </row>
    <row r="571" ht="15.75" customHeight="1">
      <c r="A571" s="1" t="s">
        <v>1130</v>
      </c>
      <c r="B571" s="1" t="s">
        <v>1131</v>
      </c>
      <c r="C571" s="1" t="str">
        <f>IFERROR(__xludf.DUMMYFUNCTION("CONCATENATE(GOOGLETRANSLATE(B571, ""en"", ""zh-cn""))"),"系统名称")</f>
        <v>系统名称</v>
      </c>
      <c r="D571" s="1" t="str">
        <f>IFERROR(__xludf.DUMMYFUNCTION("CONCATENATE(GOOGLETRANSLATE(B571, ""en"", ""ko""))"),"시스템 이름")</f>
        <v>시스템 이름</v>
      </c>
      <c r="E571" s="2" t="str">
        <f>IFERROR(__xludf.DUMMYFUNCTION("CONCATENATE(GOOGLETRANSLATE(B571, ""en"", ""ja""))"),"システム名")</f>
        <v>システム名</v>
      </c>
    </row>
    <row r="572" ht="15.75" customHeight="1">
      <c r="A572" s="1" t="s">
        <v>1132</v>
      </c>
      <c r="B572" s="1" t="s">
        <v>1133</v>
      </c>
      <c r="C572" s="1" t="str">
        <f>IFERROR(__xludf.DUMMYFUNCTION("CONCATENATE(GOOGLETRANSLATE(B572, ""en"", ""zh-cn""))"),"系统标志-白色")</f>
        <v>系统标志-白色</v>
      </c>
      <c r="D572" s="1" t="str">
        <f>IFERROR(__xludf.DUMMYFUNCTION("CONCATENATE(GOOGLETRANSLATE(B572, ""en"", ""ko""))"),"시스템 로고 - 흰색")</f>
        <v>시스템 로고 - 흰색</v>
      </c>
      <c r="E572" s="2" t="str">
        <f>IFERROR(__xludf.DUMMYFUNCTION("CONCATENATE(GOOGLETRANSLATE(B572, ""en"", ""ja""))"),"システムロゴ - ホワイト")</f>
        <v>システムロゴ - ホワイト</v>
      </c>
    </row>
    <row r="573" ht="15.75" customHeight="1">
      <c r="A573" s="1" t="s">
        <v>1134</v>
      </c>
      <c r="B573" s="1" t="s">
        <v>1135</v>
      </c>
      <c r="C573" s="1" t="str">
        <f>IFERROR(__xludf.DUMMYFUNCTION("CONCATENATE(GOOGLETRANSLATE(B573, ""en"", ""zh-cn""))"),"选择文件")</f>
        <v>选择文件</v>
      </c>
      <c r="D573" s="1" t="str">
        <f>IFERROR(__xludf.DUMMYFUNCTION("CONCATENATE(GOOGLETRANSLATE(B573, ""en"", ""ko""))"),"파일 선택")</f>
        <v>파일 선택</v>
      </c>
      <c r="E573" s="2" t="str">
        <f>IFERROR(__xludf.DUMMYFUNCTION("CONCATENATE(GOOGLETRANSLATE(B573, ""en"", ""ja""))"),"ファイルの選択")</f>
        <v>ファイルの選択</v>
      </c>
    </row>
    <row r="574" ht="15.75" customHeight="1">
      <c r="A574" s="1" t="s">
        <v>1136</v>
      </c>
      <c r="B574" s="1" t="s">
        <v>1137</v>
      </c>
      <c r="C574" s="1" t="str">
        <f>IFERROR(__xludf.DUMMYFUNCTION("CONCATENATE(GOOGLETRANSLATE(B574, ""en"", ""zh-cn""))"),"将在管理面板侧面菜单中使用")</f>
        <v>将在管理面板侧面菜单中使用</v>
      </c>
      <c r="D574" s="1" t="str">
        <f>IFERROR(__xludf.DUMMYFUNCTION("CONCATENATE(GOOGLETRANSLATE(B574, ""en"", ""ko""))"),"관리자 패널 사이드 메뉴에서 사용됩니다.")</f>
        <v>관리자 패널 사이드 메뉴에서 사용됩니다.</v>
      </c>
      <c r="E574" s="2" t="str">
        <f>IFERROR(__xludf.DUMMYFUNCTION("CONCATENATE(GOOGLETRANSLATE(B574, ""en"", ""ja""))"),"管理パネルのサイドメニューで使用されます")</f>
        <v>管理パネルのサイドメニューで使用されます</v>
      </c>
    </row>
    <row r="575" ht="15.75" customHeight="1">
      <c r="A575" s="1" t="s">
        <v>1138</v>
      </c>
      <c r="B575" s="1" t="s">
        <v>1139</v>
      </c>
      <c r="C575" s="1" t="str">
        <f>IFERROR(__xludf.DUMMYFUNCTION("CONCATENATE(GOOGLETRANSLATE(B575, ""en"", ""zh-cn""))"),"系统标志-黑色")</f>
        <v>系统标志-黑色</v>
      </c>
      <c r="D575" s="1" t="str">
        <f>IFERROR(__xludf.DUMMYFUNCTION("CONCATENATE(GOOGLETRANSLATE(B575, ""en"", ""ko""))"),"시스템 로고 - 검정색")</f>
        <v>시스템 로고 - 검정색</v>
      </c>
      <c r="E575" s="2" t="str">
        <f>IFERROR(__xludf.DUMMYFUNCTION("CONCATENATE(GOOGLETRANSLATE(B575, ""en"", ""ja""))"),"システムロゴ - ブラック")</f>
        <v>システムロゴ - ブラック</v>
      </c>
    </row>
    <row r="576" ht="15.75" customHeight="1">
      <c r="A576" s="1" t="s">
        <v>1140</v>
      </c>
      <c r="B576" s="1" t="s">
        <v>1141</v>
      </c>
      <c r="C576" s="1" t="str">
        <f>IFERROR(__xludf.DUMMYFUNCTION("CONCATENATE(GOOGLETRANSLATE(B576, ""en"", ""zh-cn""))"),"将在移动+管理员登录页面的管理面板顶栏中使用")</f>
        <v>将在移动+管理员登录页面的管理面板顶栏中使用</v>
      </c>
      <c r="D576" s="1" t="str">
        <f>IFERROR(__xludf.DUMMYFUNCTION("CONCATENATE(GOOGLETRANSLATE(B576, ""en"", ""ko""))"),"모바일의 관리자 패널 상단 표시줄 + 관리자 로그인 페이지에서 사용됩니다.")</f>
        <v>모바일의 관리자 패널 상단 표시줄 + 관리자 로그인 페이지에서 사용됩니다.</v>
      </c>
      <c r="E576" s="2" t="str">
        <f>IFERROR(__xludf.DUMMYFUNCTION("CONCATENATE(GOOGLETRANSLATE(B576, ""en"", ""ja""))"),"モバイル + 管理者ログイン ページの管理者パネルのトップバーで使用されます")</f>
        <v>モバイル + 管理者ログイン ページの管理者パネルのトップバーで使用されます</v>
      </c>
    </row>
    <row r="577" ht="15.75" customHeight="1">
      <c r="A577" s="1" t="s">
        <v>1142</v>
      </c>
      <c r="B577" s="1" t="s">
        <v>1143</v>
      </c>
      <c r="C577" s="1" t="str">
        <f>IFERROR(__xludf.DUMMYFUNCTION("CONCATENATE(GOOGLETRANSLATE(B577, ""en"", ""zh-cn""))"),"系统时区")</f>
        <v>系统时区</v>
      </c>
      <c r="D577" s="1" t="str">
        <f>IFERROR(__xludf.DUMMYFUNCTION("CONCATENATE(GOOGLETRANSLATE(B577, ""en"", ""ko""))"),"시스템 시간대")</f>
        <v>시스템 시간대</v>
      </c>
      <c r="E577" s="2" t="str">
        <f>IFERROR(__xludf.DUMMYFUNCTION("CONCATENATE(GOOGLETRANSLATE(B577, ""en"", ""ja""))"),"システムのタイムゾーン")</f>
        <v>システムのタイムゾーン</v>
      </c>
    </row>
    <row r="578" ht="15.75" customHeight="1">
      <c r="A578" s="1" t="s">
        <v>1144</v>
      </c>
      <c r="B578" s="1" t="s">
        <v>1145</v>
      </c>
      <c r="C578" s="1" t="str">
        <f>IFERROR(__xludf.DUMMYFUNCTION("CONCATENATE(GOOGLETRANSLATE(B578, ""en"", ""zh-cn""))"),"管理员登录页面背景")</f>
        <v>管理员登录页面背景</v>
      </c>
      <c r="D578" s="1" t="str">
        <f>IFERROR(__xludf.DUMMYFUNCTION("CONCATENATE(GOOGLETRANSLATE(B578, ""en"", ""ko""))"),"관리자 로그인 페이지 배경")</f>
        <v>관리자 로그인 페이지 배경</v>
      </c>
      <c r="E578" s="2" t="str">
        <f>IFERROR(__xludf.DUMMYFUNCTION("CONCATENATE(GOOGLETRANSLATE(B578, ""en"", ""ja""))"),"管理者ログインページの背景")</f>
        <v>管理者ログインページの背景</v>
      </c>
    </row>
    <row r="579" ht="15.75" customHeight="1">
      <c r="A579" s="1" t="s">
        <v>1146</v>
      </c>
      <c r="B579" s="1" t="s">
        <v>1147</v>
      </c>
      <c r="C579" s="1" t="str">
        <f>IFERROR(__xludf.DUMMYFUNCTION("CONCATENATE(GOOGLETRANSLATE(B579, ""en"", ""zh-cn""))"),"网站标题")</f>
        <v>网站标题</v>
      </c>
      <c r="D579" s="1" t="str">
        <f>IFERROR(__xludf.DUMMYFUNCTION("CONCATENATE(GOOGLETRANSLATE(B579, ""en"", ""ko""))"),"웹사이트 헤더")</f>
        <v>웹사이트 헤더</v>
      </c>
      <c r="E579" s="2" t="str">
        <f>IFERROR(__xludf.DUMMYFUNCTION("CONCATENATE(GOOGLETRANSLATE(B579, ""en"", ""ja""))"),"ウェブサイトのヘッダー")</f>
        <v>ウェブサイトのヘッダー</v>
      </c>
    </row>
    <row r="580" ht="15.75" customHeight="1">
      <c r="A580" s="1" t="s">
        <v>1148</v>
      </c>
      <c r="B580" s="1" t="s">
        <v>1149</v>
      </c>
      <c r="C580" s="1" t="str">
        <f>IFERROR(__xludf.DUMMYFUNCTION("CONCATENATE(GOOGLETRANSLATE(B580, ""en"", ""zh-cn""))"),"标题设置")</f>
        <v>标题设置</v>
      </c>
      <c r="D580" s="1" t="str">
        <f>IFERROR(__xludf.DUMMYFUNCTION("CONCATENATE(GOOGLETRANSLATE(B580, ""en"", ""ko""))"),"헤더 설정")</f>
        <v>헤더 설정</v>
      </c>
      <c r="E580" s="2" t="str">
        <f>IFERROR(__xludf.DUMMYFUNCTION("CONCATENATE(GOOGLETRANSLATE(B580, ""en"", ""ja""))"),"ヘッダー設定")</f>
        <v>ヘッダー設定</v>
      </c>
    </row>
    <row r="581" ht="15.75" customHeight="1">
      <c r="A581" s="1" t="s">
        <v>1150</v>
      </c>
      <c r="B581" s="1" t="s">
        <v>1151</v>
      </c>
      <c r="C581" s="1" t="str">
        <f>IFERROR(__xludf.DUMMYFUNCTION("CONCATENATE(GOOGLETRANSLATE(B581, ""en"", ""zh-cn""))"),"标题标志")</f>
        <v>标题标志</v>
      </c>
      <c r="D581" s="1" t="str">
        <f>IFERROR(__xludf.DUMMYFUNCTION("CONCATENATE(GOOGLETRANSLATE(B581, ""en"", ""ko""))"),"헤더 로고")</f>
        <v>헤더 로고</v>
      </c>
      <c r="E581" s="2" t="str">
        <f>IFERROR(__xludf.DUMMYFUNCTION("CONCATENATE(GOOGLETRANSLATE(B581, ""en"", ""ja""))"),"ヘッダーのロゴ")</f>
        <v>ヘッダーのロゴ</v>
      </c>
    </row>
    <row r="582" ht="15.75" customHeight="1">
      <c r="A582" s="1" t="s">
        <v>1152</v>
      </c>
      <c r="B582" s="1" t="s">
        <v>1153</v>
      </c>
      <c r="C582" s="1" t="str">
        <f>IFERROR(__xludf.DUMMYFUNCTION("CONCATENATE(GOOGLETRANSLATE(B582, ""en"", ""zh-cn""))"),"显示语言切换器？")</f>
        <v>显示语言切换器？</v>
      </c>
      <c r="D582" s="1" t="str">
        <f>IFERROR(__xludf.DUMMYFUNCTION("CONCATENATE(GOOGLETRANSLATE(B582, ""en"", ""ko""))"),"언어 전환기를 표시하시겠습니까?")</f>
        <v>언어 전환기를 표시하시겠습니까?</v>
      </c>
      <c r="E582" s="2" t="str">
        <f>IFERROR(__xludf.DUMMYFUNCTION("CONCATENATE(GOOGLETRANSLATE(B582, ""en"", ""ja""))"),"言語スイッチャーを表示しますか?")</f>
        <v>言語スイッチャーを表示しますか?</v>
      </c>
    </row>
    <row r="583" ht="15.75" customHeight="1">
      <c r="A583" s="1" t="s">
        <v>1154</v>
      </c>
      <c r="B583" s="1" t="s">
        <v>1155</v>
      </c>
      <c r="C583" s="1" t="str">
        <f>IFERROR(__xludf.DUMMYFUNCTION("CONCATENATE(GOOGLETRANSLATE(B583, ""en"", ""zh-cn""))"),"显示货币切换器？")</f>
        <v>显示货币切换器？</v>
      </c>
      <c r="D583" s="1" t="str">
        <f>IFERROR(__xludf.DUMMYFUNCTION("CONCATENATE(GOOGLETRANSLATE(B583, ""en"", ""ko""))"),"통화 전환기를 표시하시겠습니까?")</f>
        <v>통화 전환기를 표시하시겠습니까?</v>
      </c>
      <c r="E583" s="2" t="str">
        <f>IFERROR(__xludf.DUMMYFUNCTION("CONCATENATE(GOOGLETRANSLATE(B583, ""en"", ""ja""))"),"通貨スイッチャーを表示しますか?")</f>
        <v>通貨スイッチャーを表示しますか?</v>
      </c>
    </row>
    <row r="584" ht="15.75" customHeight="1">
      <c r="A584" s="1" t="s">
        <v>1156</v>
      </c>
      <c r="B584" s="1" t="s">
        <v>1157</v>
      </c>
      <c r="C584" s="1" t="str">
        <f>IFERROR(__xludf.DUMMYFUNCTION("CONCATENATE(GOOGLETRANSLATE(B584, ""en"", ""zh-cn""))"),"启用粘性标头？")</f>
        <v>启用粘性标头？</v>
      </c>
      <c r="D584" s="1" t="str">
        <f>IFERROR(__xludf.DUMMYFUNCTION("CONCATENATE(GOOGLETRANSLATE(B584, ""en"", ""ko""))"),"고정 헤더를 사용하시겠습니까?")</f>
        <v>고정 헤더를 사용하시겠습니까?</v>
      </c>
      <c r="E584" s="2" t="str">
        <f>IFERROR(__xludf.DUMMYFUNCTION("CONCATENATE(GOOGLETRANSLATE(B584, ""en"", ""ja""))"),"スティクヘッダーを有効にしますか?")</f>
        <v>スティクヘッダーを有効にしますか?</v>
      </c>
    </row>
    <row r="585" ht="15.75" customHeight="1">
      <c r="A585" s="1" t="s">
        <v>1158</v>
      </c>
      <c r="B585" s="1" t="s">
        <v>1159</v>
      </c>
      <c r="C585" s="1" t="str">
        <f>IFERROR(__xludf.DUMMYFUNCTION("CONCATENATE(GOOGLETRANSLATE(B585, ""en"", ""zh-cn""))"),"网站页脚")</f>
        <v>网站页脚</v>
      </c>
      <c r="D585" s="1" t="str">
        <f>IFERROR(__xludf.DUMMYFUNCTION("CONCATENATE(GOOGLETRANSLATE(B585, ""en"", ""ko""))"),"웹사이트 바닥글")</f>
        <v>웹사이트 바닥글</v>
      </c>
      <c r="E585" s="2" t="str">
        <f>IFERROR(__xludf.DUMMYFUNCTION("CONCATENATE(GOOGLETRANSLATE(B585, ""en"", ""ja""))"),"ウェブサイトのフッター")</f>
        <v>ウェブサイトのフッター</v>
      </c>
    </row>
    <row r="586" ht="15.75" customHeight="1">
      <c r="A586" s="1" t="s">
        <v>1160</v>
      </c>
      <c r="B586" s="1" t="s">
        <v>1161</v>
      </c>
      <c r="C586" s="1" t="str">
        <f>IFERROR(__xludf.DUMMYFUNCTION("CONCATENATE(GOOGLETRANSLATE(B586, ""en"", ""zh-cn""))"),"页脚小工具")</f>
        <v>页脚小工具</v>
      </c>
      <c r="D586" s="1" t="str">
        <f>IFERROR(__xludf.DUMMYFUNCTION("CONCATENATE(GOOGLETRANSLATE(B586, ""en"", ""ko""))"),"바닥글 위젯")</f>
        <v>바닥글 위젯</v>
      </c>
      <c r="E586" s="2" t="str">
        <f>IFERROR(__xludf.DUMMYFUNCTION("CONCATENATE(GOOGLETRANSLATE(B586, ""en"", ""ja""))"),"フッターウィジェット")</f>
        <v>フッターウィジェット</v>
      </c>
    </row>
    <row r="587" ht="15.75" customHeight="1">
      <c r="A587" s="1" t="s">
        <v>1162</v>
      </c>
      <c r="B587" s="1" t="s">
        <v>1163</v>
      </c>
      <c r="C587" s="1" t="str">
        <f>IFERROR(__xludf.DUMMYFUNCTION("CONCATENATE(GOOGLETRANSLATE(B587, ""en"", ""zh-cn""))"),"关于小部件")</f>
        <v>关于小部件</v>
      </c>
      <c r="D587" s="1" t="str">
        <f>IFERROR(__xludf.DUMMYFUNCTION("CONCATENATE(GOOGLETRANSLATE(B587, ""en"", ""ko""))"),"위젯 정보")</f>
        <v>위젯 정보</v>
      </c>
      <c r="E587" s="2" t="str">
        <f>IFERROR(__xludf.DUMMYFUNCTION("CONCATENATE(GOOGLETRANSLATE(B587, ""en"", ""ja""))"),"ウィジェットについて")</f>
        <v>ウィジェットについて</v>
      </c>
    </row>
    <row r="588" ht="15.75" customHeight="1">
      <c r="A588" s="1" t="s">
        <v>1164</v>
      </c>
      <c r="B588" s="1" t="s">
        <v>1165</v>
      </c>
      <c r="C588" s="1" t="str">
        <f>IFERROR(__xludf.DUMMYFUNCTION("CONCATENATE(GOOGLETRANSLATE(B588, ""en"", ""zh-cn""))"),"页脚标志")</f>
        <v>页脚标志</v>
      </c>
      <c r="D588" s="1" t="str">
        <f>IFERROR(__xludf.DUMMYFUNCTION("CONCATENATE(GOOGLETRANSLATE(B588, ""en"", ""ko""))"),"바닥글 로고")</f>
        <v>바닥글 로고</v>
      </c>
      <c r="E588" s="2" t="str">
        <f>IFERROR(__xludf.DUMMYFUNCTION("CONCATENATE(GOOGLETRANSLATE(B588, ""en"", ""ja""))"),"フッターのロゴ")</f>
        <v>フッターのロゴ</v>
      </c>
    </row>
    <row r="589" ht="15.75" customHeight="1">
      <c r="A589" s="1" t="s">
        <v>1166</v>
      </c>
      <c r="B589" s="1" t="s">
        <v>1167</v>
      </c>
      <c r="C589" s="1" t="str">
        <f>IFERROR(__xludf.DUMMYFUNCTION("CONCATENATE(GOOGLETRANSLATE(B589, ""en"", ""zh-cn""))"),"关于说明")</f>
        <v>关于说明</v>
      </c>
      <c r="D589" s="1" t="str">
        <f>IFERROR(__xludf.DUMMYFUNCTION("CONCATENATE(GOOGLETRANSLATE(B589, ""en"", ""ko""))"),"설명에 대해")</f>
        <v>설명에 대해</v>
      </c>
      <c r="E589" s="2" t="str">
        <f>IFERROR(__xludf.DUMMYFUNCTION("CONCATENATE(GOOGLETRANSLATE(B589, ""en"", ""ja""))"),"説明について")</f>
        <v>説明について</v>
      </c>
    </row>
    <row r="590" ht="15.75" customHeight="1">
      <c r="A590" s="1" t="s">
        <v>1168</v>
      </c>
      <c r="B590" s="1" t="s">
        <v>1169</v>
      </c>
      <c r="C590" s="1" t="str">
        <f>IFERROR(__xludf.DUMMYFUNCTION("CONCATENATE(GOOGLETRANSLATE(B590, ""en"", ""zh-cn""))"),"联系信息小部件")</f>
        <v>联系信息小部件</v>
      </c>
      <c r="D590" s="1" t="str">
        <f>IFERROR(__xludf.DUMMYFUNCTION("CONCATENATE(GOOGLETRANSLATE(B590, ""en"", ""ko""))"),"연락처 정보 위젯")</f>
        <v>연락처 정보 위젯</v>
      </c>
      <c r="E590" s="2" t="str">
        <f>IFERROR(__xludf.DUMMYFUNCTION("CONCATENATE(GOOGLETRANSLATE(B590, ""en"", ""ja""))"),"連絡先情報ウィジェット")</f>
        <v>連絡先情報ウィジェット</v>
      </c>
    </row>
    <row r="591" ht="15.75" customHeight="1">
      <c r="A591" s="1" t="s">
        <v>1170</v>
      </c>
      <c r="B591" s="1" t="s">
        <v>1171</v>
      </c>
      <c r="C591" s="1" t="str">
        <f>IFERROR(__xludf.DUMMYFUNCTION("CONCATENATE(GOOGLETRANSLATE(B591, ""en"", ""zh-cn""))"),"页脚联系地址")</f>
        <v>页脚联系地址</v>
      </c>
      <c r="D591" s="1" t="str">
        <f>IFERROR(__xludf.DUMMYFUNCTION("CONCATENATE(GOOGLETRANSLATE(B591, ""en"", ""ko""))"),"바닥글 연락처")</f>
        <v>바닥글 연락처</v>
      </c>
      <c r="E591" s="2" t="str">
        <f>IFERROR(__xludf.DUMMYFUNCTION("CONCATENATE(GOOGLETRANSLATE(B591, ""en"", ""ja""))"),"フッターの連絡先アドレス")</f>
        <v>フッターの連絡先アドレス</v>
      </c>
    </row>
    <row r="592" ht="15.75" customHeight="1">
      <c r="A592" s="1" t="s">
        <v>1172</v>
      </c>
      <c r="B592" s="1" t="s">
        <v>1173</v>
      </c>
      <c r="C592" s="1" t="str">
        <f>IFERROR(__xludf.DUMMYFUNCTION("CONCATENATE(GOOGLETRANSLATE(B592, ""en"", ""zh-cn""))"),"页脚联系电话")</f>
        <v>页脚联系电话</v>
      </c>
      <c r="D592" s="1" t="str">
        <f>IFERROR(__xludf.DUMMYFUNCTION("CONCATENATE(GOOGLETRANSLATE(B592, ""en"", ""ko""))"),"바닥글 연락처 전화")</f>
        <v>바닥글 연락처 전화</v>
      </c>
      <c r="E592" s="2" t="str">
        <f>IFERROR(__xludf.DUMMYFUNCTION("CONCATENATE(GOOGLETRANSLATE(B592, ""en"", ""ja""))"),"フッターの連絡先電話番号")</f>
        <v>フッターの連絡先電話番号</v>
      </c>
    </row>
    <row r="593" ht="15.75" customHeight="1">
      <c r="A593" s="1" t="s">
        <v>1174</v>
      </c>
      <c r="B593" s="1" t="s">
        <v>1175</v>
      </c>
      <c r="C593" s="1" t="str">
        <f>IFERROR(__xludf.DUMMYFUNCTION("CONCATENATE(GOOGLETRANSLATE(B593, ""en"", ""zh-cn""))"),"页脚联系电子邮件")</f>
        <v>页脚联系电子邮件</v>
      </c>
      <c r="D593" s="1" t="str">
        <f>IFERROR(__xludf.DUMMYFUNCTION("CONCATENATE(GOOGLETRANSLATE(B593, ""en"", ""ko""))"),"바닥글 연락처 이메일")</f>
        <v>바닥글 연락처 이메일</v>
      </c>
      <c r="E593" s="2" t="str">
        <f>IFERROR(__xludf.DUMMYFUNCTION("CONCATENATE(GOOGLETRANSLATE(B593, ""en"", ""ja""))"),"フッターの連絡先メールアドレス")</f>
        <v>フッターの連絡先メールアドレス</v>
      </c>
    </row>
    <row r="594" ht="15.75" customHeight="1">
      <c r="A594" s="1" t="s">
        <v>1176</v>
      </c>
      <c r="B594" s="1" t="s">
        <v>1177</v>
      </c>
      <c r="C594" s="1" t="str">
        <f>IFERROR(__xludf.DUMMYFUNCTION("CONCATENATE(GOOGLETRANSLATE(B594, ""en"", ""zh-cn""))"),"链接小部件一")</f>
        <v>链接小部件一</v>
      </c>
      <c r="D594" s="1" t="str">
        <f>IFERROR(__xludf.DUMMYFUNCTION("CONCATENATE(GOOGLETRANSLATE(B594, ""en"", ""ko""))"),"링크 위젯 원")</f>
        <v>링크 위젯 원</v>
      </c>
      <c r="E594" s="2" t="str">
        <f>IFERROR(__xludf.DUMMYFUNCTION("CONCATENATE(GOOGLETRANSLATE(B594, ""en"", ""ja""))"),"リンクウィジェット 1")</f>
        <v>リンクウィジェット 1</v>
      </c>
    </row>
    <row r="595" ht="15.75" customHeight="1">
      <c r="A595" s="1" t="s">
        <v>1178</v>
      </c>
      <c r="B595" s="1" t="s">
        <v>1179</v>
      </c>
      <c r="C595" s="1" t="str">
        <f>IFERROR(__xludf.DUMMYFUNCTION("CONCATENATE(GOOGLETRANSLATE(B595, ""en"", ""zh-cn""))"),"链接")</f>
        <v>链接</v>
      </c>
      <c r="D595" s="1" t="str">
        <f>IFERROR(__xludf.DUMMYFUNCTION("CONCATENATE(GOOGLETRANSLATE(B595, ""en"", ""ko""))"),"모래밭")</f>
        <v>모래밭</v>
      </c>
      <c r="E595" s="2" t="str">
        <f>IFERROR(__xludf.DUMMYFUNCTION("CONCATENATE(GOOGLETRANSLATE(B595, ""en"", ""ja""))"),"リンク")</f>
        <v>リンク</v>
      </c>
    </row>
    <row r="596" ht="15.75" customHeight="1">
      <c r="A596" s="1" t="s">
        <v>1180</v>
      </c>
      <c r="B596" s="1" t="s">
        <v>1181</v>
      </c>
      <c r="C596" s="1" t="str">
        <f>IFERROR(__xludf.DUMMYFUNCTION("CONCATENATE(GOOGLETRANSLATE(B596, ""en"", ""zh-cn""))"),"页脚底部")</f>
        <v>页脚底部</v>
      </c>
      <c r="D596" s="1" t="str">
        <f>IFERROR(__xludf.DUMMYFUNCTION("CONCATENATE(GOOGLETRANSLATE(B596, ""en"", ""ko""))"),"바닥글 하단")</f>
        <v>바닥글 하단</v>
      </c>
      <c r="E596" s="2" t="str">
        <f>IFERROR(__xludf.DUMMYFUNCTION("CONCATENATE(GOOGLETRANSLATE(B596, ""en"", ""ja""))"),"フッター下部")</f>
        <v>フッター下部</v>
      </c>
    </row>
    <row r="597" ht="15.75" customHeight="1">
      <c r="A597" s="1" t="s">
        <v>1182</v>
      </c>
      <c r="B597" s="1" t="s">
        <v>1183</v>
      </c>
      <c r="C597" s="1" t="str">
        <f>IFERROR(__xludf.DUMMYFUNCTION("CONCATENATE(GOOGLETRANSLATE(B597, ""en"", ""zh-cn""))"),"版权小工具")</f>
        <v>版权小工具</v>
      </c>
      <c r="D597" s="1" t="str">
        <f>IFERROR(__xludf.DUMMYFUNCTION("CONCATENATE(GOOGLETRANSLATE(B597, ""en"", ""ko""))"),"저작권 위젯")</f>
        <v>저작권 위젯</v>
      </c>
      <c r="E597" s="2" t="str">
        <f>IFERROR(__xludf.DUMMYFUNCTION("CONCATENATE(GOOGLETRANSLATE(B597, ""en"", ""ja""))"),"著作権ウィジェット")</f>
        <v>著作権ウィジェット</v>
      </c>
    </row>
    <row r="598" ht="15.75" customHeight="1">
      <c r="A598" s="1" t="s">
        <v>1184</v>
      </c>
      <c r="B598" s="1" t="s">
        <v>1185</v>
      </c>
      <c r="C598" s="1" t="str">
        <f>IFERROR(__xludf.DUMMYFUNCTION("CONCATENATE(GOOGLETRANSLATE(B598, ""en"", ""zh-cn""))"),"版权文本")</f>
        <v>版权文本</v>
      </c>
      <c r="D598" s="1" t="str">
        <f>IFERROR(__xludf.DUMMYFUNCTION("CONCATENATE(GOOGLETRANSLATE(B598, ""en"", ""ko""))"),"저작권 텍스트")</f>
        <v>저작권 텍스트</v>
      </c>
      <c r="E598" s="2" t="str">
        <f>IFERROR(__xludf.DUMMYFUNCTION("CONCATENATE(GOOGLETRANSLATE(B598, ""en"", ""ja""))"),"著作権テキスト")</f>
        <v>著作権テキスト</v>
      </c>
    </row>
    <row r="599" ht="15.75" customHeight="1">
      <c r="A599" s="1" t="s">
        <v>1186</v>
      </c>
      <c r="B599" s="1" t="s">
        <v>1187</v>
      </c>
      <c r="C599" s="1" t="str">
        <f>IFERROR(__xludf.DUMMYFUNCTION("CONCATENATE(GOOGLETRANSLATE(B599, ""en"", ""zh-cn""))"),"社交链接小部件")</f>
        <v>社交链接小部件</v>
      </c>
      <c r="D599" s="1" t="str">
        <f>IFERROR(__xludf.DUMMYFUNCTION("CONCATENATE(GOOGLETRANSLATE(B599, ""en"", ""ko""))"),"소셜 링크 위젯")</f>
        <v>소셜 링크 위젯</v>
      </c>
      <c r="E599" s="2" t="str">
        <f>IFERROR(__xludf.DUMMYFUNCTION("CONCATENATE(GOOGLETRANSLATE(B599, ""en"", ""ja""))"),"ソーシャルリンクウィジェット")</f>
        <v>ソーシャルリンクウィジェット</v>
      </c>
    </row>
    <row r="600" ht="15.75" customHeight="1">
      <c r="A600" s="1" t="s">
        <v>1188</v>
      </c>
      <c r="B600" s="1" t="s">
        <v>1189</v>
      </c>
      <c r="C600" s="1" t="str">
        <f>IFERROR(__xludf.DUMMYFUNCTION("CONCATENATE(GOOGLETRANSLATE(B600, ""en"", ""zh-cn""))"),"显示社交链接？")</f>
        <v>显示社交链接？</v>
      </c>
      <c r="D600" s="1" t="str">
        <f>IFERROR(__xludf.DUMMYFUNCTION("CONCATENATE(GOOGLETRANSLATE(B600, ""en"", ""ko""))"),"소셜 링크를 표시하시겠습니까?")</f>
        <v>소셜 링크를 표시하시겠습니까?</v>
      </c>
      <c r="E600" s="2" t="str">
        <f>IFERROR(__xludf.DUMMYFUNCTION("CONCATENATE(GOOGLETRANSLATE(B600, ""en"", ""ja""))"),"ソーシャルリンクを表示しますか?")</f>
        <v>ソーシャルリンクを表示しますか?</v>
      </c>
    </row>
    <row r="601" ht="15.75" customHeight="1">
      <c r="A601" s="1" t="s">
        <v>1190</v>
      </c>
      <c r="B601" s="1" t="s">
        <v>1191</v>
      </c>
      <c r="C601" s="1" t="str">
        <f>IFERROR(__xludf.DUMMYFUNCTION("CONCATENATE(GOOGLETRANSLATE(B601, ""en"", ""zh-cn""))"),"社交链接")</f>
        <v>社交链接</v>
      </c>
      <c r="D601" s="1" t="str">
        <f>IFERROR(__xludf.DUMMYFUNCTION("CONCATENATE(GOOGLETRANSLATE(B601, ""en"", ""ko""))"),"소셜 링크")</f>
        <v>소셜 링크</v>
      </c>
      <c r="E601" s="2" t="str">
        <f>IFERROR(__xludf.DUMMYFUNCTION("CONCATENATE(GOOGLETRANSLATE(B601, ""en"", ""ja""))"),"ソーシャルリンク")</f>
        <v>ソーシャルリンク</v>
      </c>
    </row>
    <row r="602" ht="15.75" customHeight="1">
      <c r="A602" s="1" t="s">
        <v>1192</v>
      </c>
      <c r="B602" s="1" t="s">
        <v>1193</v>
      </c>
      <c r="C602" s="1" t="str">
        <f>IFERROR(__xludf.DUMMYFUNCTION("CONCATENATE(GOOGLETRANSLATE(B602, ""en"", ""zh-cn""))"),"付款方式小部件")</f>
        <v>付款方式小部件</v>
      </c>
      <c r="D602" s="1" t="str">
        <f>IFERROR(__xludf.DUMMYFUNCTION("CONCATENATE(GOOGLETRANSLATE(B602, ""en"", ""ko""))"),"결제 수단 위젯")</f>
        <v>결제 수단 위젯</v>
      </c>
      <c r="E602" s="2" t="str">
        <f>IFERROR(__xludf.DUMMYFUNCTION("CONCATENATE(GOOGLETRANSLATE(B602, ""en"", ""ja""))"),"支払い方法ウィジェット")</f>
        <v>支払い方法ウィジェット</v>
      </c>
    </row>
    <row r="603" ht="15.75" customHeight="1">
      <c r="A603" s="1" t="s">
        <v>1194</v>
      </c>
      <c r="B603" s="1" t="s">
        <v>1195</v>
      </c>
      <c r="C603" s="1" t="str">
        <f>IFERROR(__xludf.DUMMYFUNCTION("CONCATENATE(GOOGLETRANSLATE(B603, ""en"", ""zh-cn""))"),"RTL状态更新成功")</f>
        <v>RTL状态更新成功</v>
      </c>
      <c r="D603" s="1" t="str">
        <f>IFERROR(__xludf.DUMMYFUNCTION("CONCATENATE(GOOGLETRANSLATE(B603, ""en"", ""ko""))"),"RTL 상태가 성공적으로 업데이트되었습니다.")</f>
        <v>RTL 상태가 성공적으로 업데이트되었습니다.</v>
      </c>
      <c r="E603" s="2" t="str">
        <f>IFERROR(__xludf.DUMMYFUNCTION("CONCATENATE(GOOGLETRANSLATE(B603, ""en"", ""ja""))"),"RTL ステータスが正常に更新されました")</f>
        <v>RTL ステータスが正常に更新されました</v>
      </c>
    </row>
    <row r="604" ht="15.75" customHeight="1">
      <c r="A604" s="1" t="s">
        <v>1196</v>
      </c>
      <c r="B604" s="1" t="s">
        <v>1197</v>
      </c>
      <c r="C604" s="1" t="str">
        <f>IFERROR(__xludf.DUMMYFUNCTION("CONCATENATE(GOOGLETRANSLATE(B604, ""en"", ""zh-cn""))"),"语言更改为")</f>
        <v>语言更改为</v>
      </c>
      <c r="D604" s="1" t="str">
        <f>IFERROR(__xludf.DUMMYFUNCTION("CONCATENATE(GOOGLETRANSLATE(B604, ""en"", ""ko""))"),"언어가 다음으로 변경되었습니다.")</f>
        <v>언어가 다음으로 변경되었습니다.</v>
      </c>
      <c r="E604" s="2" t="str">
        <f>IFERROR(__xludf.DUMMYFUNCTION("CONCATENATE(GOOGLETRANSLATE(B604, ""en"", ""ja""))"),"言語が次のように変更されました")</f>
        <v>言語が次のように変更されました</v>
      </c>
    </row>
    <row r="605" ht="15.75" customHeight="1">
      <c r="A605" s="1" t="s">
        <v>1198</v>
      </c>
      <c r="B605" s="1" t="s">
        <v>1199</v>
      </c>
      <c r="C605" s="1" t="str">
        <f>IFERROR(__xludf.DUMMYFUNCTION("CONCATENATE(GOOGLETRANSLATE(B605, ""en"", ""zh-cn""))"),"内部产品销售报告")</f>
        <v>内部产品销售报告</v>
      </c>
      <c r="D605" s="1" t="str">
        <f>IFERROR(__xludf.DUMMYFUNCTION("CONCATENATE(GOOGLETRANSLATE(B605, ""en"", ""ko""))"),"사내 제품 판매 보고서")</f>
        <v>사내 제품 판매 보고서</v>
      </c>
      <c r="E605" s="2" t="str">
        <f>IFERROR(__xludf.DUMMYFUNCTION("CONCATENATE(GOOGLETRANSLATE(B605, ""en"", ""ja""))"),"自社製品販売報告書")</f>
        <v>自社製品販売報告書</v>
      </c>
    </row>
    <row r="606" ht="15.75" customHeight="1">
      <c r="A606" s="1" t="s">
        <v>1200</v>
      </c>
      <c r="B606" s="1" t="s">
        <v>1201</v>
      </c>
      <c r="C606" s="1" t="str">
        <f>IFERROR(__xludf.DUMMYFUNCTION("CONCATENATE(GOOGLETRANSLATE(B606, ""en"", ""zh-cn""))"),"按类别排序")</f>
        <v>按类别排序</v>
      </c>
      <c r="D606" s="1" t="str">
        <f>IFERROR(__xludf.DUMMYFUNCTION("CONCATENATE(GOOGLETRANSLATE(B606, ""en"", ""ko""))"),"카테고리별로 정렬")</f>
        <v>카테고리별로 정렬</v>
      </c>
      <c r="E606" s="2" t="str">
        <f>IFERROR(__xludf.DUMMYFUNCTION("CONCATENATE(GOOGLETRANSLATE(B606, ""en"", ""ja""))"),"カテゴリ別に並べ替え")</f>
        <v>カテゴリ別に並べ替え</v>
      </c>
    </row>
    <row r="607" ht="15.75" customHeight="1">
      <c r="A607" s="1" t="s">
        <v>1202</v>
      </c>
      <c r="B607" s="1" t="s">
        <v>1203</v>
      </c>
      <c r="C607" s="1" t="str">
        <f>IFERROR(__xludf.DUMMYFUNCTION("CONCATENATE(GOOGLETRANSLATE(B607, ""en"", ""zh-cn""))"),"产品明智的库存报告")</f>
        <v>产品明智的库存报告</v>
      </c>
      <c r="D607" s="1" t="str">
        <f>IFERROR(__xludf.DUMMYFUNCTION("CONCATENATE(GOOGLETRANSLATE(B607, ""en"", ""ko""))"),"제품별 재고 보고서")</f>
        <v>제품별 재고 보고서</v>
      </c>
      <c r="E607" s="2" t="str">
        <f>IFERROR(__xludf.DUMMYFUNCTION("CONCATENATE(GOOGLETRANSLATE(B607, ""en"", ""ja""))"),"製品ごとの在庫レポート")</f>
        <v>製品ごとの在庫レポート</v>
      </c>
    </row>
    <row r="608" ht="15.75" customHeight="1">
      <c r="A608" s="1" t="s">
        <v>1204</v>
      </c>
      <c r="B608" s="1" t="s">
        <v>1205</v>
      </c>
      <c r="C608" s="1" t="str">
        <f>IFERROR(__xludf.DUMMYFUNCTION("CONCATENATE(GOOGLETRANSLATE(B608, ""en"", ""zh-cn""))"),"货币更改为")</f>
        <v>货币更改为</v>
      </c>
      <c r="D608" s="1" t="str">
        <f>IFERROR(__xludf.DUMMYFUNCTION("CONCATENATE(GOOGLETRANSLATE(B608, ""en"", ""ko""))"),"통화가 다음으로 변경되었습니다.")</f>
        <v>통화가 다음으로 변경되었습니다.</v>
      </c>
      <c r="E608" s="2" t="str">
        <f>IFERROR(__xludf.DUMMYFUNCTION("CONCATENATE(GOOGLETRANSLATE(B608, ""en"", ""ja""))"),"通貨が次のように変更されました")</f>
        <v>通貨が次のように変更されました</v>
      </c>
    </row>
    <row r="609" ht="15.75" customHeight="1">
      <c r="A609" s="1" t="s">
        <v>1206</v>
      </c>
      <c r="B609" s="1" t="s">
        <v>1207</v>
      </c>
      <c r="C609" s="1" t="str">
        <f>IFERROR(__xludf.DUMMYFUNCTION("CONCATENATE(GOOGLETRANSLATE(B609, ""en"", ""zh-cn""))"),"阿凡达")</f>
        <v>阿凡达</v>
      </c>
      <c r="D609" s="1" t="str">
        <f>IFERROR(__xludf.DUMMYFUNCTION("CONCATENATE(GOOGLETRANSLATE(B609, ""en"", ""ko""))"),"화신")</f>
        <v>화신</v>
      </c>
      <c r="E609" s="2" t="str">
        <f>IFERROR(__xludf.DUMMYFUNCTION("CONCATENATE(GOOGLETRANSLATE(B609, ""en"", ""ja""))"),"アバター")</f>
        <v>アバター</v>
      </c>
    </row>
    <row r="610" ht="15.75" customHeight="1">
      <c r="A610" s="1" t="s">
        <v>1208</v>
      </c>
      <c r="B610" s="1" t="s">
        <v>1209</v>
      </c>
      <c r="C610" s="1" t="str">
        <f>IFERROR(__xludf.DUMMYFUNCTION("CONCATENATE(GOOGLETRANSLATE(B610, ""en"", ""zh-cn""))"),"复制")</f>
        <v>复制</v>
      </c>
      <c r="D610" s="1" t="str">
        <f>IFERROR(__xludf.DUMMYFUNCTION("CONCATENATE(GOOGLETRANSLATE(B610, ""en"", ""ko""))"),"복사")</f>
        <v>복사</v>
      </c>
      <c r="E610" s="2" t="str">
        <f>IFERROR(__xludf.DUMMYFUNCTION("CONCATENATE(GOOGLETRANSLATE(B610, ""en"", ""ja""))"),"コピー")</f>
        <v>コピー</v>
      </c>
    </row>
    <row r="611" ht="15.75" customHeight="1">
      <c r="A611" s="1" t="s">
        <v>1210</v>
      </c>
      <c r="B611" s="1" t="s">
        <v>1211</v>
      </c>
      <c r="C611" s="1" t="str">
        <f>IFERROR(__xludf.DUMMYFUNCTION("CONCATENATE(GOOGLETRANSLATE(B611, ""en"", ""zh-cn""))"),"变体")</f>
        <v>变体</v>
      </c>
      <c r="D611" s="1" t="str">
        <f>IFERROR(__xludf.DUMMYFUNCTION("CONCATENATE(GOOGLETRANSLATE(B611, ""en"", ""ko""))"),"변종")</f>
        <v>변종</v>
      </c>
      <c r="E611" s="2" t="str">
        <f>IFERROR(__xludf.DUMMYFUNCTION("CONCATENATE(GOOGLETRANSLATE(B611, ""en"", ""ja""))"),"変異体")</f>
        <v>変異体</v>
      </c>
    </row>
    <row r="612" ht="15.75" customHeight="1">
      <c r="A612" s="1" t="s">
        <v>1212</v>
      </c>
      <c r="B612" s="1" t="s">
        <v>1213</v>
      </c>
      <c r="C612" s="1" t="str">
        <f>IFERROR(__xludf.DUMMYFUNCTION("CONCATENATE(GOOGLETRANSLATE(B612, ""en"", ""zh-cn""))"),"不同价格")</f>
        <v>不同价格</v>
      </c>
      <c r="D612" s="1" t="str">
        <f>IFERROR(__xludf.DUMMYFUNCTION("CONCATENATE(GOOGLETRANSLATE(B612, ""en"", ""ko""))"),"변형 가격")</f>
        <v>변형 가격</v>
      </c>
      <c r="E612" s="2" t="str">
        <f>IFERROR(__xludf.DUMMYFUNCTION("CONCATENATE(GOOGLETRANSLATE(B612, ""en"", ""ja""))"),"バリアント価格")</f>
        <v>バリアント価格</v>
      </c>
    </row>
    <row r="613" ht="15.75" customHeight="1">
      <c r="A613" s="1" t="s">
        <v>1214</v>
      </c>
      <c r="B613" s="1" t="s">
        <v>1215</v>
      </c>
      <c r="C613" s="1" t="str">
        <f>IFERROR(__xludf.DUMMYFUNCTION("CONCATENATE(GOOGLETRANSLATE(B613, ""en"", ""zh-cn""))"),"存货单位")</f>
        <v>存货单位</v>
      </c>
      <c r="D613" s="1" t="str">
        <f>IFERROR(__xludf.DUMMYFUNCTION("CONCATENATE(GOOGLETRANSLATE(B613, ""en"", ""ko""))"),"SKU")</f>
        <v>SKU</v>
      </c>
      <c r="E613" s="2" t="str">
        <f>IFERROR(__xludf.DUMMYFUNCTION("CONCATENATE(GOOGLETRANSLATE(B613, ""en"", ""ja""))"),"SKU")</f>
        <v>SKU</v>
      </c>
    </row>
    <row r="614" ht="15.75" customHeight="1">
      <c r="A614" s="1" t="s">
        <v>1216</v>
      </c>
      <c r="B614" s="1" t="s">
        <v>1217</v>
      </c>
      <c r="C614" s="1" t="str">
        <f>IFERROR(__xludf.DUMMYFUNCTION("CONCATENATE(GOOGLETRANSLATE(B614, ""en"", ""zh-cn""))"),"钥匙")</f>
        <v>钥匙</v>
      </c>
      <c r="D614" s="1" t="str">
        <f>IFERROR(__xludf.DUMMYFUNCTION("CONCATENATE(GOOGLETRANSLATE(B614, ""en"", ""ko""))"),"열쇠")</f>
        <v>열쇠</v>
      </c>
      <c r="E614" s="2" t="str">
        <f>IFERROR(__xludf.DUMMYFUNCTION("CONCATENATE(GOOGLETRANSLATE(B614, ""en"", ""ja""))"),"鍵")</f>
        <v>鍵</v>
      </c>
    </row>
    <row r="615" ht="15.75" customHeight="1">
      <c r="A615" s="1" t="s">
        <v>1218</v>
      </c>
      <c r="B615" s="1" t="s">
        <v>1219</v>
      </c>
      <c r="C615" s="1" t="str">
        <f>IFERROR(__xludf.DUMMYFUNCTION("CONCATENATE(GOOGLETRANSLATE(B615, ""en"", ""zh-cn""))"),"价值")</f>
        <v>价值</v>
      </c>
      <c r="D615" s="1" t="str">
        <f>IFERROR(__xludf.DUMMYFUNCTION("CONCATENATE(GOOGLETRANSLATE(B615, ""en"", ""ko""))"),"값")</f>
        <v>값</v>
      </c>
      <c r="E615" s="2" t="str">
        <f>IFERROR(__xludf.DUMMYFUNCTION("CONCATENATE(GOOGLETRANSLATE(B615, ""en"", ""ja""))"),"価値")</f>
        <v>価値</v>
      </c>
    </row>
    <row r="616" ht="15.75" customHeight="1">
      <c r="A616" s="1" t="s">
        <v>1220</v>
      </c>
      <c r="B616" s="1" t="s">
        <v>1221</v>
      </c>
      <c r="C616" s="1" t="str">
        <f>IFERROR(__xludf.DUMMYFUNCTION("CONCATENATE(GOOGLETRANSLATE(B616, ""en"", ""zh-cn""))"),"复制翻译")</f>
        <v>复制翻译</v>
      </c>
      <c r="D616" s="1" t="str">
        <f>IFERROR(__xludf.DUMMYFUNCTION("CONCATENATE(GOOGLETRANSLATE(B616, ""en"", ""ko""))"),"번역 복사")</f>
        <v>번역 복사</v>
      </c>
      <c r="E616" s="2" t="str">
        <f>IFERROR(__xludf.DUMMYFUNCTION("CONCATENATE(GOOGLETRANSLATE(B616, ""en"", ""ja""))"),"翻訳をコピーする")</f>
        <v>翻訳をコピーする</v>
      </c>
    </row>
    <row r="617" ht="15.75" customHeight="1">
      <c r="A617" s="1" t="s">
        <v>1222</v>
      </c>
      <c r="B617" s="1" t="s">
        <v>1223</v>
      </c>
      <c r="C617" s="1" t="str">
        <f>IFERROR(__xludf.DUMMYFUNCTION("CONCATENATE(GOOGLETRANSLATE(B617, ""en"", ""zh-cn""))"),"所有上车点")</f>
        <v>所有上车点</v>
      </c>
      <c r="D617" s="1" t="str">
        <f>IFERROR(__xludf.DUMMYFUNCTION("CONCATENATE(GOOGLETRANSLATE(B617, ""en"", ""ko""))"),"모든 픽업 지점")</f>
        <v>모든 픽업 지점</v>
      </c>
      <c r="E617" s="2" t="str">
        <f>IFERROR(__xludf.DUMMYFUNCTION("CONCATENATE(GOOGLETRANSLATE(B617, ""en"", ""ja""))"),"すべてのピックアップポイント")</f>
        <v>すべてのピックアップポイント</v>
      </c>
    </row>
    <row r="618" ht="15.75" customHeight="1">
      <c r="A618" s="1" t="s">
        <v>1224</v>
      </c>
      <c r="B618" s="1" t="s">
        <v>1225</v>
      </c>
      <c r="C618" s="1" t="str">
        <f>IFERROR(__xludf.DUMMYFUNCTION("CONCATENATE(GOOGLETRANSLATE(B618, ""en"", ""zh-cn""))"),"添加新的接送点")</f>
        <v>添加新的接送点</v>
      </c>
      <c r="D618" s="1" t="str">
        <f>IFERROR(__xludf.DUMMYFUNCTION("CONCATENATE(GOOGLETRANSLATE(B618, ""en"", ""ko""))"),"새 픽업 지점 추가")</f>
        <v>새 픽업 지점 추가</v>
      </c>
      <c r="E618" s="2" t="str">
        <f>IFERROR(__xludf.DUMMYFUNCTION("CONCATENATE(GOOGLETRANSLATE(B618, ""en"", ""ja""))"),"新しい乗車場所を追加")</f>
        <v>新しい乗車場所を追加</v>
      </c>
    </row>
    <row r="619" ht="15.75" customHeight="1">
      <c r="A619" s="1" t="s">
        <v>1226</v>
      </c>
      <c r="B619" s="1" t="s">
        <v>1227</v>
      </c>
      <c r="C619" s="1" t="str">
        <f>IFERROR(__xludf.DUMMYFUNCTION("CONCATENATE(GOOGLETRANSLATE(B619, ""en"", ""zh-cn""))"),"经理")</f>
        <v>经理</v>
      </c>
      <c r="D619" s="1" t="str">
        <f>IFERROR(__xludf.DUMMYFUNCTION("CONCATENATE(GOOGLETRANSLATE(B619, ""en"", ""ko""))"),"관리자")</f>
        <v>관리자</v>
      </c>
      <c r="E619" s="2" t="str">
        <f>IFERROR(__xludf.DUMMYFUNCTION("CONCATENATE(GOOGLETRANSLATE(B619, ""en"", ""ja""))"),"マネージャー")</f>
        <v>マネージャー</v>
      </c>
    </row>
    <row r="620" ht="15.75" customHeight="1">
      <c r="A620" s="1" t="s">
        <v>1228</v>
      </c>
      <c r="B620" s="1" t="s">
        <v>1229</v>
      </c>
      <c r="C620" s="1" t="str">
        <f>IFERROR(__xludf.DUMMYFUNCTION("CONCATENATE(GOOGLETRANSLATE(B620, ""en"", ""zh-cn""))"),"地点")</f>
        <v>地点</v>
      </c>
      <c r="D620" s="1" t="str">
        <f>IFERROR(__xludf.DUMMYFUNCTION("CONCATENATE(GOOGLETRANSLATE(B620, ""en"", ""ko""))"),"위치")</f>
        <v>위치</v>
      </c>
      <c r="E620" s="2" t="str">
        <f>IFERROR(__xludf.DUMMYFUNCTION("CONCATENATE(GOOGLETRANSLATE(B620, ""en"", ""ja""))"),"位置")</f>
        <v>位置</v>
      </c>
    </row>
    <row r="621" ht="15.75" customHeight="1">
      <c r="A621" s="1" t="s">
        <v>1230</v>
      </c>
      <c r="B621" s="1" t="s">
        <v>1231</v>
      </c>
      <c r="C621" s="1" t="str">
        <f>IFERROR(__xludf.DUMMYFUNCTION("CONCATENATE(GOOGLETRANSLATE(B621, ""en"", ""zh-cn""))"),"取货站联系方式")</f>
        <v>取货站联系方式</v>
      </c>
      <c r="D621" s="1" t="str">
        <f>IFERROR(__xludf.DUMMYFUNCTION("CONCATENATE(GOOGLETRANSLATE(B621, ""en"", ""ko""))"),"픽업 스테이션 연락처")</f>
        <v>픽업 스테이션 연락처</v>
      </c>
      <c r="E621" s="2" t="str">
        <f>IFERROR(__xludf.DUMMYFUNCTION("CONCATENATE(GOOGLETRANSLATE(B621, ""en"", ""ja""))"),"ピックアップステーションの連絡先")</f>
        <v>ピックアップステーションの連絡先</v>
      </c>
    </row>
    <row r="622" ht="15.75" customHeight="1">
      <c r="A622" s="1" t="s">
        <v>1232</v>
      </c>
      <c r="B622" s="1" t="s">
        <v>1233</v>
      </c>
      <c r="C622" s="1" t="str">
        <f>IFERROR(__xludf.DUMMYFUNCTION("CONCATENATE(GOOGLETRANSLATE(B622, ""en"", ""zh-cn""))"),"打开")</f>
        <v>打开</v>
      </c>
      <c r="D622" s="1" t="str">
        <f>IFERROR(__xludf.DUMMYFUNCTION("CONCATENATE(GOOGLETRANSLATE(B622, ""en"", ""ko""))"),"열려 있는")</f>
        <v>열려 있는</v>
      </c>
      <c r="E622" s="2" t="str">
        <f>IFERROR(__xludf.DUMMYFUNCTION("CONCATENATE(GOOGLETRANSLATE(B622, ""en"", ""ja""))"),"開ける")</f>
        <v>開ける</v>
      </c>
    </row>
    <row r="623" ht="15.75" customHeight="1">
      <c r="A623" s="1" t="s">
        <v>1234</v>
      </c>
      <c r="B623" s="1" t="s">
        <v>1235</v>
      </c>
      <c r="C623" s="1" t="str">
        <f>IFERROR(__xludf.DUMMYFUNCTION("CONCATENATE(GOOGLETRANSLATE(B623, ""en"", ""zh-cn""))"),"卖家 POS 激活")</f>
        <v>卖家 POS 激活</v>
      </c>
      <c r="D623" s="1" t="str">
        <f>IFERROR(__xludf.DUMMYFUNCTION("CONCATENATE(GOOGLETRANSLATE(B623, ""en"", ""ko""))"),"판매자를 위한 POS 활성화")</f>
        <v>판매자를 위한 POS 활성화</v>
      </c>
      <c r="E623" s="2" t="str">
        <f>IFERROR(__xludf.DUMMYFUNCTION("CONCATENATE(GOOGLETRANSLATE(B623, ""en"", ""ja""))"),"販売者の POS アクティベーション")</f>
        <v>販売者の POS アクティベーション</v>
      </c>
    </row>
    <row r="624" ht="15.75" customHeight="1">
      <c r="A624" s="1" t="s">
        <v>1236</v>
      </c>
      <c r="B624" s="1" t="s">
        <v>1237</v>
      </c>
      <c r="C624" s="1" t="str">
        <f>IFERROR(__xludf.DUMMYFUNCTION("CONCATENATE(GOOGLETRANSLATE(B624, ""en"", ""zh-cn""))"),"订单成功完成。")</f>
        <v>订单成功完成。</v>
      </c>
      <c r="D624" s="1" t="str">
        <f>IFERROR(__xludf.DUMMYFUNCTION("CONCATENATE(GOOGLETRANSLATE(B624, ""en"", ""ko""))"),"주문이 성공적으로 완료되었습니다.")</f>
        <v>주문이 성공적으로 완료되었습니다.</v>
      </c>
      <c r="E624" s="2" t="str">
        <f>IFERROR(__xludf.DUMMYFUNCTION("CONCATENATE(GOOGLETRANSLATE(B624, ""en"", ""ja""))"),"注文は正常に完了しました。")</f>
        <v>注文は正常に完了しました。</v>
      </c>
    </row>
    <row r="625" ht="15.75" customHeight="1">
      <c r="A625" s="1" t="s">
        <v>1238</v>
      </c>
      <c r="B625" s="1" t="s">
        <v>1239</v>
      </c>
      <c r="C625" s="1" t="str">
        <f>IFERROR(__xludf.DUMMYFUNCTION("CONCATENATE(GOOGLETRANSLATE(B625, ""en"", ""zh-cn""))"),"文字输入")</f>
        <v>文字输入</v>
      </c>
      <c r="D625" s="1" t="str">
        <f>IFERROR(__xludf.DUMMYFUNCTION("CONCATENATE(GOOGLETRANSLATE(B625, ""en"", ""ko""))"),"텍스트 입력")</f>
        <v>텍스트 입력</v>
      </c>
      <c r="E625" s="2" t="str">
        <f>IFERROR(__xludf.DUMMYFUNCTION("CONCATENATE(GOOGLETRANSLATE(B625, ""en"", ""ja""))"),"テキスト入力")</f>
        <v>テキスト入力</v>
      </c>
    </row>
    <row r="626" ht="15.75" customHeight="1">
      <c r="A626" s="1" t="s">
        <v>1240</v>
      </c>
      <c r="B626" s="1" t="s">
        <v>1241</v>
      </c>
      <c r="C626" s="1" t="str">
        <f>IFERROR(__xludf.DUMMYFUNCTION("CONCATENATE(GOOGLETRANSLATE(B626, ""en"", ""zh-cn""))"),"选择")</f>
        <v>选择</v>
      </c>
      <c r="D626" s="1" t="str">
        <f>IFERROR(__xludf.DUMMYFUNCTION("CONCATENATE(GOOGLETRANSLATE(B626, ""en"", ""ko""))"),"선택하다")</f>
        <v>선택하다</v>
      </c>
      <c r="E626" s="2" t="str">
        <f>IFERROR(__xludf.DUMMYFUNCTION("CONCATENATE(GOOGLETRANSLATE(B626, ""en"", ""ja""))"),"選択")</f>
        <v>選択</v>
      </c>
    </row>
    <row r="627" ht="15.75" customHeight="1">
      <c r="A627" s="1" t="s">
        <v>1242</v>
      </c>
      <c r="B627" s="1" t="s">
        <v>1243</v>
      </c>
      <c r="C627" s="1" t="str">
        <f>IFERROR(__xludf.DUMMYFUNCTION("CONCATENATE(GOOGLETRANSLATE(B627, ""en"", ""zh-cn""))"),"多项选择")</f>
        <v>多项选择</v>
      </c>
      <c r="D627" s="1" t="str">
        <f>IFERROR(__xludf.DUMMYFUNCTION("CONCATENATE(GOOGLETRANSLATE(B627, ""en"", ""ko""))"),"다중 선택")</f>
        <v>다중 선택</v>
      </c>
      <c r="E627" s="2" t="str">
        <f>IFERROR(__xludf.DUMMYFUNCTION("CONCATENATE(GOOGLETRANSLATE(B627, ""en"", ""ja""))"),"複数選択")</f>
        <v>複数選択</v>
      </c>
    </row>
    <row r="628" ht="15.75" customHeight="1">
      <c r="A628" s="1" t="s">
        <v>1244</v>
      </c>
      <c r="B628" s="1" t="s">
        <v>1245</v>
      </c>
      <c r="C628" s="1" t="str">
        <f>IFERROR(__xludf.DUMMYFUNCTION("CONCATENATE(GOOGLETRANSLATE(B628, ""en"", ""zh-cn""))"),"收音机")</f>
        <v>收音机</v>
      </c>
      <c r="D628" s="1" t="str">
        <f>IFERROR(__xludf.DUMMYFUNCTION("CONCATENATE(GOOGLETRANSLATE(B628, ""en"", ""ko""))"),"라디오")</f>
        <v>라디오</v>
      </c>
      <c r="E628" s="2" t="str">
        <f>IFERROR(__xludf.DUMMYFUNCTION("CONCATENATE(GOOGLETRANSLATE(B628, ""en"", ""ja""))"),"無線")</f>
        <v>無線</v>
      </c>
    </row>
    <row r="629" ht="15.75" customHeight="1">
      <c r="A629" s="1" t="s">
        <v>1246</v>
      </c>
      <c r="B629" s="1" t="s">
        <v>1247</v>
      </c>
      <c r="C629" s="1" t="str">
        <f>IFERROR(__xludf.DUMMYFUNCTION("CONCATENATE(GOOGLETRANSLATE(B629, ""en"", ""zh-cn""))"),"文件")</f>
        <v>文件</v>
      </c>
      <c r="D629" s="1" t="str">
        <f>IFERROR(__xludf.DUMMYFUNCTION("CONCATENATE(GOOGLETRANSLATE(B629, ""en"", ""ko""))"),"파일")</f>
        <v>파일</v>
      </c>
      <c r="E629" s="2" t="str">
        <f>IFERROR(__xludf.DUMMYFUNCTION("CONCATENATE(GOOGLETRANSLATE(B629, ""en"", ""ja""))"),"ファイル")</f>
        <v>ファイル</v>
      </c>
    </row>
    <row r="630" ht="15.75" customHeight="1">
      <c r="A630" s="1" t="s">
        <v>1248</v>
      </c>
      <c r="B630" s="1" t="s">
        <v>1249</v>
      </c>
      <c r="C630" s="1" t="str">
        <f>IFERROR(__xludf.DUMMYFUNCTION("CONCATENATE(GOOGLETRANSLATE(B630, ""en"", ""zh-cn""))"),"电子邮件")</f>
        <v>电子邮件</v>
      </c>
      <c r="D630" s="1" t="str">
        <f>IFERROR(__xludf.DUMMYFUNCTION("CONCATENATE(GOOGLETRANSLATE(B630, ""en"", ""ko""))"),"이메일 주소")</f>
        <v>이메일 주소</v>
      </c>
      <c r="E630" s="2" t="str">
        <f>IFERROR(__xludf.DUMMYFUNCTION("CONCATENATE(GOOGLETRANSLATE(B630, ""en"", ""ja""))"),"電子メールアドレス")</f>
        <v>電子メールアドレス</v>
      </c>
    </row>
    <row r="631" ht="15.75" customHeight="1">
      <c r="A631" s="1" t="s">
        <v>1250</v>
      </c>
      <c r="B631" s="1" t="s">
        <v>1251</v>
      </c>
      <c r="C631" s="1" t="str">
        <f>IFERROR(__xludf.DUMMYFUNCTION("CONCATENATE(GOOGLETRANSLATE(B631, ""en"", ""zh-cn""))"),"验证信息")</f>
        <v>验证信息</v>
      </c>
      <c r="D631" s="1" t="str">
        <f>IFERROR(__xludf.DUMMYFUNCTION("CONCATENATE(GOOGLETRANSLATE(B631, ""en"", ""ko""))"),"확인 정보")</f>
        <v>확인 정보</v>
      </c>
      <c r="E631" s="2" t="str">
        <f>IFERROR(__xludf.DUMMYFUNCTION("CONCATENATE(GOOGLETRANSLATE(B631, ""en"", ""ja""))"),"検証情報")</f>
        <v>検証情報</v>
      </c>
    </row>
    <row r="632" ht="15.75" customHeight="1">
      <c r="A632" s="1" t="s">
        <v>1252</v>
      </c>
      <c r="B632" s="1" t="s">
        <v>1253</v>
      </c>
      <c r="C632" s="1" t="str">
        <f>IFERROR(__xludf.DUMMYFUNCTION("CONCATENATE(GOOGLETRANSLATE(B632, ""en"", ""zh-cn""))"),"赞同")</f>
        <v>赞同</v>
      </c>
      <c r="D632" s="1" t="str">
        <f>IFERROR(__xludf.DUMMYFUNCTION("CONCATENATE(GOOGLETRANSLATE(B632, ""en"", ""ko""))"),"승인")</f>
        <v>승인</v>
      </c>
      <c r="E632" s="2" t="str">
        <f>IFERROR(__xludf.DUMMYFUNCTION("CONCATENATE(GOOGLETRANSLATE(B632, ""en"", ""ja""))"),"承認")</f>
        <v>承認</v>
      </c>
    </row>
    <row r="633" ht="15.75" customHeight="1">
      <c r="A633" s="1" t="s">
        <v>1254</v>
      </c>
      <c r="B633" s="1" t="s">
        <v>1255</v>
      </c>
      <c r="C633" s="1" t="str">
        <f>IFERROR(__xludf.DUMMYFUNCTION("CONCATENATE(GOOGLETRANSLATE(B633, ""en"", ""zh-cn""))"),"应付金额")</f>
        <v>应付金额</v>
      </c>
      <c r="D633" s="1" t="str">
        <f>IFERROR(__xludf.DUMMYFUNCTION("CONCATENATE(GOOGLETRANSLATE(B633, ""en"", ""ko""))"),"지불 금액")</f>
        <v>지불 금액</v>
      </c>
      <c r="E633" s="2" t="str">
        <f>IFERROR(__xludf.DUMMYFUNCTION("CONCATENATE(GOOGLETRANSLATE(B633, ""en"", ""ja""))"),"支払額")</f>
        <v>支払額</v>
      </c>
    </row>
    <row r="634" ht="15.75" customHeight="1">
      <c r="A634" s="1" t="s">
        <v>1256</v>
      </c>
      <c r="B634" s="1" t="s">
        <v>1257</v>
      </c>
      <c r="C634" s="1" t="str">
        <f>IFERROR(__xludf.DUMMYFUNCTION("CONCATENATE(GOOGLETRANSLATE(B634, ""en"", ""zh-cn""))"),"展示")</f>
        <v>展示</v>
      </c>
      <c r="D634" s="1" t="str">
        <f>IFERROR(__xludf.DUMMYFUNCTION("CONCATENATE(GOOGLETRANSLATE(B634, ""en"", ""ko""))"),"보여주다")</f>
        <v>보여주다</v>
      </c>
      <c r="E634" s="2" t="str">
        <f>IFERROR(__xludf.DUMMYFUNCTION("CONCATENATE(GOOGLETRANSLATE(B634, ""en"", ""ja""))"),"見せる")</f>
        <v>見せる</v>
      </c>
    </row>
    <row r="635" ht="15.75" customHeight="1">
      <c r="A635" s="1" t="s">
        <v>1258</v>
      </c>
      <c r="B635" s="1" t="s">
        <v>1259</v>
      </c>
      <c r="C635" s="1" t="str">
        <f>IFERROR(__xludf.DUMMYFUNCTION("CONCATENATE(GOOGLETRANSLATE(B635, ""en"", ""zh-cn""))"),"立即付款")</f>
        <v>立即付款</v>
      </c>
      <c r="D635" s="1" t="str">
        <f>IFERROR(__xludf.DUMMYFUNCTION("CONCATENATE(GOOGLETRANSLATE(B635, ""en"", ""ko""))"),"지금 결제")</f>
        <v>지금 결제</v>
      </c>
      <c r="E635" s="2" t="str">
        <f>IFERROR(__xludf.DUMMYFUNCTION("CONCATENATE(GOOGLETRANSLATE(B635, ""en"", ""ja""))"),"今すぐ支払う")</f>
        <v>今すぐ支払う</v>
      </c>
    </row>
    <row r="636" ht="15.75" customHeight="1">
      <c r="A636" s="1" t="s">
        <v>1260</v>
      </c>
      <c r="B636" s="1" t="s">
        <v>1261</v>
      </c>
      <c r="C636" s="1" t="str">
        <f>IFERROR(__xludf.DUMMYFUNCTION("CONCATENATE(GOOGLETRANSLATE(B636, ""en"", ""zh-cn""))"),"会员用户验证")</f>
        <v>会员用户验证</v>
      </c>
      <c r="D636" s="1" t="str">
        <f>IFERROR(__xludf.DUMMYFUNCTION("CONCATENATE(GOOGLETRANSLATE(B636, ""en"", ""ko""))"),"제휴 사용자 확인")</f>
        <v>제휴 사용자 확인</v>
      </c>
      <c r="E636" s="2" t="str">
        <f>IFERROR(__xludf.DUMMYFUNCTION("CONCATENATE(GOOGLETRANSLATE(B636, ""en"", ""ja""))"),"アフィリエイトユーザーの認証")</f>
        <v>アフィリエイトユーザーの認証</v>
      </c>
    </row>
    <row r="637" ht="15.75" customHeight="1">
      <c r="A637" s="1" t="s">
        <v>1262</v>
      </c>
      <c r="B637" s="1" t="s">
        <v>1263</v>
      </c>
      <c r="C637" s="1" t="str">
        <f>IFERROR(__xludf.DUMMYFUNCTION("CONCATENATE(GOOGLETRANSLATE(B637, ""en"", ""zh-cn""))"),"拒绝")</f>
        <v>拒绝</v>
      </c>
      <c r="D637" s="1" t="str">
        <f>IFERROR(__xludf.DUMMYFUNCTION("CONCATENATE(GOOGLETRANSLATE(B637, ""en"", ""ko""))"),"거부하다")</f>
        <v>거부하다</v>
      </c>
      <c r="E637" s="2" t="str">
        <f>IFERROR(__xludf.DUMMYFUNCTION("CONCATENATE(GOOGLETRANSLATE(B637, ""en"", ""ja""))"),"拒否する")</f>
        <v>拒否する</v>
      </c>
    </row>
    <row r="638" ht="15.75" customHeight="1">
      <c r="A638" s="1" t="s">
        <v>1264</v>
      </c>
      <c r="B638" s="1" t="s">
        <v>1265</v>
      </c>
      <c r="C638" s="1" t="str">
        <f>IFERROR(__xludf.DUMMYFUNCTION("CONCATENATE(GOOGLETRANSLATE(B638, ""en"", ""zh-cn""))"),"接受")</f>
        <v>接受</v>
      </c>
      <c r="D638" s="1" t="str">
        <f>IFERROR(__xludf.DUMMYFUNCTION("CONCATENATE(GOOGLETRANSLATE(B638, ""en"", ""ko""))"),"수용하다")</f>
        <v>수용하다</v>
      </c>
      <c r="E638" s="2" t="str">
        <f>IFERROR(__xludf.DUMMYFUNCTION("CONCATENATE(GOOGLETRANSLATE(B638, ""en"", ""ja""))"),"受け入れる")</f>
        <v>受け入れる</v>
      </c>
    </row>
    <row r="639" ht="15.75" customHeight="1">
      <c r="A639" s="1" t="s">
        <v>1266</v>
      </c>
      <c r="B639" s="1" t="s">
        <v>1267</v>
      </c>
      <c r="C639" s="1" t="str">
        <f>IFERROR(__xludf.DUMMYFUNCTION("CONCATENATE(GOOGLETRANSLATE(B639, ""en"", ""zh-cn""))"),"美容、健康与美发")</f>
        <v>美容、健康与美发</v>
      </c>
      <c r="D639" s="1" t="str">
        <f>IFERROR(__xludf.DUMMYFUNCTION("CONCATENATE(GOOGLETRANSLATE(B639, ""en"", ""ko""))"),"미용, 건강 및 헤어")</f>
        <v>미용, 건강 및 헤어</v>
      </c>
      <c r="E639" s="2" t="str">
        <f>IFERROR(__xludf.DUMMYFUNCTION("CONCATENATE(GOOGLETRANSLATE(B639, ""en"", ""ja""))"),"美容、健康、髪")</f>
        <v>美容、健康、髪</v>
      </c>
    </row>
    <row r="640" ht="15.75" customHeight="1">
      <c r="A640" s="1" t="s">
        <v>1268</v>
      </c>
      <c r="B640" s="1" t="s">
        <v>1269</v>
      </c>
      <c r="C640" s="1" t="str">
        <f>IFERROR(__xludf.DUMMYFUNCTION("CONCATENATE(GOOGLETRANSLATE(B640, ""en"", ""zh-cn""))"),"比较")</f>
        <v>比较</v>
      </c>
      <c r="D640" s="1" t="str">
        <f>IFERROR(__xludf.DUMMYFUNCTION("CONCATENATE(GOOGLETRANSLATE(B640, ""en"", ""ko""))"),"비교")</f>
        <v>비교</v>
      </c>
      <c r="E640" s="2" t="str">
        <f>IFERROR(__xludf.DUMMYFUNCTION("CONCATENATE(GOOGLETRANSLATE(B640, ""en"", ""ja""))"),"比較")</f>
        <v>比較</v>
      </c>
    </row>
    <row r="641" ht="15.75" customHeight="1">
      <c r="A641" s="1" t="s">
        <v>1270</v>
      </c>
      <c r="B641" s="1" t="s">
        <v>1271</v>
      </c>
      <c r="C641" s="1" t="str">
        <f>IFERROR(__xludf.DUMMYFUNCTION("CONCATENATE(GOOGLETRANSLATE(B641, ""en"", ""zh-cn""))"),"重置比较列表")</f>
        <v>重置比较列表</v>
      </c>
      <c r="D641" s="1" t="str">
        <f>IFERROR(__xludf.DUMMYFUNCTION("CONCATENATE(GOOGLETRANSLATE(B641, ""en"", ""ko""))"),"비교 목록 재설정")</f>
        <v>비교 목록 재설정</v>
      </c>
      <c r="E641" s="2" t="str">
        <f>IFERROR(__xludf.DUMMYFUNCTION("CONCATENATE(GOOGLETRANSLATE(B641, ""en"", ""ja""))"),"比較リストをリセット")</f>
        <v>比較リストをリセット</v>
      </c>
    </row>
    <row r="642" ht="15.75" customHeight="1">
      <c r="A642" s="1" t="s">
        <v>1272</v>
      </c>
      <c r="B642" s="1" t="s">
        <v>1273</v>
      </c>
      <c r="C642" s="1" t="str">
        <f>IFERROR(__xludf.DUMMYFUNCTION("CONCATENATE(GOOGLETRANSLATE(B642, ""en"", ""zh-cn""))"),"您的比较列表为空")</f>
        <v>您的比较列表为空</v>
      </c>
      <c r="D642" s="1" t="str">
        <f>IFERROR(__xludf.DUMMYFUNCTION("CONCATENATE(GOOGLETRANSLATE(B642, ""en"", ""ko""))"),"비교 목록이 비어 있습니다.")</f>
        <v>비교 목록이 비어 있습니다.</v>
      </c>
      <c r="E642" s="2" t="str">
        <f>IFERROR(__xludf.DUMMYFUNCTION("CONCATENATE(GOOGLETRANSLATE(B642, ""en"", ""ja""))"),"比較リストが空です")</f>
        <v>比較リストが空です</v>
      </c>
    </row>
    <row r="643" ht="15.75" customHeight="1">
      <c r="A643" s="1" t="s">
        <v>1274</v>
      </c>
      <c r="B643" s="1" t="s">
        <v>1275</v>
      </c>
      <c r="C643" s="1" t="str">
        <f>IFERROR(__xludf.DUMMYFUNCTION("CONCATENATE(GOOGLETRANSLATE(B643, ""en"", ""zh-cn""))"),"将积分转换为钱包")</f>
        <v>将积分转换为钱包</v>
      </c>
      <c r="D643" s="1" t="str">
        <f>IFERROR(__xludf.DUMMYFUNCTION("CONCATENATE(GOOGLETRANSLATE(B643, ""en"", ""ko""))"),"포인트를 지갑으로 전환")</f>
        <v>포인트를 지갑으로 전환</v>
      </c>
      <c r="E643" s="2" t="str">
        <f>IFERROR(__xludf.DUMMYFUNCTION("CONCATENATE(GOOGLETRANSLATE(B643, ""en"", ""ja""))"),"ポイントをウォレットに変換")</f>
        <v>ポイントをウォレットに変換</v>
      </c>
    </row>
    <row r="644" ht="15.75" customHeight="1">
      <c r="A644" s="1" t="s">
        <v>1276</v>
      </c>
      <c r="B644" s="1" t="s">
        <v>1277</v>
      </c>
      <c r="C644" s="1" t="str">
        <f>IFERROR(__xludf.DUMMYFUNCTION("CONCATENATE(GOOGLETRANSLATE(B644, ""en"", ""zh-cn""))"),"注意：在使用俱乐部积分插件之前，您需要先激活钱包选项。")</f>
        <v>注意：在使用俱乐部积分插件之前，您需要先激活钱包选项。</v>
      </c>
      <c r="D644" s="1" t="str">
        <f>IFERROR(__xludf.DUMMYFUNCTION("CONCATENATE(GOOGLETRANSLATE(B644, ""en"", ""ko""))"),"참고: 클럽 포인트 애드온을 사용하기 전에 먼저 지갑 옵션을 활성화해야 합니다.")</f>
        <v>참고: 클럽 포인트 애드온을 사용하기 전에 먼저 지갑 옵션을 활성화해야 합니다.</v>
      </c>
      <c r="E644" s="2" t="str">
        <f>IFERROR(__xludf.DUMMYFUNCTION("CONCATENATE(GOOGLETRANSLATE(B644, ""en"", ""ja""))"),"注意: クラブポイントアドオンを使用する前に、まずウォレットオプションを有効にする必要があります。")</f>
        <v>注意: クラブポイントアドオンを使用する前に、まずウォレットオプションを有効にする必要があります。</v>
      </c>
    </row>
    <row r="645" ht="15.75" customHeight="1">
      <c r="A645" s="1" t="s">
        <v>1278</v>
      </c>
      <c r="B645" s="1" t="s">
        <v>1279</v>
      </c>
      <c r="C645" s="1" t="str">
        <f>IFERROR(__xludf.DUMMYFUNCTION("CONCATENATE(GOOGLETRANSLATE(B645, ""en"", ""zh-cn""))"),"创建一个帐户。")</f>
        <v>创建一个帐户。</v>
      </c>
      <c r="D645" s="1" t="str">
        <f>IFERROR(__xludf.DUMMYFUNCTION("CONCATENATE(GOOGLETRANSLATE(B645, ""en"", ""ko""))"),"계정을 만드세요.")</f>
        <v>계정을 만드세요.</v>
      </c>
      <c r="E645" s="2" t="str">
        <f>IFERROR(__xludf.DUMMYFUNCTION("CONCATENATE(GOOGLETRANSLATE(B645, ""en"", ""ja""))"),"アカウントを作成する。")</f>
        <v>アカウントを作成する。</v>
      </c>
    </row>
    <row r="646" ht="15.75" customHeight="1">
      <c r="A646" s="1" t="s">
        <v>1280</v>
      </c>
      <c r="B646" s="1" t="s">
        <v>1281</v>
      </c>
      <c r="C646" s="1" t="str">
        <f>IFERROR(__xludf.DUMMYFUNCTION("CONCATENATE(GOOGLETRANSLATE(B646, ""en"", ""zh-cn""))"),"使用电子邮件代替")</f>
        <v>使用电子邮件代替</v>
      </c>
      <c r="D646" s="1" t="str">
        <f>IFERROR(__xludf.DUMMYFUNCTION("CONCATENATE(GOOGLETRANSLATE(B646, ""en"", ""ko""))"),"대신 이메일을 사용하세요")</f>
        <v>대신 이메일을 사용하세요</v>
      </c>
      <c r="E646" s="2" t="str">
        <f>IFERROR(__xludf.DUMMYFUNCTION("CONCATENATE(GOOGLETRANSLATE(B646, ""en"", ""ja""))"),"代わりに電子メールを使用してください")</f>
        <v>代わりに電子メールを使用してください</v>
      </c>
    </row>
    <row r="647" ht="15.75" customHeight="1">
      <c r="A647" s="1" t="s">
        <v>1282</v>
      </c>
      <c r="B647" s="1" t="s">
        <v>1283</v>
      </c>
      <c r="C647" s="1" t="str">
        <f>IFERROR(__xludf.DUMMYFUNCTION("CONCATENATE(GOOGLETRANSLATE(B647, ""en"", ""zh-cn""))"),"注册即表示您同意我们的条款和条件。")</f>
        <v>注册即表示您同意我们的条款和条件。</v>
      </c>
      <c r="D647" s="1" t="str">
        <f>IFERROR(__xludf.DUMMYFUNCTION("CONCATENATE(GOOGLETRANSLATE(B647, ""en"", ""ko""))"),"가입하시면 이용약관에 동의하게 됩니다.")</f>
        <v>가입하시면 이용약관에 동의하게 됩니다.</v>
      </c>
      <c r="E647" s="2" t="str">
        <f>IFERROR(__xludf.DUMMYFUNCTION("CONCATENATE(GOOGLETRANSLATE(B647, ""en"", ""ja""))"),"サインアップすると、利用規約に同意したことになります。")</f>
        <v>サインアップすると、利用規約に同意したことになります。</v>
      </c>
    </row>
    <row r="648" ht="15.75" customHeight="1">
      <c r="A648" s="1" t="s">
        <v>1284</v>
      </c>
      <c r="B648" s="1" t="s">
        <v>1285</v>
      </c>
      <c r="C648" s="1" t="str">
        <f>IFERROR(__xludf.DUMMYFUNCTION("CONCATENATE(GOOGLETRANSLATE(B648, ""en"", ""zh-cn""))"),"创建账户")</f>
        <v>创建账户</v>
      </c>
      <c r="D648" s="1" t="str">
        <f>IFERROR(__xludf.DUMMYFUNCTION("CONCATENATE(GOOGLETRANSLATE(B648, ""en"", ""ko""))"),"계정 만들기")</f>
        <v>계정 만들기</v>
      </c>
      <c r="E648" s="2" t="str">
        <f>IFERROR(__xludf.DUMMYFUNCTION("CONCATENATE(GOOGLETRANSLATE(B648, ""en"", ""ja""))"),"アカウントを作成する")</f>
        <v>アカウントを作成する</v>
      </c>
    </row>
    <row r="649" ht="15.75" customHeight="1">
      <c r="A649" s="1" t="s">
        <v>1286</v>
      </c>
      <c r="B649" s="1" t="s">
        <v>1287</v>
      </c>
      <c r="C649" s="1" t="str">
        <f>IFERROR(__xludf.DUMMYFUNCTION("CONCATENATE(GOOGLETRANSLATE(B649, ""en"", ""zh-cn""))"),"或加入")</f>
        <v>或加入</v>
      </c>
      <c r="D649" s="1" t="str">
        <f>IFERROR(__xludf.DUMMYFUNCTION("CONCATENATE(GOOGLETRANSLATE(B649, ""en"", ""ko""))"),"아니면 다음과 함께 가입하세요")</f>
        <v>아니면 다음과 함께 가입하세요</v>
      </c>
      <c r="E649" s="2" t="str">
        <f>IFERROR(__xludf.DUMMYFUNCTION("CONCATENATE(GOOGLETRANSLATE(B649, ""en"", ""ja""))"),"または一緒に参加してください")</f>
        <v>または一緒に参加してください</v>
      </c>
    </row>
    <row r="650" ht="15.75" customHeight="1">
      <c r="A650" s="1" t="s">
        <v>1026</v>
      </c>
      <c r="B650" s="1" t="s">
        <v>1288</v>
      </c>
      <c r="C650" s="1" t="str">
        <f>IFERROR(__xludf.DUMMYFUNCTION("CONCATENATE(GOOGLETRANSLATE(B650, ""en"", ""zh-cn""))"),"已经有帐户？")</f>
        <v>已经有帐户？</v>
      </c>
      <c r="D650" s="1" t="str">
        <f>IFERROR(__xludf.DUMMYFUNCTION("CONCATENATE(GOOGLETRANSLATE(B650, ""en"", ""ko""))"),"이미 계정이 있나요?")</f>
        <v>이미 계정이 있나요?</v>
      </c>
      <c r="E650" s="2" t="str">
        <f>IFERROR(__xludf.DUMMYFUNCTION("CONCATENATE(GOOGLETRANSLATE(B650, ""en"", ""ja""))"),"すでにアカウントをお持ちですか?")</f>
        <v>すでにアカウントをお持ちですか?</v>
      </c>
    </row>
    <row r="651" ht="15.75" customHeight="1">
      <c r="A651" s="1" t="s">
        <v>1289</v>
      </c>
      <c r="B651" s="1" t="s">
        <v>1290</v>
      </c>
      <c r="C651" s="1" t="str">
        <f>IFERROR(__xludf.DUMMYFUNCTION("CONCATENATE(GOOGLETRANSLATE(B651, ""en"", ""zh-cn""))"),"登录")</f>
        <v>登录</v>
      </c>
      <c r="D651" s="1" t="str">
        <f>IFERROR(__xludf.DUMMYFUNCTION("CONCATENATE(GOOGLETRANSLATE(B651, ""en"", ""ko""))"),"로그인")</f>
        <v>로그인</v>
      </c>
      <c r="E651" s="2" t="str">
        <f>IFERROR(__xludf.DUMMYFUNCTION("CONCATENATE(GOOGLETRANSLATE(B651, ""en"", ""ja""))"),"ログイン")</f>
        <v>ログイン</v>
      </c>
    </row>
    <row r="652" ht="15.75" customHeight="1">
      <c r="A652" s="1" t="s">
        <v>1291</v>
      </c>
      <c r="B652" s="1" t="s">
        <v>1292</v>
      </c>
      <c r="C652" s="1" t="str">
        <f>IFERROR(__xludf.DUMMYFUNCTION("CONCATENATE(GOOGLETRANSLATE(B652, ""en"", ""zh-cn""))"),"电脑及配件")</f>
        <v>电脑及配件</v>
      </c>
      <c r="D652" s="1" t="str">
        <f>IFERROR(__xludf.DUMMYFUNCTION("CONCATENATE(GOOGLETRANSLATE(B652, ""en"", ""ko""))"),"컴퓨터 및 액세서리")</f>
        <v>컴퓨터 및 액세서리</v>
      </c>
      <c r="E652" s="2" t="str">
        <f>IFERROR(__xludf.DUMMYFUNCTION("CONCATENATE(GOOGLETRANSLATE(B652, ""en"", ""ja""))"),"コンピュータとアクセサリ")</f>
        <v>コンピュータとアクセサリ</v>
      </c>
    </row>
    <row r="653" ht="15.75" customHeight="1">
      <c r="A653" s="1" t="s">
        <v>1293</v>
      </c>
      <c r="B653" s="1" t="s">
        <v>1294</v>
      </c>
      <c r="C653" s="1" t="str">
        <f>IFERROR(__xludf.DUMMYFUNCTION("CONCATENATE(GOOGLETRANSLATE(B653, ""en"", ""zh-cn""))"),"产品）")</f>
        <v>产品）</v>
      </c>
      <c r="D653" s="1" t="str">
        <f>IFERROR(__xludf.DUMMYFUNCTION("CONCATENATE(GOOGLETRANSLATE(B653, ""en"", ""ko""))"),"제품)")</f>
        <v>제품)</v>
      </c>
      <c r="E653" s="2" t="str">
        <f>IFERROR(__xludf.DUMMYFUNCTION("CONCATENATE(GOOGLETRANSLATE(B653, ""en"", ""ja""))"),"製品）")</f>
        <v>製品）</v>
      </c>
    </row>
    <row r="654" ht="15.75" customHeight="1">
      <c r="A654" s="1" t="s">
        <v>1295</v>
      </c>
      <c r="B654" s="1" t="s">
        <v>1296</v>
      </c>
      <c r="C654" s="1" t="str">
        <f>IFERROR(__xludf.DUMMYFUNCTION("CONCATENATE(GOOGLETRANSLATE(B654, ""en"", ""zh-cn""))"),"在您的购物车中")</f>
        <v>在您的购物车中</v>
      </c>
      <c r="D654" s="1" t="str">
        <f>IFERROR(__xludf.DUMMYFUNCTION("CONCATENATE(GOOGLETRANSLATE(B654, ""en"", ""ko""))"),"장바구니에")</f>
        <v>장바구니에</v>
      </c>
      <c r="E654" s="2" t="str">
        <f>IFERROR(__xludf.DUMMYFUNCTION("CONCATENATE(GOOGLETRANSLATE(B654, ""en"", ""ja""))"),"カートの中の")</f>
        <v>カートの中の</v>
      </c>
    </row>
    <row r="655" ht="15.75" customHeight="1">
      <c r="A655" s="1" t="s">
        <v>1297</v>
      </c>
      <c r="B655" s="1" t="s">
        <v>1298</v>
      </c>
      <c r="C655" s="1" t="str">
        <f>IFERROR(__xludf.DUMMYFUNCTION("CONCATENATE(GOOGLETRANSLATE(B655, ""en"", ""zh-cn""))"),"在您的愿望清单中")</f>
        <v>在您的愿望清单中</v>
      </c>
      <c r="D655" s="1" t="str">
        <f>IFERROR(__xludf.DUMMYFUNCTION("CONCATENATE(GOOGLETRANSLATE(B655, ""en"", ""ko""))"),"당신의 위시리스트에")</f>
        <v>당신의 위시리스트에</v>
      </c>
      <c r="E655" s="2" t="str">
        <f>IFERROR(__xludf.DUMMYFUNCTION("CONCATENATE(GOOGLETRANSLATE(B655, ""en"", ""ja""))"),"あなたのウィッシュリストに")</f>
        <v>あなたのウィッシュリストに</v>
      </c>
    </row>
    <row r="656" ht="15.75" customHeight="1">
      <c r="A656" s="1" t="s">
        <v>1299</v>
      </c>
      <c r="B656" s="1" t="s">
        <v>1300</v>
      </c>
      <c r="C656" s="1" t="str">
        <f>IFERROR(__xludf.DUMMYFUNCTION("CONCATENATE(GOOGLETRANSLATE(B656, ""en"", ""zh-cn""))"),"你订购了")</f>
        <v>你订购了</v>
      </c>
      <c r="D656" s="1" t="str">
        <f>IFERROR(__xludf.DUMMYFUNCTION("CONCATENATE(GOOGLETRANSLATE(B656, ""en"", ""ko""))"),"당신이 주문한")</f>
        <v>당신이 주문한</v>
      </c>
      <c r="E656" s="2" t="str">
        <f>IFERROR(__xludf.DUMMYFUNCTION("CONCATENATE(GOOGLETRANSLATE(B656, ""en"", ""ja""))"),"あなたが注文した")</f>
        <v>あなたが注文した</v>
      </c>
    </row>
    <row r="657" ht="15.75" customHeight="1">
      <c r="A657" s="1" t="s">
        <v>1301</v>
      </c>
      <c r="B657" s="1" t="s">
        <v>1302</v>
      </c>
      <c r="C657" s="1" t="str">
        <f>IFERROR(__xludf.DUMMYFUNCTION("CONCATENATE(GOOGLETRANSLATE(B657, ""en"", ""zh-cn""))"),"默认送货地址")</f>
        <v>默认送货地址</v>
      </c>
      <c r="D657" s="1" t="str">
        <f>IFERROR(__xludf.DUMMYFUNCTION("CONCATENATE(GOOGLETRANSLATE(B657, ""en"", ""ko""))"),"기본 배송 주소")</f>
        <v>기본 배송 주소</v>
      </c>
      <c r="E657" s="2" t="str">
        <f>IFERROR(__xludf.DUMMYFUNCTION("CONCATENATE(GOOGLETRANSLATE(B657, ""en"", ""ja""))"),"デフォルトの配送先住所")</f>
        <v>デフォルトの配送先住所</v>
      </c>
    </row>
    <row r="658" ht="15.75" customHeight="1">
      <c r="A658" s="1" t="s">
        <v>1303</v>
      </c>
      <c r="B658" s="1" t="s">
        <v>1304</v>
      </c>
      <c r="C658" s="1" t="str">
        <f>IFERROR(__xludf.DUMMYFUNCTION("CONCATENATE(GOOGLETRANSLATE(B658, ""en"", ""zh-cn""))"),"运动及户外")</f>
        <v>运动及户外</v>
      </c>
      <c r="D658" s="1" t="str">
        <f>IFERROR(__xludf.DUMMYFUNCTION("CONCATENATE(GOOGLETRANSLATE(B658, ""en"", ""ko""))"),"스포츠 및 아웃도어")</f>
        <v>스포츠 및 아웃도어</v>
      </c>
      <c r="E658" s="2" t="str">
        <f>IFERROR(__xludf.DUMMYFUNCTION("CONCATENATE(GOOGLETRANSLATE(B658, ""en"", ""ja""))"),"スポーツ＆アウトドア")</f>
        <v>スポーツ＆アウトドア</v>
      </c>
    </row>
    <row r="659" ht="15.75" customHeight="1">
      <c r="A659" s="1" t="s">
        <v>1305</v>
      </c>
      <c r="B659" s="1" t="s">
        <v>1306</v>
      </c>
      <c r="C659" s="1" t="str">
        <f>IFERROR(__xludf.DUMMYFUNCTION("CONCATENATE(GOOGLETRANSLATE(B659, ""en"", ""zh-cn""))"),"已复制")</f>
        <v>已复制</v>
      </c>
      <c r="D659" s="1" t="str">
        <f>IFERROR(__xludf.DUMMYFUNCTION("CONCATENATE(GOOGLETRANSLATE(B659, ""en"", ""ko""))"),"복사됨")</f>
        <v>복사됨</v>
      </c>
      <c r="E659" s="2" t="str">
        <f>IFERROR(__xludf.DUMMYFUNCTION("CONCATENATE(GOOGLETRANSLATE(B659, ""en"", ""ja""))"),"コピーされました")</f>
        <v>コピーされました</v>
      </c>
    </row>
    <row r="660" ht="15.75" customHeight="1">
      <c r="A660" s="1" t="s">
        <v>1307</v>
      </c>
      <c r="B660" s="1" t="s">
        <v>1308</v>
      </c>
      <c r="C660" s="1" t="str">
        <f>IFERROR(__xludf.DUMMYFUNCTION("CONCATENATE(GOOGLETRANSLATE(B660, ""en"", ""zh-cn""))"),"复制推广链接")</f>
        <v>复制推广链接</v>
      </c>
      <c r="D660" s="1" t="str">
        <f>IFERROR(__xludf.DUMMYFUNCTION("CONCATENATE(GOOGLETRANSLATE(B660, ""en"", ""ko""))"),"프로모션 링크 복사")</f>
        <v>프로모션 링크 복사</v>
      </c>
      <c r="E660" s="2" t="str">
        <f>IFERROR(__xludf.DUMMYFUNCTION("CONCATENATE(GOOGLETRANSLATE(B660, ""en"", ""ja""))"),"プロモートリンクをコピーする")</f>
        <v>プロモートリンクをコピーする</v>
      </c>
    </row>
    <row r="661" ht="15.75" customHeight="1">
      <c r="A661" s="1" t="s">
        <v>1309</v>
      </c>
      <c r="B661" s="1" t="s">
        <v>1310</v>
      </c>
      <c r="C661" s="1" t="str">
        <f>IFERROR(__xludf.DUMMYFUNCTION("CONCATENATE(GOOGLETRANSLATE(B661, ""en"", ""zh-cn""))"),"写评论")</f>
        <v>写评论</v>
      </c>
      <c r="D661" s="1" t="str">
        <f>IFERROR(__xludf.DUMMYFUNCTION("CONCATENATE(GOOGLETRANSLATE(B661, ""en"", ""ko""))"),"리뷰 작성")</f>
        <v>리뷰 작성</v>
      </c>
      <c r="E661" s="2" t="str">
        <f>IFERROR(__xludf.DUMMYFUNCTION("CONCATENATE(GOOGLETRANSLATE(B661, ""en"", ""ja""))"),"レビューを書く")</f>
        <v>レビューを書く</v>
      </c>
    </row>
    <row r="662" ht="15.75" customHeight="1">
      <c r="A662" s="1" t="s">
        <v>1311</v>
      </c>
      <c r="B662" s="1" t="s">
        <v>1312</v>
      </c>
      <c r="C662" s="1" t="str">
        <f>IFERROR(__xludf.DUMMYFUNCTION("CONCATENATE(GOOGLETRANSLATE(B662, ""en"", ""zh-cn""))"),"你的名字")</f>
        <v>你的名字</v>
      </c>
      <c r="D662" s="1" t="str">
        <f>IFERROR(__xludf.DUMMYFUNCTION("CONCATENATE(GOOGLETRANSLATE(B662, ""en"", ""ko""))"),"당신의 이름")</f>
        <v>당신의 이름</v>
      </c>
      <c r="E662" s="2" t="str">
        <f>IFERROR(__xludf.DUMMYFUNCTION("CONCATENATE(GOOGLETRANSLATE(B662, ""en"", ""ja""))"),"あなたの名前")</f>
        <v>あなたの名前</v>
      </c>
    </row>
    <row r="663" ht="15.75" customHeight="1">
      <c r="A663" s="1" t="s">
        <v>1313</v>
      </c>
      <c r="B663" s="1" t="s">
        <v>1314</v>
      </c>
      <c r="C663" s="1" t="str">
        <f>IFERROR(__xludf.DUMMYFUNCTION("CONCATENATE(GOOGLETRANSLATE(B663, ""en"", ""zh-cn""))"),"评论")</f>
        <v>评论</v>
      </c>
      <c r="D663" s="1" t="str">
        <f>IFERROR(__xludf.DUMMYFUNCTION("CONCATENATE(GOOGLETRANSLATE(B663, ""en"", ""ko""))"),"논평")</f>
        <v>논평</v>
      </c>
      <c r="E663" s="2" t="str">
        <f>IFERROR(__xludf.DUMMYFUNCTION("CONCATENATE(GOOGLETRANSLATE(B663, ""en"", ""ja""))"),"コメント")</f>
        <v>コメント</v>
      </c>
    </row>
    <row r="664" ht="15.75" customHeight="1">
      <c r="A664" s="1" t="s">
        <v>1315</v>
      </c>
      <c r="B664" s="1" t="s">
        <v>1316</v>
      </c>
      <c r="C664" s="1" t="str">
        <f>IFERROR(__xludf.DUMMYFUNCTION("CONCATENATE(GOOGLETRANSLATE(B664, ""en"", ""zh-cn""))"),"您的评论")</f>
        <v>您的评论</v>
      </c>
      <c r="D664" s="1" t="str">
        <f>IFERROR(__xludf.DUMMYFUNCTION("CONCATENATE(GOOGLETRANSLATE(B664, ""en"", ""ko""))"),"귀하의 리뷰")</f>
        <v>귀하의 리뷰</v>
      </c>
      <c r="E664" s="2" t="str">
        <f>IFERROR(__xludf.DUMMYFUNCTION("CONCATENATE(GOOGLETRANSLATE(B664, ""en"", ""ja""))"),"あなたのレビュー")</f>
        <v>あなたのレビュー</v>
      </c>
    </row>
    <row r="665" ht="15.75" customHeight="1">
      <c r="A665" s="1" t="s">
        <v>1317</v>
      </c>
      <c r="B665" s="1" t="s">
        <v>1318</v>
      </c>
      <c r="C665" s="1" t="str">
        <f>IFERROR(__xludf.DUMMYFUNCTION("CONCATENATE(GOOGLETRANSLATE(B665, ""en"", ""zh-cn""))"),"提交评论")</f>
        <v>提交评论</v>
      </c>
      <c r="D665" s="1" t="str">
        <f>IFERROR(__xludf.DUMMYFUNCTION("CONCATENATE(GOOGLETRANSLATE(B665, ""en"", ""ko""))"),"리뷰 제출")</f>
        <v>리뷰 제출</v>
      </c>
      <c r="E665" s="2" t="str">
        <f>IFERROR(__xludf.DUMMYFUNCTION("CONCATENATE(GOOGLETRANSLATE(B665, ""en"", ""ja""))"),"レビューを送信する")</f>
        <v>レビューを送信する</v>
      </c>
    </row>
    <row r="666" ht="15.75" customHeight="1">
      <c r="A666" s="1" t="s">
        <v>1319</v>
      </c>
      <c r="B666" s="1" t="s">
        <v>1320</v>
      </c>
      <c r="C666" s="1" t="str">
        <f>IFERROR(__xludf.DUMMYFUNCTION("CONCATENATE(GOOGLETRANSLATE(B666, ""en"", ""zh-cn""))"),"克莱尔·威利斯")</f>
        <v>克莱尔·威利斯</v>
      </c>
      <c r="D666" s="1" t="str">
        <f>IFERROR(__xludf.DUMMYFUNCTION("CONCATENATE(GOOGLETRANSLATE(B666, ""en"", ""ko""))"),"클레어 윌리스")</f>
        <v>클레어 윌리스</v>
      </c>
      <c r="E666" s="2" t="str">
        <f>IFERROR(__xludf.DUMMYFUNCTION("CONCATENATE(GOOGLETRANSLATE(B666, ""en"", ""ja""))"),"クレア・ウィリス")</f>
        <v>クレア・ウィリス</v>
      </c>
    </row>
    <row r="667" ht="15.75" customHeight="1">
      <c r="A667" s="1" t="s">
        <v>1321</v>
      </c>
      <c r="B667" s="1" t="s">
        <v>1322</v>
      </c>
      <c r="C667" s="1" t="str">
        <f>IFERROR(__xludf.DUMMYFUNCTION("CONCATENATE(GOOGLETRANSLATE(B667, ""en"", ""zh-cn""))"),"杰曼·格林")</f>
        <v>杰曼·格林</v>
      </c>
      <c r="D667" s="1" t="str">
        <f>IFERROR(__xludf.DUMMYFUNCTION("CONCATENATE(GOOGLETRANSLATE(B667, ""en"", ""ko""))"),"저메인 그린")</f>
        <v>저메인 그린</v>
      </c>
      <c r="E667" s="2" t="str">
        <f>IFERROR(__xludf.DUMMYFUNCTION("CONCATENATE(GOOGLETRANSLATE(B667, ""en"", ""ja""))"),"ジャーメイン・グリーン")</f>
        <v>ジャーメイン・グリーン</v>
      </c>
    </row>
    <row r="668" ht="15.75" customHeight="1">
      <c r="A668" s="1" t="s">
        <v>1323</v>
      </c>
      <c r="B668" s="1" t="s">
        <v>1324</v>
      </c>
      <c r="C668" s="1" t="str">
        <f>IFERROR(__xludf.DUMMYFUNCTION("CONCATENATE(GOOGLETRANSLATE(B668, ""en"", ""zh-cn""))"),"产品档案")</f>
        <v>产品档案</v>
      </c>
      <c r="D668" s="1" t="str">
        <f>IFERROR(__xludf.DUMMYFUNCTION("CONCATENATE(GOOGLETRANSLATE(B668, ""en"", ""ko""))"),"제품 파일")</f>
        <v>제품 파일</v>
      </c>
      <c r="E668" s="2" t="str">
        <f>IFERROR(__xludf.DUMMYFUNCTION("CONCATENATE(GOOGLETRANSLATE(B668, ""en"", ""ja""))"),"製品ファイル")</f>
        <v>製品ファイル</v>
      </c>
    </row>
    <row r="669" ht="15.75" customHeight="1">
      <c r="A669" s="1" t="s">
        <v>1325</v>
      </c>
      <c r="B669" s="1" t="s">
        <v>1326</v>
      </c>
      <c r="C669" s="1" t="str">
        <f>IFERROR(__xludf.DUMMYFUNCTION("CONCATENATE(GOOGLETRANSLATE(B669, ""en"", ""zh-cn""))"),"选择文件")</f>
        <v>选择文件</v>
      </c>
      <c r="D669" s="1" t="str">
        <f>IFERROR(__xludf.DUMMYFUNCTION("CONCATENATE(GOOGLETRANSLATE(B669, ""en"", ""ko""))"),"파일 선택")</f>
        <v>파일 선택</v>
      </c>
      <c r="E669" s="2" t="str">
        <f>IFERROR(__xludf.DUMMYFUNCTION("CONCATENATE(GOOGLETRANSLATE(B669, ""en"", ""ja""))"),"ファイルを選択してください")</f>
        <v>ファイルを選択してください</v>
      </c>
    </row>
    <row r="670" ht="15.75" customHeight="1">
      <c r="A670" s="1" t="s">
        <v>1327</v>
      </c>
      <c r="B670" s="1" t="s">
        <v>1328</v>
      </c>
      <c r="C670" s="1" t="str">
        <f>IFERROR(__xludf.DUMMYFUNCTION("CONCATENATE(GOOGLETRANSLATE(B670, ""en"", ""zh-cn""))"),"输入以添加标签")</f>
        <v>输入以添加标签</v>
      </c>
      <c r="D670" s="1" t="str">
        <f>IFERROR(__xludf.DUMMYFUNCTION("CONCATENATE(GOOGLETRANSLATE(B670, ""en"", ""ko""))"),"태그를 추가하려면 입력하세요.")</f>
        <v>태그를 추가하려면 입력하세요.</v>
      </c>
      <c r="E670" s="2" t="str">
        <f>IFERROR(__xludf.DUMMYFUNCTION("CONCATENATE(GOOGLETRANSLATE(B670, ""en"", ""ja""))"),"タグを追加するには入力します")</f>
        <v>タグを追加するには入力します</v>
      </c>
    </row>
    <row r="671" ht="15.75" customHeight="1">
      <c r="A671" s="1" t="s">
        <v>1329</v>
      </c>
      <c r="B671" s="1" t="s">
        <v>1330</v>
      </c>
      <c r="C671" s="1" t="str">
        <f>IFERROR(__xludf.DUMMYFUNCTION("CONCATENATE(GOOGLETRANSLATE(B671, ""en"", ""zh-cn""))"),"图片")</f>
        <v>图片</v>
      </c>
      <c r="D671" s="1" t="str">
        <f>IFERROR(__xludf.DUMMYFUNCTION("CONCATENATE(GOOGLETRANSLATE(B671, ""en"", ""ko""))"),"이미지")</f>
        <v>이미지</v>
      </c>
      <c r="E671" s="2" t="str">
        <f>IFERROR(__xludf.DUMMYFUNCTION("CONCATENATE(GOOGLETRANSLATE(B671, ""en"", ""ja""))"),"画像")</f>
        <v>画像</v>
      </c>
    </row>
    <row r="672" ht="15.75" customHeight="1">
      <c r="A672" s="1" t="s">
        <v>1331</v>
      </c>
      <c r="B672" s="1" t="s">
        <v>1332</v>
      </c>
      <c r="C672" s="1" t="str">
        <f>IFERROR(__xludf.DUMMYFUNCTION("CONCATENATE(GOOGLETRANSLATE(B672, ""en"", ""zh-cn""))"),"主要图片")</f>
        <v>主要图片</v>
      </c>
      <c r="D672" s="1" t="str">
        <f>IFERROR(__xludf.DUMMYFUNCTION("CONCATENATE(GOOGLETRANSLATE(B672, ""en"", ""ko""))"),"메인 이미지")</f>
        <v>메인 이미지</v>
      </c>
      <c r="E672" s="2" t="str">
        <f>IFERROR(__xludf.DUMMYFUNCTION("CONCATENATE(GOOGLETRANSLATE(B672, ""en"", ""ja""))"),"主な画像")</f>
        <v>主な画像</v>
      </c>
    </row>
    <row r="673" ht="15.75" customHeight="1">
      <c r="A673" s="1" t="s">
        <v>1333</v>
      </c>
      <c r="B673" s="1" t="s">
        <v>1334</v>
      </c>
      <c r="C673" s="1" t="str">
        <f>IFERROR(__xludf.DUMMYFUNCTION("CONCATENATE(GOOGLETRANSLATE(B673, ""en"", ""zh-cn""))"),"元标签")</f>
        <v>元标签</v>
      </c>
      <c r="D673" s="1" t="str">
        <f>IFERROR(__xludf.DUMMYFUNCTION("CONCATENATE(GOOGLETRANSLATE(B673, ""en"", ""ko""))"),"메타 태그")</f>
        <v>메타 태그</v>
      </c>
      <c r="E673" s="2" t="str">
        <f>IFERROR(__xludf.DUMMYFUNCTION("CONCATENATE(GOOGLETRANSLATE(B673, ""en"", ""ja""))"),"メタタグ")</f>
        <v>メタタグ</v>
      </c>
    </row>
    <row r="674" ht="15.75" customHeight="1">
      <c r="A674" s="1" t="s">
        <v>1335</v>
      </c>
      <c r="B674" s="1" t="s">
        <v>1336</v>
      </c>
      <c r="C674" s="1" t="str">
        <f>IFERROR(__xludf.DUMMYFUNCTION("CONCATENATE(GOOGLETRANSLATE(B674, ""en"", ""zh-cn""))"),"数码产品已成功插入")</f>
        <v>数码产品已成功插入</v>
      </c>
      <c r="D674" s="1" t="str">
        <f>IFERROR(__xludf.DUMMYFUNCTION("CONCATENATE(GOOGLETRANSLATE(B674, ""en"", ""ko""))"),"디지털 제품이 성공적으로 삽입되었습니다.")</f>
        <v>디지털 제품이 성공적으로 삽입되었습니다.</v>
      </c>
      <c r="E674" s="2" t="str">
        <f>IFERROR(__xludf.DUMMYFUNCTION("CONCATENATE(GOOGLETRANSLATE(B674, ""en"", ""ja""))"),"デジタル製品が正常に挿入されました")</f>
        <v>デジタル製品が正常に挿入されました</v>
      </c>
    </row>
    <row r="675" ht="15.75" customHeight="1">
      <c r="A675" s="1" t="s">
        <v>1337</v>
      </c>
      <c r="B675" s="1" t="s">
        <v>1338</v>
      </c>
      <c r="C675" s="1" t="str">
        <f>IFERROR(__xludf.DUMMYFUNCTION("CONCATENATE(GOOGLETRANSLATE(B675, ""en"", ""zh-cn""))"),"编辑数字产品")</f>
        <v>编辑数字产品</v>
      </c>
      <c r="D675" s="1" t="str">
        <f>IFERROR(__xludf.DUMMYFUNCTION("CONCATENATE(GOOGLETRANSLATE(B675, ""en"", ""ko""))"),"디지털 제품 편집")</f>
        <v>디지털 제품 편집</v>
      </c>
      <c r="E675" s="2" t="str">
        <f>IFERROR(__xludf.DUMMYFUNCTION("CONCATENATE(GOOGLETRANSLATE(B675, ""en"", ""ja""))"),"デジタル製品の編集")</f>
        <v>デジタル製品の編集</v>
      </c>
    </row>
    <row r="676" ht="15.75" customHeight="1">
      <c r="A676" s="1" t="s">
        <v>1339</v>
      </c>
      <c r="B676" s="1" t="s">
        <v>1340</v>
      </c>
      <c r="C676" s="1" t="str">
        <f>IFERROR(__xludf.DUMMYFUNCTION("CONCATENATE(GOOGLETRANSLATE(B676, ""en"", ""zh-cn""))"),"选择一个选项")</f>
        <v>选择一个选项</v>
      </c>
      <c r="D676" s="1" t="str">
        <f>IFERROR(__xludf.DUMMYFUNCTION("CONCATENATE(GOOGLETRANSLATE(B676, ""en"", ""ko""))"),"옵션을 선택하세요")</f>
        <v>옵션을 선택하세요</v>
      </c>
      <c r="E676" s="2" t="str">
        <f>IFERROR(__xludf.DUMMYFUNCTION("CONCATENATE(GOOGLETRANSLATE(B676, ""en"", ""ja""))"),"オプションを選択してください")</f>
        <v>オプションを選択してください</v>
      </c>
    </row>
    <row r="677" ht="15.75" customHeight="1">
      <c r="A677" s="1" t="s">
        <v>1341</v>
      </c>
      <c r="B677" s="1" t="s">
        <v>1342</v>
      </c>
      <c r="C677" s="1" t="str">
        <f>IFERROR(__xludf.DUMMYFUNCTION("CONCATENATE(GOOGLETRANSLATE(B677, ""en"", ""zh-cn""))"),"税")</f>
        <v>税</v>
      </c>
      <c r="D677" s="1" t="str">
        <f>IFERROR(__xludf.DUMMYFUNCTION("CONCATENATE(GOOGLETRANSLATE(B677, ""en"", ""ko""))"),"세")</f>
        <v>세</v>
      </c>
      <c r="E677" s="2" t="str">
        <f>IFERROR(__xludf.DUMMYFUNCTION("CONCATENATE(GOOGLETRANSLATE(B677, ""en"", ""ja""))"),"税")</f>
        <v>税</v>
      </c>
    </row>
    <row r="678" ht="15.75" customHeight="1">
      <c r="A678" s="1" t="s">
        <v>1343</v>
      </c>
      <c r="B678" s="1" t="s">
        <v>1344</v>
      </c>
      <c r="C678" s="1" t="str">
        <f>IFERROR(__xludf.DUMMYFUNCTION("CONCATENATE(GOOGLETRANSLATE(B678, ""en"", ""zh-cn""))"),"对这个产品有任何疑问吗？")</f>
        <v>对这个产品有任何疑问吗？</v>
      </c>
      <c r="D678" s="1" t="str">
        <f>IFERROR(__xludf.DUMMYFUNCTION("CONCATENATE(GOOGLETRANSLATE(B678, ""en"", ""ko""))"),"이 제품에 대해 궁금한 점이 있으신가요?")</f>
        <v>이 제품에 대해 궁금한 점이 있으신가요?</v>
      </c>
      <c r="E678" s="2" t="str">
        <f>IFERROR(__xludf.DUMMYFUNCTION("CONCATENATE(GOOGLETRANSLATE(B678, ""en"", ""ja""))"),"この製品についてご質問はありますか?")</f>
        <v>この製品についてご質問はありますか?</v>
      </c>
    </row>
    <row r="679" ht="15.75" customHeight="1">
      <c r="A679" s="1" t="s">
        <v>1345</v>
      </c>
      <c r="B679" s="1" t="s">
        <v>1346</v>
      </c>
      <c r="C679" s="1" t="str">
        <f>IFERROR(__xludf.DUMMYFUNCTION("CONCATENATE(GOOGLETRANSLATE(B679, ""en"", ""zh-cn""))"),"登入")</f>
        <v>登入</v>
      </c>
      <c r="D679" s="1" t="str">
        <f>IFERROR(__xludf.DUMMYFUNCTION("CONCATENATE(GOOGLETRANSLATE(B679, ""en"", ""ko""))"),"로그인")</f>
        <v>로그인</v>
      </c>
      <c r="E679" s="2" t="str">
        <f>IFERROR(__xludf.DUMMYFUNCTION("CONCATENATE(GOOGLETRANSLATE(B679, ""en"", ""ja""))"),"サインイン")</f>
        <v>サインイン</v>
      </c>
    </row>
    <row r="680" ht="15.75" customHeight="1">
      <c r="A680" s="1" t="s">
        <v>1347</v>
      </c>
      <c r="B680" s="1" t="s">
        <v>1348</v>
      </c>
      <c r="C680" s="1" t="str">
        <f>IFERROR(__xludf.DUMMYFUNCTION("CONCATENATE(GOOGLETRANSLATE(B680, ""en"", ""zh-cn""))"),"使用谷歌登录")</f>
        <v>使用谷歌登录</v>
      </c>
      <c r="D680" s="1" t="str">
        <f>IFERROR(__xludf.DUMMYFUNCTION("CONCATENATE(GOOGLETRANSLATE(B680, ""en"", ""ko""))"),"구글로 로그인")</f>
        <v>구글로 로그인</v>
      </c>
      <c r="E680" s="2" t="str">
        <f>IFERROR(__xludf.DUMMYFUNCTION("CONCATENATE(GOOGLETRANSLATE(B680, ""en"", ""ja""))"),"Googleでログイン")</f>
        <v>Googleでログイン</v>
      </c>
    </row>
    <row r="681" ht="15.75" customHeight="1">
      <c r="A681" s="1" t="s">
        <v>1349</v>
      </c>
      <c r="B681" s="1" t="s">
        <v>1350</v>
      </c>
      <c r="C681" s="1" t="str">
        <f>IFERROR(__xludf.DUMMYFUNCTION("CONCATENATE(GOOGLETRANSLATE(B681, ""en"", ""zh-cn""))"),"使用 Facebook 登录")</f>
        <v>使用 Facebook 登录</v>
      </c>
      <c r="D681" s="1" t="str">
        <f>IFERROR(__xludf.DUMMYFUNCTION("CONCATENATE(GOOGLETRANSLATE(B681, ""en"", ""ko""))"),"페이스북으로 로그인")</f>
        <v>페이스북으로 로그인</v>
      </c>
      <c r="E681" s="2" t="str">
        <f>IFERROR(__xludf.DUMMYFUNCTION("CONCATENATE(GOOGLETRANSLATE(B681, ""en"", ""ja""))"),"Facebookでログイン")</f>
        <v>Facebookでログイン</v>
      </c>
    </row>
    <row r="682" ht="15.75" customHeight="1">
      <c r="A682" s="1" t="s">
        <v>1351</v>
      </c>
      <c r="B682" s="1" t="s">
        <v>1352</v>
      </c>
      <c r="C682" s="1" t="str">
        <f>IFERROR(__xludf.DUMMYFUNCTION("CONCATENATE(GOOGLETRANSLATE(B682, ""en"", ""zh-cn""))"),"使用 Twitter 登录")</f>
        <v>使用 Twitter 登录</v>
      </c>
      <c r="D682" s="1" t="str">
        <f>IFERROR(__xludf.DUMMYFUNCTION("CONCATENATE(GOOGLETRANSLATE(B682, ""en"", ""ko""))"),"트위터로 로그인")</f>
        <v>트위터로 로그인</v>
      </c>
      <c r="E682" s="2" t="str">
        <f>IFERROR(__xludf.DUMMYFUNCTION("CONCATENATE(GOOGLETRANSLATE(B682, ""en"", ""ja""))"),"Twitterでログイン")</f>
        <v>Twitterでログイン</v>
      </c>
    </row>
    <row r="683" ht="15.75" customHeight="1">
      <c r="A683" s="1" t="s">
        <v>1353</v>
      </c>
      <c r="B683" s="1" t="s">
        <v>1354</v>
      </c>
      <c r="C683" s="1" t="str">
        <f>IFERROR(__xludf.DUMMYFUNCTION("CONCATENATE(GOOGLETRANSLATE(B683, ""en"", ""zh-cn""))"),"点击显示电话号码")</f>
        <v>点击显示电话号码</v>
      </c>
      <c r="D683" s="1" t="str">
        <f>IFERROR(__xludf.DUMMYFUNCTION("CONCATENATE(GOOGLETRANSLATE(B683, ""en"", ""ko""))"),"전화번호를 보려면 클릭하세요.")</f>
        <v>전화번호를 보려면 클릭하세요.</v>
      </c>
      <c r="E683" s="2" t="str">
        <f>IFERROR(__xludf.DUMMYFUNCTION("CONCATENATE(GOOGLETRANSLATE(B683, ""en"", ""ja""))"),"クリックすると電話番号が表示されます")</f>
        <v>クリックすると電話番号が表示されます</v>
      </c>
    </row>
    <row r="684" ht="15.75" customHeight="1">
      <c r="A684" s="1" t="s">
        <v>1355</v>
      </c>
      <c r="B684" s="1" t="s">
        <v>1356</v>
      </c>
      <c r="C684" s="1" t="str">
        <f>IFERROR(__xludf.DUMMYFUNCTION("CONCATENATE(GOOGLETRANSLATE(B684, ""en"", ""zh-cn""))"),"其他广告")</f>
        <v>其他广告</v>
      </c>
      <c r="D684" s="1" t="str">
        <f>IFERROR(__xludf.DUMMYFUNCTION("CONCATENATE(GOOGLETRANSLATE(B684, ""en"", ""ko""))"),"기타 광고")</f>
        <v>기타 광고</v>
      </c>
      <c r="E684" s="2" t="str">
        <f>IFERROR(__xludf.DUMMYFUNCTION("CONCATENATE(GOOGLETRANSLATE(B684, ""en"", ""ja""))"),"その他の広告")</f>
        <v>その他の広告</v>
      </c>
    </row>
    <row r="685" ht="15.75" customHeight="1">
      <c r="A685" s="1" t="s">
        <v>1357</v>
      </c>
      <c r="B685" s="1" t="s">
        <v>1358</v>
      </c>
      <c r="C685" s="1" t="str">
        <f>IFERROR(__xludf.DUMMYFUNCTION("CONCATENATE(GOOGLETRANSLATE(B685, ""en"", ""zh-cn""))"),"商店首页")</f>
        <v>商店首页</v>
      </c>
      <c r="D685" s="1" t="str">
        <f>IFERROR(__xludf.DUMMYFUNCTION("CONCATENATE(GOOGLETRANSLATE(B685, ""en"", ""ko""))"),"매장 홈")</f>
        <v>매장 홈</v>
      </c>
      <c r="E685" s="2" t="str">
        <f>IFERROR(__xludf.DUMMYFUNCTION("CONCATENATE(GOOGLETRANSLATE(B685, ""en"", ""ja""))"),"ストアホーム")</f>
        <v>ストアホーム</v>
      </c>
    </row>
    <row r="686" ht="15.75" customHeight="1">
      <c r="A686" s="1" t="s">
        <v>1359</v>
      </c>
      <c r="B686" s="1" t="s">
        <v>1360</v>
      </c>
      <c r="C686" s="1" t="str">
        <f>IFERROR(__xludf.DUMMYFUNCTION("CONCATENATE(GOOGLETRANSLATE(B686, ""en"", ""zh-cn""))"),"最畅销")</f>
        <v>最畅销</v>
      </c>
      <c r="D686" s="1" t="str">
        <f>IFERROR(__xludf.DUMMYFUNCTION("CONCATENATE(GOOGLETRANSLATE(B686, ""en"", ""ko""))"),"최고 판매")</f>
        <v>최고 판매</v>
      </c>
      <c r="E686" s="2" t="str">
        <f>IFERROR(__xludf.DUMMYFUNCTION("CONCATENATE(GOOGLETRANSLATE(B686, ""en"", ""ja""))"),"売れ筋商品")</f>
        <v>売れ筋商品</v>
      </c>
    </row>
    <row r="687" ht="15.75" customHeight="1">
      <c r="A687" s="1" t="s">
        <v>1361</v>
      </c>
      <c r="B687" s="1" t="s">
        <v>1362</v>
      </c>
      <c r="C687" s="1" t="str">
        <f>IFERROR(__xludf.DUMMYFUNCTION("CONCATENATE(GOOGLETRANSLATE(B687, ""en"", ""zh-cn""))"),"店铺设置")</f>
        <v>店铺设置</v>
      </c>
      <c r="D687" s="1" t="str">
        <f>IFERROR(__xludf.DUMMYFUNCTION("CONCATENATE(GOOGLETRANSLATE(B687, ""en"", ""ko""))"),"상점 설정")</f>
        <v>상점 설정</v>
      </c>
      <c r="E687" s="2" t="str">
        <f>IFERROR(__xludf.DUMMYFUNCTION("CONCATENATE(GOOGLETRANSLATE(B687, ""en"", ""ja""))"),"ショップ設定")</f>
        <v>ショップ設定</v>
      </c>
    </row>
    <row r="688" ht="15.75" customHeight="1">
      <c r="A688" s="1" t="s">
        <v>1363</v>
      </c>
      <c r="B688" s="1" t="s">
        <v>1364</v>
      </c>
      <c r="C688" s="1" t="str">
        <f>IFERROR(__xludf.DUMMYFUNCTION("CONCATENATE(GOOGLETRANSLATE(B688, ""en"", ""zh-cn""))"),"参观商店")</f>
        <v>参观商店</v>
      </c>
      <c r="D688" s="1" t="str">
        <f>IFERROR(__xludf.DUMMYFUNCTION("CONCATENATE(GOOGLETRANSLATE(B688, ""en"", ""ko""))"),"매장 방문")</f>
        <v>매장 방문</v>
      </c>
      <c r="E688" s="2" t="str">
        <f>IFERROR(__xludf.DUMMYFUNCTION("CONCATENATE(GOOGLETRANSLATE(B688, ""en"", ""ja""))"),"ショップに行く")</f>
        <v>ショップに行く</v>
      </c>
    </row>
    <row r="689" ht="15.75" customHeight="1">
      <c r="A689" s="1" t="s">
        <v>1365</v>
      </c>
      <c r="B689" s="1" t="s">
        <v>1366</v>
      </c>
      <c r="C689" s="1" t="str">
        <f>IFERROR(__xludf.DUMMYFUNCTION("CONCATENATE(GOOGLETRANSLATE(B689, ""en"", ""zh-cn""))"),"接送点")</f>
        <v>接送点</v>
      </c>
      <c r="D689" s="1" t="str">
        <f>IFERROR(__xludf.DUMMYFUNCTION("CONCATENATE(GOOGLETRANSLATE(B689, ""en"", ""ko""))"),"픽업 지점")</f>
        <v>픽업 지점</v>
      </c>
      <c r="E689" s="2" t="str">
        <f>IFERROR(__xludf.DUMMYFUNCTION("CONCATENATE(GOOGLETRANSLATE(B689, ""en"", ""ja""))"),"受け取りポイント")</f>
        <v>受け取りポイント</v>
      </c>
    </row>
    <row r="690" ht="15.75" customHeight="1">
      <c r="A690" s="1" t="s">
        <v>1367</v>
      </c>
      <c r="B690" s="1" t="s">
        <v>1368</v>
      </c>
      <c r="C690" s="1" t="str">
        <f>IFERROR(__xludf.DUMMYFUNCTION("CONCATENATE(GOOGLETRANSLATE(B690, ""en"", ""zh-cn""))"),"选择接送点")</f>
        <v>选择接送点</v>
      </c>
      <c r="D690" s="1" t="str">
        <f>IFERROR(__xludf.DUMMYFUNCTION("CONCATENATE(GOOGLETRANSLATE(B690, ""en"", ""ko""))"),"픽업 지점 선택")</f>
        <v>픽업 지점 선택</v>
      </c>
      <c r="E690" s="2" t="str">
        <f>IFERROR(__xludf.DUMMYFUNCTION("CONCATENATE(GOOGLETRANSLATE(B690, ""en"", ""ja""))"),"受け取り場所を選択してください")</f>
        <v>受け取り場所を選択してください</v>
      </c>
    </row>
    <row r="691" ht="15.75" customHeight="1">
      <c r="A691" s="1" t="s">
        <v>1369</v>
      </c>
      <c r="B691" s="1" t="s">
        <v>1370</v>
      </c>
      <c r="C691" s="1" t="str">
        <f>IFERROR(__xludf.DUMMYFUNCTION("CONCATENATE(GOOGLETRANSLATE(B691, ""en"", ""zh-cn""))"),"滑块设置")</f>
        <v>滑块设置</v>
      </c>
      <c r="D691" s="1" t="str">
        <f>IFERROR(__xludf.DUMMYFUNCTION("CONCATENATE(GOOGLETRANSLATE(B691, ""en"", ""ko""))"),"슬라이더 설정")</f>
        <v>슬라이더 설정</v>
      </c>
      <c r="E691" s="2" t="str">
        <f>IFERROR(__xludf.DUMMYFUNCTION("CONCATENATE(GOOGLETRANSLATE(B691, ""en"", ""ja""))"),"スライダー設定")</f>
        <v>スライダー設定</v>
      </c>
    </row>
    <row r="692" ht="15.75" customHeight="1">
      <c r="A692" s="1" t="s">
        <v>1371</v>
      </c>
      <c r="B692" s="1" t="s">
        <v>1372</v>
      </c>
      <c r="C692" s="1" t="str">
        <f>IFERROR(__xludf.DUMMYFUNCTION("CONCATENATE(GOOGLETRANSLATE(B692, ""en"", ""zh-cn""))"),"社交媒体链接")</f>
        <v>社交媒体链接</v>
      </c>
      <c r="D692" s="1" t="str">
        <f>IFERROR(__xludf.DUMMYFUNCTION("CONCATENATE(GOOGLETRANSLATE(B692, ""en"", ""ko""))"),"소셜 미디어 링크")</f>
        <v>소셜 미디어 링크</v>
      </c>
      <c r="E692" s="2" t="str">
        <f>IFERROR(__xludf.DUMMYFUNCTION("CONCATENATE(GOOGLETRANSLATE(B692, ""en"", ""ja""))"),"ソーシャルメディアリンク")</f>
        <v>ソーシャルメディアリンク</v>
      </c>
    </row>
    <row r="693" ht="15.75" customHeight="1">
      <c r="A693" s="1" t="s">
        <v>1373</v>
      </c>
      <c r="B693" s="1" t="s">
        <v>1374</v>
      </c>
      <c r="C693" s="1" t="str">
        <f>IFERROR(__xludf.DUMMYFUNCTION("CONCATENATE(GOOGLETRANSLATE(B693, ""en"", ""zh-cn""))"),"Facebook")</f>
        <v>Facebook</v>
      </c>
      <c r="D693" s="1" t="str">
        <f>IFERROR(__xludf.DUMMYFUNCTION("CONCATENATE(GOOGLETRANSLATE(B693, ""en"", ""ko""))"),"페이스북")</f>
        <v>페이스북</v>
      </c>
      <c r="E693" s="2" t="str">
        <f>IFERROR(__xludf.DUMMYFUNCTION("CONCATENATE(GOOGLETRANSLATE(B693, ""en"", ""ja""))"),"フェイスブック")</f>
        <v>フェイスブック</v>
      </c>
    </row>
    <row r="694" ht="15.75" customHeight="1">
      <c r="A694" s="1" t="s">
        <v>1375</v>
      </c>
      <c r="B694" s="1" t="s">
        <v>1376</v>
      </c>
      <c r="C694" s="1" t="str">
        <f>IFERROR(__xludf.DUMMYFUNCTION("CONCATENATE(GOOGLETRANSLATE(B694, ""en"", ""zh-cn""))"),"叽叽喳喳")</f>
        <v>叽叽喳喳</v>
      </c>
      <c r="D694" s="1" t="str">
        <f>IFERROR(__xludf.DUMMYFUNCTION("CONCATENATE(GOOGLETRANSLATE(B694, ""en"", ""ko""))"),"지저귀다")</f>
        <v>지저귀다</v>
      </c>
      <c r="E694" s="2" t="str">
        <f>IFERROR(__xludf.DUMMYFUNCTION("CONCATENATE(GOOGLETRANSLATE(B694, ""en"", ""ja""))"),"ツイッター")</f>
        <v>ツイッター</v>
      </c>
    </row>
    <row r="695" ht="15.75" customHeight="1">
      <c r="A695" s="1" t="s">
        <v>1377</v>
      </c>
      <c r="B695" s="1" t="s">
        <v>1378</v>
      </c>
      <c r="C695" s="1" t="str">
        <f>IFERROR(__xludf.DUMMYFUNCTION("CONCATENATE(GOOGLETRANSLATE(B695, ""en"", ""zh-cn""))"),"谷歌")</f>
        <v>谷歌</v>
      </c>
      <c r="D695" s="1" t="str">
        <f>IFERROR(__xludf.DUMMYFUNCTION("CONCATENATE(GOOGLETRANSLATE(B695, ""en"", ""ko""))"),"Google")</f>
        <v>Google</v>
      </c>
      <c r="E695" s="2" t="str">
        <f>IFERROR(__xludf.DUMMYFUNCTION("CONCATENATE(GOOGLETRANSLATE(B695, ""en"", ""ja""))"),"グーグル")</f>
        <v>グーグル</v>
      </c>
    </row>
    <row r="696" ht="15.75" customHeight="1">
      <c r="A696" s="1" t="s">
        <v>1379</v>
      </c>
      <c r="B696" s="1" t="s">
        <v>1380</v>
      </c>
      <c r="C696" s="1" t="str">
        <f>IFERROR(__xludf.DUMMYFUNCTION("CONCATENATE(GOOGLETRANSLATE(B696, ""en"", ""zh-cn""))"),"新品上市")</f>
        <v>新品上市</v>
      </c>
      <c r="D696" s="1" t="str">
        <f>IFERROR(__xludf.DUMMYFUNCTION("CONCATENATE(GOOGLETRANSLATE(B696, ""en"", ""ko""))"),"새로운 도착 제품")</f>
        <v>새로운 도착 제품</v>
      </c>
      <c r="E696" s="2" t="str">
        <f>IFERROR(__xludf.DUMMYFUNCTION("CONCATENATE(GOOGLETRANSLATE(B696, ""en"", ""ja""))"),"新着商品")</f>
        <v>新着商品</v>
      </c>
    </row>
    <row r="697" ht="15.75" customHeight="1">
      <c r="A697" s="1" t="s">
        <v>1381</v>
      </c>
      <c r="B697" s="1" t="s">
        <v>1382</v>
      </c>
      <c r="C697" s="1" t="str">
        <f>IFERROR(__xludf.DUMMYFUNCTION("CONCATENATE(GOOGLETRANSLATE(B697, ""en"", ""zh-cn""))"),"检查您的订单状态")</f>
        <v>检查您的订单状态</v>
      </c>
      <c r="D697" s="1" t="str">
        <f>IFERROR(__xludf.DUMMYFUNCTION("CONCATENATE(GOOGLETRANSLATE(B697, ""en"", ""ko""))"),"주문 상태 확인")</f>
        <v>주문 상태 확인</v>
      </c>
      <c r="E697" s="2" t="str">
        <f>IFERROR(__xludf.DUMMYFUNCTION("CONCATENATE(GOOGLETRANSLATE(B697, ""en"", ""ja""))"),"注文状況を確認する")</f>
        <v>注文状況を確認する</v>
      </c>
    </row>
    <row r="698" ht="15.75" customHeight="1">
      <c r="A698" s="1" t="s">
        <v>1383</v>
      </c>
      <c r="B698" s="1" t="s">
        <v>1384</v>
      </c>
      <c r="C698" s="1" t="str">
        <f>IFERROR(__xludf.DUMMYFUNCTION("CONCATENATE(GOOGLETRANSLATE(B698, ""en"", ""zh-cn""))"),"运送方式")</f>
        <v>运送方式</v>
      </c>
      <c r="D698" s="1" t="str">
        <f>IFERROR(__xludf.DUMMYFUNCTION("CONCATENATE(GOOGLETRANSLATE(B698, ""en"", ""ko""))"),"배송 방법")</f>
        <v>배송 방법</v>
      </c>
      <c r="E698" s="2" t="str">
        <f>IFERROR(__xludf.DUMMYFUNCTION("CONCATENATE(GOOGLETRANSLATE(B698, ""en"", ""ja""))"),"配送方法")</f>
        <v>配送方法</v>
      </c>
    </row>
    <row r="699" ht="15.75" customHeight="1">
      <c r="A699" s="1" t="s">
        <v>1385</v>
      </c>
      <c r="B699" s="1" t="s">
        <v>1386</v>
      </c>
      <c r="C699" s="1" t="str">
        <f>IFERROR(__xludf.DUMMYFUNCTION("CONCATENATE(GOOGLETRANSLATE(B699, ""en"", ""zh-cn""))"),"发货人")</f>
        <v>发货人</v>
      </c>
      <c r="D699" s="1" t="str">
        <f>IFERROR(__xludf.DUMMYFUNCTION("CONCATENATE(GOOGLETRANSLATE(B699, ""en"", ""ko""))"),"배송지")</f>
        <v>배송지</v>
      </c>
      <c r="E699" s="2" t="str">
        <f>IFERROR(__xludf.DUMMYFUNCTION("CONCATENATE(GOOGLETRANSLATE(B699, ""en"", ""ja""))"),"発送元")</f>
        <v>発送元</v>
      </c>
    </row>
    <row r="700" ht="15.75" customHeight="1">
      <c r="A700" s="1" t="s">
        <v>1387</v>
      </c>
      <c r="B700" s="1" t="s">
        <v>1388</v>
      </c>
      <c r="C700" s="1" t="str">
        <f>IFERROR(__xludf.DUMMYFUNCTION("CONCATENATE(GOOGLETRANSLATE(B700, ""en"", ""zh-cn""))"),"图像")</f>
        <v>图像</v>
      </c>
      <c r="D700" s="1" t="str">
        <f>IFERROR(__xludf.DUMMYFUNCTION("CONCATENATE(GOOGLETRANSLATE(B700, ""en"", ""ko""))"),"영상")</f>
        <v>영상</v>
      </c>
      <c r="E700" s="2" t="str">
        <f>IFERROR(__xludf.DUMMYFUNCTION("CONCATENATE(GOOGLETRANSLATE(B700, ""en"", ""ja""))"),"画像")</f>
        <v>画像</v>
      </c>
    </row>
    <row r="701" ht="15.75" customHeight="1">
      <c r="A701" s="1" t="s">
        <v>1389</v>
      </c>
      <c r="B701" s="1" t="s">
        <v>1390</v>
      </c>
      <c r="C701" s="1" t="str">
        <f>IFERROR(__xludf.DUMMYFUNCTION("CONCATENATE(GOOGLETRANSLATE(B701, ""en"", ""zh-cn""))"),"子子类别")</f>
        <v>子子类别</v>
      </c>
      <c r="D701" s="1" t="str">
        <f>IFERROR(__xludf.DUMMYFUNCTION("CONCATENATE(GOOGLETRANSLATE(B701, ""en"", ""ko""))"),"하위 하위 카테고리")</f>
        <v>하위 하위 카테고리</v>
      </c>
      <c r="E701" s="2" t="str">
        <f>IFERROR(__xludf.DUMMYFUNCTION("CONCATENATE(GOOGLETRANSLATE(B701, ""en"", ""ja""))"),"サブサブカテゴリ")</f>
        <v>サブサブカテゴリ</v>
      </c>
    </row>
    <row r="702" ht="15.75" customHeight="1">
      <c r="A702" s="1" t="s">
        <v>1391</v>
      </c>
      <c r="B702" s="1" t="s">
        <v>1392</v>
      </c>
      <c r="C702" s="1" t="str">
        <f>IFERROR(__xludf.DUMMYFUNCTION("CONCATENATE(GOOGLETRANSLATE(B702, ""en"", ""zh-cn""))"),"内部产品")</f>
        <v>内部产品</v>
      </c>
      <c r="D702" s="1" t="str">
        <f>IFERROR(__xludf.DUMMYFUNCTION("CONCATENATE(GOOGLETRANSLATE(B702, ""en"", ""ko""))"),"사내 제품")</f>
        <v>사내 제품</v>
      </c>
      <c r="E702" s="2" t="str">
        <f>IFERROR(__xludf.DUMMYFUNCTION("CONCATENATE(GOOGLETRANSLATE(B702, ""en"", ""ja""))"),"自社製品")</f>
        <v>自社製品</v>
      </c>
    </row>
    <row r="703" ht="15.75" customHeight="1">
      <c r="A703" s="1" t="s">
        <v>536</v>
      </c>
      <c r="B703" s="1" t="s">
        <v>1393</v>
      </c>
      <c r="C703" s="1" t="str">
        <f>IFERROR(__xludf.DUMMYFUNCTION("CONCATENATE(GOOGLETRANSLATE(B703, ""en"", ""zh-cn""))"),"忘记密码？")</f>
        <v>忘记密码？</v>
      </c>
      <c r="D703" s="1" t="str">
        <f>IFERROR(__xludf.DUMMYFUNCTION("CONCATENATE(GOOGLETRANSLATE(B703, ""en"", ""ko""))"),"비밀번호를 잊으셨나요?")</f>
        <v>비밀번호를 잊으셨나요?</v>
      </c>
      <c r="E703" s="2" t="str">
        <f>IFERROR(__xludf.DUMMYFUNCTION("CONCATENATE(GOOGLETRANSLATE(B703, ""en"", ""ja""))"),"パスワードをお忘れですか？")</f>
        <v>パスワードをお忘れですか？</v>
      </c>
    </row>
    <row r="704" ht="15.75" customHeight="1">
      <c r="A704" s="1" t="s">
        <v>1394</v>
      </c>
      <c r="B704" s="1" t="s">
        <v>1395</v>
      </c>
      <c r="C704" s="1" t="str">
        <f>IFERROR(__xludf.DUMMYFUNCTION("CONCATENATE(GOOGLETRANSLATE(B704, ""en"", ""zh-cn""))"),"输入您的电子邮件地址以恢复您的密码。")</f>
        <v>输入您的电子邮件地址以恢复您的密码。</v>
      </c>
      <c r="D704" s="1" t="str">
        <f>IFERROR(__xludf.DUMMYFUNCTION("CONCATENATE(GOOGLETRANSLATE(B704, ""en"", ""ko""))"),"비밀번호를 복구하려면 이메일 주소를 입력하세요.")</f>
        <v>비밀번호를 복구하려면 이메일 주소를 입력하세요.</v>
      </c>
      <c r="E704" s="2" t="str">
        <f>IFERROR(__xludf.DUMMYFUNCTION("CONCATENATE(GOOGLETRANSLATE(B704, ""en"", ""ja""))"),"パスワードを回復するには、メール アドレスを入力してください。")</f>
        <v>パスワードを回復するには、メール アドレスを入力してください。</v>
      </c>
    </row>
    <row r="705" ht="15.75" customHeight="1">
      <c r="A705" s="1" t="s">
        <v>1396</v>
      </c>
      <c r="B705" s="1" t="s">
        <v>1397</v>
      </c>
      <c r="C705" s="1" t="str">
        <f>IFERROR(__xludf.DUMMYFUNCTION("CONCATENATE(GOOGLETRANSLATE(B705, ""en"", ""zh-cn""))"),"电子邮件或电话")</f>
        <v>电子邮件或电话</v>
      </c>
      <c r="D705" s="1" t="str">
        <f>IFERROR(__xludf.DUMMYFUNCTION("CONCATENATE(GOOGLETRANSLATE(B705, ""en"", ""ko""))"),"이메일 또는 전화")</f>
        <v>이메일 또는 전화</v>
      </c>
      <c r="E705" s="2" t="str">
        <f>IFERROR(__xludf.DUMMYFUNCTION("CONCATENATE(GOOGLETRANSLATE(B705, ""en"", ""ja""))"),"電子メールまたは電話")</f>
        <v>電子メールまたは電話</v>
      </c>
    </row>
    <row r="706" ht="15.75" customHeight="1">
      <c r="A706" s="1" t="s">
        <v>1398</v>
      </c>
      <c r="B706" s="1" t="s">
        <v>1399</v>
      </c>
      <c r="C706" s="1" t="str">
        <f>IFERROR(__xludf.DUMMYFUNCTION("CONCATENATE(GOOGLETRANSLATE(B706, ""en"", ""zh-cn""))"),"发送密码重置链接")</f>
        <v>发送密码重置链接</v>
      </c>
      <c r="D706" s="1" t="str">
        <f>IFERROR(__xludf.DUMMYFUNCTION("CONCATENATE(GOOGLETRANSLATE(B706, ""en"", ""ko""))"),"비밀번호 재설정 링크 보내기")</f>
        <v>비밀번호 재설정 링크 보내기</v>
      </c>
      <c r="E706" s="2" t="str">
        <f>IFERROR(__xludf.DUMMYFUNCTION("CONCATENATE(GOOGLETRANSLATE(B706, ""en"", ""ja""))"),"パスワードリセットリンクを送信する")</f>
        <v>パスワードリセットリンクを送信する</v>
      </c>
    </row>
    <row r="707" ht="15.75" customHeight="1">
      <c r="A707" s="1" t="s">
        <v>1400</v>
      </c>
      <c r="B707" s="1" t="s">
        <v>1401</v>
      </c>
      <c r="C707" s="1" t="str">
        <f>IFERROR(__xludf.DUMMYFUNCTION("CONCATENATE(GOOGLETRANSLATE(B707, ""en"", ""zh-cn""))"),"返回登录")</f>
        <v>返回登录</v>
      </c>
      <c r="D707" s="1" t="str">
        <f>IFERROR(__xludf.DUMMYFUNCTION("CONCATENATE(GOOGLETRANSLATE(B707, ""en"", ""ko""))"),"로그인으로 돌아가기")</f>
        <v>로그인으로 돌아가기</v>
      </c>
      <c r="E707" s="2" t="str">
        <f>IFERROR(__xludf.DUMMYFUNCTION("CONCATENATE(GOOGLETRANSLATE(B707, ""en"", ""ja""))"),"ログインに戻る")</f>
        <v>ログインに戻る</v>
      </c>
    </row>
    <row r="708" ht="15.75" customHeight="1">
      <c r="A708" s="1" t="s">
        <v>1402</v>
      </c>
      <c r="B708" s="1" t="s">
        <v>1402</v>
      </c>
      <c r="C708" s="1" t="str">
        <f>IFERROR(__xludf.DUMMYFUNCTION("CONCATENATE(GOOGLETRANSLATE(B708, ""en"", ""zh-cn""))"),"指数")</f>
        <v>指数</v>
      </c>
      <c r="D708" s="1" t="str">
        <f>IFERROR(__xludf.DUMMYFUNCTION("CONCATENATE(GOOGLETRANSLATE(B708, ""en"", ""ko""))"),"색인")</f>
        <v>색인</v>
      </c>
      <c r="E708" s="2" t="str">
        <f>IFERROR(__xludf.DUMMYFUNCTION("CONCATENATE(GOOGLETRANSLATE(B708, ""en"", ""ja""))"),"索引")</f>
        <v>索引</v>
      </c>
    </row>
    <row r="709" ht="15.75" customHeight="1">
      <c r="A709" s="1" t="s">
        <v>1403</v>
      </c>
      <c r="B709" s="1" t="s">
        <v>1404</v>
      </c>
      <c r="C709" s="1" t="str">
        <f>IFERROR(__xludf.DUMMYFUNCTION("CONCATENATE(GOOGLETRANSLATE(B709, ""en"", ""zh-cn""))"),"下载您的产品")</f>
        <v>下载您的产品</v>
      </c>
      <c r="D709" s="1" t="str">
        <f>IFERROR(__xludf.DUMMYFUNCTION("CONCATENATE(GOOGLETRANSLATE(B709, ""en"", ""ko""))"),"제품 다운로드")</f>
        <v>제품 다운로드</v>
      </c>
      <c r="E709" s="2" t="str">
        <f>IFERROR(__xludf.DUMMYFUNCTION("CONCATENATE(GOOGLETRANSLATE(B709, ""en"", ""ja""))"),"製品をダウンロードする")</f>
        <v>製品をダウンロードする</v>
      </c>
    </row>
    <row r="710" ht="15.75" customHeight="1">
      <c r="A710" s="1" t="s">
        <v>1405</v>
      </c>
      <c r="B710" s="1" t="s">
        <v>1406</v>
      </c>
      <c r="C710" s="1" t="str">
        <f>IFERROR(__xludf.DUMMYFUNCTION("CONCATENATE(GOOGLETRANSLATE(B710, ""en"", ""zh-cn""))"),"选项")</f>
        <v>选项</v>
      </c>
      <c r="D710" s="1" t="str">
        <f>IFERROR(__xludf.DUMMYFUNCTION("CONCATENATE(GOOGLETRANSLATE(B710, ""en"", ""ko""))"),"옵션")</f>
        <v>옵션</v>
      </c>
      <c r="E710" s="2" t="str">
        <f>IFERROR(__xludf.DUMMYFUNCTION("CONCATENATE(GOOGLETRANSLATE(B710, ""en"", ""ja""))"),"オプション")</f>
        <v>オプション</v>
      </c>
    </row>
    <row r="711" ht="15.75" customHeight="1">
      <c r="A711" s="1" t="s">
        <v>1407</v>
      </c>
      <c r="B711" s="1" t="s">
        <v>1408</v>
      </c>
      <c r="C711" s="1" t="str">
        <f>IFERROR(__xludf.DUMMYFUNCTION("CONCATENATE(GOOGLETRANSLATE(B711, ""en"", ""zh-cn""))"),"申请退款")</f>
        <v>申请退款</v>
      </c>
      <c r="D711" s="1" t="str">
        <f>IFERROR(__xludf.DUMMYFUNCTION("CONCATENATE(GOOGLETRANSLATE(B711, ""en"", ""ko""))"),"환불 요청이 적용되었습니다.")</f>
        <v>환불 요청이 적용되었습니다.</v>
      </c>
      <c r="E711" s="2" t="str">
        <f>IFERROR(__xludf.DUMMYFUNCTION("CONCATENATE(GOOGLETRANSLATE(B711, ""en"", ""ja""))"),"適用された返金リクエスト")</f>
        <v>適用された返金リクエスト</v>
      </c>
    </row>
    <row r="712" ht="15.75" customHeight="1">
      <c r="A712" s="1" t="s">
        <v>1409</v>
      </c>
      <c r="B712" s="1" t="s">
        <v>1410</v>
      </c>
      <c r="C712" s="1" t="str">
        <f>IFERROR(__xludf.DUMMYFUNCTION("CONCATENATE(GOOGLETRANSLATE(B712, ""en"", ""zh-cn""))"),"心愿单中的商品已更新")</f>
        <v>心愿单中的商品已更新</v>
      </c>
      <c r="D712" s="1" t="str">
        <f>IFERROR(__xludf.DUMMYFUNCTION("CONCATENATE(GOOGLETRANSLATE(B712, ""en"", ""ko""))"),"위시리스트에서 항목이 리뉴얼되었습니다.")</f>
        <v>위시리스트에서 항목이 리뉴얼되었습니다.</v>
      </c>
      <c r="E712" s="2" t="str">
        <f>IFERROR(__xludf.DUMMYFUNCTION("CONCATENATE(GOOGLETRANSLATE(B712, ""en"", ""ja""))"),"アイテムはウィッシュリストから更新されました")</f>
        <v>アイテムはウィッシュリストから更新されました</v>
      </c>
    </row>
    <row r="713" ht="15.75" customHeight="1">
      <c r="A713" s="1" t="s">
        <v>1411</v>
      </c>
      <c r="B713" s="1" t="s">
        <v>1412</v>
      </c>
      <c r="C713" s="1" t="str">
        <f>IFERROR(__xludf.DUMMYFUNCTION("CONCATENATE(GOOGLETRANSLATE(B713, ""en"", ""zh-cn""))"),"批量产品上传")</f>
        <v>批量产品上传</v>
      </c>
      <c r="D713" s="1" t="str">
        <f>IFERROR(__xludf.DUMMYFUNCTION("CONCATENATE(GOOGLETRANSLATE(B713, ""en"", ""ko""))"),"대량 제품 업로드")</f>
        <v>대량 제품 업로드</v>
      </c>
      <c r="E713" s="2" t="str">
        <f>IFERROR(__xludf.DUMMYFUNCTION("CONCATENATE(GOOGLETRANSLATE(B713, ""en"", ""ja""))"),"製品の一括アップロード")</f>
        <v>製品の一括アップロード</v>
      </c>
    </row>
    <row r="714" ht="15.75" customHeight="1">
      <c r="A714" s="1" t="s">
        <v>1413</v>
      </c>
      <c r="B714" s="1" t="s">
        <v>1414</v>
      </c>
      <c r="C714" s="1" t="str">
        <f>IFERROR(__xludf.DUMMYFUNCTION("CONCATENATE(GOOGLETRANSLATE(B714, ""en"", ""zh-cn""))"),"上传 CSV")</f>
        <v>上传 CSV</v>
      </c>
      <c r="D714" s="1" t="str">
        <f>IFERROR(__xludf.DUMMYFUNCTION("CONCATENATE(GOOGLETRANSLATE(B714, ""en"", ""ko""))"),"CSV 업로드")</f>
        <v>CSV 업로드</v>
      </c>
      <c r="E714" s="2" t="str">
        <f>IFERROR(__xludf.DUMMYFUNCTION("CONCATENATE(GOOGLETRANSLATE(B714, ""en"", ""ja""))"),"CSVのアップロード")</f>
        <v>CSVのアップロード</v>
      </c>
    </row>
    <row r="715" ht="15.75" customHeight="1">
      <c r="A715" s="1" t="s">
        <v>1415</v>
      </c>
      <c r="B715" s="1" t="s">
        <v>1416</v>
      </c>
      <c r="C715" s="1" t="str">
        <f>IFERROR(__xludf.DUMMYFUNCTION("CONCATENATE(GOOGLETRANSLATE(B715, ""en"", ""zh-cn""))"),"创建票证")</f>
        <v>创建票证</v>
      </c>
      <c r="D715" s="1" t="str">
        <f>IFERROR(__xludf.DUMMYFUNCTION("CONCATENATE(GOOGLETRANSLATE(B715, ""en"", ""ko""))"),"티켓 만들기")</f>
        <v>티켓 만들기</v>
      </c>
      <c r="E715" s="2" t="str">
        <f>IFERROR(__xludf.DUMMYFUNCTION("CONCATENATE(GOOGLETRANSLATE(B715, ""en"", ""ja""))"),"チケットを作成する")</f>
        <v>チケットを作成する</v>
      </c>
    </row>
    <row r="716" ht="15.75" customHeight="1">
      <c r="A716" s="1" t="s">
        <v>1417</v>
      </c>
      <c r="B716" s="1" t="s">
        <v>1418</v>
      </c>
      <c r="C716" s="1" t="str">
        <f>IFERROR(__xludf.DUMMYFUNCTION("CONCATENATE(GOOGLETRANSLATE(B716, ""en"", ""zh-cn""))"),"门票")</f>
        <v>门票</v>
      </c>
      <c r="D716" s="1" t="str">
        <f>IFERROR(__xludf.DUMMYFUNCTION("CONCATENATE(GOOGLETRANSLATE(B716, ""en"", ""ko""))"),"티켓")</f>
        <v>티켓</v>
      </c>
      <c r="E716" s="2" t="str">
        <f>IFERROR(__xludf.DUMMYFUNCTION("CONCATENATE(GOOGLETRANSLATE(B716, ""en"", ""ja""))"),"チケット")</f>
        <v>チケット</v>
      </c>
    </row>
    <row r="717" ht="15.75" customHeight="1">
      <c r="A717" s="1" t="s">
        <v>1419</v>
      </c>
      <c r="B717" s="1" t="s">
        <v>1420</v>
      </c>
      <c r="C717" s="1" t="str">
        <f>IFERROR(__xludf.DUMMYFUNCTION("CONCATENATE(GOOGLETRANSLATE(B717, ""en"", ""zh-cn""))"),"票证编号")</f>
        <v>票证编号</v>
      </c>
      <c r="D717" s="1" t="str">
        <f>IFERROR(__xludf.DUMMYFUNCTION("CONCATENATE(GOOGLETRANSLATE(B717, ""en"", ""ko""))"),"티켓 ID")</f>
        <v>티켓 ID</v>
      </c>
      <c r="E717" s="2" t="str">
        <f>IFERROR(__xludf.DUMMYFUNCTION("CONCATENATE(GOOGLETRANSLATE(B717, ""en"", ""ja""))"),"チケットID")</f>
        <v>チケットID</v>
      </c>
    </row>
    <row r="718" ht="15.75" customHeight="1">
      <c r="A718" s="1" t="s">
        <v>1421</v>
      </c>
      <c r="B718" s="1" t="s">
        <v>1422</v>
      </c>
      <c r="C718" s="1" t="str">
        <f>IFERROR(__xludf.DUMMYFUNCTION("CONCATENATE(GOOGLETRANSLATE(B718, ""en"", ""zh-cn""))"),"发送日期")</f>
        <v>发送日期</v>
      </c>
      <c r="D718" s="1" t="str">
        <f>IFERROR(__xludf.DUMMYFUNCTION("CONCATENATE(GOOGLETRANSLATE(B718, ""en"", ""ko""))"),"보내는 날짜")</f>
        <v>보내는 날짜</v>
      </c>
      <c r="E718" s="2" t="str">
        <f>IFERROR(__xludf.DUMMYFUNCTION("CONCATENATE(GOOGLETRANSLATE(B718, ""en"", ""ja""))"),"送信日")</f>
        <v>送信日</v>
      </c>
    </row>
    <row r="719" ht="15.75" customHeight="1">
      <c r="A719" s="1" t="s">
        <v>1423</v>
      </c>
      <c r="B719" s="1" t="s">
        <v>1424</v>
      </c>
      <c r="C719" s="1" t="str">
        <f>IFERROR(__xludf.DUMMYFUNCTION("CONCATENATE(GOOGLETRANSLATE(B719, ""en"", ""zh-cn""))"),"主题")</f>
        <v>主题</v>
      </c>
      <c r="D719" s="1" t="str">
        <f>IFERROR(__xludf.DUMMYFUNCTION("CONCATENATE(GOOGLETRANSLATE(B719, ""en"", ""ko""))"),"주제")</f>
        <v>주제</v>
      </c>
      <c r="E719" s="2" t="str">
        <f>IFERROR(__xludf.DUMMYFUNCTION("CONCATENATE(GOOGLETRANSLATE(B719, ""en"", ""ja""))"),"主題")</f>
        <v>主題</v>
      </c>
    </row>
    <row r="720" ht="15.75" customHeight="1">
      <c r="A720" s="1" t="s">
        <v>1425</v>
      </c>
      <c r="B720" s="1" t="s">
        <v>1426</v>
      </c>
      <c r="C720" s="1" t="str">
        <f>IFERROR(__xludf.DUMMYFUNCTION("CONCATENATE(GOOGLETRANSLATE(B720, ""en"", ""zh-cn""))"),"查看详情")</f>
        <v>查看详情</v>
      </c>
      <c r="D720" s="1" t="str">
        <f>IFERROR(__xludf.DUMMYFUNCTION("CONCATENATE(GOOGLETRANSLATE(B720, ""en"", ""ko""))"),"세부정보 보기")</f>
        <v>세부정보 보기</v>
      </c>
      <c r="E720" s="2" t="str">
        <f>IFERROR(__xludf.DUMMYFUNCTION("CONCATENATE(GOOGLETRANSLATE(B720, ""en"", ""ja""))"),"詳細を見る")</f>
        <v>詳細を見る</v>
      </c>
    </row>
    <row r="721" ht="15.75" customHeight="1">
      <c r="A721" s="1" t="s">
        <v>1427</v>
      </c>
      <c r="B721" s="1" t="s">
        <v>1428</v>
      </c>
      <c r="C721" s="1" t="str">
        <f>IFERROR(__xludf.DUMMYFUNCTION("CONCATENATE(GOOGLETRANSLATE(B721, ""en"", ""zh-cn""))"),"提供详细描述")</f>
        <v>提供详细描述</v>
      </c>
      <c r="D721" s="1" t="str">
        <f>IFERROR(__xludf.DUMMYFUNCTION("CONCATENATE(GOOGLETRANSLATE(B721, ""en"", ""ko""))"),"자세한 설명을 제공하세요")</f>
        <v>자세한 설명을 제공하세요</v>
      </c>
      <c r="E721" s="2" t="str">
        <f>IFERROR(__xludf.DUMMYFUNCTION("CONCATENATE(GOOGLETRANSLATE(B721, ""en"", ""ja""))"),"詳細な説明を提供する")</f>
        <v>詳細な説明を提供する</v>
      </c>
    </row>
    <row r="722" ht="15.75" customHeight="1">
      <c r="A722" s="1" t="s">
        <v>1429</v>
      </c>
      <c r="B722" s="1" t="s">
        <v>1430</v>
      </c>
      <c r="C722" s="1" t="str">
        <f>IFERROR(__xludf.DUMMYFUNCTION("CONCATENATE(GOOGLETRANSLATE(B722, ""en"", ""zh-cn""))"),"输入您的回复")</f>
        <v>输入您的回复</v>
      </c>
      <c r="D722" s="1" t="str">
        <f>IFERROR(__xludf.DUMMYFUNCTION("CONCATENATE(GOOGLETRANSLATE(B722, ""en"", ""ko""))"),"답장을 입력하세요")</f>
        <v>답장을 입력하세요</v>
      </c>
      <c r="E722" s="2" t="str">
        <f>IFERROR(__xludf.DUMMYFUNCTION("CONCATENATE(GOOGLETRANSLATE(B722, ""en"", ""ja""))"),"返信を入力してください")</f>
        <v>返信を入力してください</v>
      </c>
    </row>
    <row r="723" ht="15.75" customHeight="1">
      <c r="A723" s="1" t="s">
        <v>1431</v>
      </c>
      <c r="B723" s="1" t="s">
        <v>1432</v>
      </c>
      <c r="C723" s="1" t="str">
        <f>IFERROR(__xludf.DUMMYFUNCTION("CONCATENATE(GOOGLETRANSLATE(B723, ""en"", ""zh-cn""))"),"发送票据")</f>
        <v>发送票据</v>
      </c>
      <c r="D723" s="1" t="str">
        <f>IFERROR(__xludf.DUMMYFUNCTION("CONCATENATE(GOOGLETRANSLATE(B723, ""en"", ""ko""))"),"티켓 보내기")</f>
        <v>티켓 보내기</v>
      </c>
      <c r="E723" s="2" t="str">
        <f>IFERROR(__xludf.DUMMYFUNCTION("CONCATENATE(GOOGLETRANSLATE(B723, ""en"", ""ja""))"),"チケットを送信する")</f>
        <v>チケットを送信する</v>
      </c>
    </row>
    <row r="724" ht="15.75" customHeight="1">
      <c r="A724" s="1" t="s">
        <v>1433</v>
      </c>
      <c r="B724" s="1" t="s">
        <v>1434</v>
      </c>
      <c r="C724" s="1" t="str">
        <f>IFERROR(__xludf.DUMMYFUNCTION("CONCATENATE(GOOGLETRANSLATE(B724, ""en"", ""zh-cn""))"),"加载更多")</f>
        <v>加载更多</v>
      </c>
      <c r="D724" s="1" t="str">
        <f>IFERROR(__xludf.DUMMYFUNCTION("CONCATENATE(GOOGLETRANSLATE(B724, ""en"", ""ko""))"),"더 로드하기")</f>
        <v>더 로드하기</v>
      </c>
      <c r="E724" s="2" t="str">
        <f>IFERROR(__xludf.DUMMYFUNCTION("CONCATENATE(GOOGLETRANSLATE(B724, ""en"", ""ja""))"),"もっと読み込む")</f>
        <v>もっと読み込む</v>
      </c>
    </row>
    <row r="725" ht="15.75" customHeight="1">
      <c r="A725" s="1" t="s">
        <v>1435</v>
      </c>
      <c r="B725" s="1" t="s">
        <v>1436</v>
      </c>
      <c r="C725" s="1" t="str">
        <f>IFERROR(__xludf.DUMMYFUNCTION("CONCATENATE(GOOGLETRANSLATE(B725, ""en"", ""zh-cn""))"),"珠宝及手表")</f>
        <v>珠宝及手表</v>
      </c>
      <c r="D725" s="1" t="str">
        <f>IFERROR(__xludf.DUMMYFUNCTION("CONCATENATE(GOOGLETRANSLATE(B725, ""en"", ""ko""))"),"주얼리 &amp; 시계")</f>
        <v>주얼리 &amp; 시계</v>
      </c>
      <c r="E725" s="2" t="str">
        <f>IFERROR(__xludf.DUMMYFUNCTION("CONCATENATE(GOOGLETRANSLATE(B725, ""en"", ""ja""))"),"ジュエリーと時計")</f>
        <v>ジュエリーと時計</v>
      </c>
    </row>
    <row r="726" ht="15.75" customHeight="1">
      <c r="A726" s="1" t="s">
        <v>1437</v>
      </c>
      <c r="B726" s="1" t="s">
        <v>1438</v>
      </c>
      <c r="C726" s="1" t="str">
        <f>IFERROR(__xludf.DUMMYFUNCTION("CONCATENATE(GOOGLETRANSLATE(B726, ""en"", ""zh-cn""))"),"过滤器")</f>
        <v>过滤器</v>
      </c>
      <c r="D726" s="1" t="str">
        <f>IFERROR(__xludf.DUMMYFUNCTION("CONCATENATE(GOOGLETRANSLATE(B726, ""en"", ""ko""))"),"필터")</f>
        <v>필터</v>
      </c>
      <c r="E726" s="2" t="str">
        <f>IFERROR(__xludf.DUMMYFUNCTION("CONCATENATE(GOOGLETRANSLATE(B726, ""en"", ""ja""))"),"フィルター")</f>
        <v>フィルター</v>
      </c>
    </row>
    <row r="727" ht="15.75" customHeight="1">
      <c r="A727" s="1" t="s">
        <v>1439</v>
      </c>
      <c r="B727" s="1" t="s">
        <v>1440</v>
      </c>
      <c r="C727" s="1" t="str">
        <f>IFERROR(__xludf.DUMMYFUNCTION("CONCATENATE(GOOGLETRANSLATE(B727, ""en"", ""zh-cn""))"),"联系地址")</f>
        <v>联系地址</v>
      </c>
      <c r="D727" s="1" t="str">
        <f>IFERROR(__xludf.DUMMYFUNCTION("CONCATENATE(GOOGLETRANSLATE(B727, ""en"", ""ko""))"),"연락처 주소")</f>
        <v>연락처 주소</v>
      </c>
      <c r="E727" s="2" t="str">
        <f>IFERROR(__xludf.DUMMYFUNCTION("CONCATENATE(GOOGLETRANSLATE(B727, ""en"", ""ja""))"),"連絡先")</f>
        <v>連絡先</v>
      </c>
    </row>
    <row r="728" ht="15.75" customHeight="1">
      <c r="A728" s="1" t="s">
        <v>1441</v>
      </c>
      <c r="B728" s="1" t="s">
        <v>1442</v>
      </c>
      <c r="C728" s="1" t="str">
        <f>IFERROR(__xludf.DUMMYFUNCTION("CONCATENATE(GOOGLETRANSLATE(B728, ""en"", ""zh-cn""))"),"联系电话")</f>
        <v>联系电话</v>
      </c>
      <c r="D728" s="1" t="str">
        <f>IFERROR(__xludf.DUMMYFUNCTION("CONCATENATE(GOOGLETRANSLATE(B728, ""en"", ""ko""))"),"전화번호로 연락하기")</f>
        <v>전화번호로 연락하기</v>
      </c>
      <c r="E728" s="2" t="str">
        <f>IFERROR(__xludf.DUMMYFUNCTION("CONCATENATE(GOOGLETRANSLATE(B728, ""en"", ""ja""))"),"連絡先電話番号")</f>
        <v>連絡先電話番号</v>
      </c>
    </row>
    <row r="729" ht="15.75" customHeight="1">
      <c r="A729" s="1" t="s">
        <v>1443</v>
      </c>
      <c r="B729" s="1" t="s">
        <v>1444</v>
      </c>
      <c r="C729" s="1" t="str">
        <f>IFERROR(__xludf.DUMMYFUNCTION("CONCATENATE(GOOGLETRANSLATE(B729, ""en"", ""zh-cn""))"),"联系邮箱")</f>
        <v>联系邮箱</v>
      </c>
      <c r="D729" s="1" t="str">
        <f>IFERROR(__xludf.DUMMYFUNCTION("CONCATENATE(GOOGLETRANSLATE(B729, ""en"", ""ko""))"),"연락처 이메일")</f>
        <v>연락처 이메일</v>
      </c>
      <c r="E729" s="2" t="str">
        <f>IFERROR(__xludf.DUMMYFUNCTION("CONCATENATE(GOOGLETRANSLATE(B729, ""en"", ""ja""))"),"連絡先メールアドレス")</f>
        <v>連絡先メールアドレス</v>
      </c>
    </row>
    <row r="730" ht="15.75" customHeight="1">
      <c r="A730" s="1" t="s">
        <v>1445</v>
      </c>
      <c r="B730" s="1" t="s">
        <v>1446</v>
      </c>
      <c r="C730" s="1" t="str">
        <f>IFERROR(__xludf.DUMMYFUNCTION("CONCATENATE(GOOGLETRANSLATE(B730, ""en"", ""zh-cn""))"),"过滤依据")</f>
        <v>过滤依据</v>
      </c>
      <c r="D730" s="1" t="str">
        <f>IFERROR(__xludf.DUMMYFUNCTION("CONCATENATE(GOOGLETRANSLATE(B730, ""en"", ""ko""))"),"필터링 기준")</f>
        <v>필터링 기준</v>
      </c>
      <c r="E730" s="2" t="str">
        <f>IFERROR(__xludf.DUMMYFUNCTION("CONCATENATE(GOOGLETRANSLATE(B730, ""en"", ""ja""))"),"フィルター条件")</f>
        <v>フィルター条件</v>
      </c>
    </row>
    <row r="731" ht="15.75" customHeight="1">
      <c r="A731" s="1" t="s">
        <v>1447</v>
      </c>
      <c r="B731" s="1" t="s">
        <v>1448</v>
      </c>
      <c r="C731" s="1" t="str">
        <f>IFERROR(__xludf.DUMMYFUNCTION("CONCATENATE(GOOGLETRANSLATE(B731, ""en"", ""zh-cn""))"),"健康）状况")</f>
        <v>健康）状况</v>
      </c>
      <c r="D731" s="1" t="str">
        <f>IFERROR(__xludf.DUMMYFUNCTION("CONCATENATE(GOOGLETRANSLATE(B731, ""en"", ""ko""))"),"상태")</f>
        <v>상태</v>
      </c>
      <c r="E731" s="2" t="str">
        <f>IFERROR(__xludf.DUMMYFUNCTION("CONCATENATE(GOOGLETRANSLATE(B731, ""en"", ""ja""))"),"状態")</f>
        <v>状態</v>
      </c>
    </row>
    <row r="732" ht="15.75" customHeight="1">
      <c r="A732" s="1" t="s">
        <v>1449</v>
      </c>
      <c r="B732" s="1" t="s">
        <v>1450</v>
      </c>
      <c r="C732" s="1" t="str">
        <f>IFERROR(__xludf.DUMMYFUNCTION("CONCATENATE(GOOGLETRANSLATE(B732, ""en"", ""zh-cn""))"),"所有类型")</f>
        <v>所有类型</v>
      </c>
      <c r="D732" s="1" t="str">
        <f>IFERROR(__xludf.DUMMYFUNCTION("CONCATENATE(GOOGLETRANSLATE(B732, ""en"", ""ko""))"),"모든 유형")</f>
        <v>모든 유형</v>
      </c>
      <c r="E732" s="2" t="str">
        <f>IFERROR(__xludf.DUMMYFUNCTION("CONCATENATE(GOOGLETRANSLATE(B732, ""en"", ""ja""))"),"全タイプ")</f>
        <v>全タイプ</v>
      </c>
    </row>
    <row r="733" ht="15.75" customHeight="1">
      <c r="A733" s="1" t="s">
        <v>1451</v>
      </c>
      <c r="B733" s="1" t="s">
        <v>1452</v>
      </c>
      <c r="C733" s="1" t="str">
        <f>IFERROR(__xludf.DUMMYFUNCTION("CONCATENATE(GOOGLETRANSLATE(B733, ""en"", ""zh-cn""))"),"用钱包支付")</f>
        <v>用钱包支付</v>
      </c>
      <c r="D733" s="1" t="str">
        <f>IFERROR(__xludf.DUMMYFUNCTION("CONCATENATE(GOOGLETRANSLATE(B733, ""en"", ""ko""))"),"지갑으로 결제")</f>
        <v>지갑으로 결제</v>
      </c>
      <c r="E733" s="2" t="str">
        <f>IFERROR(__xludf.DUMMYFUNCTION("CONCATENATE(GOOGLETRANSLATE(B733, ""en"", ""ja""))"),"ウォレットで支払う")</f>
        <v>ウォレットで支払う</v>
      </c>
    </row>
    <row r="734" ht="15.75" customHeight="1">
      <c r="A734" s="1" t="s">
        <v>1453</v>
      </c>
      <c r="B734" s="1" t="s">
        <v>1454</v>
      </c>
      <c r="C734" s="1" t="str">
        <f>IFERROR(__xludf.DUMMYFUNCTION("CONCATENATE(GOOGLETRANSLATE(B734, ""en"", ""zh-cn""))"),"选择变体")</f>
        <v>选择变体</v>
      </c>
      <c r="D734" s="1" t="str">
        <f>IFERROR(__xludf.DUMMYFUNCTION("CONCATENATE(GOOGLETRANSLATE(B734, ""en"", ""ko""))"),"변형 선택")</f>
        <v>변형 선택</v>
      </c>
      <c r="E734" s="2" t="str">
        <f>IFERROR(__xludf.DUMMYFUNCTION("CONCATENATE(GOOGLETRANSLATE(B734, ""en"", ""ja""))"),"バリエーションを選択")</f>
        <v>バリエーションを選択</v>
      </c>
    </row>
    <row r="735" ht="15.75" customHeight="1">
      <c r="A735" s="1" t="s">
        <v>1455</v>
      </c>
      <c r="B735" s="1" t="s">
        <v>1456</v>
      </c>
      <c r="C735" s="1" t="str">
        <f>IFERROR(__xludf.DUMMYFUNCTION("CONCATENATE(GOOGLETRANSLATE(B735, ""en"", ""zh-cn""))"),"未添加产品")</f>
        <v>未添加产品</v>
      </c>
      <c r="D735" s="1" t="str">
        <f>IFERROR(__xludf.DUMMYFUNCTION("CONCATENATE(GOOGLETRANSLATE(B735, ""en"", ""ko""))"),"추가된 제품 없음")</f>
        <v>추가된 제품 없음</v>
      </c>
      <c r="E735" s="2" t="str">
        <f>IFERROR(__xludf.DUMMYFUNCTION("CONCATENATE(GOOGLETRANSLATE(B735, ""en"", ""ja""))"),"製品は追加されていません")</f>
        <v>製品は追加されていません</v>
      </c>
    </row>
    <row r="736" ht="15.75" customHeight="1">
      <c r="A736" s="1" t="s">
        <v>1457</v>
      </c>
      <c r="B736" s="1" t="s">
        <v>1458</v>
      </c>
      <c r="C736" s="1" t="str">
        <f>IFERROR(__xludf.DUMMYFUNCTION("CONCATENATE(GOOGLETRANSLATE(B736, ""en"", ""zh-cn""))"),"状态已成功更新")</f>
        <v>状态已成功更新</v>
      </c>
      <c r="D736" s="1" t="str">
        <f>IFERROR(__xludf.DUMMYFUNCTION("CONCATENATE(GOOGLETRANSLATE(B736, ""en"", ""ko""))"),"상태가 성공적으로 업데이트되었습니다.")</f>
        <v>상태가 성공적으로 업데이트되었습니다.</v>
      </c>
      <c r="E736" s="2" t="str">
        <f>IFERROR(__xludf.DUMMYFUNCTION("CONCATENATE(GOOGLETRANSLATE(B736, ""en"", ""ja""))"),"ステータスが正常に更新されました")</f>
        <v>ステータスが正常に更新されました</v>
      </c>
    </row>
    <row r="737" ht="15.75" customHeight="1">
      <c r="A737" s="1" t="s">
        <v>1459</v>
      </c>
      <c r="B737" s="1" t="s">
        <v>1460</v>
      </c>
      <c r="C737" s="1" t="str">
        <f>IFERROR(__xludf.DUMMYFUNCTION("CONCATENATE(GOOGLETRANSLATE(B737, ""en"", ""zh-cn""))"),"所有卖家套餐")</f>
        <v>所有卖家套餐</v>
      </c>
      <c r="D737" s="1" t="str">
        <f>IFERROR(__xludf.DUMMYFUNCTION("CONCATENATE(GOOGLETRANSLATE(B737, ""en"", ""ko""))"),"모든 판매자 패키지")</f>
        <v>모든 판매자 패키지</v>
      </c>
      <c r="E737" s="2" t="str">
        <f>IFERROR(__xludf.DUMMYFUNCTION("CONCATENATE(GOOGLETRANSLATE(B737, ""en"", ""ja""))"),"すべての販売者パッケージ")</f>
        <v>すべての販売者パッケージ</v>
      </c>
    </row>
    <row r="738" ht="15.75" customHeight="1">
      <c r="A738" s="1" t="s">
        <v>1461</v>
      </c>
      <c r="B738" s="1" t="s">
        <v>1462</v>
      </c>
      <c r="C738" s="1" t="str">
        <f>IFERROR(__xludf.DUMMYFUNCTION("CONCATENATE(GOOGLETRANSLATE(B738, ""en"", ""zh-cn""))"),"添加新包")</f>
        <v>添加新包</v>
      </c>
      <c r="D738" s="1" t="str">
        <f>IFERROR(__xludf.DUMMYFUNCTION("CONCATENATE(GOOGLETRANSLATE(B738, ""en"", ""ko""))"),"새 패키지 추가")</f>
        <v>새 패키지 추가</v>
      </c>
      <c r="E738" s="2" t="str">
        <f>IFERROR(__xludf.DUMMYFUNCTION("CONCATENATE(GOOGLETRANSLATE(B738, ""en"", ""ja""))"),"新しいパッケージを追加")</f>
        <v>新しいパッケージを追加</v>
      </c>
    </row>
    <row r="739" ht="15.75" customHeight="1">
      <c r="A739" s="1" t="s">
        <v>1463</v>
      </c>
      <c r="B739" s="1" t="s">
        <v>1464</v>
      </c>
      <c r="C739" s="1" t="str">
        <f>IFERROR(__xludf.DUMMYFUNCTION("CONCATENATE(GOOGLETRANSLATE(B739, ""en"", ""zh-cn""))"),"包装标志")</f>
        <v>包装标志</v>
      </c>
      <c r="D739" s="1" t="str">
        <f>IFERROR(__xludf.DUMMYFUNCTION("CONCATENATE(GOOGLETRANSLATE(B739, ""en"", ""ko""))"),"패키지 로고")</f>
        <v>패키지 로고</v>
      </c>
      <c r="E739" s="2" t="str">
        <f>IFERROR(__xludf.DUMMYFUNCTION("CONCATENATE(GOOGLETRANSLATE(B739, ""en"", ""ja""))"),"パッケージロゴ")</f>
        <v>パッケージロゴ</v>
      </c>
    </row>
    <row r="740" ht="15.75" customHeight="1">
      <c r="A740" s="1" t="s">
        <v>1465</v>
      </c>
      <c r="B740" s="1" t="s">
        <v>1465</v>
      </c>
      <c r="C740" s="1" t="str">
        <f>IFERROR(__xludf.DUMMYFUNCTION("CONCATENATE(GOOGLETRANSLATE(B740, ""en"", ""zh-cn""))"),"天")</f>
        <v>天</v>
      </c>
      <c r="D740" s="1" t="str">
        <f>IFERROR(__xludf.DUMMYFUNCTION("CONCATENATE(GOOGLETRANSLATE(B740, ""en"", ""ko""))"),"날")</f>
        <v>날</v>
      </c>
      <c r="E740" s="2" t="str">
        <f>IFERROR(__xludf.DUMMYFUNCTION("CONCATENATE(GOOGLETRANSLATE(B740, ""en"", ""ja""))"),"日")</f>
        <v>日</v>
      </c>
    </row>
    <row r="741" ht="15.75" customHeight="1">
      <c r="A741" s="1" t="s">
        <v>1466</v>
      </c>
      <c r="B741" s="1" t="s">
        <v>1467</v>
      </c>
      <c r="C741" s="1" t="str">
        <f>IFERROR(__xludf.DUMMYFUNCTION("CONCATENATE(GOOGLETRANSLATE(B741, ""en"", ""zh-cn""))"),"创建新的卖家包")</f>
        <v>创建新的卖家包</v>
      </c>
      <c r="D741" s="1" t="str">
        <f>IFERROR(__xludf.DUMMYFUNCTION("CONCATENATE(GOOGLETRANSLATE(B741, ""en"", ""ko""))"),"새 판매자 패키지 만들기")</f>
        <v>새 판매자 패키지 만들기</v>
      </c>
      <c r="E741" s="2" t="str">
        <f>IFERROR(__xludf.DUMMYFUNCTION("CONCATENATE(GOOGLETRANSLATE(B741, ""en"", ""ja""))"),"新しい販売者パッケージの作成")</f>
        <v>新しい販売者パッケージの作成</v>
      </c>
    </row>
    <row r="742" ht="15.75" customHeight="1">
      <c r="A742" s="1" t="s">
        <v>1468</v>
      </c>
      <c r="B742" s="1" t="s">
        <v>1469</v>
      </c>
      <c r="C742" s="1" t="str">
        <f>IFERROR(__xludf.DUMMYFUNCTION("CONCATENATE(GOOGLETRANSLATE(B742, ""en"", ""zh-cn""))"),"封装名称")</f>
        <v>封装名称</v>
      </c>
      <c r="D742" s="1" t="str">
        <f>IFERROR(__xludf.DUMMYFUNCTION("CONCATENATE(GOOGLETRANSLATE(B742, ""en"", ""ko""))"),"패키지 이름")</f>
        <v>패키지 이름</v>
      </c>
      <c r="E742" s="2" t="str">
        <f>IFERROR(__xludf.DUMMYFUNCTION("CONCATENATE(GOOGLETRANSLATE(B742, ""en"", ""ja""))"),"パッケージ名")</f>
        <v>パッケージ名</v>
      </c>
    </row>
    <row r="743" ht="15.75" customHeight="1">
      <c r="A743" s="1" t="s">
        <v>1470</v>
      </c>
      <c r="B743" s="1" t="s">
        <v>1471</v>
      </c>
      <c r="C743" s="1" t="str">
        <f>IFERROR(__xludf.DUMMYFUNCTION("CONCATENATE(GOOGLETRANSLATE(B743, ""en"", ""zh-cn""))"),"期间")</f>
        <v>期间</v>
      </c>
      <c r="D743" s="1" t="str">
        <f>IFERROR(__xludf.DUMMYFUNCTION("CONCATENATE(GOOGLETRANSLATE(B743, ""en"", ""ko""))"),"지속")</f>
        <v>지속</v>
      </c>
      <c r="E743" s="2" t="str">
        <f>IFERROR(__xludf.DUMMYFUNCTION("CONCATENATE(GOOGLETRANSLATE(B743, ""en"", ""ja""))"),"間隔")</f>
        <v>間隔</v>
      </c>
    </row>
    <row r="744" ht="15.75" customHeight="1">
      <c r="A744" s="1" t="s">
        <v>1472</v>
      </c>
      <c r="B744" s="1" t="s">
        <v>1473</v>
      </c>
      <c r="C744" s="1" t="str">
        <f>IFERROR(__xludf.DUMMYFUNCTION("CONCATENATE(GOOGLETRANSLATE(B744, ""en"", ""zh-cn""))"),"有效期（天数）")</f>
        <v>有效期（天数）</v>
      </c>
      <c r="D744" s="1" t="str">
        <f>IFERROR(__xludf.DUMMYFUNCTION("CONCATENATE(GOOGLETRANSLATE(B744, ""en"", ""ko""))"),"유효기간(일)")</f>
        <v>유효기간(일)</v>
      </c>
      <c r="E744" s="2" t="str">
        <f>IFERROR(__xludf.DUMMYFUNCTION("CONCATENATE(GOOGLETRANSLATE(B744, ""en"", ""ja""))"),"有効日数")</f>
        <v>有効日数</v>
      </c>
    </row>
    <row r="745" ht="15.75" customHeight="1">
      <c r="A745" s="1" t="s">
        <v>1474</v>
      </c>
      <c r="B745" s="1" t="s">
        <v>1475</v>
      </c>
      <c r="C745" s="1" t="str">
        <f>IFERROR(__xludf.DUMMYFUNCTION("CONCATENATE(GOOGLETRANSLATE(B745, ""en"", ""zh-cn""))"),"更新包信息")</f>
        <v>更新包信息</v>
      </c>
      <c r="D745" s="1" t="str">
        <f>IFERROR(__xludf.DUMMYFUNCTION("CONCATENATE(GOOGLETRANSLATE(B745, ""en"", ""ko""))"),"패키지 정보 업데이트")</f>
        <v>패키지 정보 업데이트</v>
      </c>
      <c r="E745" s="2" t="str">
        <f>IFERROR(__xludf.DUMMYFUNCTION("CONCATENATE(GOOGLETRANSLATE(B745, ""en"", ""ja""))"),"アップデートパッケージ情報")</f>
        <v>アップデートパッケージ情報</v>
      </c>
    </row>
    <row r="746" ht="15.75" customHeight="1">
      <c r="A746" s="1" t="s">
        <v>1476</v>
      </c>
      <c r="B746" s="1" t="s">
        <v>1477</v>
      </c>
      <c r="C746" s="1" t="str">
        <f>IFERROR(__xludf.DUMMYFUNCTION("CONCATENATE(GOOGLETRANSLATE(B746, ""en"", ""zh-cn""))"),"包已成功插入")</f>
        <v>包已成功插入</v>
      </c>
      <c r="D746" s="1" t="str">
        <f>IFERROR(__xludf.DUMMYFUNCTION("CONCATENATE(GOOGLETRANSLATE(B746, ""en"", ""ko""))"),"패키지가 성공적으로 삽입되었습니다.")</f>
        <v>패키지가 성공적으로 삽입되었습니다.</v>
      </c>
      <c r="E746" s="2" t="str">
        <f>IFERROR(__xludf.DUMMYFUNCTION("CONCATENATE(GOOGLETRANSLATE(B746, ""en"", ""ja""))"),"パッケージは正常に挿入されました")</f>
        <v>パッケージは正常に挿入されました</v>
      </c>
    </row>
    <row r="747" ht="15.75" customHeight="1">
      <c r="A747" s="1" t="s">
        <v>1478</v>
      </c>
      <c r="B747" s="1" t="s">
        <v>1479</v>
      </c>
      <c r="C747" s="1" t="str">
        <f>IFERROR(__xludf.DUMMYFUNCTION("CONCATENATE(GOOGLETRANSLATE(B747, ""en"", ""zh-cn""))"),"退款请求")</f>
        <v>退款请求</v>
      </c>
      <c r="D747" s="1" t="str">
        <f>IFERROR(__xludf.DUMMYFUNCTION("CONCATENATE(GOOGLETRANSLATE(B747, ""en"", ""ko""))"),"환불요청")</f>
        <v>환불요청</v>
      </c>
      <c r="E747" s="2" t="str">
        <f>IFERROR(__xludf.DUMMYFUNCTION("CONCATENATE(GOOGLETRANSLATE(B747, ""en"", ""ja""))"),"返金リクエスト")</f>
        <v>返金リクエスト</v>
      </c>
    </row>
    <row r="748" ht="15.75" customHeight="1">
      <c r="A748" s="1" t="s">
        <v>1480</v>
      </c>
      <c r="B748" s="1" t="s">
        <v>1481</v>
      </c>
      <c r="C748" s="1" t="str">
        <f>IFERROR(__xludf.DUMMYFUNCTION("CONCATENATE(GOOGLETRANSLATE(B748, ""en"", ""zh-cn""))"),"原因")</f>
        <v>原因</v>
      </c>
      <c r="D748" s="1" t="str">
        <f>IFERROR(__xludf.DUMMYFUNCTION("CONCATENATE(GOOGLETRANSLATE(B748, ""en"", ""ko""))"),"이유")</f>
        <v>이유</v>
      </c>
      <c r="E748" s="2" t="str">
        <f>IFERROR(__xludf.DUMMYFUNCTION("CONCATENATE(GOOGLETRANSLATE(B748, ""en"", ""ja""))"),"理由")</f>
        <v>理由</v>
      </c>
    </row>
    <row r="749" ht="15.75" customHeight="1">
      <c r="A749" s="1" t="s">
        <v>1482</v>
      </c>
      <c r="B749" s="1" t="s">
        <v>1483</v>
      </c>
      <c r="C749" s="1" t="str">
        <f>IFERROR(__xludf.DUMMYFUNCTION("CONCATENATE(GOOGLETRANSLATE(B749, ""en"", ""zh-cn""))"),"标签")</f>
        <v>标签</v>
      </c>
      <c r="D749" s="1" t="str">
        <f>IFERROR(__xludf.DUMMYFUNCTION("CONCATENATE(GOOGLETRANSLATE(B749, ""en"", ""ko""))"),"상표")</f>
        <v>상표</v>
      </c>
      <c r="E749" s="2" t="str">
        <f>IFERROR(__xludf.DUMMYFUNCTION("CONCATENATE(GOOGLETRANSLATE(B749, ""en"", ""ja""))"),"ラベル")</f>
        <v>ラベル</v>
      </c>
    </row>
    <row r="750" ht="15.75" customHeight="1">
      <c r="A750" s="1" t="s">
        <v>1484</v>
      </c>
      <c r="B750" s="1" t="s">
        <v>1485</v>
      </c>
      <c r="C750" s="1" t="str">
        <f>IFERROR(__xludf.DUMMYFUNCTION("CONCATENATE(GOOGLETRANSLATE(B750, ""en"", ""zh-cn""))"),"选择标签")</f>
        <v>选择标签</v>
      </c>
      <c r="D750" s="1" t="str">
        <f>IFERROR(__xludf.DUMMYFUNCTION("CONCATENATE(GOOGLETRANSLATE(B750, ""en"", ""ko""))"),"라벨 선택")</f>
        <v>라벨 선택</v>
      </c>
      <c r="E750" s="2" t="str">
        <f>IFERROR(__xludf.DUMMYFUNCTION("CONCATENATE(GOOGLETRANSLATE(B750, ""en"", ""ja""))"),"ラベルの選択")</f>
        <v>ラベルの選択</v>
      </c>
    </row>
    <row r="751" ht="15.75" customHeight="1">
      <c r="A751" s="1" t="s">
        <v>1486</v>
      </c>
      <c r="B751" s="1" t="s">
        <v>1487</v>
      </c>
      <c r="C751" s="1" t="str">
        <f>IFERROR(__xludf.DUMMYFUNCTION("CONCATENATE(GOOGLETRANSLATE(B751, ""en"", ""zh-cn""))"),"多选标签")</f>
        <v>多选标签</v>
      </c>
      <c r="D751" s="1" t="str">
        <f>IFERROR(__xludf.DUMMYFUNCTION("CONCATENATE(GOOGLETRANSLATE(B751, ""en"", ""ko""))"),"다중 선택 라벨")</f>
        <v>다중 선택 라벨</v>
      </c>
      <c r="E751" s="2" t="str">
        <f>IFERROR(__xludf.DUMMYFUNCTION("CONCATENATE(GOOGLETRANSLATE(B751, ""en"", ""ja""))"),"複数選択ラベル")</f>
        <v>複数選択ラベル</v>
      </c>
    </row>
    <row r="752" ht="15.75" customHeight="1">
      <c r="A752" s="1" t="s">
        <v>1488</v>
      </c>
      <c r="B752" s="1" t="s">
        <v>1489</v>
      </c>
      <c r="C752" s="1" t="str">
        <f>IFERROR(__xludf.DUMMYFUNCTION("CONCATENATE(GOOGLETRANSLATE(B752, ""en"", ""zh-cn""))"),"无线电标签")</f>
        <v>无线电标签</v>
      </c>
      <c r="D752" s="1" t="str">
        <f>IFERROR(__xludf.DUMMYFUNCTION("CONCATENATE(GOOGLETRANSLATE(B752, ""en"", ""ko""))"),"라디오 라벨")</f>
        <v>라디오 라벨</v>
      </c>
      <c r="E752" s="2" t="str">
        <f>IFERROR(__xludf.DUMMYFUNCTION("CONCATENATE(GOOGLETRANSLATE(B752, ""en"", ""ja""))"),"ラジオレーベル")</f>
        <v>ラジオレーベル</v>
      </c>
    </row>
    <row r="753" ht="15.75" customHeight="1">
      <c r="A753" s="1" t="s">
        <v>1490</v>
      </c>
      <c r="B753" s="1" t="s">
        <v>1491</v>
      </c>
      <c r="C753" s="1" t="str">
        <f>IFERROR(__xludf.DUMMYFUNCTION("CONCATENATE(GOOGLETRANSLATE(B753, ""en"", ""zh-cn""))"),"取货点订单")</f>
        <v>取货点订单</v>
      </c>
      <c r="D753" s="1" t="str">
        <f>IFERROR(__xludf.DUMMYFUNCTION("CONCATENATE(GOOGLETRANSLATE(B753, ""en"", ""ko""))"),"픽업 지점 주문")</f>
        <v>픽업 지점 주문</v>
      </c>
      <c r="E753" s="2" t="str">
        <f>IFERROR(__xludf.DUMMYFUNCTION("CONCATENATE(GOOGLETRANSLATE(B753, ""en"", ""ja""))"),"ピックアップポイント注文")</f>
        <v>ピックアップポイント注文</v>
      </c>
    </row>
    <row r="754" ht="15.75" customHeight="1">
      <c r="A754" s="1" t="s">
        <v>1492</v>
      </c>
      <c r="B754" s="1" t="s">
        <v>1493</v>
      </c>
      <c r="C754" s="1" t="str">
        <f>IFERROR(__xludf.DUMMYFUNCTION("CONCATENATE(GOOGLETRANSLATE(B754, ""en"", ""zh-cn""))"),"看法")</f>
        <v>看法</v>
      </c>
      <c r="D754" s="1" t="str">
        <f>IFERROR(__xludf.DUMMYFUNCTION("CONCATENATE(GOOGLETRANSLATE(B754, ""en"", ""ko""))"),"보다")</f>
        <v>보다</v>
      </c>
      <c r="E754" s="2" t="str">
        <f>IFERROR(__xludf.DUMMYFUNCTION("CONCATENATE(GOOGLETRANSLATE(B754, ""en"", ""ja""))"),"ビュー")</f>
        <v>ビュー</v>
      </c>
    </row>
    <row r="755" ht="15.75" customHeight="1">
      <c r="A755" s="1" t="s">
        <v>1494</v>
      </c>
      <c r="B755" s="1" t="s">
        <v>1495</v>
      </c>
      <c r="C755" s="1" t="str">
        <f>IFERROR(__xludf.DUMMYFUNCTION("CONCATENATE(GOOGLETRANSLATE(B755, ""en"", ""zh-cn""))"),"命令 ＃")</f>
        <v>命令 ＃</v>
      </c>
      <c r="D755" s="1" t="str">
        <f>IFERROR(__xludf.DUMMYFUNCTION("CONCATENATE(GOOGLETRANSLATE(B755, ""en"", ""ko""))"),"주문하다 #")</f>
        <v>주문하다 #</v>
      </c>
      <c r="E755" s="2" t="str">
        <f>IFERROR(__xludf.DUMMYFUNCTION("CONCATENATE(GOOGLETRANSLATE(B755, ""en"", ""ja""))"),"注文 ＃")</f>
        <v>注文 ＃</v>
      </c>
    </row>
    <row r="756" ht="15.75" customHeight="1">
      <c r="A756" s="1" t="s">
        <v>1496</v>
      </c>
      <c r="B756" s="1" t="s">
        <v>1497</v>
      </c>
      <c r="C756" s="1" t="str">
        <f>IFERROR(__xludf.DUMMYFUNCTION("CONCATENATE(GOOGLETRANSLATE(B756, ""en"", ""zh-cn""))"),"订单状态")</f>
        <v>订单状态</v>
      </c>
      <c r="D756" s="1" t="str">
        <f>IFERROR(__xludf.DUMMYFUNCTION("CONCATENATE(GOOGLETRANSLATE(B756, ""en"", ""ko""))"),"주문 상태")</f>
        <v>주문 상태</v>
      </c>
      <c r="E756" s="2" t="str">
        <f>IFERROR(__xludf.DUMMYFUNCTION("CONCATENATE(GOOGLETRANSLATE(B756, ""en"", ""ja""))"),"注文状況")</f>
        <v>注文状況</v>
      </c>
    </row>
    <row r="757" ht="15.75" customHeight="1">
      <c r="A757" s="1" t="s">
        <v>1498</v>
      </c>
      <c r="B757" s="1" t="s">
        <v>1499</v>
      </c>
      <c r="C757" s="1" t="str">
        <f>IFERROR(__xludf.DUMMYFUNCTION("CONCATENATE(GOOGLETRANSLATE(B757, ""en"", ""zh-cn""))"),"总金额")</f>
        <v>总金额</v>
      </c>
      <c r="D757" s="1" t="str">
        <f>IFERROR(__xludf.DUMMYFUNCTION("CONCATENATE(GOOGLETRANSLATE(B757, ""en"", ""ko""))"),"총액")</f>
        <v>총액</v>
      </c>
      <c r="E757" s="2" t="str">
        <f>IFERROR(__xludf.DUMMYFUNCTION("CONCATENATE(GOOGLETRANSLATE(B757, ""en"", ""ja""))"),"合計金額")</f>
        <v>合計金額</v>
      </c>
    </row>
    <row r="758" ht="15.75" customHeight="1">
      <c r="A758" s="1" t="s">
        <v>1500</v>
      </c>
      <c r="B758" s="1" t="s">
        <v>1501</v>
      </c>
      <c r="C758" s="1" t="str">
        <f>IFERROR(__xludf.DUMMYFUNCTION("CONCATENATE(GOOGLETRANSLATE(B758, ""en"", ""zh-cn""))"),"全部的")</f>
        <v>全部的</v>
      </c>
      <c r="D758" s="1" t="str">
        <f>IFERROR(__xludf.DUMMYFUNCTION("CONCATENATE(GOOGLETRANSLATE(B758, ""en"", ""ko""))"),"총")</f>
        <v>총</v>
      </c>
      <c r="E758" s="2" t="str">
        <f>IFERROR(__xludf.DUMMYFUNCTION("CONCATENATE(GOOGLETRANSLATE(B758, ""en"", ""ja""))"),"合計")</f>
        <v>合計</v>
      </c>
    </row>
    <row r="759" ht="15.75" customHeight="1">
      <c r="A759" s="1" t="s">
        <v>1502</v>
      </c>
      <c r="B759" s="1" t="s">
        <v>1503</v>
      </c>
      <c r="C759" s="1" t="str">
        <f>IFERROR(__xludf.DUMMYFUNCTION("CONCATENATE(GOOGLETRANSLATE(B759, ""en"", ""zh-cn""))"),"交货状态已更新")</f>
        <v>交货状态已更新</v>
      </c>
      <c r="D759" s="1" t="str">
        <f>IFERROR(__xludf.DUMMYFUNCTION("CONCATENATE(GOOGLETRANSLATE(B759, ""en"", ""ko""))"),"배송상태가 업데이트되었습니다")</f>
        <v>배송상태가 업데이트되었습니다</v>
      </c>
      <c r="E759" s="2" t="str">
        <f>IFERROR(__xludf.DUMMYFUNCTION("CONCATENATE(GOOGLETRANSLATE(B759, ""en"", ""ja""))"),"配送状況を更新しました")</f>
        <v>配送状況を更新しました</v>
      </c>
    </row>
    <row r="760" ht="15.75" customHeight="1">
      <c r="A760" s="1" t="s">
        <v>1504</v>
      </c>
      <c r="B760" s="1" t="s">
        <v>1505</v>
      </c>
      <c r="C760" s="1" t="str">
        <f>IFERROR(__xludf.DUMMYFUNCTION("CONCATENATE(GOOGLETRANSLATE(B760, ""en"", ""zh-cn""))"),"付款状态已更新")</f>
        <v>付款状态已更新</v>
      </c>
      <c r="D760" s="1" t="str">
        <f>IFERROR(__xludf.DUMMYFUNCTION("CONCATENATE(GOOGLETRANSLATE(B760, ""en"", ""ko""))"),"결제 상태가 업데이트되었습니다.")</f>
        <v>결제 상태가 업데이트되었습니다.</v>
      </c>
      <c r="E760" s="2" t="str">
        <f>IFERROR(__xludf.DUMMYFUNCTION("CONCATENATE(GOOGLETRANSLATE(B760, ""en"", ""ja""))"),"支払い状況が更新されました")</f>
        <v>支払い状況が更新されました</v>
      </c>
    </row>
    <row r="761" ht="15.75" customHeight="1">
      <c r="A761" s="1" t="s">
        <v>1506</v>
      </c>
      <c r="B761" s="1" t="s">
        <v>1507</v>
      </c>
      <c r="C761" s="1" t="str">
        <f>IFERROR(__xludf.DUMMYFUNCTION("CONCATENATE(GOOGLETRANSLATE(B761, ""en"", ""zh-cn""))"),"发票")</f>
        <v>发票</v>
      </c>
      <c r="D761" s="1" t="str">
        <f>IFERROR(__xludf.DUMMYFUNCTION("CONCATENATE(GOOGLETRANSLATE(B761, ""en"", ""ko""))"),"송장")</f>
        <v>송장</v>
      </c>
      <c r="E761" s="2" t="str">
        <f>IFERROR(__xludf.DUMMYFUNCTION("CONCATENATE(GOOGLETRANSLATE(B761, ""en"", ""ja""))"),"請求書")</f>
        <v>請求書</v>
      </c>
    </row>
    <row r="762" ht="15.75" customHeight="1">
      <c r="A762" s="1" t="s">
        <v>1508</v>
      </c>
      <c r="B762" s="1" t="s">
        <v>1509</v>
      </c>
      <c r="C762" s="1" t="str">
        <f>IFERROR(__xludf.DUMMYFUNCTION("CONCATENATE(GOOGLETRANSLATE(B762, ""en"", ""zh-cn""))"),"设置退款时间")</f>
        <v>设置退款时间</v>
      </c>
      <c r="D762" s="1" t="str">
        <f>IFERROR(__xludf.DUMMYFUNCTION("CONCATENATE(GOOGLETRANSLATE(B762, ""en"", ""ko""))"),"환불 시간 설정")</f>
        <v>환불 시간 설정</v>
      </c>
      <c r="E762" s="2" t="str">
        <f>IFERROR(__xludf.DUMMYFUNCTION("CONCATENATE(GOOGLETRANSLATE(B762, ""en"", ""ja""))"),"払い戻し時間を設定する")</f>
        <v>払い戻し時間を設定する</v>
      </c>
    </row>
    <row r="763" ht="15.75" customHeight="1">
      <c r="A763" s="1" t="s">
        <v>1510</v>
      </c>
      <c r="B763" s="1" t="s">
        <v>1511</v>
      </c>
      <c r="C763" s="1" t="str">
        <f>IFERROR(__xludf.DUMMYFUNCTION("CONCATENATE(GOOGLETRANSLATE(B763, ""en"", ""zh-cn""))"),"设置发送退款请求的时间")</f>
        <v>设置发送退款请求的时间</v>
      </c>
      <c r="D763" s="1" t="str">
        <f>IFERROR(__xludf.DUMMYFUNCTION("CONCATENATE(GOOGLETRANSLATE(B763, ""en"", ""ko""))"),"환불 요청 전송 시간 설정")</f>
        <v>환불 요청 전송 시간 설정</v>
      </c>
      <c r="E763" s="2" t="str">
        <f>IFERROR(__xludf.DUMMYFUNCTION("CONCATENATE(GOOGLETRANSLATE(B763, ""en"", ""ja""))"),"返金リクエストを送信する時間を設定する")</f>
        <v>返金リクエストを送信する時間を設定する</v>
      </c>
    </row>
    <row r="764" ht="15.75" customHeight="1">
      <c r="A764" s="1" t="s">
        <v>1512</v>
      </c>
      <c r="B764" s="1" t="s">
        <v>1513</v>
      </c>
      <c r="C764" s="1" t="str">
        <f>IFERROR(__xludf.DUMMYFUNCTION("CONCATENATE(GOOGLETRANSLATE(B764, ""en"", ""zh-cn""))"),"设置退款贴纸")</f>
        <v>设置退款贴纸</v>
      </c>
      <c r="D764" s="1" t="str">
        <f>IFERROR(__xludf.DUMMYFUNCTION("CONCATENATE(GOOGLETRANSLATE(B764, ""en"", ""ko""))"),"환불 스티커 설정")</f>
        <v>환불 스티커 설정</v>
      </c>
      <c r="E764" s="2" t="str">
        <f>IFERROR(__xludf.DUMMYFUNCTION("CONCATENATE(GOOGLETRANSLATE(B764, ""en"", ""ja""))"),"払い戻しステッカーを設定する")</f>
        <v>払い戻しステッカーを設定する</v>
      </c>
    </row>
    <row r="765" ht="15.75" customHeight="1">
      <c r="A765" s="1" t="s">
        <v>1514</v>
      </c>
      <c r="B765" s="1" t="s">
        <v>1515</v>
      </c>
      <c r="C765" s="1" t="str">
        <f>IFERROR(__xludf.DUMMYFUNCTION("CONCATENATE(GOOGLETRANSLATE(B765, ""en"", ""zh-cn""))"),"贴纸")</f>
        <v>贴纸</v>
      </c>
      <c r="D765" s="1" t="str">
        <f>IFERROR(__xludf.DUMMYFUNCTION("CONCATENATE(GOOGLETRANSLATE(B765, ""en"", ""ko""))"),"상표")</f>
        <v>상표</v>
      </c>
      <c r="E765" s="2" t="str">
        <f>IFERROR(__xludf.DUMMYFUNCTION("CONCATENATE(GOOGLETRANSLATE(B765, ""en"", ""ja""))"),"ステッカー")</f>
        <v>ステッカー</v>
      </c>
    </row>
    <row r="766" ht="15.75" customHeight="1">
      <c r="A766" s="1" t="s">
        <v>1516</v>
      </c>
      <c r="B766" s="1" t="s">
        <v>1517</v>
      </c>
      <c r="C766" s="1" t="str">
        <f>IFERROR(__xludf.DUMMYFUNCTION("CONCATENATE(GOOGLETRANSLATE(B766, ""en"", ""zh-cn""))"),"全部退款请求")</f>
        <v>全部退款请求</v>
      </c>
      <c r="D766" s="1" t="str">
        <f>IFERROR(__xludf.DUMMYFUNCTION("CONCATENATE(GOOGLETRANSLATE(B766, ""en"", ""ko""))"),"환불요청 전체")</f>
        <v>환불요청 전체</v>
      </c>
      <c r="E766" s="2" t="str">
        <f>IFERROR(__xludf.DUMMYFUNCTION("CONCATENATE(GOOGLETRANSLATE(B766, ""en"", ""ja""))"),"返金リクエストすべて")</f>
        <v>返金リクエストすべて</v>
      </c>
    </row>
    <row r="767" ht="15.75" customHeight="1">
      <c r="A767" s="1" t="s">
        <v>1518</v>
      </c>
      <c r="B767" s="1" t="s">
        <v>1519</v>
      </c>
      <c r="C767" s="1" t="str">
        <f>IFERROR(__xludf.DUMMYFUNCTION("CONCATENATE(GOOGLETRANSLATE(B767, ""en"", ""zh-cn""))"),"订单编号")</f>
        <v>订单编号</v>
      </c>
      <c r="D767" s="1" t="str">
        <f>IFERROR(__xludf.DUMMYFUNCTION("CONCATENATE(GOOGLETRANSLATE(B767, ""en"", ""ko""))"),"주문 ID")</f>
        <v>주문 ID</v>
      </c>
      <c r="E767" s="2" t="str">
        <f>IFERROR(__xludf.DUMMYFUNCTION("CONCATENATE(GOOGLETRANSLATE(B767, ""en"", ""ja""))"),"注文ID")</f>
        <v>注文ID</v>
      </c>
    </row>
    <row r="768" ht="15.75" customHeight="1">
      <c r="A768" s="1" t="s">
        <v>1520</v>
      </c>
      <c r="B768" s="1" t="s">
        <v>1521</v>
      </c>
      <c r="C768" s="1" t="str">
        <f>IFERROR(__xludf.DUMMYFUNCTION("CONCATENATE(GOOGLETRANSLATE(B768, ""en"", ""zh-cn""))"),"卖家批准")</f>
        <v>卖家批准</v>
      </c>
      <c r="D768" s="1" t="str">
        <f>IFERROR(__xludf.DUMMYFUNCTION("CONCATENATE(GOOGLETRANSLATE(B768, ""en"", ""ko""))"),"판매자 승인")</f>
        <v>판매자 승인</v>
      </c>
      <c r="E768" s="2" t="str">
        <f>IFERROR(__xludf.DUMMYFUNCTION("CONCATENATE(GOOGLETRANSLATE(B768, ""en"", ""ja""))"),"販売者の承認")</f>
        <v>販売者の承認</v>
      </c>
    </row>
    <row r="769" ht="15.75" customHeight="1">
      <c r="A769" s="1" t="s">
        <v>1522</v>
      </c>
      <c r="B769" s="1" t="s">
        <v>1523</v>
      </c>
      <c r="C769" s="1" t="str">
        <f>IFERROR(__xludf.DUMMYFUNCTION("CONCATENATE(GOOGLETRANSLATE(B769, ""en"", ""zh-cn""))"),"管理员批准")</f>
        <v>管理员批准</v>
      </c>
      <c r="D769" s="1" t="str">
        <f>IFERROR(__xludf.DUMMYFUNCTION("CONCATENATE(GOOGLETRANSLATE(B769, ""en"", ""ko""))"),"관리자 승인")</f>
        <v>관리자 승인</v>
      </c>
      <c r="E769" s="2" t="str">
        <f>IFERROR(__xludf.DUMMYFUNCTION("CONCATENATE(GOOGLETRANSLATE(B769, ""en"", ""ja""))"),"管理者の承認")</f>
        <v>管理者の承認</v>
      </c>
    </row>
    <row r="770" ht="15.75" customHeight="1">
      <c r="A770" s="1" t="s">
        <v>1524</v>
      </c>
      <c r="B770" s="1" t="s">
        <v>1525</v>
      </c>
      <c r="C770" s="1" t="str">
        <f>IFERROR(__xludf.DUMMYFUNCTION("CONCATENATE(GOOGLETRANSLATE(B770, ""en"", ""zh-cn""))"),"退款状态")</f>
        <v>退款状态</v>
      </c>
      <c r="D770" s="1" t="str">
        <f>IFERROR(__xludf.DUMMYFUNCTION("CONCATENATE(GOOGLETRANSLATE(B770, ""en"", ""ko""))"),"환불 상태")</f>
        <v>환불 상태</v>
      </c>
      <c r="E770" s="2" t="str">
        <f>IFERROR(__xludf.DUMMYFUNCTION("CONCATENATE(GOOGLETRANSLATE(B770, ""en"", ""ja""))"),"返金ステータス")</f>
        <v>返金ステータス</v>
      </c>
    </row>
    <row r="771" ht="15.75" customHeight="1">
      <c r="A771" s="1" t="s">
        <v>1526</v>
      </c>
      <c r="B771" s="1" t="s">
        <v>1527</v>
      </c>
      <c r="C771" s="1" t="str">
        <f>IFERROR(__xludf.DUMMYFUNCTION("CONCATENATE(GOOGLETRANSLATE(B771, ""en"", ""zh-cn""))"),"不予退款")</f>
        <v>不予退款</v>
      </c>
      <c r="D771" s="1" t="str">
        <f>IFERROR(__xludf.DUMMYFUNCTION("CONCATENATE(GOOGLETRANSLATE(B771, ""en"", ""ko""))"),"환불 불가")</f>
        <v>환불 불가</v>
      </c>
      <c r="E771" s="2" t="str">
        <f>IFERROR(__xludf.DUMMYFUNCTION("CONCATENATE(GOOGLETRANSLATE(B771, ""en"", ""ja""))"),"返金不可")</f>
        <v>返金不可</v>
      </c>
    </row>
    <row r="772" ht="15.75" customHeight="1">
      <c r="A772" s="1" t="s">
        <v>1528</v>
      </c>
      <c r="B772" s="1" t="s">
        <v>1529</v>
      </c>
      <c r="C772" s="1" t="str">
        <f>IFERROR(__xludf.DUMMYFUNCTION("CONCATENATE(GOOGLETRANSLATE(B772, ""en"", ""zh-cn""))"),"状态更新成功")</f>
        <v>状态更新成功</v>
      </c>
      <c r="D772" s="1" t="str">
        <f>IFERROR(__xludf.DUMMYFUNCTION("CONCATENATE(GOOGLETRANSLATE(B772, ""en"", ""ko""))"),"상태가 성공적으로 업데이트되었습니다.")</f>
        <v>상태가 성공적으로 업데이트되었습니다.</v>
      </c>
      <c r="E772" s="2" t="str">
        <f>IFERROR(__xludf.DUMMYFUNCTION("CONCATENATE(GOOGLETRANSLATE(B772, ""en"", ""ja""))"),"ステータスが正常に更新されました")</f>
        <v>ステータスが正常に更新されました</v>
      </c>
    </row>
    <row r="773" ht="15.75" customHeight="1">
      <c r="A773" s="1" t="s">
        <v>1530</v>
      </c>
      <c r="B773" s="1" t="s">
        <v>1531</v>
      </c>
      <c r="C773" s="1" t="str">
        <f>IFERROR(__xludf.DUMMYFUNCTION("CONCATENATE(GOOGLETRANSLATE(B773, ""en"", ""zh-cn""))"),"用户搜索报告")</f>
        <v>用户搜索报告</v>
      </c>
      <c r="D773" s="1" t="str">
        <f>IFERROR(__xludf.DUMMYFUNCTION("CONCATENATE(GOOGLETRANSLATE(B773, ""en"", ""ko""))"),"사용자 검색 보고서")</f>
        <v>사용자 검색 보고서</v>
      </c>
      <c r="E773" s="2" t="str">
        <f>IFERROR(__xludf.DUMMYFUNCTION("CONCATENATE(GOOGLETRANSLATE(B773, ""en"", ""ja""))"),"ユーザー検索レポート")</f>
        <v>ユーザー検索レポート</v>
      </c>
    </row>
    <row r="774" ht="15.75" customHeight="1">
      <c r="A774" s="1" t="s">
        <v>1532</v>
      </c>
      <c r="B774" s="1" t="s">
        <v>1533</v>
      </c>
      <c r="C774" s="1" t="str">
        <f>IFERROR(__xludf.DUMMYFUNCTION("CONCATENATE(GOOGLETRANSLATE(B774, ""en"", ""zh-cn""))"),"搜索依据")</f>
        <v>搜索依据</v>
      </c>
      <c r="D774" s="1" t="str">
        <f>IFERROR(__xludf.DUMMYFUNCTION("CONCATENATE(GOOGLETRANSLATE(B774, ""en"", ""ko""))"),"검색 기준")</f>
        <v>검색 기준</v>
      </c>
      <c r="E774" s="2" t="str">
        <f>IFERROR(__xludf.DUMMYFUNCTION("CONCATENATE(GOOGLETRANSLATE(B774, ""en"", ""ja""))"),"検索条件")</f>
        <v>検索条件</v>
      </c>
    </row>
    <row r="775" ht="15.75" customHeight="1">
      <c r="A775" s="1" t="s">
        <v>1534</v>
      </c>
      <c r="B775" s="1" t="s">
        <v>1535</v>
      </c>
      <c r="C775" s="1" t="str">
        <f>IFERROR(__xludf.DUMMYFUNCTION("CONCATENATE(GOOGLETRANSLATE(B775, ""en"", ""zh-cn""))"),"号码搜索")</f>
        <v>号码搜索</v>
      </c>
      <c r="D775" s="1" t="str">
        <f>IFERROR(__xludf.DUMMYFUNCTION("CONCATENATE(GOOGLETRANSLATE(B775, ""en"", ""ko""))"),"숫자 검색")</f>
        <v>숫자 검색</v>
      </c>
      <c r="E775" s="2" t="str">
        <f>IFERROR(__xludf.DUMMYFUNCTION("CONCATENATE(GOOGLETRANSLATE(B775, ""en"", ""ja""))"),"番号検索")</f>
        <v>番号検索</v>
      </c>
    </row>
    <row r="776" ht="15.75" customHeight="1">
      <c r="A776" s="1" t="s">
        <v>1536</v>
      </c>
      <c r="B776" s="1" t="s">
        <v>1537</v>
      </c>
      <c r="C776" s="1" t="str">
        <f>IFERROR(__xludf.DUMMYFUNCTION("CONCATENATE(GOOGLETRANSLATE(B776, ""en"", ""zh-cn""))"),"发件人")</f>
        <v>发件人</v>
      </c>
      <c r="D776" s="1" t="str">
        <f>IFERROR(__xludf.DUMMYFUNCTION("CONCATENATE(GOOGLETRANSLATE(B776, ""en"", ""ko""))"),"보내는 사람")</f>
        <v>보내는 사람</v>
      </c>
      <c r="E776" s="2" t="str">
        <f>IFERROR(__xludf.DUMMYFUNCTION("CONCATENATE(GOOGLETRANSLATE(B776, ""en"", ""ja""))"),"送信者")</f>
        <v>送信者</v>
      </c>
    </row>
    <row r="777" ht="15.75" customHeight="1">
      <c r="A777" s="1" t="s">
        <v>1538</v>
      </c>
      <c r="B777" s="1" t="s">
        <v>1539</v>
      </c>
      <c r="C777" s="1" t="str">
        <f>IFERROR(__xludf.DUMMYFUNCTION("CONCATENATE(GOOGLETRANSLATE(B777, ""en"", ""zh-cn""))"),"接收者")</f>
        <v>接收者</v>
      </c>
      <c r="D777" s="1" t="str">
        <f>IFERROR(__xludf.DUMMYFUNCTION("CONCATENATE(GOOGLETRANSLATE(B777, ""en"", ""ko""))"),"수화기")</f>
        <v>수화기</v>
      </c>
      <c r="E777" s="2" t="str">
        <f>IFERROR(__xludf.DUMMYFUNCTION("CONCATENATE(GOOGLETRANSLATE(B777, ""en"", ""ja""))"),"受信機")</f>
        <v>受信機</v>
      </c>
    </row>
    <row r="778" ht="15.75" customHeight="1">
      <c r="A778" s="1" t="s">
        <v>1540</v>
      </c>
      <c r="B778" s="1" t="s">
        <v>1541</v>
      </c>
      <c r="C778" s="1" t="str">
        <f>IFERROR(__xludf.DUMMYFUNCTION("CONCATENATE(GOOGLETRANSLATE(B778, ""en"", ""zh-cn""))"),"验证表更新成功")</f>
        <v>验证表更新成功</v>
      </c>
      <c r="D778" s="1" t="str">
        <f>IFERROR(__xludf.DUMMYFUNCTION("CONCATENATE(GOOGLETRANSLATE(B778, ""en"", ""ko""))"),"확인 양식이 업데이트되었습니다.")</f>
        <v>확인 양식이 업데이트되었습니다.</v>
      </c>
      <c r="E778" s="2" t="str">
        <f>IFERROR(__xludf.DUMMYFUNCTION("CONCATENATE(GOOGLETRANSLATE(B778, ""en"", ""ja""))"),"確認フォームが正常に更新されました")</f>
        <v>確認フォームが正常に更新されました</v>
      </c>
    </row>
    <row r="779" ht="15.75" customHeight="1">
      <c r="A779" s="1" t="s">
        <v>1542</v>
      </c>
      <c r="B779" s="1" t="s">
        <v>1543</v>
      </c>
      <c r="C779" s="1" t="str">
        <f>IFERROR(__xludf.DUMMYFUNCTION("CONCATENATE(GOOGLETRANSLATE(B779, ""en"", ""zh-cn""))"),"电子邮件或密码无效")</f>
        <v>电子邮件或密码无效</v>
      </c>
      <c r="D779" s="1" t="str">
        <f>IFERROR(__xludf.DUMMYFUNCTION("CONCATENATE(GOOGLETRANSLATE(B779, ""en"", ""ko""))"),"잘못된 이메일 또는 비밀번호")</f>
        <v>잘못된 이메일 또는 비밀번호</v>
      </c>
      <c r="E779" s="2" t="str">
        <f>IFERROR(__xludf.DUMMYFUNCTION("CONCATENATE(GOOGLETRANSLATE(B779, ""en"", ""ja""))"),"無効な電子メールまたはパスワード")</f>
        <v>無効な電子メールまたはパスワード</v>
      </c>
    </row>
    <row r="780" ht="15.75" customHeight="1">
      <c r="A780" s="1" t="s">
        <v>1544</v>
      </c>
      <c r="B780" s="1" t="s">
        <v>1545</v>
      </c>
      <c r="C780" s="1" t="str">
        <f>IFERROR(__xludf.DUMMYFUNCTION("CONCATENATE(GOOGLETRANSLATE(B780, ""en"", ""zh-cn""))"),"所有优惠券")</f>
        <v>所有优惠券</v>
      </c>
      <c r="D780" s="1" t="str">
        <f>IFERROR(__xludf.DUMMYFUNCTION("CONCATENATE(GOOGLETRANSLATE(B780, ""en"", ""ko""))"),"모든 쿠폰")</f>
        <v>모든 쿠폰</v>
      </c>
      <c r="E780" s="2" t="str">
        <f>IFERROR(__xludf.DUMMYFUNCTION("CONCATENATE(GOOGLETRANSLATE(B780, ""en"", ""ja""))"),"すべてのクーポン")</f>
        <v>すべてのクーポン</v>
      </c>
    </row>
    <row r="781" ht="15.75" customHeight="1">
      <c r="A781" s="1" t="s">
        <v>1546</v>
      </c>
      <c r="B781" s="1" t="s">
        <v>1547</v>
      </c>
      <c r="C781" s="1" t="str">
        <f>IFERROR(__xludf.DUMMYFUNCTION("CONCATENATE(GOOGLETRANSLATE(B781, ""en"", ""zh-cn""))"),"添加新优惠券")</f>
        <v>添加新优惠券</v>
      </c>
      <c r="D781" s="1" t="str">
        <f>IFERROR(__xludf.DUMMYFUNCTION("CONCATENATE(GOOGLETRANSLATE(B781, ""en"", ""ko""))"),"새 쿠폰 추가")</f>
        <v>새 쿠폰 추가</v>
      </c>
      <c r="E781" s="2" t="str">
        <f>IFERROR(__xludf.DUMMYFUNCTION("CONCATENATE(GOOGLETRANSLATE(B781, ""en"", ""ja""))"),"新しいクーポンを追加")</f>
        <v>新しいクーポンを追加</v>
      </c>
    </row>
    <row r="782" ht="15.75" customHeight="1">
      <c r="A782" s="1" t="s">
        <v>1548</v>
      </c>
      <c r="B782" s="1" t="s">
        <v>1549</v>
      </c>
      <c r="C782" s="1" t="str">
        <f>IFERROR(__xludf.DUMMYFUNCTION("CONCATENATE(GOOGLETRANSLATE(B782, ""en"", ""zh-cn""))"),"优惠券信息")</f>
        <v>优惠券信息</v>
      </c>
      <c r="D782" s="1" t="str">
        <f>IFERROR(__xludf.DUMMYFUNCTION("CONCATENATE(GOOGLETRANSLATE(B782, ""en"", ""ko""))"),"쿠폰정보")</f>
        <v>쿠폰정보</v>
      </c>
      <c r="E782" s="2" t="str">
        <f>IFERROR(__xludf.DUMMYFUNCTION("CONCATENATE(GOOGLETRANSLATE(B782, ""en"", ""ja""))"),"クーポン情報")</f>
        <v>クーポン情報</v>
      </c>
    </row>
    <row r="783" ht="15.75" customHeight="1">
      <c r="A783" s="1" t="s">
        <v>1550</v>
      </c>
      <c r="B783" s="1" t="s">
        <v>1551</v>
      </c>
      <c r="C783" s="1" t="str">
        <f>IFERROR(__xludf.DUMMYFUNCTION("CONCATENATE(GOOGLETRANSLATE(B783, ""en"", ""zh-cn""))"),"开始日期")</f>
        <v>开始日期</v>
      </c>
      <c r="D783" s="1" t="str">
        <f>IFERROR(__xludf.DUMMYFUNCTION("CONCATENATE(GOOGLETRANSLATE(B783, ""en"", ""ko""))"),"시작일")</f>
        <v>시작일</v>
      </c>
      <c r="E783" s="2" t="str">
        <f>IFERROR(__xludf.DUMMYFUNCTION("CONCATENATE(GOOGLETRANSLATE(B783, ""en"", ""ja""))"),"開始日")</f>
        <v>開始日</v>
      </c>
    </row>
    <row r="784" ht="15.75" customHeight="1">
      <c r="A784" s="1" t="s">
        <v>1552</v>
      </c>
      <c r="B784" s="1" t="s">
        <v>1553</v>
      </c>
      <c r="C784" s="1" t="str">
        <f>IFERROR(__xludf.DUMMYFUNCTION("CONCATENATE(GOOGLETRANSLATE(B784, ""en"", ""zh-cn""))"),"结束日期")</f>
        <v>结束日期</v>
      </c>
      <c r="D784" s="1" t="str">
        <f>IFERROR(__xludf.DUMMYFUNCTION("CONCATENATE(GOOGLETRANSLATE(B784, ""en"", ""ko""))"),"종료일")</f>
        <v>종료일</v>
      </c>
      <c r="E784" s="2" t="str">
        <f>IFERROR(__xludf.DUMMYFUNCTION("CONCATENATE(GOOGLETRANSLATE(B784, ""en"", ""ja""))"),"終了日")</f>
        <v>終了日</v>
      </c>
    </row>
    <row r="785" ht="15.75" customHeight="1">
      <c r="A785" s="1" t="s">
        <v>1554</v>
      </c>
      <c r="B785" s="1" t="s">
        <v>1555</v>
      </c>
      <c r="C785" s="1" t="str">
        <f>IFERROR(__xludf.DUMMYFUNCTION("CONCATENATE(GOOGLETRANSLATE(B785, ""en"", ""zh-cn""))"),"产品基地")</f>
        <v>产品基地</v>
      </c>
      <c r="D785" s="1" t="str">
        <f>IFERROR(__xludf.DUMMYFUNCTION("CONCATENATE(GOOGLETRANSLATE(B785, ""en"", ""ko""))"),"제품 기반")</f>
        <v>제품 기반</v>
      </c>
      <c r="E785" s="2" t="str">
        <f>IFERROR(__xludf.DUMMYFUNCTION("CONCATENATE(GOOGLETRANSLATE(B785, ""en"", ""ja""))"),"製品ベース")</f>
        <v>製品ベース</v>
      </c>
    </row>
    <row r="786" ht="15.75" customHeight="1">
      <c r="A786" s="1" t="s">
        <v>1556</v>
      </c>
      <c r="B786" s="1" t="s">
        <v>1557</v>
      </c>
      <c r="C786" s="1" t="str">
        <f>IFERROR(__xludf.DUMMYFUNCTION("CONCATENATE(GOOGLETRANSLATE(B786, ""en"", ""zh-cn""))"),"发送新闻通讯")</f>
        <v>发送新闻通讯</v>
      </c>
      <c r="D786" s="1" t="str">
        <f>IFERROR(__xludf.DUMMYFUNCTION("CONCATENATE(GOOGLETRANSLATE(B786, ""en"", ""ko""))"),"뉴스레터 보내기")</f>
        <v>뉴스레터 보내기</v>
      </c>
      <c r="E786" s="2" t="str">
        <f>IFERROR(__xludf.DUMMYFUNCTION("CONCATENATE(GOOGLETRANSLATE(B786, ""en"", ""ja""))"),"ニュースレターを送信する")</f>
        <v>ニュースレターを送信する</v>
      </c>
    </row>
    <row r="787" ht="15.75" customHeight="1">
      <c r="A787" s="1" t="s">
        <v>1558</v>
      </c>
      <c r="B787" s="1" t="s">
        <v>1559</v>
      </c>
      <c r="C787" s="1" t="str">
        <f>IFERROR(__xludf.DUMMYFUNCTION("CONCATENATE(GOOGLETRANSLATE(B787, ""en"", ""zh-cn""))"),"移动用户")</f>
        <v>移动用户</v>
      </c>
      <c r="D787" s="1" t="str">
        <f>IFERROR(__xludf.DUMMYFUNCTION("CONCATENATE(GOOGLETRANSLATE(B787, ""en"", ""ko""))"),"모바일 사용자")</f>
        <v>모바일 사용자</v>
      </c>
      <c r="E787" s="2" t="str">
        <f>IFERROR(__xludf.DUMMYFUNCTION("CONCATENATE(GOOGLETRANSLATE(B787, ""en"", ""ja""))"),"モバイルユーザー")</f>
        <v>モバイルユーザー</v>
      </c>
    </row>
    <row r="788" ht="15.75" customHeight="1">
      <c r="A788" s="1" t="s">
        <v>1560</v>
      </c>
      <c r="B788" s="1" t="s">
        <v>1561</v>
      </c>
      <c r="C788" s="1" t="str">
        <f>IFERROR(__xludf.DUMMYFUNCTION("CONCATENATE(GOOGLETRANSLATE(B788, ""en"", ""zh-cn""))"),"短信主题")</f>
        <v>短信主题</v>
      </c>
      <c r="D788" s="1" t="str">
        <f>IFERROR(__xludf.DUMMYFUNCTION("CONCATENATE(GOOGLETRANSLATE(B788, ""en"", ""ko""))"),"SMS 제목")</f>
        <v>SMS 제목</v>
      </c>
      <c r="E788" s="2" t="str">
        <f>IFERROR(__xludf.DUMMYFUNCTION("CONCATENATE(GOOGLETRANSLATE(B788, ""en"", ""ja""))"),"SMSの件名")</f>
        <v>SMSの件名</v>
      </c>
    </row>
    <row r="789" ht="15.75" customHeight="1">
      <c r="A789" s="1" t="s">
        <v>1562</v>
      </c>
      <c r="B789" s="1" t="s">
        <v>1563</v>
      </c>
      <c r="C789" s="1" t="str">
        <f>IFERROR(__xludf.DUMMYFUNCTION("CONCATENATE(GOOGLETRANSLATE(B789, ""en"", ""zh-cn""))"),"短信内容")</f>
        <v>短信内容</v>
      </c>
      <c r="D789" s="1" t="str">
        <f>IFERROR(__xludf.DUMMYFUNCTION("CONCATENATE(GOOGLETRANSLATE(B789, ""en"", ""ko""))"),"SMS 내용")</f>
        <v>SMS 내용</v>
      </c>
      <c r="E789" s="2" t="str">
        <f>IFERROR(__xludf.DUMMYFUNCTION("CONCATENATE(GOOGLETRANSLATE(B789, ""en"", ""ja""))"),"SMS コンテンツ")</f>
        <v>SMS コンテンツ</v>
      </c>
    </row>
    <row r="790" ht="15.75" customHeight="1">
      <c r="A790" s="1" t="s">
        <v>1564</v>
      </c>
      <c r="B790" s="1" t="s">
        <v>1565</v>
      </c>
      <c r="C790" s="1" t="str">
        <f>IFERROR(__xludf.DUMMYFUNCTION("CONCATENATE(GOOGLETRANSLATE(B790, ""en"", ""zh-cn""))"),"全闪存德拉斯")</f>
        <v>全闪存德拉斯</v>
      </c>
      <c r="D790" s="1" t="str">
        <f>IFERROR(__xludf.DUMMYFUNCTION("CONCATENATE(GOOGLETRANSLATE(B790, ""en"", ""ko""))"),"올플래시 델라스")</f>
        <v>올플래시 델라스</v>
      </c>
      <c r="E790" s="2" t="str">
        <f>IFERROR(__xludf.DUMMYFUNCTION("CONCATENATE(GOOGLETRANSLATE(B790, ""en"", ""ja""))"),"オールフラッシュデラス")</f>
        <v>オールフラッシュデラス</v>
      </c>
    </row>
    <row r="791" ht="15.75" customHeight="1">
      <c r="A791" s="1" t="s">
        <v>1566</v>
      </c>
      <c r="B791" s="1" t="s">
        <v>1567</v>
      </c>
      <c r="C791" s="1" t="str">
        <f>IFERROR(__xludf.DUMMYFUNCTION("CONCATENATE(GOOGLETRANSLATE(B791, ""en"", ""zh-cn""))"),"创建新的Flash Dela")</f>
        <v>创建新的Flash Dela</v>
      </c>
      <c r="D791" s="1" t="str">
        <f>IFERROR(__xludf.DUMMYFUNCTION("CONCATENATE(GOOGLETRANSLATE(B791, ""en"", ""ko""))"),"새로운 플래시 델라 만들기")</f>
        <v>새로운 플래시 델라 만들기</v>
      </c>
      <c r="E791" s="2" t="str">
        <f>IFERROR(__xludf.DUMMYFUNCTION("CONCATENATE(GOOGLETRANSLATE(B791, ""en"", ""ja""))"),"新しいFlash Delaを作成する")</f>
        <v>新しいFlash Delaを作成する</v>
      </c>
    </row>
    <row r="792" ht="15.75" customHeight="1">
      <c r="A792" s="1" t="s">
        <v>1568</v>
      </c>
      <c r="B792" s="1" t="s">
        <v>1569</v>
      </c>
      <c r="C792" s="1" t="str">
        <f>IFERROR(__xludf.DUMMYFUNCTION("CONCATENATE(GOOGLETRANSLATE(B792, ""en"", ""zh-cn""))"),"页面链接")</f>
        <v>页面链接</v>
      </c>
      <c r="D792" s="1" t="str">
        <f>IFERROR(__xludf.DUMMYFUNCTION("CONCATENATE(GOOGLETRANSLATE(B792, ""en"", ""ko""))"),"페이지 링크")</f>
        <v>페이지 링크</v>
      </c>
      <c r="E792" s="2" t="str">
        <f>IFERROR(__xludf.DUMMYFUNCTION("CONCATENATE(GOOGLETRANSLATE(B792, ""en"", ""ja""))"),"ページリンク")</f>
        <v>ページリンク</v>
      </c>
    </row>
    <row r="793" ht="15.75" customHeight="1">
      <c r="A793" s="1" t="s">
        <v>1570</v>
      </c>
      <c r="B793" s="1" t="s">
        <v>1571</v>
      </c>
      <c r="C793" s="1" t="str">
        <f>IFERROR(__xludf.DUMMYFUNCTION("CONCATENATE(GOOGLETRANSLATE(B793, ""en"", ""zh-cn""))"),"闪购信息")</f>
        <v>闪购信息</v>
      </c>
      <c r="D793" s="1" t="str">
        <f>IFERROR(__xludf.DUMMYFUNCTION("CONCATENATE(GOOGLETRANSLATE(B793, ""en"", ""ko""))"),"플래시딜 정보")</f>
        <v>플래시딜 정보</v>
      </c>
      <c r="E793" s="2" t="str">
        <f>IFERROR(__xludf.DUMMYFUNCTION("CONCATENATE(GOOGLETRANSLATE(B793, ""en"", ""ja""))"),"フラッシュセール情報")</f>
        <v>フラッシュセール情報</v>
      </c>
    </row>
    <row r="794" ht="15.75" customHeight="1">
      <c r="A794" s="1" t="s">
        <v>1572</v>
      </c>
      <c r="B794" s="1" t="s">
        <v>1573</v>
      </c>
      <c r="C794" s="1" t="str">
        <f>IFERROR(__xludf.DUMMYFUNCTION("CONCATENATE(GOOGLETRANSLATE(B794, ""en"", ""zh-cn""))"),"背景颜色")</f>
        <v>背景颜色</v>
      </c>
      <c r="D794" s="1" t="str">
        <f>IFERROR(__xludf.DUMMYFUNCTION("CONCATENATE(GOOGLETRANSLATE(B794, ""en"", ""ko""))"),"배경색")</f>
        <v>배경색</v>
      </c>
      <c r="E794" s="2" t="str">
        <f>IFERROR(__xludf.DUMMYFUNCTION("CONCATENATE(GOOGLETRANSLATE(B794, ""en"", ""ja""))"),"背景色")</f>
        <v>背景色</v>
      </c>
    </row>
    <row r="795" ht="15.75" customHeight="1">
      <c r="A795" s="1" t="s">
        <v>1574</v>
      </c>
      <c r="B795" s="1" t="s">
        <v>1575</v>
      </c>
      <c r="C795" s="1" t="str">
        <f>IFERROR(__xludf.DUMMYFUNCTION("CONCATENATE(GOOGLETRANSLATE(B795, ""en"", ""zh-cn""))"),"#0000ff")</f>
        <v>#0000ff</v>
      </c>
      <c r="D795" s="1" t="str">
        <f>IFERROR(__xludf.DUMMYFUNCTION("CONCATENATE(GOOGLETRANSLATE(B795, ""en"", ""ko""))"),"#0000ff")</f>
        <v>#0000ff</v>
      </c>
      <c r="E795" s="2" t="str">
        <f>IFERROR(__xludf.DUMMYFUNCTION("CONCATENATE(GOOGLETRANSLATE(B795, ""en"", ""ja""))"),"#0000ff")</f>
        <v>#0000ff</v>
      </c>
    </row>
    <row r="796" ht="15.75" customHeight="1">
      <c r="A796" s="1" t="s">
        <v>1576</v>
      </c>
      <c r="B796" s="1" t="s">
        <v>1577</v>
      </c>
      <c r="C796" s="1" t="str">
        <f>IFERROR(__xludf.DUMMYFUNCTION("CONCATENATE(GOOGLETRANSLATE(B796, ""en"", ""zh-cn""))"),"文字颜色")</f>
        <v>文字颜色</v>
      </c>
      <c r="D796" s="1" t="str">
        <f>IFERROR(__xludf.DUMMYFUNCTION("CONCATENATE(GOOGLETRANSLATE(B796, ""en"", ""ko""))"),"텍스트 색상")</f>
        <v>텍스트 색상</v>
      </c>
      <c r="E796" s="2" t="str">
        <f>IFERROR(__xludf.DUMMYFUNCTION("CONCATENATE(GOOGLETRANSLATE(B796, ""en"", ""ja""))"),"文字の色")</f>
        <v>文字の色</v>
      </c>
    </row>
    <row r="797" ht="15.75" customHeight="1">
      <c r="A797" s="1" t="s">
        <v>1578</v>
      </c>
      <c r="B797" s="1" t="s">
        <v>1579</v>
      </c>
      <c r="C797" s="1" t="str">
        <f>IFERROR(__xludf.DUMMYFUNCTION("CONCATENATE(GOOGLETRANSLATE(B797, ""en"", ""zh-cn""))"),"白色的")</f>
        <v>白色的</v>
      </c>
      <c r="D797" s="1" t="str">
        <f>IFERROR(__xludf.DUMMYFUNCTION("CONCATENATE(GOOGLETRANSLATE(B797, ""en"", ""ko""))"),"하얀색")</f>
        <v>하얀색</v>
      </c>
      <c r="E797" s="2" t="str">
        <f>IFERROR(__xludf.DUMMYFUNCTION("CONCATENATE(GOOGLETRANSLATE(B797, ""en"", ""ja""))"),"白")</f>
        <v>白</v>
      </c>
    </row>
    <row r="798" ht="15.75" customHeight="1">
      <c r="A798" s="1" t="s">
        <v>1580</v>
      </c>
      <c r="B798" s="1" t="s">
        <v>1581</v>
      </c>
      <c r="C798" s="1" t="str">
        <f>IFERROR(__xludf.DUMMYFUNCTION("CONCATENATE(GOOGLETRANSLATE(B798, ""en"", ""zh-cn""))"),"黑暗的")</f>
        <v>黑暗的</v>
      </c>
      <c r="D798" s="1" t="str">
        <f>IFERROR(__xludf.DUMMYFUNCTION("CONCATENATE(GOOGLETRANSLATE(B798, ""en"", ""ko""))"),"어두운")</f>
        <v>어두운</v>
      </c>
      <c r="E798" s="2" t="str">
        <f>IFERROR(__xludf.DUMMYFUNCTION("CONCATENATE(GOOGLETRANSLATE(B798, ""en"", ""ja""))"),"暗い")</f>
        <v>暗い</v>
      </c>
    </row>
    <row r="799" ht="15.75" customHeight="1">
      <c r="A799" s="1" t="s">
        <v>1582</v>
      </c>
      <c r="B799" s="1" t="s">
        <v>1583</v>
      </c>
      <c r="C799" s="1" t="str">
        <f>IFERROR(__xludf.DUMMYFUNCTION("CONCATENATE(GOOGLETRANSLATE(B799, ""en"", ""zh-cn""))"),"选择产品")</f>
        <v>选择产品</v>
      </c>
      <c r="D799" s="1" t="str">
        <f>IFERROR(__xludf.DUMMYFUNCTION("CONCATENATE(GOOGLETRANSLATE(B799, ""en"", ""ko""))"),"제품 선택")</f>
        <v>제품 선택</v>
      </c>
      <c r="E799" s="2" t="str">
        <f>IFERROR(__xludf.DUMMYFUNCTION("CONCATENATE(GOOGLETRANSLATE(B799, ""en"", ""ja""))"),"製品の選択")</f>
        <v>製品の選択</v>
      </c>
    </row>
    <row r="800" ht="15.75" customHeight="1">
      <c r="A800" s="1" t="s">
        <v>1584</v>
      </c>
      <c r="B800" s="1" t="s">
        <v>1585</v>
      </c>
      <c r="C800" s="1" t="str">
        <f>IFERROR(__xludf.DUMMYFUNCTION("CONCATENATE(GOOGLETRANSLATE(B800, ""en"", ""zh-cn""))"),"折扣")</f>
        <v>折扣</v>
      </c>
      <c r="D800" s="1" t="str">
        <f>IFERROR(__xludf.DUMMYFUNCTION("CONCATENATE(GOOGLETRANSLATE(B800, ""en"", ""ko""))"),"할인")</f>
        <v>할인</v>
      </c>
      <c r="E800" s="2" t="str">
        <f>IFERROR(__xludf.DUMMYFUNCTION("CONCATENATE(GOOGLETRANSLATE(B800, ""en"", ""ja""))"),"割引")</f>
        <v>割引</v>
      </c>
    </row>
    <row r="801" ht="15.75" customHeight="1">
      <c r="A801" s="1" t="s">
        <v>1586</v>
      </c>
      <c r="B801" s="1" t="s">
        <v>1587</v>
      </c>
      <c r="C801" s="1" t="str">
        <f>IFERROR(__xludf.DUMMYFUNCTION("CONCATENATE(GOOGLETRANSLATE(B801, ""en"", ""zh-cn""))"),"折扣类型")</f>
        <v>折扣类型</v>
      </c>
      <c r="D801" s="1" t="str">
        <f>IFERROR(__xludf.DUMMYFUNCTION("CONCATENATE(GOOGLETRANSLATE(B801, ""en"", ""ko""))"),"할인 유형")</f>
        <v>할인 유형</v>
      </c>
      <c r="E801" s="2" t="str">
        <f>IFERROR(__xludf.DUMMYFUNCTION("CONCATENATE(GOOGLETRANSLATE(B801, ""en"", ""ja""))"),"割引タイプ")</f>
        <v>割引タイプ</v>
      </c>
    </row>
    <row r="802" ht="15.75" customHeight="1">
      <c r="A802" s="1" t="s">
        <v>1588</v>
      </c>
      <c r="B802" s="1" t="s">
        <v>1589</v>
      </c>
      <c r="C802" s="1" t="str">
        <f>IFERROR(__xludf.DUMMYFUNCTION("CONCATENATE(GOOGLETRANSLATE(B802, ""en"", ""zh-cn""))"),"Twillo 凭证")</f>
        <v>Twillo 凭证</v>
      </c>
      <c r="D802" s="1" t="str">
        <f>IFERROR(__xludf.DUMMYFUNCTION("CONCATENATE(GOOGLETRANSLATE(B802, ""en"", ""ko""))"),"트윌로 자격증")</f>
        <v>트윌로 자격증</v>
      </c>
      <c r="E802" s="2" t="str">
        <f>IFERROR(__xludf.DUMMYFUNCTION("CONCATENATE(GOOGLETRANSLATE(B802, ""en"", ""ja""))"),"Twillo 資格情報")</f>
        <v>Twillo 資格情報</v>
      </c>
    </row>
    <row r="803" ht="15.75" customHeight="1">
      <c r="A803" s="1" t="s">
        <v>1590</v>
      </c>
      <c r="B803" s="1" t="s">
        <v>1591</v>
      </c>
      <c r="C803" s="1" t="str">
        <f>IFERROR(__xludf.DUMMYFUNCTION("CONCATENATE(GOOGLETRANSLATE(B803, ""en"", ""zh-cn""))"),"特威利奥 SID")</f>
        <v>特威利奥 SID</v>
      </c>
      <c r="D803" s="1" t="str">
        <f>IFERROR(__xludf.DUMMYFUNCTION("CONCATENATE(GOOGLETRANSLATE(B803, ""en"", ""ko""))"),"트윌리오 시드")</f>
        <v>트윌리오 시드</v>
      </c>
      <c r="E803" s="2" t="str">
        <f>IFERROR(__xludf.DUMMYFUNCTION("CONCATENATE(GOOGLETRANSLATE(B803, ""en"", ""ja""))"),"トゥリオ・シド")</f>
        <v>トゥリオ・シド</v>
      </c>
    </row>
    <row r="804" ht="15.75" customHeight="1">
      <c r="A804" s="1" t="s">
        <v>1592</v>
      </c>
      <c r="B804" s="1" t="s">
        <v>1593</v>
      </c>
      <c r="C804" s="1" t="str">
        <f>IFERROR(__xludf.DUMMYFUNCTION("CONCATENATE(GOOGLETRANSLATE(B804, ""en"", ""zh-cn""))"),"TWILIO 授权令牌")</f>
        <v>TWILIO 授权令牌</v>
      </c>
      <c r="D804" s="1" t="str">
        <f>IFERROR(__xludf.DUMMYFUNCTION("CONCATENATE(GOOGLETRANSLATE(B804, ""en"", ""ko""))"),"TWILIO 인증 토큰")</f>
        <v>TWILIO 인증 토큰</v>
      </c>
      <c r="E804" s="2" t="str">
        <f>IFERROR(__xludf.DUMMYFUNCTION("CONCATENATE(GOOGLETRANSLATE(B804, ""en"", ""ja""))"),"TWILIO 認証トークン")</f>
        <v>TWILIO 認証トークン</v>
      </c>
    </row>
    <row r="805" ht="15.75" customHeight="1">
      <c r="A805" s="1" t="s">
        <v>1594</v>
      </c>
      <c r="B805" s="1" t="s">
        <v>1595</v>
      </c>
      <c r="C805" s="1" t="str">
        <f>IFERROR(__xludf.DUMMYFUNCTION("CONCATENATE(GOOGLETRANSLATE(B805, ""en"", ""zh-cn""))"),"TWILIO 验证 SID")</f>
        <v>TWILIO 验证 SID</v>
      </c>
      <c r="D805" s="1" t="str">
        <f>IFERROR(__xludf.DUMMYFUNCTION("CONCATENATE(GOOGLETRANSLATE(B805, ""en"", ""ko""))"),"TWILIO SID 확인")</f>
        <v>TWILIO SID 확인</v>
      </c>
      <c r="E805" s="2" t="str">
        <f>IFERROR(__xludf.DUMMYFUNCTION("CONCATENATE(GOOGLETRANSLATE(B805, ""en"", ""ja""))"),"TWILIO 検証 SID")</f>
        <v>TWILIO 検証 SID</v>
      </c>
    </row>
    <row r="806" ht="15.75" customHeight="1">
      <c r="A806" s="1" t="s">
        <v>1596</v>
      </c>
      <c r="B806" s="1" t="s">
        <v>1597</v>
      </c>
      <c r="C806" s="1" t="str">
        <f>IFERROR(__xludf.DUMMYFUNCTION("CONCATENATE(GOOGLETRANSLATE(B806, ""en"", ""zh-cn""))"),"有效的 TWILLO 号码")</f>
        <v>有效的 TWILLO 号码</v>
      </c>
      <c r="D806" s="1" t="str">
        <f>IFERROR(__xludf.DUMMYFUNCTION("CONCATENATE(GOOGLETRANSLATE(B806, ""en"", ""ko""))"),"유효한 트윌로 번호")</f>
        <v>유효한 트윌로 번호</v>
      </c>
      <c r="E806" s="2" t="str">
        <f>IFERROR(__xludf.DUMMYFUNCTION("CONCATENATE(GOOGLETRANSLATE(B806, ""en"", ""ja""))"),"有効なTWILLO番号")</f>
        <v>有効なTWILLO番号</v>
      </c>
    </row>
    <row r="807" ht="15.75" customHeight="1">
      <c r="A807" s="1" t="s">
        <v>1598</v>
      </c>
      <c r="B807" s="1" t="s">
        <v>1599</v>
      </c>
      <c r="C807" s="1" t="str">
        <f>IFERROR(__xludf.DUMMYFUNCTION("CONCATENATE(GOOGLETRANSLATE(B807, ""en"", ""zh-cn""))"),"Nexmo 凭证")</f>
        <v>Nexmo 凭证</v>
      </c>
      <c r="D807" s="1" t="str">
        <f>IFERROR(__xludf.DUMMYFUNCTION("CONCATENATE(GOOGLETRANSLATE(B807, ""en"", ""ko""))"),"Nexmo 자격 증명")</f>
        <v>Nexmo 자격 증명</v>
      </c>
      <c r="E807" s="2" t="str">
        <f>IFERROR(__xludf.DUMMYFUNCTION("CONCATENATE(GOOGLETRANSLATE(B807, ""en"", ""ja""))"),"Nexmo 認証情報")</f>
        <v>Nexmo 認証情報</v>
      </c>
    </row>
    <row r="808" ht="15.75" customHeight="1">
      <c r="A808" s="1" t="s">
        <v>1600</v>
      </c>
      <c r="B808" s="1" t="s">
        <v>1601</v>
      </c>
      <c r="C808" s="1" t="str">
        <f>IFERROR(__xludf.DUMMYFUNCTION("CONCATENATE(GOOGLETRANSLATE(B808, ""en"", ""zh-cn""))"),"NEXMO 钥匙")</f>
        <v>NEXMO 钥匙</v>
      </c>
      <c r="D808" s="1" t="str">
        <f>IFERROR(__xludf.DUMMYFUNCTION("CONCATENATE(GOOGLETRANSLATE(B808, ""en"", ""ko""))"),"넥스모키")</f>
        <v>넥스모키</v>
      </c>
      <c r="E808" s="2" t="str">
        <f>IFERROR(__xludf.DUMMYFUNCTION("CONCATENATE(GOOGLETRANSLATE(B808, ""en"", ""ja""))"),"ネクスモキー")</f>
        <v>ネクスモキー</v>
      </c>
    </row>
    <row r="809" ht="15.75" customHeight="1">
      <c r="A809" s="1" t="s">
        <v>1602</v>
      </c>
      <c r="B809" s="1" t="s">
        <v>1603</v>
      </c>
      <c r="C809" s="1" t="str">
        <f>IFERROR(__xludf.DUMMYFUNCTION("CONCATENATE(GOOGLETRANSLATE(B809, ""en"", ""zh-cn""))"),"NEXMO 的秘密")</f>
        <v>NEXMO 的秘密</v>
      </c>
      <c r="D809" s="1" t="str">
        <f>IFERROR(__xludf.DUMMYFUNCTION("CONCATENATE(GOOGLETRANSLATE(B809, ""en"", ""ko""))"),"넥스모 시크릿")</f>
        <v>넥스모 시크릿</v>
      </c>
      <c r="E809" s="2" t="str">
        <f>IFERROR(__xludf.DUMMYFUNCTION("CONCATENATE(GOOGLETRANSLATE(B809, ""en"", ""ja""))"),"ネクスモシークレット")</f>
        <v>ネクスモシークレット</v>
      </c>
    </row>
    <row r="810" ht="15.75" customHeight="1">
      <c r="A810" s="1" t="s">
        <v>1604</v>
      </c>
      <c r="B810" s="1" t="s">
        <v>1605</v>
      </c>
      <c r="C810" s="1" t="str">
        <f>IFERROR(__xludf.DUMMYFUNCTION("CONCATENATE(GOOGLETRANSLATE(B810, ""en"", ""zh-cn""))"),"SSL 无线凭证")</f>
        <v>SSL 无线凭证</v>
      </c>
      <c r="D810" s="1" t="str">
        <f>IFERROR(__xludf.DUMMYFUNCTION("CONCATENATE(GOOGLETRANSLATE(B810, ""en"", ""ko""))"),"SSL 무선 자격 증명")</f>
        <v>SSL 무선 자격 증명</v>
      </c>
      <c r="E810" s="2" t="str">
        <f>IFERROR(__xludf.DUMMYFUNCTION("CONCATENATE(GOOGLETRANSLATE(B810, ""en"", ""ja""))"),"SSL ワイヤレス認証情報")</f>
        <v>SSL ワイヤレス認証情報</v>
      </c>
    </row>
    <row r="811" ht="15.75" customHeight="1">
      <c r="A811" s="1" t="s">
        <v>1606</v>
      </c>
      <c r="B811" s="1" t="s">
        <v>1607</v>
      </c>
      <c r="C811" s="1" t="str">
        <f>IFERROR(__xludf.DUMMYFUNCTION("CONCATENATE(GOOGLETRANSLATE(B811, ""en"", ""zh-cn""))"),"SSL 短信 API 令牌")</f>
        <v>SSL 短信 API 令牌</v>
      </c>
      <c r="D811" s="1" t="str">
        <f>IFERROR(__xludf.DUMMYFUNCTION("CONCATENATE(GOOGLETRANSLATE(B811, ""en"", ""ko""))"),"SSL SMS API 토큰")</f>
        <v>SSL SMS API 토큰</v>
      </c>
      <c r="E811" s="2" t="str">
        <f>IFERROR(__xludf.DUMMYFUNCTION("CONCATENATE(GOOGLETRANSLATE(B811, ""en"", ""ja""))"),"SSL SMS API トークン")</f>
        <v>SSL SMS API トークン</v>
      </c>
    </row>
    <row r="812" ht="15.75" customHeight="1">
      <c r="A812" s="1" t="s">
        <v>1608</v>
      </c>
      <c r="B812" s="1" t="s">
        <v>1609</v>
      </c>
      <c r="C812" s="1" t="str">
        <f>IFERROR(__xludf.DUMMYFUNCTION("CONCATENATE(GOOGLETRANSLATE(B812, ""en"", ""zh-cn""))"),"SSL短信SID")</f>
        <v>SSL短信SID</v>
      </c>
      <c r="D812" s="1" t="str">
        <f>IFERROR(__xludf.DUMMYFUNCTION("CONCATENATE(GOOGLETRANSLATE(B812, ""en"", ""ko""))"),"SSL SMS SID")</f>
        <v>SSL SMS SID</v>
      </c>
      <c r="E812" s="2" t="str">
        <f>IFERROR(__xludf.DUMMYFUNCTION("CONCATENATE(GOOGLETRANSLATE(B812, ""en"", ""ja""))"),"SSL SMS SID")</f>
        <v>SSL SMS SID</v>
      </c>
    </row>
    <row r="813" ht="15.75" customHeight="1">
      <c r="A813" s="1" t="s">
        <v>1610</v>
      </c>
      <c r="B813" s="1" t="s">
        <v>1611</v>
      </c>
      <c r="C813" s="1" t="str">
        <f>IFERROR(__xludf.DUMMYFUNCTION("CONCATENATE(GOOGLETRANSLATE(B813, ""en"", ""zh-cn""))"),"SSL 短信网址")</f>
        <v>SSL 短信网址</v>
      </c>
      <c r="D813" s="1" t="str">
        <f>IFERROR(__xludf.DUMMYFUNCTION("CONCATENATE(GOOGLETRANSLATE(B813, ""en"", ""ko""))"),"SSL SMS URL")</f>
        <v>SSL SMS URL</v>
      </c>
      <c r="E813" s="2" t="str">
        <f>IFERROR(__xludf.DUMMYFUNCTION("CONCATENATE(GOOGLETRANSLATE(B813, ""en"", ""ja""))"),"SSL SMS URL")</f>
        <v>SSL SMS URL</v>
      </c>
    </row>
    <row r="814" ht="15.75" customHeight="1">
      <c r="A814" s="1" t="s">
        <v>1612</v>
      </c>
      <c r="B814" s="1" t="s">
        <v>1613</v>
      </c>
      <c r="C814" s="1" t="str">
        <f>IFERROR(__xludf.DUMMYFUNCTION("CONCATENATE(GOOGLETRANSLATE(B814, ""en"", ""zh-cn""))"),"Fast2SMS 凭证")</f>
        <v>Fast2SMS 凭证</v>
      </c>
      <c r="D814" s="1" t="str">
        <f>IFERROR(__xludf.DUMMYFUNCTION("CONCATENATE(GOOGLETRANSLATE(B814, ""en"", ""ko""))"),"Fast2SMS 자격 증명")</f>
        <v>Fast2SMS 자격 증명</v>
      </c>
      <c r="E814" s="2" t="str">
        <f>IFERROR(__xludf.DUMMYFUNCTION("CONCATENATE(GOOGLETRANSLATE(B814, ""en"", ""ja""))"),"Fast2SMS 資格情報")</f>
        <v>Fast2SMS 資格情報</v>
      </c>
    </row>
    <row r="815" ht="15.75" customHeight="1">
      <c r="A815" s="1" t="s">
        <v>1614</v>
      </c>
      <c r="B815" s="1" t="s">
        <v>1615</v>
      </c>
      <c r="C815" s="1" t="str">
        <f>IFERROR(__xludf.DUMMYFUNCTION("CONCATENATE(GOOGLETRANSLATE(B815, ""en"", ""zh-cn""))"),"授权密钥")</f>
        <v>授权密钥</v>
      </c>
      <c r="D815" s="1" t="str">
        <f>IFERROR(__xludf.DUMMYFUNCTION("CONCATENATE(GOOGLETRANSLATE(B815, ""en"", ""ko""))"),"인증 키")</f>
        <v>인증 키</v>
      </c>
      <c r="E815" s="2" t="str">
        <f>IFERROR(__xludf.DUMMYFUNCTION("CONCATENATE(GOOGLETRANSLATE(B815, ""en"", ""ja""))"),"認証キー")</f>
        <v>認証キー</v>
      </c>
    </row>
    <row r="816" ht="15.75" customHeight="1">
      <c r="A816" s="1" t="s">
        <v>1616</v>
      </c>
      <c r="B816" s="1" t="s">
        <v>1617</v>
      </c>
      <c r="C816" s="1" t="str">
        <f>IFERROR(__xludf.DUMMYFUNCTION("CONCATENATE(GOOGLETRANSLATE(B816, ""en"", ""zh-cn""))"),"路线")</f>
        <v>路线</v>
      </c>
      <c r="D816" s="1" t="str">
        <f>IFERROR(__xludf.DUMMYFUNCTION("CONCATENATE(GOOGLETRANSLATE(B816, ""en"", ""ko""))"),"노선")</f>
        <v>노선</v>
      </c>
      <c r="E816" s="2" t="str">
        <f>IFERROR(__xludf.DUMMYFUNCTION("CONCATENATE(GOOGLETRANSLATE(B816, ""en"", ""ja""))"),"ルート")</f>
        <v>ルート</v>
      </c>
    </row>
    <row r="817" ht="15.75" customHeight="1">
      <c r="A817" s="1" t="s">
        <v>1618</v>
      </c>
      <c r="B817" s="1" t="s">
        <v>1619</v>
      </c>
      <c r="C817" s="1" t="str">
        <f>IFERROR(__xludf.DUMMYFUNCTION("CONCATENATE(GOOGLETRANSLATE(B817, ""en"", ""zh-cn""))"),"促销用途")</f>
        <v>促销用途</v>
      </c>
      <c r="D817" s="1" t="str">
        <f>IFERROR(__xludf.DUMMYFUNCTION("CONCATENATE(GOOGLETRANSLATE(B817, ""en"", ""ko""))"),"판촉용")</f>
        <v>판촉용</v>
      </c>
      <c r="E817" s="2" t="str">
        <f>IFERROR(__xludf.DUMMYFUNCTION("CONCATENATE(GOOGLETRANSLATE(B817, ""en"", ""ja""))"),"プロモーション用途")</f>
        <v>プロモーション用途</v>
      </c>
    </row>
    <row r="818" ht="15.75" customHeight="1">
      <c r="A818" s="1" t="s">
        <v>1620</v>
      </c>
      <c r="B818" s="1" t="s">
        <v>1621</v>
      </c>
      <c r="C818" s="1" t="str">
        <f>IFERROR(__xludf.DUMMYFUNCTION("CONCATENATE(GOOGLETRANSLATE(B818, ""en"", ""zh-cn""))"),"交易用途")</f>
        <v>交易用途</v>
      </c>
      <c r="D818" s="1" t="str">
        <f>IFERROR(__xludf.DUMMYFUNCTION("CONCATENATE(GOOGLETRANSLATE(B818, ""en"", ""ko""))"),"거래적 사용")</f>
        <v>거래적 사용</v>
      </c>
      <c r="E818" s="2" t="str">
        <f>IFERROR(__xludf.DUMMYFUNCTION("CONCATENATE(GOOGLETRANSLATE(B818, ""en"", ""ja""))"),"トランザクションでの使用")</f>
        <v>トランザクションでの使用</v>
      </c>
    </row>
    <row r="819" ht="15.75" customHeight="1">
      <c r="A819" s="1" t="s">
        <v>1622</v>
      </c>
      <c r="B819" s="1" t="s">
        <v>1623</v>
      </c>
      <c r="C819" s="1" t="str">
        <f>IFERROR(__xludf.DUMMYFUNCTION("CONCATENATE(GOOGLETRANSLATE(B819, ""en"", ""zh-cn""))"),"发件人ID")</f>
        <v>发件人ID</v>
      </c>
      <c r="D819" s="1" t="str">
        <f>IFERROR(__xludf.DUMMYFUNCTION("CONCATENATE(GOOGLETRANSLATE(B819, ""en"", ""ko""))"),"발신자 ID")</f>
        <v>발신자 ID</v>
      </c>
      <c r="E819" s="2" t="str">
        <f>IFERROR(__xludf.DUMMYFUNCTION("CONCATENATE(GOOGLETRANSLATE(B819, ""en"", ""ja""))"),"送信者ID")</f>
        <v>送信者ID</v>
      </c>
    </row>
    <row r="820" ht="15.75" customHeight="1">
      <c r="A820" s="1" t="s">
        <v>1624</v>
      </c>
      <c r="B820" s="1" t="s">
        <v>1625</v>
      </c>
      <c r="C820" s="1" t="str">
        <f>IFERROR(__xludf.DUMMYFUNCTION("CONCATENATE(GOOGLETRANSLATE(B820, ""en"", ""zh-cn""))"),"Nexmo OTP")</f>
        <v>Nexmo OTP</v>
      </c>
      <c r="D820" s="1" t="str">
        <f>IFERROR(__xludf.DUMMYFUNCTION("CONCATENATE(GOOGLETRANSLATE(B820, ""en"", ""ko""))"),"넥스모 OTP")</f>
        <v>넥스모 OTP</v>
      </c>
      <c r="E820" s="2" t="str">
        <f>IFERROR(__xludf.DUMMYFUNCTION("CONCATENATE(GOOGLETRANSLATE(B820, ""en"", ""ja""))"),"Nexmo OTP")</f>
        <v>Nexmo OTP</v>
      </c>
    </row>
    <row r="821" ht="15.75" customHeight="1">
      <c r="A821" s="1" t="s">
        <v>1626</v>
      </c>
      <c r="B821" s="1" t="s">
        <v>1627</v>
      </c>
      <c r="C821" s="1" t="str">
        <f>IFERROR(__xludf.DUMMYFUNCTION("CONCATENATE(GOOGLETRANSLATE(B821, ""en"", ""zh-cn""))"),"特威洛 OTP")</f>
        <v>特威洛 OTP</v>
      </c>
      <c r="D821" s="1" t="str">
        <f>IFERROR(__xludf.DUMMYFUNCTION("CONCATENATE(GOOGLETRANSLATE(B821, ""en"", ""ko""))"),"트윌로 OTP")</f>
        <v>트윌로 OTP</v>
      </c>
      <c r="E821" s="2" t="str">
        <f>IFERROR(__xludf.DUMMYFUNCTION("CONCATENATE(GOOGLETRANSLATE(B821, ""en"", ""ja""))"),"Twillo OTP")</f>
        <v>Twillo OTP</v>
      </c>
    </row>
    <row r="822" ht="15.75" customHeight="1">
      <c r="A822" s="1" t="s">
        <v>1628</v>
      </c>
      <c r="B822" s="1" t="s">
        <v>1629</v>
      </c>
      <c r="C822" s="1" t="str">
        <f>IFERROR(__xludf.DUMMYFUNCTION("CONCATENATE(GOOGLETRANSLATE(B822, ""en"", ""zh-cn""))"),"SSL 无线一次性密码")</f>
        <v>SSL 无线一次性密码</v>
      </c>
      <c r="D822" s="1" t="str">
        <f>IFERROR(__xludf.DUMMYFUNCTION("CONCATENATE(GOOGLETRANSLATE(B822, ""en"", ""ko""))"),"SSL 무선 OTP")</f>
        <v>SSL 무선 OTP</v>
      </c>
      <c r="E822" s="2" t="str">
        <f>IFERROR(__xludf.DUMMYFUNCTION("CONCATENATE(GOOGLETRANSLATE(B822, ""en"", ""ja""))"),"SSLワイヤレスOTP")</f>
        <v>SSLワイヤレスOTP</v>
      </c>
    </row>
    <row r="823" ht="15.75" customHeight="1">
      <c r="A823" s="1" t="s">
        <v>1630</v>
      </c>
      <c r="B823" s="1" t="s">
        <v>1631</v>
      </c>
      <c r="C823" s="1" t="str">
        <f>IFERROR(__xludf.DUMMYFUNCTION("CONCATENATE(GOOGLETRANSLATE(B823, ""en"", ""zh-cn""))"),"快速2SMS一次性密码")</f>
        <v>快速2SMS一次性密码</v>
      </c>
      <c r="D823" s="1" t="str">
        <f>IFERROR(__xludf.DUMMYFUNCTION("CONCATENATE(GOOGLETRANSLATE(B823, ""en"", ""ko""))"),"Fast2SMS OTP")</f>
        <v>Fast2SMS OTP</v>
      </c>
      <c r="E823" s="2" t="str">
        <f>IFERROR(__xludf.DUMMYFUNCTION("CONCATENATE(GOOGLETRANSLATE(B823, ""en"", ""ja""))"),"Fast2SMS OTP")</f>
        <v>Fast2SMS OTP</v>
      </c>
    </row>
    <row r="824" ht="15.75" customHeight="1">
      <c r="A824" s="1" t="s">
        <v>1632</v>
      </c>
      <c r="B824" s="1" t="s">
        <v>1633</v>
      </c>
      <c r="C824" s="1" t="str">
        <f>IFERROR(__xludf.DUMMYFUNCTION("CONCATENATE(GOOGLETRANSLATE(B824, ""en"", ""zh-cn""))"),"下订单")</f>
        <v>下订单</v>
      </c>
      <c r="D824" s="1" t="str">
        <f>IFERROR(__xludf.DUMMYFUNCTION("CONCATENATE(GOOGLETRANSLATE(B824, ""en"", ""ko""))"),"주문 배치")</f>
        <v>주문 배치</v>
      </c>
      <c r="E824" s="2" t="str">
        <f>IFERROR(__xludf.DUMMYFUNCTION("CONCATENATE(GOOGLETRANSLATE(B824, ""en"", ""ja""))"),"注文の発注")</f>
        <v>注文の発注</v>
      </c>
    </row>
    <row r="825" ht="15.75" customHeight="1">
      <c r="A825" s="1" t="s">
        <v>1634</v>
      </c>
      <c r="B825" s="1" t="s">
        <v>1635</v>
      </c>
      <c r="C825" s="1" t="str">
        <f>IFERROR(__xludf.DUMMYFUNCTION("CONCATENATE(GOOGLETRANSLATE(B825, ""en"", ""zh-cn""))"),"交货状态变更时间")</f>
        <v>交货状态变更时间</v>
      </c>
      <c r="D825" s="1" t="str">
        <f>IFERROR(__xludf.DUMMYFUNCTION("CONCATENATE(GOOGLETRANSLATE(B825, ""en"", ""ko""))"),"배송상태 변경시간")</f>
        <v>배송상태 변경시간</v>
      </c>
      <c r="E825" s="2" t="str">
        <f>IFERROR(__xludf.DUMMYFUNCTION("CONCATENATE(GOOGLETRANSLATE(B825, ""en"", ""ja""))"),"配送状況変更時間")</f>
        <v>配送状況変更時間</v>
      </c>
    </row>
    <row r="826" ht="15.75" customHeight="1">
      <c r="A826" s="1" t="s">
        <v>1636</v>
      </c>
      <c r="B826" s="1" t="s">
        <v>1637</v>
      </c>
      <c r="C826" s="1" t="str">
        <f>IFERROR(__xludf.DUMMYFUNCTION("CONCATENATE(GOOGLETRANSLATE(B826, ""en"", ""zh-cn""))"),"付费状态变更时间")</f>
        <v>付费状态变更时间</v>
      </c>
      <c r="D826" s="1" t="str">
        <f>IFERROR(__xludf.DUMMYFUNCTION("CONCATENATE(GOOGLETRANSLATE(B826, ""en"", ""ko""))"),"유료 상태 변경 시간")</f>
        <v>유료 상태 변경 시간</v>
      </c>
      <c r="E826" s="2" t="str">
        <f>IFERROR(__xludf.DUMMYFUNCTION("CONCATENATE(GOOGLETRANSLATE(B826, ""en"", ""ja""))"),"有料ステータス変更時間")</f>
        <v>有料ステータス変更時間</v>
      </c>
    </row>
    <row r="827" ht="15.75" customHeight="1">
      <c r="A827" s="1" t="s">
        <v>1638</v>
      </c>
      <c r="B827" s="1" t="s">
        <v>1639</v>
      </c>
      <c r="C827" s="1" t="str">
        <f>IFERROR(__xludf.DUMMYFUNCTION("CONCATENATE(GOOGLETRANSLATE(B827, ""en"", ""zh-cn""))"),"发送批量短信")</f>
        <v>发送批量短信</v>
      </c>
      <c r="D827" s="1" t="str">
        <f>IFERROR(__xludf.DUMMYFUNCTION("CONCATENATE(GOOGLETRANSLATE(B827, ""en"", ""ko""))"),"대량 SMS 보내기")</f>
        <v>대량 SMS 보내기</v>
      </c>
      <c r="E827" s="2" t="str">
        <f>IFERROR(__xludf.DUMMYFUNCTION("CONCATENATE(GOOGLETRANSLATE(B827, ""en"", ""ja""))"),"大量のSMSを送信する")</f>
        <v>大量のSMSを送信する</v>
      </c>
    </row>
    <row r="828" ht="15.75" customHeight="1">
      <c r="A828" s="1" t="s">
        <v>1640</v>
      </c>
      <c r="B828" s="1" t="s">
        <v>1641</v>
      </c>
      <c r="C828" s="1" t="str">
        <f>IFERROR(__xludf.DUMMYFUNCTION("CONCATENATE(GOOGLETRANSLATE(B828, ""en"", ""zh-cn""))"),"所有订阅者")</f>
        <v>所有订阅者</v>
      </c>
      <c r="D828" s="1" t="str">
        <f>IFERROR(__xludf.DUMMYFUNCTION("CONCATENATE(GOOGLETRANSLATE(B828, ""en"", ""ko""))"),"모든 구독자")</f>
        <v>모든 구독자</v>
      </c>
      <c r="E828" s="2" t="str">
        <f>IFERROR(__xludf.DUMMYFUNCTION("CONCATENATE(GOOGLETRANSLATE(B828, ""en"", ""ja""))"),"すべての購読者")</f>
        <v>すべての購読者</v>
      </c>
    </row>
    <row r="829" ht="15.75" customHeight="1">
      <c r="A829" s="1" t="s">
        <v>1642</v>
      </c>
      <c r="B829" s="1" t="s">
        <v>1643</v>
      </c>
      <c r="C829" s="1" t="str">
        <f>IFERROR(__xludf.DUMMYFUNCTION("CONCATENATE(GOOGLETRANSLATE(B829, ""en"", ""zh-cn""))"),"优惠券信息添加")</f>
        <v>优惠券信息添加</v>
      </c>
      <c r="D829" s="1" t="str">
        <f>IFERROR(__xludf.DUMMYFUNCTION("CONCATENATE(GOOGLETRANSLATE(B829, ""en"", ""ko""))"),"쿠폰 정보 추가")</f>
        <v>쿠폰 정보 추가</v>
      </c>
      <c r="E829" s="2" t="str">
        <f>IFERROR(__xludf.DUMMYFUNCTION("CONCATENATE(GOOGLETRANSLATE(B829, ""en"", ""ja""))"),"クーポン情報の追加")</f>
        <v>クーポン情報の追加</v>
      </c>
    </row>
    <row r="830" ht="15.75" customHeight="1">
      <c r="A830" s="1" t="s">
        <v>1644</v>
      </c>
      <c r="B830" s="1" t="s">
        <v>1645</v>
      </c>
      <c r="C830" s="1" t="str">
        <f>IFERROR(__xludf.DUMMYFUNCTION("CONCATENATE(GOOGLETRANSLATE(B830, ""en"", ""zh-cn""))"),"优惠券类型")</f>
        <v>优惠券类型</v>
      </c>
      <c r="D830" s="1" t="str">
        <f>IFERROR(__xludf.DUMMYFUNCTION("CONCATENATE(GOOGLETRANSLATE(B830, ""en"", ""ko""))"),"쿠폰 종류")</f>
        <v>쿠폰 종류</v>
      </c>
      <c r="E830" s="2" t="str">
        <f>IFERROR(__xludf.DUMMYFUNCTION("CONCATENATE(GOOGLETRANSLATE(B830, ""en"", ""ja""))"),"クーポンの種類")</f>
        <v>クーポンの種類</v>
      </c>
    </row>
    <row r="831" ht="15.75" customHeight="1">
      <c r="A831" s="1" t="s">
        <v>1646</v>
      </c>
      <c r="B831" s="1" t="s">
        <v>1647</v>
      </c>
      <c r="C831" s="1" t="str">
        <f>IFERROR(__xludf.DUMMYFUNCTION("CONCATENATE(GOOGLETRANSLATE(B831, ""en"", ""zh-cn""))"),"对于产品")</f>
        <v>对于产品</v>
      </c>
      <c r="D831" s="1" t="str">
        <f>IFERROR(__xludf.DUMMYFUNCTION("CONCATENATE(GOOGLETRANSLATE(B831, ""en"", ""ko""))"),"제품의 경우")</f>
        <v>제품의 경우</v>
      </c>
      <c r="E831" s="2" t="str">
        <f>IFERROR(__xludf.DUMMYFUNCTION("CONCATENATE(GOOGLETRANSLATE(B831, ""en"", ""ja""))"),"製品について")</f>
        <v>製品について</v>
      </c>
    </row>
    <row r="832" ht="15.75" customHeight="1">
      <c r="A832" s="1" t="s">
        <v>1648</v>
      </c>
      <c r="B832" s="1" t="s">
        <v>1649</v>
      </c>
      <c r="C832" s="1" t="str">
        <f>IFERROR(__xludf.DUMMYFUNCTION("CONCATENATE(GOOGLETRANSLATE(B832, ""en"", ""zh-cn""))"),"对于总订单")</f>
        <v>对于总订单</v>
      </c>
      <c r="D832" s="1" t="str">
        <f>IFERROR(__xludf.DUMMYFUNCTION("CONCATENATE(GOOGLETRANSLATE(B832, ""en"", ""ko""))"),"총 주문의 경우")</f>
        <v>총 주문의 경우</v>
      </c>
      <c r="E832" s="2" t="str">
        <f>IFERROR(__xludf.DUMMYFUNCTION("CONCATENATE(GOOGLETRANSLATE(B832, ""en"", ""ja""))"),"合計注文数の場合")</f>
        <v>合計注文数の場合</v>
      </c>
    </row>
    <row r="833" ht="15.75" customHeight="1">
      <c r="A833" s="1" t="s">
        <v>1650</v>
      </c>
      <c r="B833" s="1" t="s">
        <v>1651</v>
      </c>
      <c r="C833" s="1" t="str">
        <f>IFERROR(__xludf.DUMMYFUNCTION("CONCATENATE(GOOGLETRANSLATE(B833, ""en"", ""zh-cn""))"),"添加您的产品基础优惠券")</f>
        <v>添加您的产品基础优惠券</v>
      </c>
      <c r="D833" s="1" t="str">
        <f>IFERROR(__xludf.DUMMYFUNCTION("CONCATENATE(GOOGLETRANSLATE(B833, ""en"", ""ko""))"),"제품 기본 쿠폰 추가")</f>
        <v>제품 기본 쿠폰 추가</v>
      </c>
      <c r="E833" s="2" t="str">
        <f>IFERROR(__xludf.DUMMYFUNCTION("CONCATENATE(GOOGLETRANSLATE(B833, ""en"", ""ja""))"),"製品ベースのクーポンを追加する")</f>
        <v>製品ベースのクーポンを追加する</v>
      </c>
    </row>
    <row r="834" ht="15.75" customHeight="1">
      <c r="A834" s="1" t="s">
        <v>1652</v>
      </c>
      <c r="B834" s="1" t="s">
        <v>1653</v>
      </c>
      <c r="C834" s="1" t="str">
        <f>IFERROR(__xludf.DUMMYFUNCTION("CONCATENATE(GOOGLETRANSLATE(B834, ""en"", ""zh-cn""))"),"优惠券代码")</f>
        <v>优惠券代码</v>
      </c>
      <c r="D834" s="1" t="str">
        <f>IFERROR(__xludf.DUMMYFUNCTION("CONCATENATE(GOOGLETRANSLATE(B834, ""en"", ""ko""))"),"쿠폰 코드")</f>
        <v>쿠폰 코드</v>
      </c>
      <c r="E834" s="2" t="str">
        <f>IFERROR(__xludf.DUMMYFUNCTION("CONCATENATE(GOOGLETRANSLATE(B834, ""en"", ""ja""))"),"クーポンコード")</f>
        <v>クーポンコード</v>
      </c>
    </row>
    <row r="835" ht="15.75" customHeight="1">
      <c r="A835" s="1" t="s">
        <v>1654</v>
      </c>
      <c r="B835" s="1" t="s">
        <v>1655</v>
      </c>
      <c r="C835" s="1" t="str">
        <f>IFERROR(__xludf.DUMMYFUNCTION("CONCATENATE(GOOGLETRANSLATE(B835, ""en"", ""zh-cn""))"),"子类别")</f>
        <v>子类别</v>
      </c>
      <c r="D835" s="1" t="str">
        <f>IFERROR(__xludf.DUMMYFUNCTION("CONCATENATE(GOOGLETRANSLATE(B835, ""en"", ""ko""))"),"하위 카테고리")</f>
        <v>하위 카테고리</v>
      </c>
      <c r="E835" s="2" t="str">
        <f>IFERROR(__xludf.DUMMYFUNCTION("CONCATENATE(GOOGLETRANSLATE(B835, ""en"", ""ja""))"),"サブカテゴリ")</f>
        <v>サブカテゴリ</v>
      </c>
    </row>
    <row r="836" ht="15.75" customHeight="1">
      <c r="A836" s="1" t="s">
        <v>1656</v>
      </c>
      <c r="B836" s="1" t="s">
        <v>1657</v>
      </c>
      <c r="C836" s="1" t="str">
        <f>IFERROR(__xludf.DUMMYFUNCTION("CONCATENATE(GOOGLETRANSLATE(B836, ""en"", ""zh-cn""))"),"添加更多")</f>
        <v>添加更多</v>
      </c>
      <c r="D836" s="1" t="str">
        <f>IFERROR(__xludf.DUMMYFUNCTION("CONCATENATE(GOOGLETRANSLATE(B836, ""en"", ""ko""))"),"더 추가")</f>
        <v>더 추가</v>
      </c>
      <c r="E836" s="2" t="str">
        <f>IFERROR(__xludf.DUMMYFUNCTION("CONCATENATE(GOOGLETRANSLATE(B836, ""en"", ""ja""))"),"さらに追加")</f>
        <v>さらに追加</v>
      </c>
    </row>
    <row r="837" ht="15.75" customHeight="1">
      <c r="A837" s="1" t="s">
        <v>1658</v>
      </c>
      <c r="B837" s="1" t="s">
        <v>1659</v>
      </c>
      <c r="C837" s="1" t="str">
        <f>IFERROR(__xludf.DUMMYFUNCTION("CONCATENATE(GOOGLETRANSLATE(B837, ""en"", ""zh-cn""))"),"添加您的购物车基本优惠券")</f>
        <v>添加您的购物车基本优惠券</v>
      </c>
      <c r="D837" s="1" t="str">
        <f>IFERROR(__xludf.DUMMYFUNCTION("CONCATENATE(GOOGLETRANSLATE(B837, ""en"", ""ko""))"),"장바구니 기본 쿠폰 추가")</f>
        <v>장바구니 기본 쿠폰 추가</v>
      </c>
      <c r="E837" s="2" t="str">
        <f>IFERROR(__xludf.DUMMYFUNCTION("CONCATENATE(GOOGLETRANSLATE(B837, ""en"", ""ja""))"),"カートに追加する 基本クーポン")</f>
        <v>カートに追加する 基本クーポン</v>
      </c>
    </row>
    <row r="838" ht="15.75" customHeight="1">
      <c r="A838" s="1" t="s">
        <v>1660</v>
      </c>
      <c r="B838" s="1" t="s">
        <v>1661</v>
      </c>
      <c r="C838" s="1" t="str">
        <f>IFERROR(__xludf.DUMMYFUNCTION("CONCATENATE(GOOGLETRANSLATE(B838, ""en"", ""zh-cn""))"),"最低购物量")</f>
        <v>最低购物量</v>
      </c>
      <c r="D838" s="1" t="str">
        <f>IFERROR(__xludf.DUMMYFUNCTION("CONCATENATE(GOOGLETRANSLATE(B838, ""en"", ""ko""))"),"최소 쇼핑")</f>
        <v>최소 쇼핑</v>
      </c>
      <c r="E838" s="2" t="str">
        <f>IFERROR(__xludf.DUMMYFUNCTION("CONCATENATE(GOOGLETRANSLATE(B838, ""en"", ""ja""))"),"最低限の買い物")</f>
        <v>最低限の買い物</v>
      </c>
    </row>
    <row r="839" ht="15.75" customHeight="1">
      <c r="A839" s="1" t="s">
        <v>1662</v>
      </c>
      <c r="B839" s="1" t="s">
        <v>1663</v>
      </c>
      <c r="C839" s="1" t="str">
        <f>IFERROR(__xludf.DUMMYFUNCTION("CONCATENATE(GOOGLETRANSLATE(B839, ""en"", ""zh-cn""))"),"最大折扣金额")</f>
        <v>最大折扣金额</v>
      </c>
      <c r="D839" s="1" t="str">
        <f>IFERROR(__xludf.DUMMYFUNCTION("CONCATENATE(GOOGLETRANSLATE(B839, ""en"", ""ko""))"),"최대 할인 금액")</f>
        <v>최대 할인 금액</v>
      </c>
      <c r="E839" s="2" t="str">
        <f>IFERROR(__xludf.DUMMYFUNCTION("CONCATENATE(GOOGLETRANSLATE(B839, ""en"", ""ja""))"),"割引上限額")</f>
        <v>割引上限額</v>
      </c>
    </row>
    <row r="840" ht="15.75" customHeight="1">
      <c r="A840" s="1" t="s">
        <v>1664</v>
      </c>
      <c r="B840" s="1" t="s">
        <v>1665</v>
      </c>
      <c r="C840" s="1" t="str">
        <f>IFERROR(__xludf.DUMMYFUNCTION("CONCATENATE(GOOGLETRANSLATE(B840, ""en"", ""zh-cn""))"),"优惠券信息更新")</f>
        <v>优惠券信息更新</v>
      </c>
      <c r="D840" s="1" t="str">
        <f>IFERROR(__xludf.DUMMYFUNCTION("CONCATENATE(GOOGLETRANSLATE(B840, ""en"", ""ko""))"),"쿠폰정보 업데이트")</f>
        <v>쿠폰정보 업데이트</v>
      </c>
      <c r="E840" s="2" t="str">
        <f>IFERROR(__xludf.DUMMYFUNCTION("CONCATENATE(GOOGLETRANSLATE(B840, ""en"", ""ja""))"),"クーポン情報更新")</f>
        <v>クーポン情報更新</v>
      </c>
    </row>
    <row r="841" ht="15.75" customHeight="1">
      <c r="A841" s="1" t="s">
        <v>1666</v>
      </c>
      <c r="B841" s="1" t="s">
        <v>1667</v>
      </c>
      <c r="C841" s="1" t="str">
        <f>IFERROR(__xludf.DUMMYFUNCTION("CONCATENATE(GOOGLETRANSLATE(B841, ""en"", ""zh-cn""))"),"请配置 SMTP 设置以使用所有电子邮件发送功能")</f>
        <v>请配置 SMTP 设置以使用所有电子邮件发送功能</v>
      </c>
      <c r="D841" s="1" t="str">
        <f>IFERROR(__xludf.DUMMYFUNCTION("CONCATENATE(GOOGLETRANSLATE(B841, ""en"", ""ko""))"),"모든 이메일 전송 기능을 작동하려면 SMTP 설정을 구성하십시오.")</f>
        <v>모든 이메일 전송 기능을 작동하려면 SMTP 설정을 구성하십시오.</v>
      </c>
      <c r="E841" s="2" t="str">
        <f>IFERROR(__xludf.DUMMYFUNCTION("CONCATENATE(GOOGLETRANSLATE(B841, ""en"", ""ja""))"),"すべての電子メール送信機能が動作するように SMTP 設定を構成してください")</f>
        <v>すべての電子メール送信機能が動作するように SMTP 設定を構成してください</v>
      </c>
    </row>
    <row r="842" ht="15.75" customHeight="1">
      <c r="A842" s="1" t="s">
        <v>1668</v>
      </c>
      <c r="B842" s="1" t="s">
        <v>1669</v>
      </c>
      <c r="C842" s="1" t="str">
        <f>IFERROR(__xludf.DUMMYFUNCTION("CONCATENATE(GOOGLETRANSLATE(B842, ""en"", ""zh-cn""))"),"立即配置")</f>
        <v>立即配置</v>
      </c>
      <c r="D842" s="1" t="str">
        <f>IFERROR(__xludf.DUMMYFUNCTION("CONCATENATE(GOOGLETRANSLATE(B842, ""en"", ""ko""))"),"지금 구성")</f>
        <v>지금 구성</v>
      </c>
      <c r="E842" s="2" t="str">
        <f>IFERROR(__xludf.DUMMYFUNCTION("CONCATENATE(GOOGLETRANSLATE(B842, ""en"", ""ja""))"),"今すぐ設定する")</f>
        <v>今すぐ設定する</v>
      </c>
    </row>
    <row r="843" ht="15.75" customHeight="1">
      <c r="A843" s="1" t="s">
        <v>1670</v>
      </c>
      <c r="B843" s="1" t="s">
        <v>1671</v>
      </c>
      <c r="C843" s="1" t="str">
        <f>IFERROR(__xludf.DUMMYFUNCTION("CONCATENATE(GOOGLETRANSLATE(B843, ""en"", ""zh-cn""))"),"已发布产品总数")</f>
        <v>已发布产品总数</v>
      </c>
      <c r="D843" s="1" t="str">
        <f>IFERROR(__xludf.DUMMYFUNCTION("CONCATENATE(GOOGLETRANSLATE(B843, ""en"", ""ko""))"),"총 게시 제품")</f>
        <v>총 게시 제품</v>
      </c>
      <c r="E843" s="2" t="str">
        <f>IFERROR(__xludf.DUMMYFUNCTION("CONCATENATE(GOOGLETRANSLATE(B843, ""en"", ""ja""))"),"出版された製品の合計")</f>
        <v>出版された製品の合計</v>
      </c>
    </row>
    <row r="844" ht="15.75" customHeight="1">
      <c r="A844" s="1" t="s">
        <v>1672</v>
      </c>
      <c r="B844" s="1" t="s">
        <v>1673</v>
      </c>
      <c r="C844" s="1" t="str">
        <f>IFERROR(__xludf.DUMMYFUNCTION("CONCATENATE(GOOGLETRANSLATE(B844, ""en"", ""zh-cn""))"),"卖家产品总数")</f>
        <v>卖家产品总数</v>
      </c>
      <c r="D844" s="1" t="str">
        <f>IFERROR(__xludf.DUMMYFUNCTION("CONCATENATE(GOOGLETRANSLATE(B844, ""en"", ""ko""))"),"총 판매 제품")</f>
        <v>총 판매 제품</v>
      </c>
      <c r="E844" s="2" t="str">
        <f>IFERROR(__xludf.DUMMYFUNCTION("CONCATENATE(GOOGLETRANSLATE(B844, ""en"", ""ja""))"),"総販売者の製品")</f>
        <v>総販売者の製品</v>
      </c>
    </row>
    <row r="845" ht="15.75" customHeight="1">
      <c r="A845" s="1" t="s">
        <v>1674</v>
      </c>
      <c r="B845" s="1" t="s">
        <v>1675</v>
      </c>
      <c r="C845" s="1" t="str">
        <f>IFERROR(__xludf.DUMMYFUNCTION("CONCATENATE(GOOGLETRANSLATE(B845, ""en"", ""zh-cn""))"),"管理产品总数")</f>
        <v>管理产品总数</v>
      </c>
      <c r="D845" s="1" t="str">
        <f>IFERROR(__xludf.DUMMYFUNCTION("CONCATENATE(GOOGLETRANSLATE(B845, ""en"", ""ko""))"),"총 관리 제품")</f>
        <v>총 관리 제품</v>
      </c>
      <c r="E845" s="2" t="str">
        <f>IFERROR(__xludf.DUMMYFUNCTION("CONCATENATE(GOOGLETRANSLATE(B845, ""en"", ""ja""))"),"管理製品の合計")</f>
        <v>管理製品の合計</v>
      </c>
    </row>
    <row r="846" ht="15.75" customHeight="1">
      <c r="A846" s="1" t="s">
        <v>1676</v>
      </c>
      <c r="B846" s="1" t="s">
        <v>1677</v>
      </c>
      <c r="C846" s="1" t="str">
        <f>IFERROR(__xludf.DUMMYFUNCTION("CONCATENATE(GOOGLETRANSLATE(B846, ""en"", ""zh-cn""))"),"管理产品")</f>
        <v>管理产品</v>
      </c>
      <c r="D846" s="1" t="str">
        <f>IFERROR(__xludf.DUMMYFUNCTION("CONCATENATE(GOOGLETRANSLATE(B846, ""en"", ""ko""))"),"제품 관리")</f>
        <v>제품 관리</v>
      </c>
      <c r="E846" s="2" t="str">
        <f>IFERROR(__xludf.DUMMYFUNCTION("CONCATENATE(GOOGLETRANSLATE(B846, ""en"", ""ja""))"),"製品の管理")</f>
        <v>製品の管理</v>
      </c>
    </row>
    <row r="847" ht="15.75" customHeight="1">
      <c r="A847" s="1" t="s">
        <v>1678</v>
      </c>
      <c r="B847" s="1" t="s">
        <v>1679</v>
      </c>
      <c r="C847" s="1" t="str">
        <f>IFERROR(__xludf.DUMMYFUNCTION("CONCATENATE(GOOGLETRANSLATE(B847, ""en"", ""zh-cn""))"),"产品总类别")</f>
        <v>产品总类别</v>
      </c>
      <c r="D847" s="1" t="str">
        <f>IFERROR(__xludf.DUMMYFUNCTION("CONCATENATE(GOOGLETRANSLATE(B847, ""en"", ""ko""))"),"전체 제품 카테고리")</f>
        <v>전체 제품 카테고리</v>
      </c>
      <c r="E847" s="2" t="str">
        <f>IFERROR(__xludf.DUMMYFUNCTION("CONCATENATE(GOOGLETRANSLATE(B847, ""en"", ""ja""))"),"製品カテゴリー合計")</f>
        <v>製品カテゴリー合計</v>
      </c>
    </row>
    <row r="848" ht="15.75" customHeight="1">
      <c r="A848" s="1" t="s">
        <v>1680</v>
      </c>
      <c r="B848" s="1" t="s">
        <v>1681</v>
      </c>
      <c r="C848" s="1" t="str">
        <f>IFERROR(__xludf.DUMMYFUNCTION("CONCATENATE(GOOGLETRANSLATE(B848, ""en"", ""zh-cn""))"),"创建类别")</f>
        <v>创建类别</v>
      </c>
      <c r="D848" s="1" t="str">
        <f>IFERROR(__xludf.DUMMYFUNCTION("CONCATENATE(GOOGLETRANSLATE(B848, ""en"", ""ko""))"),"카테고리 생성")</f>
        <v>카테고리 생성</v>
      </c>
      <c r="E848" s="2" t="str">
        <f>IFERROR(__xludf.DUMMYFUNCTION("CONCATENATE(GOOGLETRANSLATE(B848, ""en"", ""ja""))"),"カテゴリの作成")</f>
        <v>カテゴリの作成</v>
      </c>
    </row>
    <row r="849" ht="15.75" customHeight="1">
      <c r="A849" s="1" t="s">
        <v>1682</v>
      </c>
      <c r="B849" s="1" t="s">
        <v>1683</v>
      </c>
      <c r="C849" s="1" t="str">
        <f>IFERROR(__xludf.DUMMYFUNCTION("CONCATENATE(GOOGLETRANSLATE(B849, ""en"", ""zh-cn""))"),"总产品子子类别")</f>
        <v>总产品子子类别</v>
      </c>
      <c r="D849" s="1" t="str">
        <f>IFERROR(__xludf.DUMMYFUNCTION("CONCATENATE(GOOGLETRANSLATE(B849, ""en"", ""ko""))"),"총 제품 하위 하위 카테고리")</f>
        <v>총 제품 하위 하위 카테고리</v>
      </c>
      <c r="E849" s="2" t="str">
        <f>IFERROR(__xludf.DUMMYFUNCTION("CONCATENATE(GOOGLETRANSLATE(B849, ""en"", ""ja""))"),"製品サブサブカテゴリ合計")</f>
        <v>製品サブサブカテゴリ合計</v>
      </c>
    </row>
    <row r="850" ht="15.75" customHeight="1">
      <c r="A850" s="1" t="s">
        <v>1684</v>
      </c>
      <c r="B850" s="1" t="s">
        <v>1685</v>
      </c>
      <c r="C850" s="1" t="str">
        <f>IFERROR(__xludf.DUMMYFUNCTION("CONCATENATE(GOOGLETRANSLATE(B850, ""en"", ""zh-cn""))"),"创建子子类别")</f>
        <v>创建子子类别</v>
      </c>
      <c r="D850" s="1" t="str">
        <f>IFERROR(__xludf.DUMMYFUNCTION("CONCATENATE(GOOGLETRANSLATE(B850, ""en"", ""ko""))"),"하위 하위 카테고리 생성")</f>
        <v>하위 하위 카테고리 생성</v>
      </c>
      <c r="E850" s="2" t="str">
        <f>IFERROR(__xludf.DUMMYFUNCTION("CONCATENATE(GOOGLETRANSLATE(B850, ""en"", ""ja""))"),"サブサブカテゴリの作成")</f>
        <v>サブサブカテゴリの作成</v>
      </c>
    </row>
    <row r="851" ht="15.75" customHeight="1">
      <c r="A851" s="1" t="s">
        <v>1686</v>
      </c>
      <c r="B851" s="1" t="s">
        <v>1687</v>
      </c>
      <c r="C851" s="1" t="str">
        <f>IFERROR(__xludf.DUMMYFUNCTION("CONCATENATE(GOOGLETRANSLATE(B851, ""en"", ""zh-cn""))"),"产品子类别总计")</f>
        <v>产品子类别总计</v>
      </c>
      <c r="D851" s="1" t="str">
        <f>IFERROR(__xludf.DUMMYFUNCTION("CONCATENATE(GOOGLETRANSLATE(B851, ""en"", ""ko""))"),"총 제품 하위 카테고리")</f>
        <v>총 제품 하위 카테고리</v>
      </c>
      <c r="E851" s="2" t="str">
        <f>IFERROR(__xludf.DUMMYFUNCTION("CONCATENATE(GOOGLETRANSLATE(B851, ""en"", ""ja""))"),"製品サブカテゴリーの合計")</f>
        <v>製品サブカテゴリーの合計</v>
      </c>
    </row>
    <row r="852" ht="15.75" customHeight="1">
      <c r="A852" s="1" t="s">
        <v>1688</v>
      </c>
      <c r="B852" s="1" t="s">
        <v>1689</v>
      </c>
      <c r="C852" s="1" t="str">
        <f>IFERROR(__xludf.DUMMYFUNCTION("CONCATENATE(GOOGLETRANSLATE(B852, ""en"", ""zh-cn""))"),"创建子类别")</f>
        <v>创建子类别</v>
      </c>
      <c r="D852" s="1" t="str">
        <f>IFERROR(__xludf.DUMMYFUNCTION("CONCATENATE(GOOGLETRANSLATE(B852, ""en"", ""ko""))"),"하위 카테고리 생성")</f>
        <v>하위 카테고리 생성</v>
      </c>
      <c r="E852" s="2" t="str">
        <f>IFERROR(__xludf.DUMMYFUNCTION("CONCATENATE(GOOGLETRANSLATE(B852, ""en"", ""ja""))"),"サブカテゴリの作成")</f>
        <v>サブカテゴリの作成</v>
      </c>
    </row>
    <row r="853" ht="15.75" customHeight="1">
      <c r="A853" s="1" t="s">
        <v>1690</v>
      </c>
      <c r="B853" s="1" t="s">
        <v>1691</v>
      </c>
      <c r="C853" s="1" t="str">
        <f>IFERROR(__xludf.DUMMYFUNCTION("CONCATENATE(GOOGLETRANSLATE(B853, ""en"", ""zh-cn""))"),"产品品牌总计")</f>
        <v>产品品牌总计</v>
      </c>
      <c r="D853" s="1" t="str">
        <f>IFERROR(__xludf.DUMMYFUNCTION("CONCATENATE(GOOGLETRANSLATE(B853, ""en"", ""ko""))"),"종합 제품 브랜드")</f>
        <v>종합 제품 브랜드</v>
      </c>
      <c r="E853" s="2" t="str">
        <f>IFERROR(__xludf.DUMMYFUNCTION("CONCATENATE(GOOGLETRANSLATE(B853, ""en"", ""ja""))"),"トータルプロダクトブランド")</f>
        <v>トータルプロダクトブランド</v>
      </c>
    </row>
    <row r="854" ht="15.75" customHeight="1">
      <c r="A854" s="1" t="s">
        <v>1692</v>
      </c>
      <c r="B854" s="1" t="s">
        <v>1693</v>
      </c>
      <c r="C854" s="1" t="str">
        <f>IFERROR(__xludf.DUMMYFUNCTION("CONCATENATE(GOOGLETRANSLATE(B854, ""en"", ""zh-cn""))"),"创造品牌")</f>
        <v>创造品牌</v>
      </c>
      <c r="D854" s="1" t="str">
        <f>IFERROR(__xludf.DUMMYFUNCTION("CONCATENATE(GOOGLETRANSLATE(B854, ""en"", ""ko""))"),"브랜드 만들기")</f>
        <v>브랜드 만들기</v>
      </c>
      <c r="E854" s="2" t="str">
        <f>IFERROR(__xludf.DUMMYFUNCTION("CONCATENATE(GOOGLETRANSLATE(B854, ""en"", ""ja""))"),"ブランドの作成")</f>
        <v>ブランドの作成</v>
      </c>
    </row>
    <row r="855" ht="15.75" customHeight="1">
      <c r="A855" s="1" t="s">
        <v>1694</v>
      </c>
      <c r="B855" s="1" t="s">
        <v>1695</v>
      </c>
      <c r="C855" s="1" t="str">
        <f>IFERROR(__xludf.DUMMYFUNCTION("CONCATENATE(GOOGLETRANSLATE(B855, ""en"", ""zh-cn""))"),"卖家总数")</f>
        <v>卖家总数</v>
      </c>
      <c r="D855" s="1" t="str">
        <f>IFERROR(__xludf.DUMMYFUNCTION("CONCATENATE(GOOGLETRANSLATE(B855, ""en"", ""ko""))"),"총 판매자")</f>
        <v>총 판매자</v>
      </c>
      <c r="E855" s="2" t="str">
        <f>IFERROR(__xludf.DUMMYFUNCTION("CONCATENATE(GOOGLETRANSLATE(B855, ""en"", ""ja""))"),"総販売者数")</f>
        <v>総販売者数</v>
      </c>
    </row>
    <row r="856" ht="15.75" customHeight="1">
      <c r="A856" s="1" t="s">
        <v>1696</v>
      </c>
      <c r="B856" s="1" t="s">
        <v>1697</v>
      </c>
      <c r="C856" s="1" t="str">
        <f>IFERROR(__xludf.DUMMYFUNCTION("CONCATENATE(GOOGLETRANSLATE(B856, ""en"", ""zh-cn""))"),"批准的卖家总数")</f>
        <v>批准的卖家总数</v>
      </c>
      <c r="D856" s="1" t="str">
        <f>IFERROR(__xludf.DUMMYFUNCTION("CONCATENATE(GOOGLETRANSLATE(B856, ""en"", ""ko""))"),"승인된 총 판매자 수")</f>
        <v>승인된 총 판매자 수</v>
      </c>
      <c r="E856" s="2" t="str">
        <f>IFERROR(__xludf.DUMMYFUNCTION("CONCATENATE(GOOGLETRANSLATE(B856, ""en"", ""ja""))"),"承認された販売者の合計")</f>
        <v>承認された販売者の合計</v>
      </c>
    </row>
    <row r="857" ht="15.75" customHeight="1">
      <c r="A857" s="1" t="s">
        <v>1698</v>
      </c>
      <c r="B857" s="1" t="s">
        <v>1699</v>
      </c>
      <c r="C857" s="1" t="str">
        <f>IFERROR(__xludf.DUMMYFUNCTION("CONCATENATE(GOOGLETRANSLATE(B857, ""en"", ""zh-cn""))"),"待处理卖家总数")</f>
        <v>待处理卖家总数</v>
      </c>
      <c r="D857" s="1" t="str">
        <f>IFERROR(__xludf.DUMMYFUNCTION("CONCATENATE(GOOGLETRANSLATE(B857, ""en"", ""ko""))"),"총 대기 중인 판매자")</f>
        <v>총 대기 중인 판매자</v>
      </c>
      <c r="E857" s="2" t="str">
        <f>IFERROR(__xludf.DUMMYFUNCTION("CONCATENATE(GOOGLETRANSLATE(B857, ""en"", ""ja""))"),"保留中の販売者の合計")</f>
        <v>保留中の販売者の合計</v>
      </c>
    </row>
    <row r="858" ht="15.75" customHeight="1">
      <c r="A858" s="1" t="s">
        <v>1700</v>
      </c>
      <c r="B858" s="1" t="s">
        <v>1701</v>
      </c>
      <c r="C858" s="1" t="str">
        <f>IFERROR(__xludf.DUMMYFUNCTION("CONCATENATE(GOOGLETRANSLATE(B858, ""en"", ""zh-cn""))"),"管理卖家")</f>
        <v>管理卖家</v>
      </c>
      <c r="D858" s="1" t="str">
        <f>IFERROR(__xludf.DUMMYFUNCTION("CONCATENATE(GOOGLETRANSLATE(B858, ""en"", ""ko""))"),"판매자 관리")</f>
        <v>판매자 관리</v>
      </c>
      <c r="E858" s="2" t="str">
        <f>IFERROR(__xludf.DUMMYFUNCTION("CONCATENATE(GOOGLETRANSLATE(B858, ""en"", ""ja""))"),"販売者の管理")</f>
        <v>販売者の管理</v>
      </c>
    </row>
    <row r="859" ht="15.75" customHeight="1">
      <c r="A859" s="1" t="s">
        <v>1702</v>
      </c>
      <c r="B859" s="1" t="s">
        <v>1703</v>
      </c>
      <c r="C859" s="1" t="str">
        <f>IFERROR(__xludf.DUMMYFUNCTION("CONCATENATE(GOOGLETRANSLATE(B859, ""en"", ""zh-cn""))"),"品类销售")</f>
        <v>品类销售</v>
      </c>
      <c r="D859" s="1" t="str">
        <f>IFERROR(__xludf.DUMMYFUNCTION("CONCATENATE(GOOGLETRANSLATE(B859, ""en"", ""ko""))"),"카테고리별 제품 판매")</f>
        <v>카테고리별 제품 판매</v>
      </c>
      <c r="E859" s="2" t="str">
        <f>IFERROR(__xludf.DUMMYFUNCTION("CONCATENATE(GOOGLETRANSLATE(B859, ""en"", ""ja""))"),"カテゴリー別商品販売")</f>
        <v>カテゴリー別商品販売</v>
      </c>
    </row>
    <row r="860" ht="15.75" customHeight="1">
      <c r="A860" s="1" t="s">
        <v>1704</v>
      </c>
      <c r="B860" s="1" t="s">
        <v>1705</v>
      </c>
      <c r="C860" s="1" t="str">
        <f>IFERROR(__xludf.DUMMYFUNCTION("CONCATENATE(GOOGLETRANSLATE(B860, ""en"", ""zh-cn""))"),"销售")</f>
        <v>销售</v>
      </c>
      <c r="D860" s="1" t="str">
        <f>IFERROR(__xludf.DUMMYFUNCTION("CONCATENATE(GOOGLETRANSLATE(B860, ""en"", ""ko""))"),"판매")</f>
        <v>판매</v>
      </c>
      <c r="E860" s="2" t="str">
        <f>IFERROR(__xludf.DUMMYFUNCTION("CONCATENATE(GOOGLETRANSLATE(B860, ""en"", ""ja""))"),"販売")</f>
        <v>販売</v>
      </c>
    </row>
    <row r="861" ht="15.75" customHeight="1">
      <c r="A861" s="1" t="s">
        <v>1706</v>
      </c>
      <c r="B861" s="1" t="s">
        <v>1707</v>
      </c>
      <c r="C861" s="1" t="str">
        <f>IFERROR(__xludf.DUMMYFUNCTION("CONCATENATE(GOOGLETRANSLATE(B861, ""en"", ""zh-cn""))"),"按类别划分的产品库存")</f>
        <v>按类别划分的产品库存</v>
      </c>
      <c r="D861" s="1" t="str">
        <f>IFERROR(__xludf.DUMMYFUNCTION("CONCATENATE(GOOGLETRANSLATE(B861, ""en"", ""ko""))"),"카테고리별 제품 재고")</f>
        <v>카테고리별 제품 재고</v>
      </c>
      <c r="E861" s="2" t="str">
        <f>IFERROR(__xludf.DUMMYFUNCTION("CONCATENATE(GOOGLETRANSLATE(B861, ""en"", ""ja""))"),"カテゴリ別の製品在庫")</f>
        <v>カテゴリ別の製品在庫</v>
      </c>
    </row>
    <row r="862" ht="15.75" customHeight="1">
      <c r="A862" s="1" t="s">
        <v>1708</v>
      </c>
      <c r="B862" s="1" t="s">
        <v>1709</v>
      </c>
      <c r="C862" s="1" t="str">
        <f>IFERROR(__xludf.DUMMYFUNCTION("CONCATENATE(GOOGLETRANSLATE(B862, ""en"", ""zh-cn""))"),"类别名称")</f>
        <v>类别名称</v>
      </c>
      <c r="D862" s="1" t="str">
        <f>IFERROR(__xludf.DUMMYFUNCTION("CONCATENATE(GOOGLETRANSLATE(B862, ""en"", ""ko""))"),"카테고리 이름")</f>
        <v>카테고리 이름</v>
      </c>
      <c r="E862" s="2" t="str">
        <f>IFERROR(__xludf.DUMMYFUNCTION("CONCATENATE(GOOGLETRANSLATE(B862, ""en"", ""ja""))"),"カテゴリ名")</f>
        <v>カテゴリ名</v>
      </c>
    </row>
    <row r="863" ht="15.75" customHeight="1">
      <c r="A863" s="1" t="s">
        <v>1710</v>
      </c>
      <c r="B863" s="1" t="s">
        <v>1711</v>
      </c>
      <c r="C863" s="1" t="str">
        <f>IFERROR(__xludf.DUMMYFUNCTION("CONCATENATE(GOOGLETRANSLATE(B863, ""en"", ""zh-cn""))"),"库存")</f>
        <v>库存</v>
      </c>
      <c r="D863" s="1" t="str">
        <f>IFERROR(__xludf.DUMMYFUNCTION("CONCATENATE(GOOGLETRANSLATE(B863, ""en"", ""ko""))"),"재고")</f>
        <v>재고</v>
      </c>
      <c r="E863" s="2" t="str">
        <f>IFERROR(__xludf.DUMMYFUNCTION("CONCATENATE(GOOGLETRANSLATE(B863, ""en"", ""ja""))"),"ストック")</f>
        <v>ストック</v>
      </c>
    </row>
    <row r="864" ht="15.75" customHeight="1">
      <c r="A864" s="1" t="s">
        <v>1712</v>
      </c>
      <c r="B864" s="1" t="s">
        <v>1713</v>
      </c>
      <c r="C864" s="1" t="str">
        <f>IFERROR(__xludf.DUMMYFUNCTION("CONCATENATE(GOOGLETRANSLATE(B864, ""en"", ""zh-cn""))"),"前端")</f>
        <v>前端</v>
      </c>
      <c r="D864" s="1" t="str">
        <f>IFERROR(__xludf.DUMMYFUNCTION("CONCATENATE(GOOGLETRANSLATE(B864, ""en"", ""ko""))"),"프런트엔드")</f>
        <v>프런트엔드</v>
      </c>
      <c r="E864" s="2" t="str">
        <f>IFERROR(__xludf.DUMMYFUNCTION("CONCATENATE(GOOGLETRANSLATE(B864, ""en"", ""ja""))"),"フロントエンド")</f>
        <v>フロントエンド</v>
      </c>
    </row>
    <row r="865" ht="15.75" customHeight="1">
      <c r="A865" s="1" t="s">
        <v>1714</v>
      </c>
      <c r="B865" s="1" t="s">
        <v>1715</v>
      </c>
      <c r="C865" s="1" t="str">
        <f>IFERROR(__xludf.DUMMYFUNCTION("CONCATENATE(GOOGLETRANSLATE(B865, ""en"", ""zh-cn""))"),"主页")</f>
        <v>主页</v>
      </c>
      <c r="D865" s="1" t="str">
        <f>IFERROR(__xludf.DUMMYFUNCTION("CONCATENATE(GOOGLETRANSLATE(B865, ""en"", ""ko""))"),"홈페이지")</f>
        <v>홈페이지</v>
      </c>
      <c r="E865" s="2" t="str">
        <f>IFERROR(__xludf.DUMMYFUNCTION("CONCATENATE(GOOGLETRANSLATE(B865, ""en"", ""ja""))"),"ホームページ")</f>
        <v>ホームページ</v>
      </c>
    </row>
    <row r="866" ht="15.75" customHeight="1">
      <c r="A866" s="1" t="s">
        <v>1716</v>
      </c>
      <c r="B866" s="1" t="s">
        <v>1716</v>
      </c>
      <c r="C866" s="1" t="str">
        <f>IFERROR(__xludf.DUMMYFUNCTION("CONCATENATE(GOOGLETRANSLATE(B866, ""en"", ""zh-cn""))"),"环境")</f>
        <v>环境</v>
      </c>
      <c r="D866" s="1" t="str">
        <f>IFERROR(__xludf.DUMMYFUNCTION("CONCATENATE(GOOGLETRANSLATE(B866, ""en"", ""ko""))"),"환경")</f>
        <v>환경</v>
      </c>
      <c r="E866" s="2" t="str">
        <f>IFERROR(__xludf.DUMMYFUNCTION("CONCATENATE(GOOGLETRANSLATE(B866, ""en"", ""ja""))"),"設定")</f>
        <v>設定</v>
      </c>
    </row>
    <row r="867" ht="15.75" customHeight="1">
      <c r="A867" s="1" t="s">
        <v>1717</v>
      </c>
      <c r="B867" s="1" t="s">
        <v>1718</v>
      </c>
      <c r="C867" s="1" t="str">
        <f>IFERROR(__xludf.DUMMYFUNCTION("CONCATENATE(GOOGLETRANSLATE(B867, ""en"", ""zh-cn""))"),"政策页面")</f>
        <v>政策页面</v>
      </c>
      <c r="D867" s="1" t="str">
        <f>IFERROR(__xludf.DUMMYFUNCTION("CONCATENATE(GOOGLETRANSLATE(B867, ""en"", ""ko""))"),"정책 페이지")</f>
        <v>정책 페이지</v>
      </c>
      <c r="E867" s="2" t="str">
        <f>IFERROR(__xludf.DUMMYFUNCTION("CONCATENATE(GOOGLETRANSLATE(B867, ""en"", ""ja""))"),"ポリシーページ")</f>
        <v>ポリシーページ</v>
      </c>
    </row>
    <row r="868" ht="15.75" customHeight="1">
      <c r="A868" s="1" t="s">
        <v>1716</v>
      </c>
      <c r="B868" s="1" t="s">
        <v>1716</v>
      </c>
      <c r="C868" s="1" t="str">
        <f>IFERROR(__xludf.DUMMYFUNCTION("CONCATENATE(GOOGLETRANSLATE(B868, ""en"", ""zh-cn""))"),"环境")</f>
        <v>环境</v>
      </c>
      <c r="D868" s="1" t="str">
        <f>IFERROR(__xludf.DUMMYFUNCTION("CONCATENATE(GOOGLETRANSLATE(B868, ""en"", ""ko""))"),"환경")</f>
        <v>환경</v>
      </c>
      <c r="E868" s="2" t="str">
        <f>IFERROR(__xludf.DUMMYFUNCTION("CONCATENATE(GOOGLETRANSLATE(B868, ""en"", ""ja""))"),"設定")</f>
        <v>設定</v>
      </c>
    </row>
    <row r="869" ht="15.75" customHeight="1">
      <c r="A869" s="1" t="s">
        <v>1719</v>
      </c>
      <c r="B869" s="1" t="s">
        <v>1720</v>
      </c>
      <c r="C869" s="1" t="str">
        <f>IFERROR(__xludf.DUMMYFUNCTION("CONCATENATE(GOOGLETRANSLATE(B869, ""en"", ""zh-cn""))"),"一般的")</f>
        <v>一般的</v>
      </c>
      <c r="D869" s="1" t="str">
        <f>IFERROR(__xludf.DUMMYFUNCTION("CONCATENATE(GOOGLETRANSLATE(B869, ""en"", ""ko""))"),"일반적인")</f>
        <v>일반적인</v>
      </c>
      <c r="E869" s="2" t="str">
        <f>IFERROR(__xludf.DUMMYFUNCTION("CONCATENATE(GOOGLETRANSLATE(B869, ""en"", ""ja""))"),"一般的な")</f>
        <v>一般的な</v>
      </c>
    </row>
    <row r="870" ht="15.75" customHeight="1">
      <c r="A870" s="1" t="s">
        <v>1716</v>
      </c>
      <c r="B870" s="1" t="s">
        <v>1716</v>
      </c>
      <c r="C870" s="1" t="str">
        <f>IFERROR(__xludf.DUMMYFUNCTION("CONCATENATE(GOOGLETRANSLATE(B870, ""en"", ""zh-cn""))"),"环境")</f>
        <v>环境</v>
      </c>
      <c r="D870" s="1" t="str">
        <f>IFERROR(__xludf.DUMMYFUNCTION("CONCATENATE(GOOGLETRANSLATE(B870, ""en"", ""ko""))"),"환경")</f>
        <v>환경</v>
      </c>
      <c r="E870" s="2" t="str">
        <f>IFERROR(__xludf.DUMMYFUNCTION("CONCATENATE(GOOGLETRANSLATE(B870, ""en"", ""ja""))"),"設定")</f>
        <v>設定</v>
      </c>
    </row>
    <row r="871" ht="15.75" customHeight="1">
      <c r="A871" s="1" t="s">
        <v>1721</v>
      </c>
      <c r="B871" s="1" t="s">
        <v>1722</v>
      </c>
      <c r="C871" s="1" t="str">
        <f>IFERROR(__xludf.DUMMYFUNCTION("CONCATENATE(GOOGLETRANSLATE(B871, ""en"", ""zh-cn""))"),"点击这里")</f>
        <v>点击这里</v>
      </c>
      <c r="D871" s="1" t="str">
        <f>IFERROR(__xludf.DUMMYFUNCTION("CONCATENATE(GOOGLETRANSLATE(B871, ""en"", ""ko""))"),"여기를 클릭하세요")</f>
        <v>여기를 클릭하세요</v>
      </c>
      <c r="E871" s="2" t="str">
        <f>IFERROR(__xludf.DUMMYFUNCTION("CONCATENATE(GOOGLETRANSLATE(B871, ""en"", ""ja""))"),"ここをクリック")</f>
        <v>ここをクリック</v>
      </c>
    </row>
    <row r="872" ht="15.75" customHeight="1">
      <c r="A872" s="1" t="s">
        <v>1723</v>
      </c>
      <c r="B872" s="1" t="s">
        <v>1724</v>
      </c>
      <c r="C872" s="1" t="str">
        <f>IFERROR(__xludf.DUMMYFUNCTION("CONCATENATE(GOOGLETRANSLATE(B872, ""en"", ""zh-cn""))"),"有用的链接")</f>
        <v>有用的链接</v>
      </c>
      <c r="D872" s="1" t="str">
        <f>IFERROR(__xludf.DUMMYFUNCTION("CONCATENATE(GOOGLETRANSLATE(B872, ""en"", ""ko""))"),"유용한 링크")</f>
        <v>유용한 링크</v>
      </c>
      <c r="E872" s="2" t="str">
        <f>IFERROR(__xludf.DUMMYFUNCTION("CONCATENATE(GOOGLETRANSLATE(B872, ""en"", ""ja""))"),"便利なリンク")</f>
        <v>便利なリンク</v>
      </c>
    </row>
    <row r="873" ht="15.75" customHeight="1">
      <c r="A873" s="1" t="s">
        <v>1716</v>
      </c>
      <c r="B873" s="1" t="s">
        <v>1716</v>
      </c>
      <c r="C873" s="1" t="str">
        <f>IFERROR(__xludf.DUMMYFUNCTION("CONCATENATE(GOOGLETRANSLATE(B873, ""en"", ""zh-cn""))"),"环境")</f>
        <v>环境</v>
      </c>
      <c r="D873" s="1" t="str">
        <f>IFERROR(__xludf.DUMMYFUNCTION("CONCATENATE(GOOGLETRANSLATE(B873, ""en"", ""ko""))"),"환경")</f>
        <v>환경</v>
      </c>
      <c r="E873" s="2" t="str">
        <f>IFERROR(__xludf.DUMMYFUNCTION("CONCATENATE(GOOGLETRANSLATE(B873, ""en"", ""ja""))"),"設定")</f>
        <v>設定</v>
      </c>
    </row>
    <row r="874" ht="15.75" customHeight="1">
      <c r="A874" s="1" t="s">
        <v>1721</v>
      </c>
      <c r="B874" s="1" t="s">
        <v>1722</v>
      </c>
      <c r="C874" s="1" t="str">
        <f>IFERROR(__xludf.DUMMYFUNCTION("CONCATENATE(GOOGLETRANSLATE(B874, ""en"", ""zh-cn""))"),"点击这里")</f>
        <v>点击这里</v>
      </c>
      <c r="D874" s="1" t="str">
        <f>IFERROR(__xludf.DUMMYFUNCTION("CONCATENATE(GOOGLETRANSLATE(B874, ""en"", ""ko""))"),"여기를 클릭하세요")</f>
        <v>여기를 클릭하세요</v>
      </c>
      <c r="E874" s="2" t="str">
        <f>IFERROR(__xludf.DUMMYFUNCTION("CONCATENATE(GOOGLETRANSLATE(B874, ""en"", ""ja""))"),"ここをクリック")</f>
        <v>ここをクリック</v>
      </c>
    </row>
    <row r="875" ht="15.75" customHeight="1">
      <c r="A875" s="1" t="s">
        <v>1725</v>
      </c>
      <c r="B875" s="1" t="s">
        <v>1726</v>
      </c>
      <c r="C875" s="1" t="str">
        <f>IFERROR(__xludf.DUMMYFUNCTION("CONCATENATE(GOOGLETRANSLATE(B875, ""en"", ""zh-cn""))"),"激活")</f>
        <v>激活</v>
      </c>
      <c r="D875" s="1" t="str">
        <f>IFERROR(__xludf.DUMMYFUNCTION("CONCATENATE(GOOGLETRANSLATE(B875, ""en"", ""ko""))"),"활성화")</f>
        <v>활성화</v>
      </c>
      <c r="E875" s="2" t="str">
        <f>IFERROR(__xludf.DUMMYFUNCTION("CONCATENATE(GOOGLETRANSLATE(B875, ""en"", ""ja""))"),"アクティベーション")</f>
        <v>アクティベーション</v>
      </c>
    </row>
    <row r="876" ht="15.75" customHeight="1">
      <c r="A876" s="1" t="s">
        <v>1716</v>
      </c>
      <c r="B876" s="1" t="s">
        <v>1716</v>
      </c>
      <c r="C876" s="1" t="str">
        <f>IFERROR(__xludf.DUMMYFUNCTION("CONCATENATE(GOOGLETRANSLATE(B876, ""en"", ""zh-cn""))"),"环境")</f>
        <v>环境</v>
      </c>
      <c r="D876" s="1" t="str">
        <f>IFERROR(__xludf.DUMMYFUNCTION("CONCATENATE(GOOGLETRANSLATE(B876, ""en"", ""ko""))"),"환경")</f>
        <v>환경</v>
      </c>
      <c r="E876" s="2" t="str">
        <f>IFERROR(__xludf.DUMMYFUNCTION("CONCATENATE(GOOGLETRANSLATE(B876, ""en"", ""ja""))"),"設定")</f>
        <v>設定</v>
      </c>
    </row>
    <row r="877" ht="15.75" customHeight="1">
      <c r="A877" s="1" t="s">
        <v>1721</v>
      </c>
      <c r="B877" s="1" t="s">
        <v>1722</v>
      </c>
      <c r="C877" s="1" t="str">
        <f>IFERROR(__xludf.DUMMYFUNCTION("CONCATENATE(GOOGLETRANSLATE(B877, ""en"", ""zh-cn""))"),"点击这里")</f>
        <v>点击这里</v>
      </c>
      <c r="D877" s="1" t="str">
        <f>IFERROR(__xludf.DUMMYFUNCTION("CONCATENATE(GOOGLETRANSLATE(B877, ""en"", ""ko""))"),"여기를 클릭하세요")</f>
        <v>여기를 클릭하세요</v>
      </c>
      <c r="E877" s="2" t="str">
        <f>IFERROR(__xludf.DUMMYFUNCTION("CONCATENATE(GOOGLETRANSLATE(B877, ""en"", ""ja""))"),"ここをクリック")</f>
        <v>ここをクリック</v>
      </c>
    </row>
    <row r="878" ht="15.75" customHeight="1">
      <c r="A878" s="1" t="s">
        <v>1727</v>
      </c>
      <c r="B878" s="1" t="s">
        <v>1728</v>
      </c>
      <c r="C878" s="1" t="str">
        <f>IFERROR(__xludf.DUMMYFUNCTION("CONCATENATE(GOOGLETRANSLATE(B878, ""en"", ""zh-cn""))"),"邮件传输协议")</f>
        <v>邮件传输协议</v>
      </c>
      <c r="D878" s="1" t="str">
        <f>IFERROR(__xludf.DUMMYFUNCTION("CONCATENATE(GOOGLETRANSLATE(B878, ""en"", ""ko""))"),"SMTP")</f>
        <v>SMTP</v>
      </c>
      <c r="E878" s="2" t="str">
        <f>IFERROR(__xludf.DUMMYFUNCTION("CONCATENATE(GOOGLETRANSLATE(B878, ""en"", ""ja""))"),"SMTP")</f>
        <v>SMTP</v>
      </c>
    </row>
    <row r="879" ht="15.75" customHeight="1">
      <c r="A879" s="1" t="s">
        <v>1716</v>
      </c>
      <c r="B879" s="1" t="s">
        <v>1716</v>
      </c>
      <c r="C879" s="1" t="str">
        <f>IFERROR(__xludf.DUMMYFUNCTION("CONCATENATE(GOOGLETRANSLATE(B879, ""en"", ""zh-cn""))"),"环境")</f>
        <v>环境</v>
      </c>
      <c r="D879" s="1" t="str">
        <f>IFERROR(__xludf.DUMMYFUNCTION("CONCATENATE(GOOGLETRANSLATE(B879, ""en"", ""ko""))"),"환경")</f>
        <v>환경</v>
      </c>
      <c r="E879" s="2" t="str">
        <f>IFERROR(__xludf.DUMMYFUNCTION("CONCATENATE(GOOGLETRANSLATE(B879, ""en"", ""ja""))"),"設定")</f>
        <v>設定</v>
      </c>
    </row>
    <row r="880" ht="15.75" customHeight="1">
      <c r="A880" s="1" t="s">
        <v>1721</v>
      </c>
      <c r="B880" s="1" t="s">
        <v>1722</v>
      </c>
      <c r="C880" s="1" t="str">
        <f>IFERROR(__xludf.DUMMYFUNCTION("CONCATENATE(GOOGLETRANSLATE(B880, ""en"", ""zh-cn""))"),"点击这里")</f>
        <v>点击这里</v>
      </c>
      <c r="D880" s="1" t="str">
        <f>IFERROR(__xludf.DUMMYFUNCTION("CONCATENATE(GOOGLETRANSLATE(B880, ""en"", ""ko""))"),"여기를 클릭하세요")</f>
        <v>여기를 클릭하세요</v>
      </c>
      <c r="E880" s="2" t="str">
        <f>IFERROR(__xludf.DUMMYFUNCTION("CONCATENATE(GOOGLETRANSLATE(B880, ""en"", ""ja""))"),"ここをクリック")</f>
        <v>ここをクリック</v>
      </c>
    </row>
    <row r="881" ht="15.75" customHeight="1">
      <c r="A881" s="1" t="s">
        <v>1729</v>
      </c>
      <c r="B881" s="1" t="s">
        <v>1730</v>
      </c>
      <c r="C881" s="1" t="str">
        <f>IFERROR(__xludf.DUMMYFUNCTION("CONCATENATE(GOOGLETRANSLATE(B881, ""en"", ""zh-cn""))"),"付款方式")</f>
        <v>付款方式</v>
      </c>
      <c r="D881" s="1" t="str">
        <f>IFERROR(__xludf.DUMMYFUNCTION("CONCATENATE(GOOGLETRANSLATE(B881, ""en"", ""ko""))"),"결제수단")</f>
        <v>결제수단</v>
      </c>
      <c r="E881" s="2" t="str">
        <f>IFERROR(__xludf.DUMMYFUNCTION("CONCATENATE(GOOGLETRANSLATE(B881, ""en"", ""ja""))"),"支払方法")</f>
        <v>支払方法</v>
      </c>
    </row>
    <row r="882" ht="15.75" customHeight="1">
      <c r="A882" s="1" t="s">
        <v>1716</v>
      </c>
      <c r="B882" s="1" t="s">
        <v>1716</v>
      </c>
      <c r="C882" s="1" t="str">
        <f>IFERROR(__xludf.DUMMYFUNCTION("CONCATENATE(GOOGLETRANSLATE(B882, ""en"", ""zh-cn""))"),"环境")</f>
        <v>环境</v>
      </c>
      <c r="D882" s="1" t="str">
        <f>IFERROR(__xludf.DUMMYFUNCTION("CONCATENATE(GOOGLETRANSLATE(B882, ""en"", ""ko""))"),"환경")</f>
        <v>환경</v>
      </c>
      <c r="E882" s="2" t="str">
        <f>IFERROR(__xludf.DUMMYFUNCTION("CONCATENATE(GOOGLETRANSLATE(B882, ""en"", ""ja""))"),"設定")</f>
        <v>設定</v>
      </c>
    </row>
    <row r="883" ht="15.75" customHeight="1">
      <c r="A883" s="1" t="s">
        <v>1721</v>
      </c>
      <c r="B883" s="1" t="s">
        <v>1722</v>
      </c>
      <c r="C883" s="1" t="str">
        <f>IFERROR(__xludf.DUMMYFUNCTION("CONCATENATE(GOOGLETRANSLATE(B883, ""en"", ""zh-cn""))"),"点击这里")</f>
        <v>点击这里</v>
      </c>
      <c r="D883" s="1" t="str">
        <f>IFERROR(__xludf.DUMMYFUNCTION("CONCATENATE(GOOGLETRANSLATE(B883, ""en"", ""ko""))"),"여기를 클릭하세요")</f>
        <v>여기를 클릭하세요</v>
      </c>
      <c r="E883" s="2" t="str">
        <f>IFERROR(__xludf.DUMMYFUNCTION("CONCATENATE(GOOGLETRANSLATE(B883, ""en"", ""ja""))"),"ここをクリック")</f>
        <v>ここをクリック</v>
      </c>
    </row>
    <row r="884" ht="15.75" customHeight="1">
      <c r="A884" s="1" t="s">
        <v>1731</v>
      </c>
      <c r="B884" s="1" t="s">
        <v>1732</v>
      </c>
      <c r="C884" s="1" t="str">
        <f>IFERROR(__xludf.DUMMYFUNCTION("CONCATENATE(GOOGLETRANSLATE(B884, ""en"", ""zh-cn""))"),"社交媒体")</f>
        <v>社交媒体</v>
      </c>
      <c r="D884" s="1" t="str">
        <f>IFERROR(__xludf.DUMMYFUNCTION("CONCATENATE(GOOGLETRANSLATE(B884, ""en"", ""ko""))"),"소셜 미디어")</f>
        <v>소셜 미디어</v>
      </c>
      <c r="E884" s="2" t="str">
        <f>IFERROR(__xludf.DUMMYFUNCTION("CONCATENATE(GOOGLETRANSLATE(B884, ""en"", ""ja""))"),"ソーシャルメディア")</f>
        <v>ソーシャルメディア</v>
      </c>
    </row>
    <row r="885" ht="15.75" customHeight="1">
      <c r="A885" s="1" t="s">
        <v>1716</v>
      </c>
      <c r="B885" s="1" t="s">
        <v>1716</v>
      </c>
      <c r="C885" s="1" t="str">
        <f>IFERROR(__xludf.DUMMYFUNCTION("CONCATENATE(GOOGLETRANSLATE(B885, ""en"", ""zh-cn""))"),"环境")</f>
        <v>环境</v>
      </c>
      <c r="D885" s="1" t="str">
        <f>IFERROR(__xludf.DUMMYFUNCTION("CONCATENATE(GOOGLETRANSLATE(B885, ""en"", ""ko""))"),"환경")</f>
        <v>환경</v>
      </c>
      <c r="E885" s="2" t="str">
        <f>IFERROR(__xludf.DUMMYFUNCTION("CONCATENATE(GOOGLETRANSLATE(B885, ""en"", ""ja""))"),"設定")</f>
        <v>設定</v>
      </c>
    </row>
    <row r="886" ht="15.75" customHeight="1">
      <c r="A886" s="1" t="s">
        <v>1721</v>
      </c>
      <c r="B886" s="1" t="s">
        <v>1722</v>
      </c>
      <c r="C886" s="1" t="str">
        <f>IFERROR(__xludf.DUMMYFUNCTION("CONCATENATE(GOOGLETRANSLATE(B886, ""en"", ""zh-cn""))"),"点击这里")</f>
        <v>点击这里</v>
      </c>
      <c r="D886" s="1" t="str">
        <f>IFERROR(__xludf.DUMMYFUNCTION("CONCATENATE(GOOGLETRANSLATE(B886, ""en"", ""ko""))"),"여기를 클릭하세요")</f>
        <v>여기를 클릭하세요</v>
      </c>
      <c r="E886" s="2" t="str">
        <f>IFERROR(__xludf.DUMMYFUNCTION("CONCATENATE(GOOGLETRANSLATE(B886, ""en"", ""ja""))"),"ここをクリック")</f>
        <v>ここをクリック</v>
      </c>
    </row>
    <row r="887" ht="15.75" customHeight="1">
      <c r="A887" s="1" t="s">
        <v>1733</v>
      </c>
      <c r="B887" s="1" t="s">
        <v>1734</v>
      </c>
      <c r="C887" s="1" t="str">
        <f>IFERROR(__xludf.DUMMYFUNCTION("CONCATENATE(GOOGLETRANSLATE(B887, ""en"", ""zh-cn""))"),"商业")</f>
        <v>商业</v>
      </c>
      <c r="D887" s="1" t="str">
        <f>IFERROR(__xludf.DUMMYFUNCTION("CONCATENATE(GOOGLETRANSLATE(B887, ""en"", ""ko""))"),"사업")</f>
        <v>사업</v>
      </c>
      <c r="E887" s="2" t="str">
        <f>IFERROR(__xludf.DUMMYFUNCTION("CONCATENATE(GOOGLETRANSLATE(B887, ""en"", ""ja""))"),"仕事")</f>
        <v>仕事</v>
      </c>
    </row>
    <row r="888" ht="15.75" customHeight="1">
      <c r="A888" s="1" t="s">
        <v>1716</v>
      </c>
      <c r="B888" s="1" t="s">
        <v>1716</v>
      </c>
      <c r="C888" s="1" t="str">
        <f>IFERROR(__xludf.DUMMYFUNCTION("CONCATENATE(GOOGLETRANSLATE(B888, ""en"", ""zh-cn""))"),"环境")</f>
        <v>环境</v>
      </c>
      <c r="D888" s="1" t="str">
        <f>IFERROR(__xludf.DUMMYFUNCTION("CONCATENATE(GOOGLETRANSLATE(B888, ""en"", ""ko""))"),"환경")</f>
        <v>환경</v>
      </c>
      <c r="E888" s="2" t="str">
        <f>IFERROR(__xludf.DUMMYFUNCTION("CONCATENATE(GOOGLETRANSLATE(B888, ""en"", ""ja""))"),"設定")</f>
        <v>設定</v>
      </c>
    </row>
    <row r="889" ht="15.75" customHeight="1">
      <c r="A889" s="1" t="s">
        <v>1716</v>
      </c>
      <c r="B889" s="1" t="s">
        <v>1716</v>
      </c>
      <c r="C889" s="1" t="str">
        <f>IFERROR(__xludf.DUMMYFUNCTION("CONCATENATE(GOOGLETRANSLATE(B889, ""en"", ""zh-cn""))"),"环境")</f>
        <v>环境</v>
      </c>
      <c r="D889" s="1" t="str">
        <f>IFERROR(__xludf.DUMMYFUNCTION("CONCATENATE(GOOGLETRANSLATE(B889, ""en"", ""ko""))"),"환경")</f>
        <v>환경</v>
      </c>
      <c r="E889" s="2" t="str">
        <f>IFERROR(__xludf.DUMMYFUNCTION("CONCATENATE(GOOGLETRANSLATE(B889, ""en"", ""ja""))"),"設定")</f>
        <v>設定</v>
      </c>
    </row>
    <row r="890" ht="15.75" customHeight="1">
      <c r="A890" s="1" t="s">
        <v>1721</v>
      </c>
      <c r="B890" s="1" t="s">
        <v>1722</v>
      </c>
      <c r="C890" s="1" t="str">
        <f>IFERROR(__xludf.DUMMYFUNCTION("CONCATENATE(GOOGLETRANSLATE(B890, ""en"", ""zh-cn""))"),"点击这里")</f>
        <v>点击这里</v>
      </c>
      <c r="D890" s="1" t="str">
        <f>IFERROR(__xludf.DUMMYFUNCTION("CONCATENATE(GOOGLETRANSLATE(B890, ""en"", ""ko""))"),"여기를 클릭하세요")</f>
        <v>여기를 클릭하세요</v>
      </c>
      <c r="E890" s="2" t="str">
        <f>IFERROR(__xludf.DUMMYFUNCTION("CONCATENATE(GOOGLETRANSLATE(B890, ""en"", ""ja""))"),"ここをクリック")</f>
        <v>ここをクリック</v>
      </c>
    </row>
    <row r="891" ht="15.75" customHeight="1">
      <c r="A891" s="1" t="s">
        <v>1735</v>
      </c>
      <c r="B891" s="1" t="s">
        <v>1736</v>
      </c>
      <c r="C891" s="1" t="str">
        <f>IFERROR(__xludf.DUMMYFUNCTION("CONCATENATE(GOOGLETRANSLATE(B891, ""en"", ""zh-cn""))"),"卖家验证")</f>
        <v>卖家验证</v>
      </c>
      <c r="D891" s="1" t="str">
        <f>IFERROR(__xludf.DUMMYFUNCTION("CONCATENATE(GOOGLETRANSLATE(B891, ""en"", ""ko""))"),"판매자 확인")</f>
        <v>판매자 확인</v>
      </c>
      <c r="E891" s="2" t="str">
        <f>IFERROR(__xludf.DUMMYFUNCTION("CONCATENATE(GOOGLETRANSLATE(B891, ""en"", ""ja""))"),"販売者の確認")</f>
        <v>販売者の確認</v>
      </c>
    </row>
    <row r="892" ht="15.75" customHeight="1">
      <c r="A892" s="1" t="s">
        <v>1737</v>
      </c>
      <c r="B892" s="1" t="s">
        <v>1738</v>
      </c>
      <c r="C892" s="1" t="str">
        <f>IFERROR(__xludf.DUMMYFUNCTION("CONCATENATE(GOOGLETRANSLATE(B892, ""en"", ""zh-cn""))"),"表格设置")</f>
        <v>表格设置</v>
      </c>
      <c r="D892" s="1" t="str">
        <f>IFERROR(__xludf.DUMMYFUNCTION("CONCATENATE(GOOGLETRANSLATE(B892, ""en"", ""ko""))"),"양식 설정")</f>
        <v>양식 설정</v>
      </c>
      <c r="E892" s="2" t="str">
        <f>IFERROR(__xludf.DUMMYFUNCTION("CONCATENATE(GOOGLETRANSLATE(B892, ""en"", ""ja""))"),"フォーム設定")</f>
        <v>フォーム設定</v>
      </c>
    </row>
    <row r="893" ht="15.75" customHeight="1">
      <c r="A893" s="1" t="s">
        <v>1721</v>
      </c>
      <c r="B893" s="1" t="s">
        <v>1722</v>
      </c>
      <c r="C893" s="1" t="str">
        <f>IFERROR(__xludf.DUMMYFUNCTION("CONCATENATE(GOOGLETRANSLATE(B893, ""en"", ""zh-cn""))"),"点击这里")</f>
        <v>点击这里</v>
      </c>
      <c r="D893" s="1" t="str">
        <f>IFERROR(__xludf.DUMMYFUNCTION("CONCATENATE(GOOGLETRANSLATE(B893, ""en"", ""ko""))"),"여기를 클릭하세요")</f>
        <v>여기를 클릭하세요</v>
      </c>
      <c r="E893" s="2" t="str">
        <f>IFERROR(__xludf.DUMMYFUNCTION("CONCATENATE(GOOGLETRANSLATE(B893, ""en"", ""ja""))"),"ここをクリック")</f>
        <v>ここをクリック</v>
      </c>
    </row>
    <row r="894" ht="15.75" customHeight="1">
      <c r="A894" s="1" t="s">
        <v>1739</v>
      </c>
      <c r="B894" s="1" t="s">
        <v>1740</v>
      </c>
      <c r="C894" s="1" t="str">
        <f>IFERROR(__xludf.DUMMYFUNCTION("CONCATENATE(GOOGLETRANSLATE(B894, ""en"", ""zh-cn""))"),"语言")</f>
        <v>语言</v>
      </c>
      <c r="D894" s="1" t="str">
        <f>IFERROR(__xludf.DUMMYFUNCTION("CONCATENATE(GOOGLETRANSLATE(B894, ""en"", ""ko""))"),"언어")</f>
        <v>언어</v>
      </c>
      <c r="E894" s="2" t="str">
        <f>IFERROR(__xludf.DUMMYFUNCTION("CONCATENATE(GOOGLETRANSLATE(B894, ""en"", ""ja""))"),"言語")</f>
        <v>言語</v>
      </c>
    </row>
    <row r="895" ht="15.75" customHeight="1">
      <c r="A895" s="1" t="s">
        <v>1716</v>
      </c>
      <c r="B895" s="1" t="s">
        <v>1716</v>
      </c>
      <c r="C895" s="1" t="str">
        <f>IFERROR(__xludf.DUMMYFUNCTION("CONCATENATE(GOOGLETRANSLATE(B895, ""en"", ""zh-cn""))"),"环境")</f>
        <v>环境</v>
      </c>
      <c r="D895" s="1" t="str">
        <f>IFERROR(__xludf.DUMMYFUNCTION("CONCATENATE(GOOGLETRANSLATE(B895, ""en"", ""ko""))"),"환경")</f>
        <v>환경</v>
      </c>
      <c r="E895" s="2" t="str">
        <f>IFERROR(__xludf.DUMMYFUNCTION("CONCATENATE(GOOGLETRANSLATE(B895, ""en"", ""ja""))"),"設定")</f>
        <v>設定</v>
      </c>
    </row>
    <row r="896" ht="15.75" customHeight="1">
      <c r="A896" s="1" t="s">
        <v>1721</v>
      </c>
      <c r="B896" s="1" t="s">
        <v>1722</v>
      </c>
      <c r="C896" s="1" t="str">
        <f>IFERROR(__xludf.DUMMYFUNCTION("CONCATENATE(GOOGLETRANSLATE(B896, ""en"", ""zh-cn""))"),"点击这里")</f>
        <v>点击这里</v>
      </c>
      <c r="D896" s="1" t="str">
        <f>IFERROR(__xludf.DUMMYFUNCTION("CONCATENATE(GOOGLETRANSLATE(B896, ""en"", ""ko""))"),"여기를 클릭하세요")</f>
        <v>여기를 클릭하세요</v>
      </c>
      <c r="E896" s="2" t="str">
        <f>IFERROR(__xludf.DUMMYFUNCTION("CONCATENATE(GOOGLETRANSLATE(B896, ""en"", ""ja""))"),"ここをクリック")</f>
        <v>ここをクリック</v>
      </c>
    </row>
    <row r="897" ht="15.75" customHeight="1">
      <c r="A897" s="1" t="s">
        <v>1716</v>
      </c>
      <c r="B897" s="1" t="s">
        <v>1716</v>
      </c>
      <c r="C897" s="1" t="str">
        <f>IFERROR(__xludf.DUMMYFUNCTION("CONCATENATE(GOOGLETRANSLATE(B897, ""en"", ""zh-cn""))"),"环境")</f>
        <v>环境</v>
      </c>
      <c r="D897" s="1" t="str">
        <f>IFERROR(__xludf.DUMMYFUNCTION("CONCATENATE(GOOGLETRANSLATE(B897, ""en"", ""ko""))"),"환경")</f>
        <v>환경</v>
      </c>
      <c r="E897" s="2" t="str">
        <f>IFERROR(__xludf.DUMMYFUNCTION("CONCATENATE(GOOGLETRANSLATE(B897, ""en"", ""ja""))"),"設定")</f>
        <v>設定</v>
      </c>
    </row>
    <row r="898" ht="15.75" customHeight="1">
      <c r="A898" s="1" t="s">
        <v>1721</v>
      </c>
      <c r="B898" s="1" t="s">
        <v>1722</v>
      </c>
      <c r="C898" s="1" t="str">
        <f>IFERROR(__xludf.DUMMYFUNCTION("CONCATENATE(GOOGLETRANSLATE(B898, ""en"", ""zh-cn""))"),"点击这里")</f>
        <v>点击这里</v>
      </c>
      <c r="D898" s="1" t="str">
        <f>IFERROR(__xludf.DUMMYFUNCTION("CONCATENATE(GOOGLETRANSLATE(B898, ""en"", ""ko""))"),"여기를 클릭하세요")</f>
        <v>여기를 클릭하세요</v>
      </c>
      <c r="E898" s="2" t="str">
        <f>IFERROR(__xludf.DUMMYFUNCTION("CONCATENATE(GOOGLETRANSLATE(B898, ""en"", ""ja""))"),"ここをクリック")</f>
        <v>ここをクリック</v>
      </c>
    </row>
    <row r="899" ht="15.75" customHeight="1">
      <c r="A899" s="1" t="s">
        <v>1741</v>
      </c>
      <c r="B899" s="1" t="s">
        <v>1742</v>
      </c>
      <c r="C899" s="1" t="str">
        <f>IFERROR(__xludf.DUMMYFUNCTION("CONCATENATE(GOOGLETRANSLATE(B899, ""en"", ""zh-cn""))"),"仪表板")</f>
        <v>仪表板</v>
      </c>
      <c r="D899" s="1" t="str">
        <f>IFERROR(__xludf.DUMMYFUNCTION("CONCATENATE(GOOGLETRANSLATE(B899, ""en"", ""ko""))"),"계기반")</f>
        <v>계기반</v>
      </c>
      <c r="E899" s="2" t="str">
        <f>IFERROR(__xludf.DUMMYFUNCTION("CONCATENATE(GOOGLETRANSLATE(B899, ""en"", ""ja""))"),"ダッシュボード")</f>
        <v>ダッシュボード</v>
      </c>
    </row>
    <row r="900" ht="15.75" customHeight="1">
      <c r="A900" s="1" t="s">
        <v>1743</v>
      </c>
      <c r="B900" s="1" t="s">
        <v>1744</v>
      </c>
      <c r="C900" s="1" t="str">
        <f>IFERROR(__xludf.DUMMYFUNCTION("CONCATENATE(GOOGLETRANSLATE(B900, ""en"", ""zh-cn""))"),"销售点系统")</f>
        <v>销售点系统</v>
      </c>
      <c r="D900" s="1" t="str">
        <f>IFERROR(__xludf.DUMMYFUNCTION("CONCATENATE(GOOGLETRANSLATE(B900, ""en"", ""ko""))"),"POS 시스템")</f>
        <v>POS 시스템</v>
      </c>
      <c r="E900" s="2" t="str">
        <f>IFERROR(__xludf.DUMMYFUNCTION("CONCATENATE(GOOGLETRANSLATE(B900, ""en"", ""ja""))"),"POSシステム")</f>
        <v>POSシステム</v>
      </c>
    </row>
    <row r="901" ht="15.75" customHeight="1">
      <c r="A901" s="1" t="s">
        <v>1745</v>
      </c>
      <c r="B901" s="1" t="s">
        <v>1746</v>
      </c>
      <c r="C901" s="1" t="str">
        <f>IFERROR(__xludf.DUMMYFUNCTION("CONCATENATE(GOOGLETRANSLATE(B901, ""en"", ""zh-cn""))"),"销售点经理")</f>
        <v>销售点经理</v>
      </c>
      <c r="D901" s="1" t="str">
        <f>IFERROR(__xludf.DUMMYFUNCTION("CONCATENATE(GOOGLETRANSLATE(B901, ""en"", ""ko""))"),"POS 관리자")</f>
        <v>POS 관리자</v>
      </c>
      <c r="E901" s="2" t="str">
        <f>IFERROR(__xludf.DUMMYFUNCTION("CONCATENATE(GOOGLETRANSLATE(B901, ""en"", ""ja""))"),"POSマネージャー")</f>
        <v>POSマネージャー</v>
      </c>
    </row>
    <row r="902" ht="15.75" customHeight="1">
      <c r="A902" s="1" t="s">
        <v>1747</v>
      </c>
      <c r="B902" s="1" t="s">
        <v>1748</v>
      </c>
      <c r="C902" s="1" t="str">
        <f>IFERROR(__xludf.DUMMYFUNCTION("CONCATENATE(GOOGLETRANSLATE(B902, ""en"", ""zh-cn""))"),"POS配置")</f>
        <v>POS配置</v>
      </c>
      <c r="D902" s="1" t="str">
        <f>IFERROR(__xludf.DUMMYFUNCTION("CONCATENATE(GOOGLETRANSLATE(B902, ""en"", ""ko""))"),"POS 구성")</f>
        <v>POS 구성</v>
      </c>
      <c r="E902" s="2" t="str">
        <f>IFERROR(__xludf.DUMMYFUNCTION("CONCATENATE(GOOGLETRANSLATE(B902, ""en"", ""ja""))"),"POS 構成")</f>
        <v>POS 構成</v>
      </c>
    </row>
    <row r="903" ht="15.75" customHeight="1">
      <c r="A903" s="1" t="s">
        <v>1293</v>
      </c>
      <c r="B903" s="1" t="s">
        <v>1749</v>
      </c>
      <c r="C903" s="1" t="str">
        <f>IFERROR(__xludf.DUMMYFUNCTION("CONCATENATE(GOOGLETRANSLATE(B903, ""en"", ""zh-cn""))"),"产品")</f>
        <v>产品</v>
      </c>
      <c r="D903" s="1" t="str">
        <f>IFERROR(__xludf.DUMMYFUNCTION("CONCATENATE(GOOGLETRANSLATE(B903, ""en"", ""ko""))"),"제품")</f>
        <v>제품</v>
      </c>
      <c r="E903" s="2" t="str">
        <f>IFERROR(__xludf.DUMMYFUNCTION("CONCATENATE(GOOGLETRANSLATE(B903, ""en"", ""ja""))"),"製品")</f>
        <v>製品</v>
      </c>
    </row>
    <row r="904" ht="15.75" customHeight="1">
      <c r="A904" s="1" t="s">
        <v>1750</v>
      </c>
      <c r="B904" s="1" t="s">
        <v>1751</v>
      </c>
      <c r="C904" s="1" t="str">
        <f>IFERROR(__xludf.DUMMYFUNCTION("CONCATENATE(GOOGLETRANSLATE(B904, ""en"", ""zh-cn""))"),"添加新产品")</f>
        <v>添加新产品</v>
      </c>
      <c r="D904" s="1" t="str">
        <f>IFERROR(__xludf.DUMMYFUNCTION("CONCATENATE(GOOGLETRANSLATE(B904, ""en"", ""ko""))"),"새 제품 추가")</f>
        <v>새 제품 추가</v>
      </c>
      <c r="E904" s="2" t="str">
        <f>IFERROR(__xludf.DUMMYFUNCTION("CONCATENATE(GOOGLETRANSLATE(B904, ""en"", ""ja""))"),"新しい製品を追加")</f>
        <v>新しい製品を追加</v>
      </c>
    </row>
    <row r="905" ht="15.75" customHeight="1">
      <c r="A905" s="1" t="s">
        <v>1752</v>
      </c>
      <c r="B905" s="1" t="s">
        <v>1753</v>
      </c>
      <c r="C905" s="1" t="str">
        <f>IFERROR(__xludf.DUMMYFUNCTION("CONCATENATE(GOOGLETRANSLATE(B905, ""en"", ""zh-cn""))"),"所有产品")</f>
        <v>所有产品</v>
      </c>
      <c r="D905" s="1" t="str">
        <f>IFERROR(__xludf.DUMMYFUNCTION("CONCATENATE(GOOGLETRANSLATE(B905, ""en"", ""ko""))"),"모든 제품")</f>
        <v>모든 제품</v>
      </c>
      <c r="E905" s="2" t="str">
        <f>IFERROR(__xludf.DUMMYFUNCTION("CONCATENATE(GOOGLETRANSLATE(B905, ""en"", ""ja""))"),"すべての製品")</f>
        <v>すべての製品</v>
      </c>
    </row>
    <row r="906" ht="15.75" customHeight="1">
      <c r="A906" s="1" t="s">
        <v>1754</v>
      </c>
      <c r="B906" s="1" t="s">
        <v>1755</v>
      </c>
      <c r="C906" s="1" t="str">
        <f>IFERROR(__xludf.DUMMYFUNCTION("CONCATENATE(GOOGLETRANSLATE(B906, ""en"", ""zh-cn""))"),"内部产品")</f>
        <v>内部产品</v>
      </c>
      <c r="D906" s="1" t="str">
        <f>IFERROR(__xludf.DUMMYFUNCTION("CONCATENATE(GOOGLETRANSLATE(B906, ""en"", ""ko""))"),"사내 제품")</f>
        <v>사내 제품</v>
      </c>
      <c r="E906" s="2" t="str">
        <f>IFERROR(__xludf.DUMMYFUNCTION("CONCATENATE(GOOGLETRANSLATE(B906, ""en"", ""ja""))"),"自社製品")</f>
        <v>自社製品</v>
      </c>
    </row>
    <row r="907" ht="15.75" customHeight="1">
      <c r="A907" s="1" t="s">
        <v>1756</v>
      </c>
      <c r="B907" s="1" t="s">
        <v>1757</v>
      </c>
      <c r="C907" s="1" t="str">
        <f>IFERROR(__xludf.DUMMYFUNCTION("CONCATENATE(GOOGLETRANSLATE(B907, ""en"", ""zh-cn""))"),"卖家产品")</f>
        <v>卖家产品</v>
      </c>
      <c r="D907" s="1" t="str">
        <f>IFERROR(__xludf.DUMMYFUNCTION("CONCATENATE(GOOGLETRANSLATE(B907, ""en"", ""ko""))"),"판매자 제품")</f>
        <v>판매자 제품</v>
      </c>
      <c r="E907" s="2" t="str">
        <f>IFERROR(__xludf.DUMMYFUNCTION("CONCATENATE(GOOGLETRANSLATE(B907, ""en"", ""ja""))"),"販売者の製品")</f>
        <v>販売者の製品</v>
      </c>
    </row>
    <row r="908" ht="15.75" customHeight="1">
      <c r="A908" s="1" t="s">
        <v>1758</v>
      </c>
      <c r="B908" s="1" t="s">
        <v>1759</v>
      </c>
      <c r="C908" s="1" t="str">
        <f>IFERROR(__xludf.DUMMYFUNCTION("CONCATENATE(GOOGLETRANSLATE(B908, ""en"", ""zh-cn""))"),"数码产品")</f>
        <v>数码产品</v>
      </c>
      <c r="D908" s="1" t="str">
        <f>IFERROR(__xludf.DUMMYFUNCTION("CONCATENATE(GOOGLETRANSLATE(B908, ""en"", ""ko""))"),"디지털 제품")</f>
        <v>디지털 제품</v>
      </c>
      <c r="E908" s="2" t="str">
        <f>IFERROR(__xludf.DUMMYFUNCTION("CONCATENATE(GOOGLETRANSLATE(B908, ""en"", ""ja""))"),"デジタル製品")</f>
        <v>デジタル製品</v>
      </c>
    </row>
    <row r="909" ht="15.75" customHeight="1">
      <c r="A909" s="1" t="s">
        <v>1760</v>
      </c>
      <c r="B909" s="1" t="s">
        <v>1761</v>
      </c>
      <c r="C909" s="1" t="str">
        <f>IFERROR(__xludf.DUMMYFUNCTION("CONCATENATE(GOOGLETRANSLATE(B909, ""en"", ""zh-cn""))"),"批量导入")</f>
        <v>批量导入</v>
      </c>
      <c r="D909" s="1" t="str">
        <f>IFERROR(__xludf.DUMMYFUNCTION("CONCATENATE(GOOGLETRANSLATE(B909, ""en"", ""ko""))"),"대량 가져오기")</f>
        <v>대량 가져오기</v>
      </c>
      <c r="E909" s="2" t="str">
        <f>IFERROR(__xludf.DUMMYFUNCTION("CONCATENATE(GOOGLETRANSLATE(B909, ""en"", ""ja""))"),"一括インポート")</f>
        <v>一括インポート</v>
      </c>
    </row>
    <row r="910" ht="15.75" customHeight="1">
      <c r="A910" s="1" t="s">
        <v>1762</v>
      </c>
      <c r="B910" s="1" t="s">
        <v>1763</v>
      </c>
      <c r="C910" s="1" t="str">
        <f>IFERROR(__xludf.DUMMYFUNCTION("CONCATENATE(GOOGLETRANSLATE(B910, ""en"", ""zh-cn""))"),"批量导出")</f>
        <v>批量导出</v>
      </c>
      <c r="D910" s="1" t="str">
        <f>IFERROR(__xludf.DUMMYFUNCTION("CONCATENATE(GOOGLETRANSLATE(B910, ""en"", ""ko""))"),"대량 수출")</f>
        <v>대량 수출</v>
      </c>
      <c r="E910" s="2" t="str">
        <f>IFERROR(__xludf.DUMMYFUNCTION("CONCATENATE(GOOGLETRANSLATE(B910, ""en"", ""ja""))"),"一括エクスポート")</f>
        <v>一括エクスポート</v>
      </c>
    </row>
    <row r="911" ht="15.75" customHeight="1">
      <c r="A911" s="1" t="s">
        <v>1764</v>
      </c>
      <c r="B911" s="1" t="s">
        <v>1765</v>
      </c>
      <c r="C911" s="1" t="str">
        <f>IFERROR(__xludf.DUMMYFUNCTION("CONCATENATE(GOOGLETRANSLATE(B911, ""en"", ""zh-cn""))"),"类别")</f>
        <v>类别</v>
      </c>
      <c r="D911" s="1" t="str">
        <f>IFERROR(__xludf.DUMMYFUNCTION("CONCATENATE(GOOGLETRANSLATE(B911, ""en"", ""ko""))"),"범주")</f>
        <v>범주</v>
      </c>
      <c r="E911" s="2" t="str">
        <f>IFERROR(__xludf.DUMMYFUNCTION("CONCATENATE(GOOGLETRANSLATE(B911, ""en"", ""ja""))"),"カテゴリ")</f>
        <v>カテゴリ</v>
      </c>
    </row>
    <row r="912" ht="15.75" customHeight="1">
      <c r="A912" s="1" t="s">
        <v>1766</v>
      </c>
      <c r="B912" s="1" t="s">
        <v>1767</v>
      </c>
      <c r="C912" s="1" t="str">
        <f>IFERROR(__xludf.DUMMYFUNCTION("CONCATENATE(GOOGLETRANSLATE(B912, ""en"", ""zh-cn""))"),"子类别")</f>
        <v>子类别</v>
      </c>
      <c r="D912" s="1" t="str">
        <f>IFERROR(__xludf.DUMMYFUNCTION("CONCATENATE(GOOGLETRANSLATE(B912, ""en"", ""ko""))"),"하위 카테고리")</f>
        <v>하위 카테고리</v>
      </c>
      <c r="E912" s="2" t="str">
        <f>IFERROR(__xludf.DUMMYFUNCTION("CONCATENATE(GOOGLETRANSLATE(B912, ""en"", ""ja""))"),"サブカテゴリー")</f>
        <v>サブカテゴリー</v>
      </c>
    </row>
    <row r="913" ht="15.75" customHeight="1">
      <c r="A913" s="1" t="s">
        <v>1768</v>
      </c>
      <c r="B913" s="1" t="s">
        <v>1769</v>
      </c>
      <c r="C913" s="1" t="str">
        <f>IFERROR(__xludf.DUMMYFUNCTION("CONCATENATE(GOOGLETRANSLATE(B913, ""en"", ""zh-cn""))"),"子子类")</f>
        <v>子子类</v>
      </c>
      <c r="D913" s="1" t="str">
        <f>IFERROR(__xludf.DUMMYFUNCTION("CONCATENATE(GOOGLETRANSLATE(B913, ""en"", ""ko""))"),"하위 하위 카테고리")</f>
        <v>하위 하위 카테고리</v>
      </c>
      <c r="E913" s="2" t="str">
        <f>IFERROR(__xludf.DUMMYFUNCTION("CONCATENATE(GOOGLETRANSLATE(B913, ""en"", ""ja""))"),"サブサブカテゴリ")</f>
        <v>サブサブカテゴリ</v>
      </c>
    </row>
    <row r="914" ht="15.75" customHeight="1">
      <c r="A914" s="1" t="s">
        <v>1770</v>
      </c>
      <c r="B914" s="1" t="s">
        <v>1771</v>
      </c>
      <c r="C914" s="1" t="str">
        <f>IFERROR(__xludf.DUMMYFUNCTION("CONCATENATE(GOOGLETRANSLATE(B914, ""en"", ""zh-cn""))"),"品牌")</f>
        <v>品牌</v>
      </c>
      <c r="D914" s="1" t="str">
        <f>IFERROR(__xludf.DUMMYFUNCTION("CONCATENATE(GOOGLETRANSLATE(B914, ""en"", ""ko""))"),"상표")</f>
        <v>상표</v>
      </c>
      <c r="E914" s="2" t="str">
        <f>IFERROR(__xludf.DUMMYFUNCTION("CONCATENATE(GOOGLETRANSLATE(B914, ""en"", ""ja""))"),"ブランド")</f>
        <v>ブランド</v>
      </c>
    </row>
    <row r="915" ht="15.75" customHeight="1">
      <c r="A915" s="1" t="s">
        <v>1772</v>
      </c>
      <c r="B915" s="1" t="s">
        <v>1773</v>
      </c>
      <c r="C915" s="1" t="str">
        <f>IFERROR(__xludf.DUMMYFUNCTION("CONCATENATE(GOOGLETRANSLATE(B915, ""en"", ""zh-cn""))"),"属性")</f>
        <v>属性</v>
      </c>
      <c r="D915" s="1" t="str">
        <f>IFERROR(__xludf.DUMMYFUNCTION("CONCATENATE(GOOGLETRANSLATE(B915, ""en"", ""ko""))"),"기인하다")</f>
        <v>기인하다</v>
      </c>
      <c r="E915" s="2" t="str">
        <f>IFERROR(__xludf.DUMMYFUNCTION("CONCATENATE(GOOGLETRANSLATE(B915, ""en"", ""ja""))"),"属性")</f>
        <v>属性</v>
      </c>
    </row>
    <row r="916" ht="15.75" customHeight="1">
      <c r="A916" s="1" t="s">
        <v>1774</v>
      </c>
      <c r="B916" s="1" t="s">
        <v>1775</v>
      </c>
      <c r="C916" s="1" t="str">
        <f>IFERROR(__xludf.DUMMYFUNCTION("CONCATENATE(GOOGLETRANSLATE(B916, ""en"", ""zh-cn""))"),"产品评论")</f>
        <v>产品评论</v>
      </c>
      <c r="D916" s="1" t="str">
        <f>IFERROR(__xludf.DUMMYFUNCTION("CONCATENATE(GOOGLETRANSLATE(B916, ""en"", ""ko""))"),"제품 리뷰")</f>
        <v>제품 리뷰</v>
      </c>
      <c r="E916" s="2" t="str">
        <f>IFERROR(__xludf.DUMMYFUNCTION("CONCATENATE(GOOGLETRANSLATE(B916, ""en"", ""ja""))"),"製品レビュー")</f>
        <v>製品レビュー</v>
      </c>
    </row>
    <row r="917" ht="15.75" customHeight="1">
      <c r="A917" s="1" t="s">
        <v>1776</v>
      </c>
      <c r="B917" s="1" t="s">
        <v>1777</v>
      </c>
      <c r="C917" s="1" t="str">
        <f>IFERROR(__xludf.DUMMYFUNCTION("CONCATENATE(GOOGLETRANSLATE(B917, ""en"", ""zh-cn""))"),"销售量")</f>
        <v>销售量</v>
      </c>
      <c r="D917" s="1" t="str">
        <f>IFERROR(__xludf.DUMMYFUNCTION("CONCATENATE(GOOGLETRANSLATE(B917, ""en"", ""ko""))"),"매상")</f>
        <v>매상</v>
      </c>
      <c r="E917" s="2" t="str">
        <f>IFERROR(__xludf.DUMMYFUNCTION("CONCATENATE(GOOGLETRANSLATE(B917, ""en"", ""ja""))"),"販売")</f>
        <v>販売</v>
      </c>
    </row>
    <row r="918" ht="15.75" customHeight="1">
      <c r="A918" s="1" t="s">
        <v>1778</v>
      </c>
      <c r="B918" s="1" t="s">
        <v>1779</v>
      </c>
      <c r="C918" s="1" t="str">
        <f>IFERROR(__xludf.DUMMYFUNCTION("CONCATENATE(GOOGLETRANSLATE(B918, ""en"", ""zh-cn""))"),"所有订单")</f>
        <v>所有订单</v>
      </c>
      <c r="D918" s="1" t="str">
        <f>IFERROR(__xludf.DUMMYFUNCTION("CONCATENATE(GOOGLETRANSLATE(B918, ""en"", ""ko""))"),"모든 주문")</f>
        <v>모든 주문</v>
      </c>
      <c r="E918" s="2" t="str">
        <f>IFERROR(__xludf.DUMMYFUNCTION("CONCATENATE(GOOGLETRANSLATE(B918, ""en"", ""ja""))"),"すべての注文")</f>
        <v>すべての注文</v>
      </c>
    </row>
    <row r="919" ht="15.75" customHeight="1">
      <c r="A919" s="1" t="s">
        <v>1780</v>
      </c>
      <c r="B919" s="1" t="s">
        <v>1781</v>
      </c>
      <c r="C919" s="1" t="str">
        <f>IFERROR(__xludf.DUMMYFUNCTION("CONCATENATE(GOOGLETRANSLATE(B919, ""en"", ""zh-cn""))"),"内部订单")</f>
        <v>内部订单</v>
      </c>
      <c r="D919" s="1" t="str">
        <f>IFERROR(__xludf.DUMMYFUNCTION("CONCATENATE(GOOGLETRANSLATE(B919, ""en"", ""ko""))"),"사내 주문")</f>
        <v>사내 주문</v>
      </c>
      <c r="E919" s="2" t="str">
        <f>IFERROR(__xludf.DUMMYFUNCTION("CONCATENATE(GOOGLETRANSLATE(B919, ""en"", ""ja""))"),"社内発注")</f>
        <v>社内発注</v>
      </c>
    </row>
    <row r="920" ht="15.75" customHeight="1">
      <c r="A920" s="1" t="s">
        <v>1782</v>
      </c>
      <c r="B920" s="1" t="s">
        <v>1783</v>
      </c>
      <c r="C920" s="1" t="str">
        <f>IFERROR(__xludf.DUMMYFUNCTION("CONCATENATE(GOOGLETRANSLATE(B920, ""en"", ""zh-cn""))"),"卖家订单")</f>
        <v>卖家订单</v>
      </c>
      <c r="D920" s="1" t="str">
        <f>IFERROR(__xludf.DUMMYFUNCTION("CONCATENATE(GOOGLETRANSLATE(B920, ""en"", ""ko""))"),"판매자 주문")</f>
        <v>판매자 주문</v>
      </c>
      <c r="E920" s="2" t="str">
        <f>IFERROR(__xludf.DUMMYFUNCTION("CONCATENATE(GOOGLETRANSLATE(B920, ""en"", ""ja""))"),"販売者の注文")</f>
        <v>販売者の注文</v>
      </c>
    </row>
    <row r="921" ht="15.75" customHeight="1">
      <c r="A921" s="1" t="s">
        <v>1784</v>
      </c>
      <c r="B921" s="1" t="s">
        <v>1785</v>
      </c>
      <c r="C921" s="1" t="str">
        <f>IFERROR(__xludf.DUMMYFUNCTION("CONCATENATE(GOOGLETRANSLATE(B921, ""en"", ""zh-cn""))"),"取货点订单")</f>
        <v>取货点订单</v>
      </c>
      <c r="D921" s="1" t="str">
        <f>IFERROR(__xludf.DUMMYFUNCTION("CONCATENATE(GOOGLETRANSLATE(B921, ""en"", ""ko""))"),"픽업 지점 주문")</f>
        <v>픽업 지점 주문</v>
      </c>
      <c r="E921" s="2" t="str">
        <f>IFERROR(__xludf.DUMMYFUNCTION("CONCATENATE(GOOGLETRANSLATE(B921, ""en"", ""ja""))"),"ピックアップポイントの注文")</f>
        <v>ピックアップポイントの注文</v>
      </c>
    </row>
    <row r="922" ht="15.75" customHeight="1">
      <c r="A922" s="1" t="s">
        <v>1786</v>
      </c>
      <c r="B922" s="1" t="s">
        <v>1787</v>
      </c>
      <c r="C922" s="1" t="str">
        <f>IFERROR(__xludf.DUMMYFUNCTION("CONCATENATE(GOOGLETRANSLATE(B922, ""en"", ""zh-cn""))"),"退款")</f>
        <v>退款</v>
      </c>
      <c r="D922" s="1" t="str">
        <f>IFERROR(__xludf.DUMMYFUNCTION("CONCATENATE(GOOGLETRANSLATE(B922, ""en"", ""ko""))"),"환불")</f>
        <v>환불</v>
      </c>
      <c r="E922" s="2" t="str">
        <f>IFERROR(__xludf.DUMMYFUNCTION("CONCATENATE(GOOGLETRANSLATE(B922, ""en"", ""ja""))"),"払い戻し")</f>
        <v>払い戻し</v>
      </c>
    </row>
    <row r="923" ht="15.75" customHeight="1">
      <c r="A923" s="1" t="s">
        <v>1788</v>
      </c>
      <c r="B923" s="1" t="s">
        <v>1789</v>
      </c>
      <c r="C923" s="1" t="str">
        <f>IFERROR(__xludf.DUMMYFUNCTION("CONCATENATE(GOOGLETRANSLATE(B923, ""en"", ""zh-cn""))"),"退款请求")</f>
        <v>退款请求</v>
      </c>
      <c r="D923" s="1" t="str">
        <f>IFERROR(__xludf.DUMMYFUNCTION("CONCATENATE(GOOGLETRANSLATE(B923, ""en"", ""ko""))"),"환불 요청")</f>
        <v>환불 요청</v>
      </c>
      <c r="E923" s="2" t="str">
        <f>IFERROR(__xludf.DUMMYFUNCTION("CONCATENATE(GOOGLETRANSLATE(B923, ""en"", ""ja""))"),"返金リクエスト")</f>
        <v>返金リクエスト</v>
      </c>
    </row>
    <row r="924" ht="15.75" customHeight="1">
      <c r="A924" s="1" t="s">
        <v>1790</v>
      </c>
      <c r="B924" s="1" t="s">
        <v>1791</v>
      </c>
      <c r="C924" s="1" t="str">
        <f>IFERROR(__xludf.DUMMYFUNCTION("CONCATENATE(GOOGLETRANSLATE(B924, ""en"", ""zh-cn""))"),"批准退款")</f>
        <v>批准退款</v>
      </c>
      <c r="D924" s="1" t="str">
        <f>IFERROR(__xludf.DUMMYFUNCTION("CONCATENATE(GOOGLETRANSLATE(B924, ""en"", ""ko""))"),"환불 승인")</f>
        <v>환불 승인</v>
      </c>
      <c r="E924" s="2" t="str">
        <f>IFERROR(__xludf.DUMMYFUNCTION("CONCATENATE(GOOGLETRANSLATE(B924, ""en"", ""ja""))"),"承認された払い戻し")</f>
        <v>承認された払い戻し</v>
      </c>
    </row>
    <row r="925" ht="15.75" customHeight="1">
      <c r="A925" s="1" t="s">
        <v>1792</v>
      </c>
      <c r="B925" s="1" t="s">
        <v>1793</v>
      </c>
      <c r="C925" s="1" t="str">
        <f>IFERROR(__xludf.DUMMYFUNCTION("CONCATENATE(GOOGLETRANSLATE(B925, ""en"", ""zh-cn""))"),"退款配置")</f>
        <v>退款配置</v>
      </c>
      <c r="D925" s="1" t="str">
        <f>IFERROR(__xludf.DUMMYFUNCTION("CONCATENATE(GOOGLETRANSLATE(B925, ""en"", ""ko""))"),"환불 구성")</f>
        <v>환불 구성</v>
      </c>
      <c r="E925" s="2" t="str">
        <f>IFERROR(__xludf.DUMMYFUNCTION("CONCATENATE(GOOGLETRANSLATE(B925, ""en"", ""ja""))"),"返金設定")</f>
        <v>返金設定</v>
      </c>
    </row>
    <row r="926" ht="15.75" customHeight="1">
      <c r="A926" s="1" t="s">
        <v>1794</v>
      </c>
      <c r="B926" s="1" t="s">
        <v>1795</v>
      </c>
      <c r="C926" s="1" t="str">
        <f>IFERROR(__xludf.DUMMYFUNCTION("CONCATENATE(GOOGLETRANSLATE(B926, ""en"", ""zh-cn""))"),"顾客")</f>
        <v>顾客</v>
      </c>
      <c r="D926" s="1" t="str">
        <f>IFERROR(__xludf.DUMMYFUNCTION("CONCATENATE(GOOGLETRANSLATE(B926, ""en"", ""ko""))"),"고객")</f>
        <v>고객</v>
      </c>
      <c r="E926" s="2" t="str">
        <f>IFERROR(__xludf.DUMMYFUNCTION("CONCATENATE(GOOGLETRANSLATE(B926, ""en"", ""ja""))"),"お客様")</f>
        <v>お客様</v>
      </c>
    </row>
    <row r="927" ht="15.75" customHeight="1">
      <c r="A927" s="1" t="s">
        <v>1796</v>
      </c>
      <c r="B927" s="1" t="s">
        <v>1797</v>
      </c>
      <c r="C927" s="1" t="str">
        <f>IFERROR(__xludf.DUMMYFUNCTION("CONCATENATE(GOOGLETRANSLATE(B927, ""en"", ""zh-cn""))"),"客户名单")</f>
        <v>客户名单</v>
      </c>
      <c r="D927" s="1" t="str">
        <f>IFERROR(__xludf.DUMMYFUNCTION("CONCATENATE(GOOGLETRANSLATE(B927, ""en"", ""ko""))"),"고객 목록")</f>
        <v>고객 목록</v>
      </c>
      <c r="E927" s="2" t="str">
        <f>IFERROR(__xludf.DUMMYFUNCTION("CONCATENATE(GOOGLETRANSLATE(B927, ""en"", ""ja""))"),"顧客リスト")</f>
        <v>顧客リスト</v>
      </c>
    </row>
    <row r="928" ht="15.75" customHeight="1">
      <c r="A928" s="1" t="s">
        <v>1798</v>
      </c>
      <c r="B928" s="1" t="s">
        <v>1799</v>
      </c>
      <c r="C928" s="1" t="str">
        <f>IFERROR(__xludf.DUMMYFUNCTION("CONCATENATE(GOOGLETRANSLATE(B928, ""en"", ""zh-cn""))"),"分类产品")</f>
        <v>分类产品</v>
      </c>
      <c r="D928" s="1" t="str">
        <f>IFERROR(__xludf.DUMMYFUNCTION("CONCATENATE(GOOGLETRANSLATE(B928, ""en"", ""ko""))"),"분류된 제품")</f>
        <v>분류된 제품</v>
      </c>
      <c r="E928" s="2" t="str">
        <f>IFERROR(__xludf.DUMMYFUNCTION("CONCATENATE(GOOGLETRANSLATE(B928, ""en"", ""ja""))"),"分類された製品")</f>
        <v>分類された製品</v>
      </c>
    </row>
    <row r="929" ht="15.75" customHeight="1">
      <c r="A929" s="1" t="s">
        <v>1800</v>
      </c>
      <c r="B929" s="1" t="s">
        <v>1801</v>
      </c>
      <c r="C929" s="1" t="str">
        <f>IFERROR(__xludf.DUMMYFUNCTION("CONCATENATE(GOOGLETRANSLATE(B929, ""en"", ""zh-cn""))"),"分类套餐")</f>
        <v>分类套餐</v>
      </c>
      <c r="D929" s="1" t="str">
        <f>IFERROR(__xludf.DUMMYFUNCTION("CONCATENATE(GOOGLETRANSLATE(B929, ""en"", ""ko""))"),"분류된 패키지")</f>
        <v>분류된 패키지</v>
      </c>
      <c r="E929" s="2" t="str">
        <f>IFERROR(__xludf.DUMMYFUNCTION("CONCATENATE(GOOGLETRANSLATE(B929, ""en"", ""ja""))"),"機密パッケージ")</f>
        <v>機密パッケージ</v>
      </c>
    </row>
    <row r="930" ht="15.75" customHeight="1">
      <c r="A930" s="1" t="s">
        <v>1802</v>
      </c>
      <c r="B930" s="1" t="s">
        <v>1803</v>
      </c>
      <c r="C930" s="1" t="str">
        <f>IFERROR(__xludf.DUMMYFUNCTION("CONCATENATE(GOOGLETRANSLATE(B930, ""en"", ""zh-cn""))"),"卖家")</f>
        <v>卖家</v>
      </c>
      <c r="D930" s="1" t="str">
        <f>IFERROR(__xludf.DUMMYFUNCTION("CONCATENATE(GOOGLETRANSLATE(B930, ""en"", ""ko""))"),"판매자")</f>
        <v>판매자</v>
      </c>
      <c r="E930" s="2" t="str">
        <f>IFERROR(__xludf.DUMMYFUNCTION("CONCATENATE(GOOGLETRANSLATE(B930, ""en"", ""ja""))"),"販売者")</f>
        <v>販売者</v>
      </c>
    </row>
    <row r="931" ht="15.75" customHeight="1">
      <c r="A931" s="1" t="s">
        <v>1804</v>
      </c>
      <c r="B931" s="1" t="s">
        <v>1805</v>
      </c>
      <c r="C931" s="1" t="str">
        <f>IFERROR(__xludf.DUMMYFUNCTION("CONCATENATE(GOOGLETRANSLATE(B931, ""en"", ""zh-cn""))"),"所有卖家")</f>
        <v>所有卖家</v>
      </c>
      <c r="D931" s="1" t="str">
        <f>IFERROR(__xludf.DUMMYFUNCTION("CONCATENATE(GOOGLETRANSLATE(B931, ""en"", ""ko""))"),"모든 판매자")</f>
        <v>모든 판매자</v>
      </c>
      <c r="E931" s="2" t="str">
        <f>IFERROR(__xludf.DUMMYFUNCTION("CONCATENATE(GOOGLETRANSLATE(B931, ""en"", ""ja""))"),"すべての販売者")</f>
        <v>すべての販売者</v>
      </c>
    </row>
    <row r="932" ht="15.75" customHeight="1">
      <c r="A932" s="1" t="s">
        <v>1806</v>
      </c>
      <c r="B932" s="1" t="s">
        <v>1807</v>
      </c>
      <c r="C932" s="1" t="str">
        <f>IFERROR(__xludf.DUMMYFUNCTION("CONCATENATE(GOOGLETRANSLATE(B932, ""en"", ""zh-cn""))"),"支出")</f>
        <v>支出</v>
      </c>
      <c r="D932" s="1" t="str">
        <f>IFERROR(__xludf.DUMMYFUNCTION("CONCATENATE(GOOGLETRANSLATE(B932, ""en"", ""ko""))"),"지불금")</f>
        <v>지불금</v>
      </c>
      <c r="E932" s="2" t="str">
        <f>IFERROR(__xludf.DUMMYFUNCTION("CONCATENATE(GOOGLETRANSLATE(B932, ""en"", ""ja""))"),"支払い")</f>
        <v>支払い</v>
      </c>
    </row>
    <row r="933" ht="15.75" customHeight="1">
      <c r="A933" s="1" t="s">
        <v>1808</v>
      </c>
      <c r="B933" s="1" t="s">
        <v>1809</v>
      </c>
      <c r="C933" s="1" t="str">
        <f>IFERROR(__xludf.DUMMYFUNCTION("CONCATENATE(GOOGLETRANSLATE(B933, ""en"", ""zh-cn""))"),"付款请求")</f>
        <v>付款请求</v>
      </c>
      <c r="D933" s="1" t="str">
        <f>IFERROR(__xludf.DUMMYFUNCTION("CONCATENATE(GOOGLETRANSLATE(B933, ""en"", ""ko""))"),"지급 요청")</f>
        <v>지급 요청</v>
      </c>
      <c r="E933" s="2" t="str">
        <f>IFERROR(__xludf.DUMMYFUNCTION("CONCATENATE(GOOGLETRANSLATE(B933, ""en"", ""ja""))"),"支払いリクエスト")</f>
        <v>支払いリクエスト</v>
      </c>
    </row>
    <row r="934" ht="15.75" customHeight="1">
      <c r="A934" s="1" t="s">
        <v>1810</v>
      </c>
      <c r="B934" s="1" t="s">
        <v>1811</v>
      </c>
      <c r="C934" s="1" t="str">
        <f>IFERROR(__xludf.DUMMYFUNCTION("CONCATENATE(GOOGLETRANSLATE(B934, ""en"", ""zh-cn""))"),"卖家佣金")</f>
        <v>卖家佣金</v>
      </c>
      <c r="D934" s="1" t="str">
        <f>IFERROR(__xludf.DUMMYFUNCTION("CONCATENATE(GOOGLETRANSLATE(B934, ""en"", ""ko""))"),"판매자 수수료")</f>
        <v>판매자 수수료</v>
      </c>
      <c r="E934" s="2" t="str">
        <f>IFERROR(__xludf.DUMMYFUNCTION("CONCATENATE(GOOGLETRANSLATE(B934, ""en"", ""ja""))"),"販売手数料")</f>
        <v>販売手数料</v>
      </c>
    </row>
    <row r="935" ht="15.75" customHeight="1">
      <c r="A935" s="1" t="s">
        <v>1812</v>
      </c>
      <c r="B935" s="1" t="s">
        <v>1813</v>
      </c>
      <c r="C935" s="1" t="str">
        <f>IFERROR(__xludf.DUMMYFUNCTION("CONCATENATE(GOOGLETRANSLATE(B935, ""en"", ""zh-cn""))"),"卖家套餐")</f>
        <v>卖家套餐</v>
      </c>
      <c r="D935" s="1" t="str">
        <f>IFERROR(__xludf.DUMMYFUNCTION("CONCATENATE(GOOGLETRANSLATE(B935, ""en"", ""ko""))"),"판매자 패키지")</f>
        <v>판매자 패키지</v>
      </c>
      <c r="E935" s="2" t="str">
        <f>IFERROR(__xludf.DUMMYFUNCTION("CONCATENATE(GOOGLETRANSLATE(B935, ""en"", ""ja""))"),"販売者パッケージ")</f>
        <v>販売者パッケージ</v>
      </c>
    </row>
    <row r="936" ht="15.75" customHeight="1">
      <c r="A936" s="1" t="s">
        <v>1814</v>
      </c>
      <c r="B936" s="1" t="s">
        <v>1815</v>
      </c>
      <c r="C936" s="1" t="str">
        <f>IFERROR(__xludf.DUMMYFUNCTION("CONCATENATE(GOOGLETRANSLATE(B936, ""en"", ""zh-cn""))"),"卖家验证表")</f>
        <v>卖家验证表</v>
      </c>
      <c r="D936" s="1" t="str">
        <f>IFERROR(__xludf.DUMMYFUNCTION("CONCATENATE(GOOGLETRANSLATE(B936, ""en"", ""ko""))"),"판매자 확인 양식")</f>
        <v>판매자 확인 양식</v>
      </c>
      <c r="E936" s="2" t="str">
        <f>IFERROR(__xludf.DUMMYFUNCTION("CONCATENATE(GOOGLETRANSLATE(B936, ""en"", ""ja""))"),"販売者確認フォーム")</f>
        <v>販売者確認フォーム</v>
      </c>
    </row>
    <row r="937" ht="15.75" customHeight="1">
      <c r="A937" s="1" t="s">
        <v>1816</v>
      </c>
      <c r="B937" s="1" t="s">
        <v>1817</v>
      </c>
      <c r="C937" s="1" t="str">
        <f>IFERROR(__xludf.DUMMYFUNCTION("CONCATENATE(GOOGLETRANSLATE(B937, ""en"", ""zh-cn""))"),"报告")</f>
        <v>报告</v>
      </c>
      <c r="D937" s="1" t="str">
        <f>IFERROR(__xludf.DUMMYFUNCTION("CONCATENATE(GOOGLETRANSLATE(B937, ""en"", ""ko""))"),"보고서")</f>
        <v>보고서</v>
      </c>
      <c r="E937" s="2" t="str">
        <f>IFERROR(__xludf.DUMMYFUNCTION("CONCATENATE(GOOGLETRANSLATE(B937, ""en"", ""ja""))"),"レポート")</f>
        <v>レポート</v>
      </c>
    </row>
    <row r="938" ht="15.75" customHeight="1">
      <c r="A938" s="1" t="s">
        <v>1818</v>
      </c>
      <c r="B938" s="1" t="s">
        <v>1819</v>
      </c>
      <c r="C938" s="1" t="str">
        <f>IFERROR(__xludf.DUMMYFUNCTION("CONCATENATE(GOOGLETRANSLATE(B938, ""en"", ""zh-cn""))"),"内部产品销售")</f>
        <v>内部产品销售</v>
      </c>
      <c r="D938" s="1" t="str">
        <f>IFERROR(__xludf.DUMMYFUNCTION("CONCATENATE(GOOGLETRANSLATE(B938, ""en"", ""ko""))"),"사내 제품 판매")</f>
        <v>사내 제품 판매</v>
      </c>
      <c r="E938" s="2" t="str">
        <f>IFERROR(__xludf.DUMMYFUNCTION("CONCATENATE(GOOGLETRANSLATE(B938, ""en"", ""ja""))"),"自社製品の販売")</f>
        <v>自社製品の販売</v>
      </c>
    </row>
    <row r="939" ht="15.75" customHeight="1">
      <c r="A939" s="1" t="s">
        <v>1820</v>
      </c>
      <c r="B939" s="1" t="s">
        <v>1821</v>
      </c>
      <c r="C939" s="1" t="str">
        <f>IFERROR(__xludf.DUMMYFUNCTION("CONCATENATE(GOOGLETRANSLATE(B939, ""en"", ""zh-cn""))"),"卖家产品销售")</f>
        <v>卖家产品销售</v>
      </c>
      <c r="D939" s="1" t="str">
        <f>IFERROR(__xludf.DUMMYFUNCTION("CONCATENATE(GOOGLETRANSLATE(B939, ""en"", ""ko""))"),"판매자 상품 판매")</f>
        <v>판매자 상품 판매</v>
      </c>
      <c r="E939" s="2" t="str">
        <f>IFERROR(__xludf.DUMMYFUNCTION("CONCATENATE(GOOGLETRANSLATE(B939, ""en"", ""ja""))"),"販売者製品セール")</f>
        <v>販売者製品セール</v>
      </c>
    </row>
    <row r="940" ht="15.75" customHeight="1">
      <c r="A940" s="1" t="s">
        <v>1822</v>
      </c>
      <c r="B940" s="1" t="s">
        <v>1823</v>
      </c>
      <c r="C940" s="1" t="str">
        <f>IFERROR(__xludf.DUMMYFUNCTION("CONCATENATE(GOOGLETRANSLATE(B940, ""en"", ""zh-cn""))"),"产品库存")</f>
        <v>产品库存</v>
      </c>
      <c r="D940" s="1" t="str">
        <f>IFERROR(__xludf.DUMMYFUNCTION("CONCATENATE(GOOGLETRANSLATE(B940, ""en"", ""ko""))"),"제품 재고")</f>
        <v>제품 재고</v>
      </c>
      <c r="E940" s="2" t="str">
        <f>IFERROR(__xludf.DUMMYFUNCTION("CONCATENATE(GOOGLETRANSLATE(B940, ""en"", ""ja""))"),"製品在庫")</f>
        <v>製品在庫</v>
      </c>
    </row>
    <row r="941" ht="15.75" customHeight="1">
      <c r="A941" s="1" t="s">
        <v>1824</v>
      </c>
      <c r="B941" s="1" t="s">
        <v>1825</v>
      </c>
      <c r="C941" s="1" t="str">
        <f>IFERROR(__xludf.DUMMYFUNCTION("CONCATENATE(GOOGLETRANSLATE(B941, ""en"", ""zh-cn""))"),"产品愿望清单")</f>
        <v>产品愿望清单</v>
      </c>
      <c r="D941" s="1" t="str">
        <f>IFERROR(__xludf.DUMMYFUNCTION("CONCATENATE(GOOGLETRANSLATE(B941, ""en"", ""ko""))"),"제품 위시리스트")</f>
        <v>제품 위시리스트</v>
      </c>
      <c r="E941" s="2" t="str">
        <f>IFERROR(__xludf.DUMMYFUNCTION("CONCATENATE(GOOGLETRANSLATE(B941, ""en"", ""ja""))"),"製品ウィッシュリスト")</f>
        <v>製品ウィッシュリスト</v>
      </c>
    </row>
    <row r="942" ht="15.75" customHeight="1">
      <c r="A942" s="1" t="s">
        <v>1826</v>
      </c>
      <c r="B942" s="1" t="s">
        <v>1827</v>
      </c>
      <c r="C942" s="1" t="str">
        <f>IFERROR(__xludf.DUMMYFUNCTION("CONCATENATE(GOOGLETRANSLATE(B942, ""en"", ""zh-cn""))"),"用户搜索")</f>
        <v>用户搜索</v>
      </c>
      <c r="D942" s="1" t="str">
        <f>IFERROR(__xludf.DUMMYFUNCTION("CONCATENATE(GOOGLETRANSLATE(B942, ""en"", ""ko""))"),"사용자 검색")</f>
        <v>사용자 검색</v>
      </c>
      <c r="E942" s="2" t="str">
        <f>IFERROR(__xludf.DUMMYFUNCTION("CONCATENATE(GOOGLETRANSLATE(B942, ""en"", ""ja""))"),"ユーザー検索")</f>
        <v>ユーザー検索</v>
      </c>
    </row>
    <row r="943" ht="15.75" customHeight="1">
      <c r="A943" s="1" t="s">
        <v>1828</v>
      </c>
      <c r="B943" s="1" t="s">
        <v>1829</v>
      </c>
      <c r="C943" s="1" t="str">
        <f>IFERROR(__xludf.DUMMYFUNCTION("CONCATENATE(GOOGLETRANSLATE(B943, ""en"", ""zh-cn""))"),"营销")</f>
        <v>营销</v>
      </c>
      <c r="D943" s="1" t="str">
        <f>IFERROR(__xludf.DUMMYFUNCTION("CONCATENATE(GOOGLETRANSLATE(B943, ""en"", ""ko""))"),"마케팅")</f>
        <v>마케팅</v>
      </c>
      <c r="E943" s="2" t="str">
        <f>IFERROR(__xludf.DUMMYFUNCTION("CONCATENATE(GOOGLETRANSLATE(B943, ""en"", ""ja""))"),"マーケティング")</f>
        <v>マーケティング</v>
      </c>
    </row>
    <row r="944" ht="15.75" customHeight="1">
      <c r="A944" s="1" t="s">
        <v>1830</v>
      </c>
      <c r="B944" s="1" t="s">
        <v>1831</v>
      </c>
      <c r="C944" s="1" t="str">
        <f>IFERROR(__xludf.DUMMYFUNCTION("CONCATENATE(GOOGLETRANSLATE(B944, ""en"", ""zh-cn""))"),"闪购优惠")</f>
        <v>闪购优惠</v>
      </c>
      <c r="D944" s="1" t="str">
        <f>IFERROR(__xludf.DUMMYFUNCTION("CONCATENATE(GOOGLETRANSLATE(B944, ""en"", ""ko""))"),"플래시 딜")</f>
        <v>플래시 딜</v>
      </c>
      <c r="E944" s="2" t="str">
        <f>IFERROR(__xludf.DUMMYFUNCTION("CONCATENATE(GOOGLETRANSLATE(B944, ""en"", ""ja""))"),"フラッシュセール")</f>
        <v>フラッシュセール</v>
      </c>
    </row>
    <row r="945" ht="15.75" customHeight="1">
      <c r="A945" s="1" t="s">
        <v>1832</v>
      </c>
      <c r="B945" s="1" t="s">
        <v>1833</v>
      </c>
      <c r="C945" s="1" t="str">
        <f>IFERROR(__xludf.DUMMYFUNCTION("CONCATENATE(GOOGLETRANSLATE(B945, ""en"", ""zh-cn""))"),"时事通讯")</f>
        <v>时事通讯</v>
      </c>
      <c r="D945" s="1" t="str">
        <f>IFERROR(__xludf.DUMMYFUNCTION("CONCATENATE(GOOGLETRANSLATE(B945, ""en"", ""ko""))"),"뉴스레터")</f>
        <v>뉴스레터</v>
      </c>
      <c r="E945" s="2" t="str">
        <f>IFERROR(__xludf.DUMMYFUNCTION("CONCATENATE(GOOGLETRANSLATE(B945, ""en"", ""ja""))"),"ニュースレター")</f>
        <v>ニュースレター</v>
      </c>
    </row>
    <row r="946" ht="15.75" customHeight="1">
      <c r="A946" s="1" t="s">
        <v>1834</v>
      </c>
      <c r="B946" s="1" t="s">
        <v>1835</v>
      </c>
      <c r="C946" s="1" t="str">
        <f>IFERROR(__xludf.DUMMYFUNCTION("CONCATENATE(GOOGLETRANSLATE(B946, ""en"", ""zh-cn""))"),"短信群发")</f>
        <v>短信群发</v>
      </c>
      <c r="D946" s="1" t="str">
        <f>IFERROR(__xludf.DUMMYFUNCTION("CONCATENATE(GOOGLETRANSLATE(B946, ""en"", ""ko""))"),"대량 SMS")</f>
        <v>대량 SMS</v>
      </c>
      <c r="E946" s="2" t="str">
        <f>IFERROR(__xludf.DUMMYFUNCTION("CONCATENATE(GOOGLETRANSLATE(B946, ""en"", ""ja""))"),"バルクSMS")</f>
        <v>バルクSMS</v>
      </c>
    </row>
    <row r="947" ht="15.75" customHeight="1">
      <c r="A947" s="1" t="s">
        <v>1836</v>
      </c>
      <c r="B947" s="1" t="s">
        <v>1837</v>
      </c>
      <c r="C947" s="1" t="str">
        <f>IFERROR(__xludf.DUMMYFUNCTION("CONCATENATE(GOOGLETRANSLATE(B947, ""en"", ""zh-cn""))"),"订阅者")</f>
        <v>订阅者</v>
      </c>
      <c r="D947" s="1" t="str">
        <f>IFERROR(__xludf.DUMMYFUNCTION("CONCATENATE(GOOGLETRANSLATE(B947, ""en"", ""ko""))"),"구독자")</f>
        <v>구독자</v>
      </c>
      <c r="E947" s="2" t="str">
        <f>IFERROR(__xludf.DUMMYFUNCTION("CONCATENATE(GOOGLETRANSLATE(B947, ""en"", ""ja""))"),"購読者")</f>
        <v>購読者</v>
      </c>
    </row>
    <row r="948" ht="15.75" customHeight="1">
      <c r="A948" s="1" t="s">
        <v>1838</v>
      </c>
      <c r="B948" s="1" t="s">
        <v>1839</v>
      </c>
      <c r="C948" s="1" t="str">
        <f>IFERROR(__xludf.DUMMYFUNCTION("CONCATENATE(GOOGLETRANSLATE(B948, ""en"", ""zh-cn""))"),"优惠券")</f>
        <v>优惠券</v>
      </c>
      <c r="D948" s="1" t="str">
        <f>IFERROR(__xludf.DUMMYFUNCTION("CONCATENATE(GOOGLETRANSLATE(B948, ""en"", ""ko""))"),"쿠폰")</f>
        <v>쿠폰</v>
      </c>
      <c r="E948" s="2" t="str">
        <f>IFERROR(__xludf.DUMMYFUNCTION("CONCATENATE(GOOGLETRANSLATE(B948, ""en"", ""ja""))"),"クーポン")</f>
        <v>クーポン</v>
      </c>
    </row>
    <row r="949" ht="15.75" customHeight="1">
      <c r="A949" s="1" t="s">
        <v>1840</v>
      </c>
      <c r="B949" s="1" t="s">
        <v>1841</v>
      </c>
      <c r="C949" s="1" t="str">
        <f>IFERROR(__xludf.DUMMYFUNCTION("CONCATENATE(GOOGLETRANSLATE(B949, ""en"", ""zh-cn""))"),"支持")</f>
        <v>支持</v>
      </c>
      <c r="D949" s="1" t="str">
        <f>IFERROR(__xludf.DUMMYFUNCTION("CONCATENATE(GOOGLETRANSLATE(B949, ""en"", ""ko""))"),"지원하다")</f>
        <v>지원하다</v>
      </c>
      <c r="E949" s="2" t="str">
        <f>IFERROR(__xludf.DUMMYFUNCTION("CONCATENATE(GOOGLETRANSLATE(B949, ""en"", ""ja""))"),"サポート")</f>
        <v>サポート</v>
      </c>
    </row>
    <row r="950" ht="15.75" customHeight="1">
      <c r="A950" s="1" t="s">
        <v>1842</v>
      </c>
      <c r="B950" s="1" t="s">
        <v>1843</v>
      </c>
      <c r="C950" s="1" t="str">
        <f>IFERROR(__xludf.DUMMYFUNCTION("CONCATENATE(GOOGLETRANSLATE(B950, ""en"", ""zh-cn""))"),"票")</f>
        <v>票</v>
      </c>
      <c r="D950" s="1" t="str">
        <f>IFERROR(__xludf.DUMMYFUNCTION("CONCATENATE(GOOGLETRANSLATE(B950, ""en"", ""ko""))"),"표")</f>
        <v>표</v>
      </c>
      <c r="E950" s="2" t="str">
        <f>IFERROR(__xludf.DUMMYFUNCTION("CONCATENATE(GOOGLETRANSLATE(B950, ""en"", ""ja""))"),"チケット")</f>
        <v>チケット</v>
      </c>
    </row>
    <row r="951" ht="15.75" customHeight="1">
      <c r="A951" s="1" t="s">
        <v>1844</v>
      </c>
      <c r="B951" s="1" t="s">
        <v>1845</v>
      </c>
      <c r="C951" s="1" t="str">
        <f>IFERROR(__xludf.DUMMYFUNCTION("CONCATENATE(GOOGLETRANSLATE(B951, ""en"", ""zh-cn""))"),"产品查询")</f>
        <v>产品查询</v>
      </c>
      <c r="D951" s="1" t="str">
        <f>IFERROR(__xludf.DUMMYFUNCTION("CONCATENATE(GOOGLETRANSLATE(B951, ""en"", ""ko""))"),"제품 문의")</f>
        <v>제품 문의</v>
      </c>
      <c r="E951" s="2" t="str">
        <f>IFERROR(__xludf.DUMMYFUNCTION("CONCATENATE(GOOGLETRANSLATE(B951, ""en"", ""ja""))"),"製品に関するお問い合わせ")</f>
        <v>製品に関するお問い合わせ</v>
      </c>
    </row>
    <row r="952" ht="15.75" customHeight="1">
      <c r="A952" s="1" t="s">
        <v>1846</v>
      </c>
      <c r="B952" s="1" t="s">
        <v>1847</v>
      </c>
      <c r="C952" s="1" t="str">
        <f>IFERROR(__xludf.DUMMYFUNCTION("CONCATENATE(GOOGLETRANSLATE(B952, ""en"", ""zh-cn""))"),"网站设置")</f>
        <v>网站设置</v>
      </c>
      <c r="D952" s="1" t="str">
        <f>IFERROR(__xludf.DUMMYFUNCTION("CONCATENATE(GOOGLETRANSLATE(B952, ""en"", ""ko""))"),"웹사이트 설정")</f>
        <v>웹사이트 설정</v>
      </c>
      <c r="E952" s="2" t="str">
        <f>IFERROR(__xludf.DUMMYFUNCTION("CONCATENATE(GOOGLETRANSLATE(B952, ""en"", ""ja""))"),"ウェブサイトのセットアップ")</f>
        <v>ウェブサイトのセットアップ</v>
      </c>
    </row>
    <row r="953" ht="15.75" customHeight="1">
      <c r="A953" s="1" t="s">
        <v>1848</v>
      </c>
      <c r="B953" s="1" t="s">
        <v>1849</v>
      </c>
      <c r="C953" s="1" t="str">
        <f>IFERROR(__xludf.DUMMYFUNCTION("CONCATENATE(GOOGLETRANSLATE(B953, ""en"", ""zh-cn""))"),"标头")</f>
        <v>标头</v>
      </c>
      <c r="D953" s="1" t="str">
        <f>IFERROR(__xludf.DUMMYFUNCTION("CONCATENATE(GOOGLETRANSLATE(B953, ""en"", ""ko""))"),"헤더")</f>
        <v>헤더</v>
      </c>
      <c r="E953" s="2" t="str">
        <f>IFERROR(__xludf.DUMMYFUNCTION("CONCATENATE(GOOGLETRANSLATE(B953, ""en"", ""ja""))"),"ヘッダ")</f>
        <v>ヘッダ</v>
      </c>
    </row>
    <row r="954" ht="15.75" customHeight="1">
      <c r="A954" s="1" t="s">
        <v>1850</v>
      </c>
      <c r="B954" s="1" t="s">
        <v>1851</v>
      </c>
      <c r="C954" s="1" t="str">
        <f>IFERROR(__xludf.DUMMYFUNCTION("CONCATENATE(GOOGLETRANSLATE(B954, ""en"", ""zh-cn""))"),"页脚")</f>
        <v>页脚</v>
      </c>
      <c r="D954" s="1" t="str">
        <f>IFERROR(__xludf.DUMMYFUNCTION("CONCATENATE(GOOGLETRANSLATE(B954, ""en"", ""ko""))"),"보행인")</f>
        <v>보행인</v>
      </c>
      <c r="E954" s="2" t="str">
        <f>IFERROR(__xludf.DUMMYFUNCTION("CONCATENATE(GOOGLETRANSLATE(B954, ""en"", ""ja""))"),"フッター")</f>
        <v>フッター</v>
      </c>
    </row>
    <row r="955" ht="15.75" customHeight="1">
      <c r="A955" s="1" t="s">
        <v>1852</v>
      </c>
      <c r="B955" s="1" t="s">
        <v>1853</v>
      </c>
      <c r="C955" s="1" t="str">
        <f>IFERROR(__xludf.DUMMYFUNCTION("CONCATENATE(GOOGLETRANSLATE(B955, ""en"", ""zh-cn""))"),"页数")</f>
        <v>页数</v>
      </c>
      <c r="D955" s="1" t="str">
        <f>IFERROR(__xludf.DUMMYFUNCTION("CONCATENATE(GOOGLETRANSLATE(B955, ""en"", ""ko""))"),"페이지")</f>
        <v>페이지</v>
      </c>
      <c r="E955" s="2" t="str">
        <f>IFERROR(__xludf.DUMMYFUNCTION("CONCATENATE(GOOGLETRANSLATE(B955, ""en"", ""ja""))"),"ページ")</f>
        <v>ページ</v>
      </c>
    </row>
    <row r="956" ht="15.75" customHeight="1">
      <c r="A956" s="1" t="s">
        <v>1854</v>
      </c>
      <c r="B956" s="1" t="s">
        <v>1855</v>
      </c>
      <c r="C956" s="1" t="str">
        <f>IFERROR(__xludf.DUMMYFUNCTION("CONCATENATE(GOOGLETRANSLATE(B956, ""en"", ""zh-cn""))"),"外貌")</f>
        <v>外貌</v>
      </c>
      <c r="D956" s="1" t="str">
        <f>IFERROR(__xludf.DUMMYFUNCTION("CONCATENATE(GOOGLETRANSLATE(B956, ""en"", ""ko""))"),"모습")</f>
        <v>모습</v>
      </c>
      <c r="E956" s="2" t="str">
        <f>IFERROR(__xludf.DUMMYFUNCTION("CONCATENATE(GOOGLETRANSLATE(B956, ""en"", ""ja""))"),"外観")</f>
        <v>外観</v>
      </c>
    </row>
    <row r="957" ht="15.75" customHeight="1">
      <c r="A957" s="1" t="s">
        <v>1856</v>
      </c>
      <c r="B957" s="1" t="s">
        <v>1857</v>
      </c>
      <c r="C957" s="1" t="str">
        <f>IFERROR(__xludf.DUMMYFUNCTION("CONCATENATE(GOOGLETRANSLATE(B957, ""en"", ""zh-cn""))"),"设置和配置")</f>
        <v>设置和配置</v>
      </c>
      <c r="D957" s="1" t="str">
        <f>IFERROR(__xludf.DUMMYFUNCTION("CONCATENATE(GOOGLETRANSLATE(B957, ""en"", ""ko""))"),"설정 및 구성")</f>
        <v>설정 및 구성</v>
      </c>
      <c r="E957" s="2" t="str">
        <f>IFERROR(__xludf.DUMMYFUNCTION("CONCATENATE(GOOGLETRANSLATE(B957, ""en"", ""ja""))"),"セットアップと構成")</f>
        <v>セットアップと構成</v>
      </c>
    </row>
    <row r="958" ht="15.75" customHeight="1">
      <c r="A958" s="1" t="s">
        <v>1858</v>
      </c>
      <c r="B958" s="1" t="s">
        <v>1859</v>
      </c>
      <c r="C958" s="1" t="str">
        <f>IFERROR(__xludf.DUMMYFUNCTION("CONCATENATE(GOOGLETRANSLATE(B958, ""en"", ""zh-cn""))"),"常规设置")</f>
        <v>常规设置</v>
      </c>
      <c r="D958" s="1" t="str">
        <f>IFERROR(__xludf.DUMMYFUNCTION("CONCATENATE(GOOGLETRANSLATE(B958, ""en"", ""ko""))"),"일반 설정")</f>
        <v>일반 설정</v>
      </c>
      <c r="E958" s="2" t="str">
        <f>IFERROR(__xludf.DUMMYFUNCTION("CONCATENATE(GOOGLETRANSLATE(B958, ""en"", ""ja""))"),"一般設定")</f>
        <v>一般設定</v>
      </c>
    </row>
    <row r="959" ht="15.75" customHeight="1">
      <c r="A959" s="1" t="s">
        <v>1860</v>
      </c>
      <c r="B959" s="1" t="s">
        <v>1861</v>
      </c>
      <c r="C959" s="1" t="str">
        <f>IFERROR(__xludf.DUMMYFUNCTION("CONCATENATE(GOOGLETRANSLATE(B959, ""en"", ""zh-cn""))"),"功能激活")</f>
        <v>功能激活</v>
      </c>
      <c r="D959" s="1" t="str">
        <f>IFERROR(__xludf.DUMMYFUNCTION("CONCATENATE(GOOGLETRANSLATE(B959, ""en"", ""ko""))"),"기능 활성화")</f>
        <v>기능 활성화</v>
      </c>
      <c r="E959" s="2" t="str">
        <f>IFERROR(__xludf.DUMMYFUNCTION("CONCATENATE(GOOGLETRANSLATE(B959, ""en"", ""ja""))"),"機能のアクティベーション")</f>
        <v>機能のアクティベーション</v>
      </c>
    </row>
    <row r="960" ht="15.75" customHeight="1">
      <c r="A960" s="1" t="s">
        <v>1862</v>
      </c>
      <c r="B960" s="1" t="s">
        <v>1863</v>
      </c>
      <c r="C960" s="1" t="str">
        <f>IFERROR(__xludf.DUMMYFUNCTION("CONCATENATE(GOOGLETRANSLATE(B960, ""en"", ""zh-cn""))"),"语言")</f>
        <v>语言</v>
      </c>
      <c r="D960" s="1" t="str">
        <f>IFERROR(__xludf.DUMMYFUNCTION("CONCATENATE(GOOGLETRANSLATE(B960, ""en"", ""ko""))"),"언어")</f>
        <v>언어</v>
      </c>
      <c r="E960" s="2" t="str">
        <f>IFERROR(__xludf.DUMMYFUNCTION("CONCATENATE(GOOGLETRANSLATE(B960, ""en"", ""ja""))"),"言語")</f>
        <v>言語</v>
      </c>
    </row>
    <row r="961" ht="15.75" customHeight="1">
      <c r="A961" s="1" t="s">
        <v>1864</v>
      </c>
      <c r="B961" s="1" t="s">
        <v>1865</v>
      </c>
      <c r="C961" s="1" t="str">
        <f>IFERROR(__xludf.DUMMYFUNCTION("CONCATENATE(GOOGLETRANSLATE(B961, ""en"", ""zh-cn""))"),"货币")</f>
        <v>货币</v>
      </c>
      <c r="D961" s="1" t="str">
        <f>IFERROR(__xludf.DUMMYFUNCTION("CONCATENATE(GOOGLETRANSLATE(B961, ""en"", ""ko""))"),"통화")</f>
        <v>통화</v>
      </c>
      <c r="E961" s="2" t="str">
        <f>IFERROR(__xludf.DUMMYFUNCTION("CONCATENATE(GOOGLETRANSLATE(B961, ""en"", ""ja""))"),"通貨")</f>
        <v>通貨</v>
      </c>
    </row>
    <row r="962" ht="15.75" customHeight="1">
      <c r="A962" s="1" t="s">
        <v>1866</v>
      </c>
      <c r="B962" s="1" t="s">
        <v>1867</v>
      </c>
      <c r="C962" s="1" t="str">
        <f>IFERROR(__xludf.DUMMYFUNCTION("CONCATENATE(GOOGLETRANSLATE(B962, ""en"", ""zh-cn""))"),"接送点")</f>
        <v>接送点</v>
      </c>
      <c r="D962" s="1" t="str">
        <f>IFERROR(__xludf.DUMMYFUNCTION("CONCATENATE(GOOGLETRANSLATE(B962, ""en"", ""ko""))"),"픽업 장소")</f>
        <v>픽업 장소</v>
      </c>
      <c r="E962" s="2" t="str">
        <f>IFERROR(__xludf.DUMMYFUNCTION("CONCATENATE(GOOGLETRANSLATE(B962, ""en"", ""ja""))"),"乗車場所")</f>
        <v>乗車場所</v>
      </c>
    </row>
    <row r="963" ht="15.75" customHeight="1">
      <c r="A963" s="1" t="s">
        <v>1868</v>
      </c>
      <c r="B963" s="1" t="s">
        <v>1869</v>
      </c>
      <c r="C963" s="1" t="str">
        <f>IFERROR(__xludf.DUMMYFUNCTION("CONCATENATE(GOOGLETRANSLATE(B963, ""en"", ""zh-cn""))"),"SMTP 设置")</f>
        <v>SMTP 设置</v>
      </c>
      <c r="D963" s="1" t="str">
        <f>IFERROR(__xludf.DUMMYFUNCTION("CONCATENATE(GOOGLETRANSLATE(B963, ""en"", ""ko""))"),"SMTP 설정")</f>
        <v>SMTP 설정</v>
      </c>
      <c r="E963" s="2" t="str">
        <f>IFERROR(__xludf.DUMMYFUNCTION("CONCATENATE(GOOGLETRANSLATE(B963, ""en"", ""ja""))"),"SMTP設定")</f>
        <v>SMTP設定</v>
      </c>
    </row>
    <row r="964" ht="15.75" customHeight="1">
      <c r="A964" s="1" t="s">
        <v>1870</v>
      </c>
      <c r="B964" s="1" t="s">
        <v>1871</v>
      </c>
      <c r="C964" s="1" t="str">
        <f>IFERROR(__xludf.DUMMYFUNCTION("CONCATENATE(GOOGLETRANSLATE(B964, ""en"", ""zh-cn""))"),"付款方式")</f>
        <v>付款方式</v>
      </c>
      <c r="D964" s="1" t="str">
        <f>IFERROR(__xludf.DUMMYFUNCTION("CONCATENATE(GOOGLETRANSLATE(B964, ""en"", ""ko""))"),"결제 방법")</f>
        <v>결제 방법</v>
      </c>
      <c r="E964" s="2" t="str">
        <f>IFERROR(__xludf.DUMMYFUNCTION("CONCATENATE(GOOGLETRANSLATE(B964, ""en"", ""ja""))"),"お支払い方法")</f>
        <v>お支払い方法</v>
      </c>
    </row>
    <row r="965" ht="15.75" customHeight="1">
      <c r="A965" s="1" t="s">
        <v>1872</v>
      </c>
      <c r="B965" s="1" t="s">
        <v>1873</v>
      </c>
      <c r="C965" s="1" t="str">
        <f>IFERROR(__xludf.DUMMYFUNCTION("CONCATENATE(GOOGLETRANSLATE(B965, ""en"", ""zh-cn""))"),"文件系统配置")</f>
        <v>文件系统配置</v>
      </c>
      <c r="D965" s="1" t="str">
        <f>IFERROR(__xludf.DUMMYFUNCTION("CONCATENATE(GOOGLETRANSLATE(B965, ""en"", ""ko""))"),"파일 시스템 구성")</f>
        <v>파일 시스템 구성</v>
      </c>
      <c r="E965" s="2" t="str">
        <f>IFERROR(__xludf.DUMMYFUNCTION("CONCATENATE(GOOGLETRANSLATE(B965, ""en"", ""ja""))"),"ファイルシステム構成")</f>
        <v>ファイルシステム構成</v>
      </c>
    </row>
    <row r="966" ht="15.75" customHeight="1">
      <c r="A966" s="1" t="s">
        <v>1874</v>
      </c>
      <c r="B966" s="1" t="s">
        <v>1875</v>
      </c>
      <c r="C966" s="1" t="str">
        <f>IFERROR(__xludf.DUMMYFUNCTION("CONCATENATE(GOOGLETRANSLATE(B966, ""en"", ""zh-cn""))"),"社交媒体登录")</f>
        <v>社交媒体登录</v>
      </c>
      <c r="D966" s="1" t="str">
        <f>IFERROR(__xludf.DUMMYFUNCTION("CONCATENATE(GOOGLETRANSLATE(B966, ""en"", ""ko""))"),"소셜 미디어 로그인")</f>
        <v>소셜 미디어 로그인</v>
      </c>
      <c r="E966" s="2" t="str">
        <f>IFERROR(__xludf.DUMMYFUNCTION("CONCATENATE(GOOGLETRANSLATE(B966, ""en"", ""ja""))"),"ソーシャルメディアログイン")</f>
        <v>ソーシャルメディアログイン</v>
      </c>
    </row>
    <row r="967" ht="15.75" customHeight="1">
      <c r="A967" s="1" t="s">
        <v>1876</v>
      </c>
      <c r="B967" s="1" t="s">
        <v>1877</v>
      </c>
      <c r="C967" s="1" t="str">
        <f>IFERROR(__xludf.DUMMYFUNCTION("CONCATENATE(GOOGLETRANSLATE(B967, ""en"", ""zh-cn""))"),"分析工具")</f>
        <v>分析工具</v>
      </c>
      <c r="D967" s="1" t="str">
        <f>IFERROR(__xludf.DUMMYFUNCTION("CONCATENATE(GOOGLETRANSLATE(B967, ""en"", ""ko""))"),"분석 도구")</f>
        <v>분석 도구</v>
      </c>
      <c r="E967" s="2" t="str">
        <f>IFERROR(__xludf.DUMMYFUNCTION("CONCATENATE(GOOGLETRANSLATE(B967, ""en"", ""ja""))"),"分析ツール")</f>
        <v>分析ツール</v>
      </c>
    </row>
    <row r="968" ht="15.75" customHeight="1">
      <c r="A968" s="1" t="s">
        <v>1878</v>
      </c>
      <c r="B968" s="1" t="s">
        <v>1879</v>
      </c>
      <c r="C968" s="1" t="str">
        <f>IFERROR(__xludf.DUMMYFUNCTION("CONCATENATE(GOOGLETRANSLATE(B968, ""en"", ""zh-cn""))"),"脸书聊天")</f>
        <v>脸书聊天</v>
      </c>
      <c r="D968" s="1" t="str">
        <f>IFERROR(__xludf.DUMMYFUNCTION("CONCATENATE(GOOGLETRANSLATE(B968, ""en"", ""ko""))"),"페이스북 채팅")</f>
        <v>페이스북 채팅</v>
      </c>
      <c r="E968" s="2" t="str">
        <f>IFERROR(__xludf.DUMMYFUNCTION("CONCATENATE(GOOGLETRANSLATE(B968, ""en"", ""ja""))"),"Facebookチャット")</f>
        <v>Facebookチャット</v>
      </c>
    </row>
    <row r="969" ht="15.75" customHeight="1">
      <c r="A969" s="1" t="s">
        <v>1880</v>
      </c>
      <c r="B969" s="1" t="s">
        <v>1881</v>
      </c>
      <c r="C969" s="1" t="str">
        <f>IFERROR(__xludf.DUMMYFUNCTION("CONCATENATE(GOOGLETRANSLATE(B969, ""en"", ""zh-cn""))"),"谷歌验证码")</f>
        <v>谷歌验证码</v>
      </c>
      <c r="D969" s="1" t="str">
        <f>IFERROR(__xludf.DUMMYFUNCTION("CONCATENATE(GOOGLETRANSLATE(B969, ""en"", ""ko""))"),"구글 리캡차")</f>
        <v>구글 리캡차</v>
      </c>
      <c r="E969" s="2" t="str">
        <f>IFERROR(__xludf.DUMMYFUNCTION("CONCATENATE(GOOGLETRANSLATE(B969, ""en"", ""ja""))"),"Google reCAPTCHA")</f>
        <v>Google reCAPTCHA</v>
      </c>
    </row>
    <row r="970" ht="15.75" customHeight="1">
      <c r="A970" s="1" t="s">
        <v>1882</v>
      </c>
      <c r="B970" s="1" t="s">
        <v>1883</v>
      </c>
      <c r="C970" s="1" t="str">
        <f>IFERROR(__xludf.DUMMYFUNCTION("CONCATENATE(GOOGLETRANSLATE(B970, ""en"", ""zh-cn""))"),"运输配置")</f>
        <v>运输配置</v>
      </c>
      <c r="D970" s="1" t="str">
        <f>IFERROR(__xludf.DUMMYFUNCTION("CONCATENATE(GOOGLETRANSLATE(B970, ""en"", ""ko""))"),"배송 구성")</f>
        <v>배송 구성</v>
      </c>
      <c r="E970" s="2" t="str">
        <f>IFERROR(__xludf.DUMMYFUNCTION("CONCATENATE(GOOGLETRANSLATE(B970, ""en"", ""ja""))"),"出荷時の構成")</f>
        <v>出荷時の構成</v>
      </c>
    </row>
    <row r="971" ht="15.75" customHeight="1">
      <c r="A971" s="1" t="s">
        <v>1884</v>
      </c>
      <c r="B971" s="1" t="s">
        <v>1885</v>
      </c>
      <c r="C971" s="1" t="str">
        <f>IFERROR(__xludf.DUMMYFUNCTION("CONCATENATE(GOOGLETRANSLATE(B971, ""en"", ""zh-cn""))"),"发货国家")</f>
        <v>发货国家</v>
      </c>
      <c r="D971" s="1" t="str">
        <f>IFERROR(__xludf.DUMMYFUNCTION("CONCATENATE(GOOGLETRANSLATE(B971, ""en"", ""ko""))"),"배송 국가")</f>
        <v>배송 국가</v>
      </c>
      <c r="E971" s="2" t="str">
        <f>IFERROR(__xludf.DUMMYFUNCTION("CONCATENATE(GOOGLETRANSLATE(B971, ""en"", ""ja""))"),"配送国")</f>
        <v>配送国</v>
      </c>
    </row>
    <row r="972" ht="15.75" customHeight="1">
      <c r="A972" s="1" t="s">
        <v>1886</v>
      </c>
      <c r="B972" s="1" t="s">
        <v>1887</v>
      </c>
      <c r="C972" s="1" t="str">
        <f>IFERROR(__xludf.DUMMYFUNCTION("CONCATENATE(GOOGLETRANSLATE(B972, ""en"", ""zh-cn""))"),"联盟系统")</f>
        <v>联盟系统</v>
      </c>
      <c r="D972" s="1" t="str">
        <f>IFERROR(__xludf.DUMMYFUNCTION("CONCATENATE(GOOGLETRANSLATE(B972, ""en"", ""ko""))"),"제휴 시스템")</f>
        <v>제휴 시스템</v>
      </c>
      <c r="E972" s="2" t="str">
        <f>IFERROR(__xludf.DUMMYFUNCTION("CONCATENATE(GOOGLETRANSLATE(B972, ""en"", ""ja""))"),"アフィリエイト制度")</f>
        <v>アフィリエイト制度</v>
      </c>
    </row>
    <row r="973" ht="15.75" customHeight="1">
      <c r="A973" s="1" t="s">
        <v>1888</v>
      </c>
      <c r="B973" s="1" t="s">
        <v>1889</v>
      </c>
      <c r="C973" s="1" t="str">
        <f>IFERROR(__xludf.DUMMYFUNCTION("CONCATENATE(GOOGLETRANSLATE(B973, ""en"", ""zh-cn""))"),"附属机构登记表")</f>
        <v>附属机构登记表</v>
      </c>
      <c r="D973" s="1" t="str">
        <f>IFERROR(__xludf.DUMMYFUNCTION("CONCATENATE(GOOGLETRANSLATE(B973, ""en"", ""ko""))"),"제휴 등록 양식")</f>
        <v>제휴 등록 양식</v>
      </c>
      <c r="E973" s="2" t="str">
        <f>IFERROR(__xludf.DUMMYFUNCTION("CONCATENATE(GOOGLETRANSLATE(B973, ""en"", ""ja""))"),"アフィリエイト登録フォーム")</f>
        <v>アフィリエイト登録フォーム</v>
      </c>
    </row>
    <row r="974" ht="15.75" customHeight="1">
      <c r="A974" s="1" t="s">
        <v>1890</v>
      </c>
      <c r="B974" s="1" t="s">
        <v>1891</v>
      </c>
      <c r="C974" s="1" t="str">
        <f>IFERROR(__xludf.DUMMYFUNCTION("CONCATENATE(GOOGLETRANSLATE(B974, ""en"", ""zh-cn""))"),"附属配置")</f>
        <v>附属配置</v>
      </c>
      <c r="D974" s="1" t="str">
        <f>IFERROR(__xludf.DUMMYFUNCTION("CONCATENATE(GOOGLETRANSLATE(B974, ""en"", ""ko""))"),"제휴 구성")</f>
        <v>제휴 구성</v>
      </c>
      <c r="E974" s="2" t="str">
        <f>IFERROR(__xludf.DUMMYFUNCTION("CONCATENATE(GOOGLETRANSLATE(B974, ""en"", ""ja""))"),"アフィリエイトの構成")</f>
        <v>アフィリエイトの構成</v>
      </c>
    </row>
    <row r="975" ht="15.75" customHeight="1">
      <c r="A975" s="1" t="s">
        <v>1892</v>
      </c>
      <c r="B975" s="1" t="s">
        <v>1893</v>
      </c>
      <c r="C975" s="1" t="str">
        <f>IFERROR(__xludf.DUMMYFUNCTION("CONCATENATE(GOOGLETRANSLATE(B975, ""en"", ""zh-cn""))"),"联属用户")</f>
        <v>联属用户</v>
      </c>
      <c r="D975" s="1" t="str">
        <f>IFERROR(__xludf.DUMMYFUNCTION("CONCATENATE(GOOGLETRANSLATE(B975, ""en"", ""ko""))"),"제휴 사용자")</f>
        <v>제휴 사용자</v>
      </c>
      <c r="E975" s="2" t="str">
        <f>IFERROR(__xludf.DUMMYFUNCTION("CONCATENATE(GOOGLETRANSLATE(B975, ""en"", ""ja""))"),"アフィリエイトユーザー")</f>
        <v>アフィリエイトユーザー</v>
      </c>
    </row>
    <row r="976" ht="15.75" customHeight="1">
      <c r="A976" s="1" t="s">
        <v>1894</v>
      </c>
      <c r="B976" s="1" t="s">
        <v>1895</v>
      </c>
      <c r="C976" s="1" t="str">
        <f>IFERROR(__xludf.DUMMYFUNCTION("CONCATENATE(GOOGLETRANSLATE(B976, ""en"", ""zh-cn""))"),"推荐用户")</f>
        <v>推荐用户</v>
      </c>
      <c r="D976" s="1" t="str">
        <f>IFERROR(__xludf.DUMMYFUNCTION("CONCATENATE(GOOGLETRANSLATE(B976, ""en"", ""ko""))"),"추천 사용자")</f>
        <v>추천 사용자</v>
      </c>
      <c r="E976" s="2" t="str">
        <f>IFERROR(__xludf.DUMMYFUNCTION("CONCATENATE(GOOGLETRANSLATE(B976, ""en"", ""ja""))"),"紹介ユーザー")</f>
        <v>紹介ユーザー</v>
      </c>
    </row>
    <row r="977" ht="15.75" customHeight="1">
      <c r="A977" s="1" t="s">
        <v>1896</v>
      </c>
      <c r="B977" s="1" t="s">
        <v>1897</v>
      </c>
      <c r="C977" s="1" t="str">
        <f>IFERROR(__xludf.DUMMYFUNCTION("CONCATENATE(GOOGLETRANSLATE(B977, ""en"", ""zh-cn""))"),"联属网络营销提款请求")</f>
        <v>联属网络营销提款请求</v>
      </c>
      <c r="D977" s="1" t="str">
        <f>IFERROR(__xludf.DUMMYFUNCTION("CONCATENATE(GOOGLETRANSLATE(B977, ""en"", ""ko""))"),"제휴 탈퇴 요청")</f>
        <v>제휴 탈퇴 요청</v>
      </c>
      <c r="E977" s="2" t="str">
        <f>IFERROR(__xludf.DUMMYFUNCTION("CONCATENATE(GOOGLETRANSLATE(B977, ""en"", ""ja""))"),"アフィリエイトの撤退リクエスト")</f>
        <v>アフィリエイトの撤退リクエスト</v>
      </c>
    </row>
    <row r="978" ht="15.75" customHeight="1">
      <c r="A978" s="1" t="s">
        <v>1898</v>
      </c>
      <c r="B978" s="1" t="s">
        <v>1899</v>
      </c>
      <c r="C978" s="1" t="str">
        <f>IFERROR(__xludf.DUMMYFUNCTION("CONCATENATE(GOOGLETRANSLATE(B978, ""en"", ""zh-cn""))"),"离线支付系统")</f>
        <v>离线支付系统</v>
      </c>
      <c r="D978" s="1" t="str">
        <f>IFERROR(__xludf.DUMMYFUNCTION("CONCATENATE(GOOGLETRANSLATE(B978, ""en"", ""ko""))"),"오프라인 결제 시스템")</f>
        <v>오프라인 결제 시스템</v>
      </c>
      <c r="E978" s="2" t="str">
        <f>IFERROR(__xludf.DUMMYFUNCTION("CONCATENATE(GOOGLETRANSLATE(B978, ""en"", ""ja""))"),"オフライン決済システム")</f>
        <v>オフライン決済システム</v>
      </c>
    </row>
    <row r="979" ht="15.75" customHeight="1">
      <c r="A979" s="1" t="s">
        <v>1900</v>
      </c>
      <c r="B979" s="1" t="s">
        <v>1901</v>
      </c>
      <c r="C979" s="1" t="str">
        <f>IFERROR(__xludf.DUMMYFUNCTION("CONCATENATE(GOOGLETRANSLATE(B979, ""en"", ""zh-cn""))"),"手动付款方式")</f>
        <v>手动付款方式</v>
      </c>
      <c r="D979" s="1" t="str">
        <f>IFERROR(__xludf.DUMMYFUNCTION("CONCATENATE(GOOGLETRANSLATE(B979, ""en"", ""ko""))"),"수동 결제 방법")</f>
        <v>수동 결제 방법</v>
      </c>
      <c r="E979" s="2" t="str">
        <f>IFERROR(__xludf.DUMMYFUNCTION("CONCATENATE(GOOGLETRANSLATE(B979, ""en"", ""ja""))"),"手動支払い方法")</f>
        <v>手動支払い方法</v>
      </c>
    </row>
    <row r="980" ht="15.75" customHeight="1">
      <c r="A980" s="1" t="s">
        <v>1902</v>
      </c>
      <c r="B980" s="1" t="s">
        <v>1903</v>
      </c>
      <c r="C980" s="1" t="str">
        <f>IFERROR(__xludf.DUMMYFUNCTION("CONCATENATE(GOOGLETRANSLATE(B980, ""en"", ""zh-cn""))"),"离线钱包充值")</f>
        <v>离线钱包充值</v>
      </c>
      <c r="D980" s="1" t="str">
        <f>IFERROR(__xludf.DUMMYFUNCTION("CONCATENATE(GOOGLETRANSLATE(B980, ""en"", ""ko""))"),"오프라인 지갑 충전")</f>
        <v>오프라인 지갑 충전</v>
      </c>
      <c r="E980" s="2" t="str">
        <f>IFERROR(__xludf.DUMMYFUNCTION("CONCATENATE(GOOGLETRANSLATE(B980, ""en"", ""ja""))"),"オフラインウォレットリチャージ")</f>
        <v>オフラインウォレットリチャージ</v>
      </c>
    </row>
    <row r="981" ht="15.75" customHeight="1">
      <c r="A981" s="1" t="s">
        <v>1904</v>
      </c>
      <c r="B981" s="1" t="s">
        <v>1905</v>
      </c>
      <c r="C981" s="1" t="str">
        <f>IFERROR(__xludf.DUMMYFUNCTION("CONCATENATE(GOOGLETRANSLATE(B981, ""en"", ""zh-cn""))"),"线下客户套餐支付")</f>
        <v>线下客户套餐支付</v>
      </c>
      <c r="D981" s="1" t="str">
        <f>IFERROR(__xludf.DUMMYFUNCTION("CONCATENATE(GOOGLETRANSLATE(B981, ""en"", ""ko""))"),"오프라인 고객 패키지 결제")</f>
        <v>오프라인 고객 패키지 결제</v>
      </c>
      <c r="E981" s="2" t="str">
        <f>IFERROR(__xludf.DUMMYFUNCTION("CONCATENATE(GOOGLETRANSLATE(B981, ""en"", ""ja""))"),"オフラインでの顧客パッケージの支払い")</f>
        <v>オフラインでの顧客パッケージの支払い</v>
      </c>
    </row>
    <row r="982" ht="15.75" customHeight="1">
      <c r="A982" s="1" t="s">
        <v>1906</v>
      </c>
      <c r="B982" s="1" t="s">
        <v>1907</v>
      </c>
      <c r="C982" s="1" t="str">
        <f>IFERROR(__xludf.DUMMYFUNCTION("CONCATENATE(GOOGLETRANSLATE(B982, ""en"", ""zh-cn""))"),"线下卖家套餐付款")</f>
        <v>线下卖家套餐付款</v>
      </c>
      <c r="D982" s="1" t="str">
        <f>IFERROR(__xludf.DUMMYFUNCTION("CONCATENATE(GOOGLETRANSLATE(B982, ""en"", ""ko""))"),"오프라인 판매자 패키지 결제")</f>
        <v>오프라인 판매자 패키지 결제</v>
      </c>
      <c r="E982" s="2" t="str">
        <f>IFERROR(__xludf.DUMMYFUNCTION("CONCATENATE(GOOGLETRANSLATE(B982, ""en"", ""ja""))"),"オフライン販売者パッケージ支払い")</f>
        <v>オフライン販売者パッケージ支払い</v>
      </c>
    </row>
    <row r="983" ht="15.75" customHeight="1">
      <c r="A983" s="1" t="s">
        <v>1908</v>
      </c>
      <c r="B983" s="1" t="s">
        <v>1909</v>
      </c>
      <c r="C983" s="1" t="str">
        <f>IFERROR(__xludf.DUMMYFUNCTION("CONCATENATE(GOOGLETRANSLATE(B983, ""en"", ""zh-cn""))"),"Paytm支付网关")</f>
        <v>Paytm支付网关</v>
      </c>
      <c r="D983" s="1" t="str">
        <f>IFERROR(__xludf.DUMMYFUNCTION("CONCATENATE(GOOGLETRANSLATE(B983, ""en"", ""ko""))"),"Paytm 결제 게이트웨이")</f>
        <v>Paytm 결제 게이트웨이</v>
      </c>
      <c r="E983" s="2" t="str">
        <f>IFERROR(__xludf.DUMMYFUNCTION("CONCATENATE(GOOGLETRANSLATE(B983, ""en"", ""ja""))"),"Paytm ペイメント ゲートウェイ")</f>
        <v>Paytm ペイメント ゲートウェイ</v>
      </c>
    </row>
    <row r="984" ht="15.75" customHeight="1">
      <c r="A984" s="1" t="s">
        <v>1910</v>
      </c>
      <c r="B984" s="1" t="s">
        <v>1911</v>
      </c>
      <c r="C984" s="1" t="str">
        <f>IFERROR(__xludf.DUMMYFUNCTION("CONCATENATE(GOOGLETRANSLATE(B984, ""en"", ""zh-cn""))"),"设置 Paytm 凭证")</f>
        <v>设置 Paytm 凭证</v>
      </c>
      <c r="D984" s="1" t="str">
        <f>IFERROR(__xludf.DUMMYFUNCTION("CONCATENATE(GOOGLETRANSLATE(B984, ""en"", ""ko""))"),"Paytm 자격 증명 설정")</f>
        <v>Paytm 자격 증명 설정</v>
      </c>
      <c r="E984" s="2" t="str">
        <f>IFERROR(__xludf.DUMMYFUNCTION("CONCATENATE(GOOGLETRANSLATE(B984, ""en"", ""ja""))"),"Paytm 認証情報の設定")</f>
        <v>Paytm 認証情報の設定</v>
      </c>
    </row>
    <row r="985" ht="15.75" customHeight="1">
      <c r="A985" s="1" t="s">
        <v>1912</v>
      </c>
      <c r="B985" s="1" t="s">
        <v>1913</v>
      </c>
      <c r="C985" s="1" t="str">
        <f>IFERROR(__xludf.DUMMYFUNCTION("CONCATENATE(GOOGLETRANSLATE(B985, ""en"", ""zh-cn""))"),"会籍积分制度")</f>
        <v>会籍积分制度</v>
      </c>
      <c r="D985" s="1" t="str">
        <f>IFERROR(__xludf.DUMMYFUNCTION("CONCATENATE(GOOGLETRANSLATE(B985, ""en"", ""ko""))"),"클럽 포인트 시스템")</f>
        <v>클럽 포인트 시스템</v>
      </c>
      <c r="E985" s="2" t="str">
        <f>IFERROR(__xludf.DUMMYFUNCTION("CONCATENATE(GOOGLETRANSLATE(B985, ""en"", ""ja""))"),"クラブポイント制度")</f>
        <v>クラブポイント制度</v>
      </c>
    </row>
    <row r="986" ht="15.75" customHeight="1">
      <c r="A986" s="1" t="s">
        <v>1914</v>
      </c>
      <c r="B986" s="1" t="s">
        <v>1915</v>
      </c>
      <c r="C986" s="1" t="str">
        <f>IFERROR(__xludf.DUMMYFUNCTION("CONCATENATE(GOOGLETRANSLATE(B986, ""en"", ""zh-cn""))"),"俱乐部积分配置")</f>
        <v>俱乐部积分配置</v>
      </c>
      <c r="D986" s="1" t="str">
        <f>IFERROR(__xludf.DUMMYFUNCTION("CONCATENATE(GOOGLETRANSLATE(B986, ""en"", ""ko""))"),"클럽 포인트 구성")</f>
        <v>클럽 포인트 구성</v>
      </c>
      <c r="E986" s="2" t="str">
        <f>IFERROR(__xludf.DUMMYFUNCTION("CONCATENATE(GOOGLETRANSLATE(B986, ""en"", ""ja""))"),"クラブポイントの構成")</f>
        <v>クラブポイントの構成</v>
      </c>
    </row>
    <row r="987" ht="15.75" customHeight="1">
      <c r="A987" s="1" t="s">
        <v>1916</v>
      </c>
      <c r="B987" s="1" t="s">
        <v>1917</v>
      </c>
      <c r="C987" s="1" t="str">
        <f>IFERROR(__xludf.DUMMYFUNCTION("CONCATENATE(GOOGLETRANSLATE(B987, ""en"", ""zh-cn""))"),"设置产品点")</f>
        <v>设置产品点</v>
      </c>
      <c r="D987" s="1" t="str">
        <f>IFERROR(__xludf.DUMMYFUNCTION("CONCATENATE(GOOGLETRANSLATE(B987, ""en"", ""ko""))"),"제품 포인트 설정")</f>
        <v>제품 포인트 설정</v>
      </c>
      <c r="E987" s="2" t="str">
        <f>IFERROR(__xludf.DUMMYFUNCTION("CONCATENATE(GOOGLETRANSLATE(B987, ""en"", ""ja""))"),"製品ポイントの設定")</f>
        <v>製品ポイントの設定</v>
      </c>
    </row>
    <row r="988" ht="15.75" customHeight="1">
      <c r="A988" s="1" t="s">
        <v>1918</v>
      </c>
      <c r="B988" s="1" t="s">
        <v>1919</v>
      </c>
      <c r="C988" s="1" t="str">
        <f>IFERROR(__xludf.DUMMYFUNCTION("CONCATENATE(GOOGLETRANSLATE(B988, ""en"", ""zh-cn""))"),"用户积分")</f>
        <v>用户积分</v>
      </c>
      <c r="D988" s="1" t="str">
        <f>IFERROR(__xludf.DUMMYFUNCTION("CONCATENATE(GOOGLETRANSLATE(B988, ""en"", ""ko""))"),"사용자 포인트")</f>
        <v>사용자 포인트</v>
      </c>
      <c r="E988" s="2" t="str">
        <f>IFERROR(__xludf.DUMMYFUNCTION("CONCATENATE(GOOGLETRANSLATE(B988, ""en"", ""ja""))"),"ユーザーポイント")</f>
        <v>ユーザーポイント</v>
      </c>
    </row>
    <row r="989" ht="15.75" customHeight="1">
      <c r="A989" s="1" t="s">
        <v>1920</v>
      </c>
      <c r="B989" s="1" t="s">
        <v>1921</v>
      </c>
      <c r="C989" s="1" t="str">
        <f>IFERROR(__xludf.DUMMYFUNCTION("CONCATENATE(GOOGLETRANSLATE(B989, ""en"", ""zh-cn""))"),"一次性密码系统")</f>
        <v>一次性密码系统</v>
      </c>
      <c r="D989" s="1" t="str">
        <f>IFERROR(__xludf.DUMMYFUNCTION("CONCATENATE(GOOGLETRANSLATE(B989, ""en"", ""ko""))"),"OTP 시스템")</f>
        <v>OTP 시스템</v>
      </c>
      <c r="E989" s="2" t="str">
        <f>IFERROR(__xludf.DUMMYFUNCTION("CONCATENATE(GOOGLETRANSLATE(B989, ""en"", ""ja""))"),"OTPシステム")</f>
        <v>OTPシステム</v>
      </c>
    </row>
    <row r="990" ht="15.75" customHeight="1">
      <c r="A990" s="1" t="s">
        <v>1922</v>
      </c>
      <c r="B990" s="1" t="s">
        <v>1923</v>
      </c>
      <c r="C990" s="1" t="str">
        <f>IFERROR(__xludf.DUMMYFUNCTION("CONCATENATE(GOOGLETRANSLATE(B990, ""en"", ""zh-cn""))"),"一次性密码配置")</f>
        <v>一次性密码配置</v>
      </c>
      <c r="D990" s="1" t="str">
        <f>IFERROR(__xludf.DUMMYFUNCTION("CONCATENATE(GOOGLETRANSLATE(B990, ""en"", ""ko""))"),"OTP 구성")</f>
        <v>OTP 구성</v>
      </c>
      <c r="E990" s="2" t="str">
        <f>IFERROR(__xludf.DUMMYFUNCTION("CONCATENATE(GOOGLETRANSLATE(B990, ""en"", ""ja""))"),"OTP 構成")</f>
        <v>OTP 構成</v>
      </c>
    </row>
    <row r="991" ht="15.75" customHeight="1">
      <c r="A991" s="1" t="s">
        <v>1924</v>
      </c>
      <c r="B991" s="1" t="s">
        <v>1925</v>
      </c>
      <c r="C991" s="1" t="str">
        <f>IFERROR(__xludf.DUMMYFUNCTION("CONCATENATE(GOOGLETRANSLATE(B991, ""en"", ""zh-cn""))"),"设置 OTP 凭据")</f>
        <v>设置 OTP 凭据</v>
      </c>
      <c r="D991" s="1" t="str">
        <f>IFERROR(__xludf.DUMMYFUNCTION("CONCATENATE(GOOGLETRANSLATE(B991, ""en"", ""ko""))"),"OTP 자격 증명 설정")</f>
        <v>OTP 자격 증명 설정</v>
      </c>
      <c r="E991" s="2" t="str">
        <f>IFERROR(__xludf.DUMMYFUNCTION("CONCATENATE(GOOGLETRANSLATE(B991, ""en"", ""ja""))"),"OTP認証情報の設定")</f>
        <v>OTP認証情報の設定</v>
      </c>
    </row>
    <row r="992" ht="15.75" customHeight="1">
      <c r="A992" s="1" t="s">
        <v>1926</v>
      </c>
      <c r="B992" s="1" t="s">
        <v>1927</v>
      </c>
      <c r="C992" s="1" t="str">
        <f>IFERROR(__xludf.DUMMYFUNCTION("CONCATENATE(GOOGLETRANSLATE(B992, ""en"", ""zh-cn""))"),"员工")</f>
        <v>员工</v>
      </c>
      <c r="D992" s="1" t="str">
        <f>IFERROR(__xludf.DUMMYFUNCTION("CONCATENATE(GOOGLETRANSLATE(B992, ""en"", ""ko""))"),"직원")</f>
        <v>직원</v>
      </c>
      <c r="E992" s="2" t="str">
        <f>IFERROR(__xludf.DUMMYFUNCTION("CONCATENATE(GOOGLETRANSLATE(B992, ""en"", ""ja""))"),"スタッフ")</f>
        <v>スタッフ</v>
      </c>
    </row>
    <row r="993" ht="15.75" customHeight="1">
      <c r="A993" s="1" t="s">
        <v>1928</v>
      </c>
      <c r="B993" s="1" t="s">
        <v>1929</v>
      </c>
      <c r="C993" s="1" t="str">
        <f>IFERROR(__xludf.DUMMYFUNCTION("CONCATENATE(GOOGLETRANSLATE(B993, ""en"", ""zh-cn""))"),"全体员工")</f>
        <v>全体员工</v>
      </c>
      <c r="D993" s="1" t="str">
        <f>IFERROR(__xludf.DUMMYFUNCTION("CONCATENATE(GOOGLETRANSLATE(B993, ""en"", ""ko""))"),"전 직원")</f>
        <v>전 직원</v>
      </c>
      <c r="E993" s="2" t="str">
        <f>IFERROR(__xludf.DUMMYFUNCTION("CONCATENATE(GOOGLETRANSLATE(B993, ""en"", ""ja""))"),"スタッフ全員")</f>
        <v>スタッフ全員</v>
      </c>
    </row>
    <row r="994" ht="15.75" customHeight="1">
      <c r="A994" s="1" t="s">
        <v>1930</v>
      </c>
      <c r="B994" s="1" t="s">
        <v>1931</v>
      </c>
      <c r="C994" s="1" t="str">
        <f>IFERROR(__xludf.DUMMYFUNCTION("CONCATENATE(GOOGLETRANSLATE(B994, ""en"", ""zh-cn""))"),"员工权限")</f>
        <v>员工权限</v>
      </c>
      <c r="D994" s="1" t="str">
        <f>IFERROR(__xludf.DUMMYFUNCTION("CONCATENATE(GOOGLETRANSLATE(B994, ""en"", ""ko""))"),"직원 권한")</f>
        <v>직원 권한</v>
      </c>
      <c r="E994" s="2" t="str">
        <f>IFERROR(__xludf.DUMMYFUNCTION("CONCATENATE(GOOGLETRANSLATE(B994, ""en"", ""ja""))"),"スタッフの許可")</f>
        <v>スタッフの許可</v>
      </c>
    </row>
    <row r="995" ht="15.75" customHeight="1">
      <c r="A995" s="1" t="s">
        <v>1932</v>
      </c>
      <c r="B995" s="1" t="s">
        <v>1933</v>
      </c>
      <c r="C995" s="1" t="str">
        <f>IFERROR(__xludf.DUMMYFUNCTION("CONCATENATE(GOOGLETRANSLATE(B995, ""en"", ""zh-cn""))"),"插件管理器")</f>
        <v>插件管理器</v>
      </c>
      <c r="D995" s="1" t="str">
        <f>IFERROR(__xludf.DUMMYFUNCTION("CONCATENATE(GOOGLETRANSLATE(B995, ""en"", ""ko""))"),"애드온 관리자")</f>
        <v>애드온 관리자</v>
      </c>
      <c r="E995" s="2" t="str">
        <f>IFERROR(__xludf.DUMMYFUNCTION("CONCATENATE(GOOGLETRANSLATE(B995, ""en"", ""ja""))"),"アドオンマネージャー")</f>
        <v>アドオンマネージャー</v>
      </c>
    </row>
    <row r="996" ht="15.75" customHeight="1">
      <c r="A996" s="1" t="s">
        <v>1934</v>
      </c>
      <c r="B996" s="1" t="s">
        <v>1935</v>
      </c>
      <c r="C996" s="1" t="str">
        <f>IFERROR(__xludf.DUMMYFUNCTION("CONCATENATE(GOOGLETRANSLATE(B996, ""en"", ""zh-cn""))"),"浏览网站")</f>
        <v>浏览网站</v>
      </c>
      <c r="D996" s="1" t="str">
        <f>IFERROR(__xludf.DUMMYFUNCTION("CONCATENATE(GOOGLETRANSLATE(B996, ""en"", ""ko""))"),"웹사이트 찾아보기")</f>
        <v>웹사이트 찾아보기</v>
      </c>
      <c r="E996" s="2" t="str">
        <f>IFERROR(__xludf.DUMMYFUNCTION("CONCATENATE(GOOGLETRANSLATE(B996, ""en"", ""ja""))"),"ウェブサイトを閲覧する")</f>
        <v>ウェブサイトを閲覧する</v>
      </c>
    </row>
    <row r="997" ht="15.75" customHeight="1">
      <c r="A997" s="1" t="s">
        <v>1936</v>
      </c>
      <c r="B997" s="1" t="s">
        <v>1937</v>
      </c>
      <c r="C997" s="1" t="str">
        <f>IFERROR(__xludf.DUMMYFUNCTION("CONCATENATE(GOOGLETRANSLATE(B997, ""en"", ""zh-cn""))"),"销售点")</f>
        <v>销售点</v>
      </c>
      <c r="D997" s="1" t="str">
        <f>IFERROR(__xludf.DUMMYFUNCTION("CONCATENATE(GOOGLETRANSLATE(B997, ""en"", ""ko""))"),"POS")</f>
        <v>POS</v>
      </c>
      <c r="E997" s="2" t="str">
        <f>IFERROR(__xludf.DUMMYFUNCTION("CONCATENATE(GOOGLETRANSLATE(B997, ""en"", ""ja""))"),"POS")</f>
        <v>POS</v>
      </c>
    </row>
    <row r="998" ht="15.75" customHeight="1">
      <c r="A998" s="1" t="s">
        <v>1938</v>
      </c>
      <c r="B998" s="1" t="s">
        <v>1939</v>
      </c>
      <c r="C998" s="1" t="str">
        <f>IFERROR(__xludf.DUMMYFUNCTION("CONCATENATE(GOOGLETRANSLATE(B998, ""en"", ""zh-cn""))"),"通知")</f>
        <v>通知</v>
      </c>
      <c r="D998" s="1" t="str">
        <f>IFERROR(__xludf.DUMMYFUNCTION("CONCATENATE(GOOGLETRANSLATE(B998, ""en"", ""ko""))"),"알림")</f>
        <v>알림</v>
      </c>
      <c r="E998" s="2" t="str">
        <f>IFERROR(__xludf.DUMMYFUNCTION("CONCATENATE(GOOGLETRANSLATE(B998, ""en"", ""ja""))"),"通知")</f>
        <v>通知</v>
      </c>
    </row>
    <row r="999" ht="15.75" customHeight="1">
      <c r="A999" s="1" t="s">
        <v>1940</v>
      </c>
      <c r="B999" s="1" t="s">
        <v>1941</v>
      </c>
      <c r="C999" s="1" t="str">
        <f>IFERROR(__xludf.DUMMYFUNCTION("CONCATENATE(GOOGLETRANSLATE(B999, ""en"", ""zh-cn""))"),"新订单")</f>
        <v>新订单</v>
      </c>
      <c r="D999" s="1" t="str">
        <f>IFERROR(__xludf.DUMMYFUNCTION("CONCATENATE(GOOGLETRANSLATE(B999, ""en"", ""ko""))"),"새로운 주문")</f>
        <v>새로운 주문</v>
      </c>
      <c r="E999" s="2" t="str">
        <f>IFERROR(__xludf.DUMMYFUNCTION("CONCATENATE(GOOGLETRANSLATE(B999, ""en"", ""ja""))"),"新しい注文")</f>
        <v>新しい注文</v>
      </c>
    </row>
    <row r="1000" ht="15.75" customHeight="1">
      <c r="A1000" s="1" t="s">
        <v>1942</v>
      </c>
      <c r="B1000" s="1" t="s">
        <v>1943</v>
      </c>
      <c r="C1000" s="1" t="str">
        <f>IFERROR(__xludf.DUMMYFUNCTION("CONCATENATE(GOOGLETRANSLATE(B1000, ""en"", ""zh-cn""))"),"用户形象")</f>
        <v>用户形象</v>
      </c>
      <c r="D1000" s="1" t="str">
        <f>IFERROR(__xludf.DUMMYFUNCTION("CONCATENATE(GOOGLETRANSLATE(B1000, ""en"", ""ko""))"),"사용자 이미지")</f>
        <v>사용자 이미지</v>
      </c>
      <c r="E1000" s="2" t="str">
        <f>IFERROR(__xludf.DUMMYFUNCTION("CONCATENATE(GOOGLETRANSLATE(B1000, ""en"", ""ja""))"),"ユーザーイメージ")</f>
        <v>ユーザーイメージ</v>
      </c>
    </row>
    <row r="1001" ht="15.75" customHeight="1">
      <c r="A1001" s="1" t="s">
        <v>1944</v>
      </c>
      <c r="B1001" s="1" t="s">
        <v>1945</v>
      </c>
      <c r="C1001" s="1" t="str">
        <f>IFERROR(__xludf.DUMMYFUNCTION("CONCATENATE(GOOGLETRANSLATE(B1001, ""en"", ""zh-cn""))"),"轮廓")</f>
        <v>轮廓</v>
      </c>
      <c r="D1001" s="1" t="str">
        <f>IFERROR(__xludf.DUMMYFUNCTION("CONCATENATE(GOOGLETRANSLATE(B1001, ""en"", ""ko""))"),"윤곽")</f>
        <v>윤곽</v>
      </c>
      <c r="E1001" s="2" t="str">
        <f>IFERROR(__xludf.DUMMYFUNCTION("CONCATENATE(GOOGLETRANSLATE(B1001, ""en"", ""ja""))"),"プロフィール")</f>
        <v>プロフィール</v>
      </c>
    </row>
    <row r="1002" ht="15.75" customHeight="1">
      <c r="A1002" s="1" t="s">
        <v>1946</v>
      </c>
      <c r="B1002" s="1" t="s">
        <v>1947</v>
      </c>
      <c r="C1002" s="1" t="str">
        <f>IFERROR(__xludf.DUMMYFUNCTION("CONCATENATE(GOOGLETRANSLATE(B1002, ""en"", ""zh-cn""))"),"退出")</f>
        <v>退出</v>
      </c>
      <c r="D1002" s="1" t="str">
        <f>IFERROR(__xludf.DUMMYFUNCTION("CONCATENATE(GOOGLETRANSLATE(B1002, ""en"", ""ko""))"),"로그아웃")</f>
        <v>로그아웃</v>
      </c>
      <c r="E1002" s="2" t="str">
        <f>IFERROR(__xludf.DUMMYFUNCTION("CONCATENATE(GOOGLETRANSLATE(B1002, ""en"", ""ja""))"),"ログアウト")</f>
        <v>ログアウト</v>
      </c>
    </row>
    <row r="1003" ht="15.75" customHeight="1">
      <c r="A1003" s="1" t="s">
        <v>1948</v>
      </c>
      <c r="B1003" s="1" t="s">
        <v>1949</v>
      </c>
      <c r="C1003" s="1" t="str">
        <f>IFERROR(__xludf.DUMMYFUNCTION("CONCATENATE(GOOGLETRANSLATE(B1003, ""en"", ""zh-cn""))"),"未找到页面！")</f>
        <v>未找到页面！</v>
      </c>
      <c r="D1003" s="1" t="str">
        <f>IFERROR(__xludf.DUMMYFUNCTION("CONCATENATE(GOOGLETRANSLATE(B1003, ""en"", ""ko""))"),"페이지를 찾을 수 없습니다!")</f>
        <v>페이지를 찾을 수 없습니다!</v>
      </c>
      <c r="E1003" s="2" t="str">
        <f>IFERROR(__xludf.DUMMYFUNCTION("CONCATENATE(GOOGLETRANSLATE(B1003, ""en"", ""ja""))"),"ページが見つかりません!")</f>
        <v>ページが見つかりません!</v>
      </c>
    </row>
    <row r="1004" ht="15.75" customHeight="1">
      <c r="A1004" s="1" t="s">
        <v>1950</v>
      </c>
      <c r="B1004" s="1" t="s">
        <v>1951</v>
      </c>
      <c r="C1004" s="1" t="str">
        <f>IFERROR(__xludf.DUMMYFUNCTION("CONCATENATE(GOOGLETRANSLATE(B1004, ""en"", ""zh-cn""))"),"在我们的服务器上未找到您要查找的页面。")</f>
        <v>在我们的服务器上未找到您要查找的页面。</v>
      </c>
      <c r="D1004" s="1" t="str">
        <f>IFERROR(__xludf.DUMMYFUNCTION("CONCATENATE(GOOGLETRANSLATE(B1004, ""en"", ""ko""))"),"귀하가 찾고 있는 페이지가 우리 서버에서 발견되지 않았습니다.")</f>
        <v>귀하가 찾고 있는 페이지가 우리 서버에서 발견되지 않았습니다.</v>
      </c>
      <c r="E1004" s="2" t="str">
        <f>IFERROR(__xludf.DUMMYFUNCTION("CONCATENATE(GOOGLETRANSLATE(B1004, ""en"", ""ja""))"),"お探しのページはサーバー上に見つかりませんでした。")</f>
        <v>お探しのページはサーバー上に見つかりませんでした。</v>
      </c>
    </row>
    <row r="1005" ht="15.75" customHeight="1">
      <c r="A1005" s="1" t="s">
        <v>1952</v>
      </c>
      <c r="B1005" s="1" t="s">
        <v>1953</v>
      </c>
      <c r="C1005" s="1" t="str">
        <f>IFERROR(__xludf.DUMMYFUNCTION("CONCATENATE(GOOGLETRANSLATE(B1005, ""en"", ""zh-cn""))"),"登记")</f>
        <v>登记</v>
      </c>
      <c r="D1005" s="1" t="str">
        <f>IFERROR(__xludf.DUMMYFUNCTION("CONCATENATE(GOOGLETRANSLATE(B1005, ""en"", ""ko""))"),"등록")</f>
        <v>등록</v>
      </c>
      <c r="E1005" s="2" t="str">
        <f>IFERROR(__xludf.DUMMYFUNCTION("CONCATENATE(GOOGLETRANSLATE(B1005, ""en"", ""ja""))"),"登録")</f>
        <v>登録</v>
      </c>
    </row>
    <row r="1006" ht="15.75" customHeight="1">
      <c r="A1006" s="1" t="s">
        <v>1954</v>
      </c>
      <c r="B1006" s="1" t="s">
        <v>1955</v>
      </c>
      <c r="C1006" s="1" t="str">
        <f>IFERROR(__xludf.DUMMYFUNCTION("CONCATENATE(GOOGLETRANSLATE(B1006, ""en"", ""zh-cn""))"),"我正在购物...")</f>
        <v>我正在购物...</v>
      </c>
      <c r="D1006" s="1" t="str">
        <f>IFERROR(__xludf.DUMMYFUNCTION("CONCATENATE(GOOGLETRANSLATE(B1006, ""en"", ""ko""))"),"나는 쇼핑 중입니다 ...")</f>
        <v>나는 쇼핑 중입니다 ...</v>
      </c>
      <c r="E1006" s="2" t="str">
        <f>IFERROR(__xludf.DUMMYFUNCTION("CONCATENATE(GOOGLETRANSLATE(B1006, ""en"", ""ja""))"),"買い物をしているのですが…")</f>
        <v>買い物をしているのですが…</v>
      </c>
    </row>
    <row r="1007" ht="15.75" customHeight="1">
      <c r="A1007" s="1" t="s">
        <v>1956</v>
      </c>
      <c r="B1007" s="1" t="s">
        <v>1957</v>
      </c>
      <c r="C1007" s="1" t="str">
        <f>IFERROR(__xludf.DUMMYFUNCTION("CONCATENATE(GOOGLETRANSLATE(B1007, ""en"", ""zh-cn""))"),"比较")</f>
        <v>比较</v>
      </c>
      <c r="D1007" s="1" t="str">
        <f>IFERROR(__xludf.DUMMYFUNCTION("CONCATENATE(GOOGLETRANSLATE(B1007, ""en"", ""ko""))"),"비교하다")</f>
        <v>비교하다</v>
      </c>
      <c r="E1007" s="2" t="str">
        <f>IFERROR(__xludf.DUMMYFUNCTION("CONCATENATE(GOOGLETRANSLATE(B1007, ""en"", ""ja""))"),"比較する")</f>
        <v>比較する</v>
      </c>
    </row>
    <row r="1008" ht="15.75" customHeight="1">
      <c r="A1008" s="1" t="s">
        <v>1958</v>
      </c>
      <c r="B1008" s="1" t="s">
        <v>1959</v>
      </c>
      <c r="C1008" s="1" t="str">
        <f>IFERROR(__xludf.DUMMYFUNCTION("CONCATENATE(GOOGLETRANSLATE(B1008, ""en"", ""zh-cn""))"),"愿望清单")</f>
        <v>愿望清单</v>
      </c>
      <c r="D1008" s="1" t="str">
        <f>IFERROR(__xludf.DUMMYFUNCTION("CONCATENATE(GOOGLETRANSLATE(B1008, ""en"", ""ko""))"),"위시리스트")</f>
        <v>위시리스트</v>
      </c>
      <c r="E1008" s="2" t="str">
        <f>IFERROR(__xludf.DUMMYFUNCTION("CONCATENATE(GOOGLETRANSLATE(B1008, ""en"", ""ja""))"),"ウィッシュリスト")</f>
        <v>ウィッシュリスト</v>
      </c>
    </row>
    <row r="1009" ht="15.75" customHeight="1">
      <c r="A1009" s="1" t="s">
        <v>1960</v>
      </c>
      <c r="B1009" s="1" t="s">
        <v>1961</v>
      </c>
      <c r="C1009" s="1" t="str">
        <f>IFERROR(__xludf.DUMMYFUNCTION("CONCATENATE(GOOGLETRANSLATE(B1009, ""en"", ""zh-cn""))"),"大车")</f>
        <v>大车</v>
      </c>
      <c r="D1009" s="1" t="str">
        <f>IFERROR(__xludf.DUMMYFUNCTION("CONCATENATE(GOOGLETRANSLATE(B1009, ""en"", ""ko""))"),"카트")</f>
        <v>카트</v>
      </c>
      <c r="E1009" s="2" t="str">
        <f>IFERROR(__xludf.DUMMYFUNCTION("CONCATENATE(GOOGLETRANSLATE(B1009, ""en"", ""ja""))"),"カート")</f>
        <v>カート</v>
      </c>
    </row>
    <row r="1010" ht="15.75" customHeight="1">
      <c r="A1010" s="1" t="s">
        <v>1962</v>
      </c>
      <c r="B1010" s="1" t="s">
        <v>1963</v>
      </c>
      <c r="C1010" s="1" t="str">
        <f>IFERROR(__xludf.DUMMYFUNCTION("CONCATENATE(GOOGLETRANSLATE(B1010, ""en"", ""zh-cn""))"),"您的购物车是空的")</f>
        <v>您的购物车是空的</v>
      </c>
      <c r="D1010" s="1" t="str">
        <f>IFERROR(__xludf.DUMMYFUNCTION("CONCATENATE(GOOGLETRANSLATE(B1010, ""en"", ""ko""))"),"장바구니가 비어 있습니다.")</f>
        <v>장바구니가 비어 있습니다.</v>
      </c>
      <c r="E1010" s="2" t="str">
        <f>IFERROR(__xludf.DUMMYFUNCTION("CONCATENATE(GOOGLETRANSLATE(B1010, ""en"", ""ja""))"),"カートは空です")</f>
        <v>カートは空です</v>
      </c>
    </row>
    <row r="1011" ht="15.75" customHeight="1">
      <c r="A1011" s="1" t="s">
        <v>1964</v>
      </c>
      <c r="B1011" s="1" t="s">
        <v>1965</v>
      </c>
      <c r="C1011" s="1" t="str">
        <f>IFERROR(__xludf.DUMMYFUNCTION("CONCATENATE(GOOGLETRANSLATE(B1011, ""en"", ""zh-cn""))"),"类别")</f>
        <v>类别</v>
      </c>
      <c r="D1011" s="1" t="str">
        <f>IFERROR(__xludf.DUMMYFUNCTION("CONCATENATE(GOOGLETRANSLATE(B1011, ""en"", ""ko""))"),"카테고리")</f>
        <v>카테고리</v>
      </c>
      <c r="E1011" s="2" t="str">
        <f>IFERROR(__xludf.DUMMYFUNCTION("CONCATENATE(GOOGLETRANSLATE(B1011, ""en"", ""ja""))"),"カテゴリー")</f>
        <v>カテゴリー</v>
      </c>
    </row>
    <row r="1012" ht="15.75" customHeight="1">
      <c r="A1012" s="1" t="s">
        <v>1966</v>
      </c>
      <c r="B1012" s="1" t="s">
        <v>1967</v>
      </c>
      <c r="C1012" s="1" t="str">
        <f>IFERROR(__xludf.DUMMYFUNCTION("CONCATENATE(GOOGLETRANSLATE(B1012, ""en"", ""zh-cn""))"),"查看全部")</f>
        <v>查看全部</v>
      </c>
      <c r="D1012" s="1" t="str">
        <f>IFERROR(__xludf.DUMMYFUNCTION("CONCATENATE(GOOGLETRANSLATE(B1012, ""en"", ""ko""))"),"모두 보기")</f>
        <v>모두 보기</v>
      </c>
      <c r="E1012" s="2" t="str">
        <f>IFERROR(__xludf.DUMMYFUNCTION("CONCATENATE(GOOGLETRANSLATE(B1012, ""en"", ""ja""))"),"すべて見る")</f>
        <v>すべて見る</v>
      </c>
    </row>
    <row r="1013" ht="15.75" customHeight="1">
      <c r="A1013" s="1" t="s">
        <v>1968</v>
      </c>
      <c r="B1013" s="1" t="s">
        <v>1969</v>
      </c>
      <c r="C1013" s="1" t="str">
        <f>IFERROR(__xludf.DUMMYFUNCTION("CONCATENATE(GOOGLETRANSLATE(B1013, ""en"", ""zh-cn""))"),"卖家政策")</f>
        <v>卖家政策</v>
      </c>
      <c r="D1013" s="1" t="str">
        <f>IFERROR(__xludf.DUMMYFUNCTION("CONCATENATE(GOOGLETRANSLATE(B1013, ""en"", ""ko""))"),"판매자 정책")</f>
        <v>판매자 정책</v>
      </c>
      <c r="E1013" s="2" t="str">
        <f>IFERROR(__xludf.DUMMYFUNCTION("CONCATENATE(GOOGLETRANSLATE(B1013, ""en"", ""ja""))"),"販売者ポリシー")</f>
        <v>販売者ポリシー</v>
      </c>
    </row>
    <row r="1014" ht="15.75" customHeight="1">
      <c r="A1014" s="1" t="s">
        <v>1970</v>
      </c>
      <c r="B1014" s="1" t="s">
        <v>1971</v>
      </c>
      <c r="C1014" s="1" t="str">
        <f>IFERROR(__xludf.DUMMYFUNCTION("CONCATENATE(GOOGLETRANSLATE(B1014, ""en"", ""zh-cn""))"),"退货政策")</f>
        <v>退货政策</v>
      </c>
      <c r="D1014" s="1" t="str">
        <f>IFERROR(__xludf.DUMMYFUNCTION("CONCATENATE(GOOGLETRANSLATE(B1014, ""en"", ""ko""))"),"반품 정책")</f>
        <v>반품 정책</v>
      </c>
      <c r="E1014" s="2" t="str">
        <f>IFERROR(__xludf.DUMMYFUNCTION("CONCATENATE(GOOGLETRANSLATE(B1014, ""en"", ""ja""))"),"返品規則")</f>
        <v>返品規則</v>
      </c>
    </row>
    <row r="1015" ht="15.75" customHeight="1">
      <c r="A1015" s="1" t="s">
        <v>1972</v>
      </c>
      <c r="B1015" s="1" t="s">
        <v>1973</v>
      </c>
      <c r="C1015" s="1" t="str">
        <f>IFERROR(__xludf.DUMMYFUNCTION("CONCATENATE(GOOGLETRANSLATE(B1015, ""en"", ""zh-cn""))"),"支持政策")</f>
        <v>支持政策</v>
      </c>
      <c r="D1015" s="1" t="str">
        <f>IFERROR(__xludf.DUMMYFUNCTION("CONCATENATE(GOOGLETRANSLATE(B1015, ""en"", ""ko""))"),"지원 정책")</f>
        <v>지원 정책</v>
      </c>
      <c r="E1015" s="2" t="str">
        <f>IFERROR(__xludf.DUMMYFUNCTION("CONCATENATE(GOOGLETRANSLATE(B1015, ""en"", ""ja""))"),"サポートポリシー")</f>
        <v>サポートポリシー</v>
      </c>
    </row>
    <row r="1016" ht="15.75" customHeight="1">
      <c r="A1016" s="1" t="s">
        <v>1974</v>
      </c>
      <c r="B1016" s="1" t="s">
        <v>1975</v>
      </c>
      <c r="C1016" s="1" t="str">
        <f>IFERROR(__xludf.DUMMYFUNCTION("CONCATENATE(GOOGLETRANSLATE(B1016, ""en"", ""zh-cn""))"),"隐私政策")</f>
        <v>隐私政策</v>
      </c>
      <c r="D1016" s="1" t="str">
        <f>IFERROR(__xludf.DUMMYFUNCTION("CONCATENATE(GOOGLETRANSLATE(B1016, ""en"", ""ko""))"),"개인 정보 보호 정책")</f>
        <v>개인 정보 보호 정책</v>
      </c>
      <c r="E1016" s="2" t="str">
        <f>IFERROR(__xludf.DUMMYFUNCTION("CONCATENATE(GOOGLETRANSLATE(B1016, ""en"", ""ja""))"),"プライバシーポリシー")</f>
        <v>プライバシーポリシー</v>
      </c>
    </row>
    <row r="1017" ht="15.75" customHeight="1">
      <c r="A1017" s="1" t="s">
        <v>1976</v>
      </c>
      <c r="B1017" s="1" t="s">
        <v>1977</v>
      </c>
      <c r="C1017" s="1" t="str">
        <f>IFERROR(__xludf.DUMMYFUNCTION("CONCATENATE(GOOGLETRANSLATE(B1017, ""en"", ""zh-cn""))"),"您的电子邮件地址")</f>
        <v>您的电子邮件地址</v>
      </c>
      <c r="D1017" s="1" t="str">
        <f>IFERROR(__xludf.DUMMYFUNCTION("CONCATENATE(GOOGLETRANSLATE(B1017, ""en"", ""ko""))"),"귀하의 이메일 주소")</f>
        <v>귀하의 이메일 주소</v>
      </c>
      <c r="E1017" s="2" t="str">
        <f>IFERROR(__xludf.DUMMYFUNCTION("CONCATENATE(GOOGLETRANSLATE(B1017, ""en"", ""ja""))"),"あなたのメールアドレス")</f>
        <v>あなたのメールアドレス</v>
      </c>
    </row>
    <row r="1018" ht="15.75" customHeight="1">
      <c r="A1018" s="1" t="s">
        <v>1978</v>
      </c>
      <c r="B1018" s="1" t="s">
        <v>1979</v>
      </c>
      <c r="C1018" s="1" t="str">
        <f>IFERROR(__xludf.DUMMYFUNCTION("CONCATENATE(GOOGLETRANSLATE(B1018, ""en"", ""zh-cn""))"),"订阅")</f>
        <v>订阅</v>
      </c>
      <c r="D1018" s="1" t="str">
        <f>IFERROR(__xludf.DUMMYFUNCTION("CONCATENATE(GOOGLETRANSLATE(B1018, ""en"", ""ko""))"),"구독하다")</f>
        <v>구독하다</v>
      </c>
      <c r="E1018" s="2" t="str">
        <f>IFERROR(__xludf.DUMMYFUNCTION("CONCATENATE(GOOGLETRANSLATE(B1018, ""en"", ""ja""))"),"購読する")</f>
        <v>購読する</v>
      </c>
    </row>
    <row r="1019" ht="15.75" customHeight="1">
      <c r="A1019" s="1" t="s">
        <v>1980</v>
      </c>
      <c r="B1019" s="1" t="s">
        <v>1981</v>
      </c>
      <c r="C1019" s="1" t="str">
        <f>IFERROR(__xludf.DUMMYFUNCTION("CONCATENATE(GOOGLETRANSLATE(B1019, ""en"", ""zh-cn""))"),"联系方式")</f>
        <v>联系方式</v>
      </c>
      <c r="D1019" s="1" t="str">
        <f>IFERROR(__xludf.DUMMYFUNCTION("CONCATENATE(GOOGLETRANSLATE(B1019, ""en"", ""ko""))"),"연락처 정보")</f>
        <v>연락처 정보</v>
      </c>
      <c r="E1019" s="2" t="str">
        <f>IFERROR(__xludf.DUMMYFUNCTION("CONCATENATE(GOOGLETRANSLATE(B1019, ""en"", ""ja""))"),"連絡先情報")</f>
        <v>連絡先情報</v>
      </c>
    </row>
    <row r="1020" ht="15.75" customHeight="1">
      <c r="A1020" s="1" t="s">
        <v>1982</v>
      </c>
      <c r="B1020" s="1" t="s">
        <v>1983</v>
      </c>
      <c r="C1020" s="1" t="str">
        <f>IFERROR(__xludf.DUMMYFUNCTION("CONCATENATE(GOOGLETRANSLATE(B1020, ""en"", ""zh-cn""))"),"地址")</f>
        <v>地址</v>
      </c>
      <c r="D1020" s="1" t="str">
        <f>IFERROR(__xludf.DUMMYFUNCTION("CONCATENATE(GOOGLETRANSLATE(B1020, ""en"", ""ko""))"),"주소")</f>
        <v>주소</v>
      </c>
      <c r="E1020" s="2" t="str">
        <f>IFERROR(__xludf.DUMMYFUNCTION("CONCATENATE(GOOGLETRANSLATE(B1020, ""en"", ""ja""))"),"住所")</f>
        <v>住所</v>
      </c>
    </row>
    <row r="1021" ht="15.75" customHeight="1">
      <c r="A1021" s="1" t="s">
        <v>1984</v>
      </c>
      <c r="B1021" s="1" t="s">
        <v>1985</v>
      </c>
      <c r="C1021" s="1" t="str">
        <f>IFERROR(__xludf.DUMMYFUNCTION("CONCATENATE(GOOGLETRANSLATE(B1021, ""en"", ""zh-cn""))"),"电话")</f>
        <v>电话</v>
      </c>
      <c r="D1021" s="1" t="str">
        <f>IFERROR(__xludf.DUMMYFUNCTION("CONCATENATE(GOOGLETRANSLATE(B1021, ""en"", ""ko""))"),"핸드폰")</f>
        <v>핸드폰</v>
      </c>
      <c r="E1021" s="2" t="str">
        <f>IFERROR(__xludf.DUMMYFUNCTION("CONCATENATE(GOOGLETRANSLATE(B1021, ""en"", ""ja""))"),"電話")</f>
        <v>電話</v>
      </c>
    </row>
    <row r="1022" ht="15.75" customHeight="1">
      <c r="A1022" s="1" t="s">
        <v>1986</v>
      </c>
      <c r="B1022" s="1" t="s">
        <v>1987</v>
      </c>
      <c r="C1022" s="1" t="str">
        <f>IFERROR(__xludf.DUMMYFUNCTION("CONCATENATE(GOOGLETRANSLATE(B1022, ""en"", ""zh-cn""))"),"电子邮件")</f>
        <v>电子邮件</v>
      </c>
      <c r="D1022" s="1" t="str">
        <f>IFERROR(__xludf.DUMMYFUNCTION("CONCATENATE(GOOGLETRANSLATE(B1022, ""en"", ""ko""))"),"이메일")</f>
        <v>이메일</v>
      </c>
      <c r="E1022" s="2" t="str">
        <f>IFERROR(__xludf.DUMMYFUNCTION("CONCATENATE(GOOGLETRANSLATE(B1022, ""en"", ""ja""))"),"電子メール")</f>
        <v>電子メール</v>
      </c>
    </row>
    <row r="1023" ht="15.75" customHeight="1">
      <c r="A1023" s="1" t="s">
        <v>1988</v>
      </c>
      <c r="B1023" s="1" t="s">
        <v>1989</v>
      </c>
      <c r="C1023" s="1" t="str">
        <f>IFERROR(__xludf.DUMMYFUNCTION("CONCATENATE(GOOGLETRANSLATE(B1023, ""en"", ""zh-cn""))"),"登录")</f>
        <v>登录</v>
      </c>
      <c r="D1023" s="1" t="str">
        <f>IFERROR(__xludf.DUMMYFUNCTION("CONCATENATE(GOOGLETRANSLATE(B1023, ""en"", ""ko""))"),"로그인")</f>
        <v>로그인</v>
      </c>
      <c r="E1023" s="2" t="str">
        <f>IFERROR(__xludf.DUMMYFUNCTION("CONCATENATE(GOOGLETRANSLATE(B1023, ""en"", ""ja""))"),"ログイン")</f>
        <v>ログイン</v>
      </c>
    </row>
    <row r="1024" ht="15.75" customHeight="1">
      <c r="A1024" s="1" t="s">
        <v>1990</v>
      </c>
      <c r="B1024" s="1" t="s">
        <v>1991</v>
      </c>
      <c r="C1024" s="1" t="str">
        <f>IFERROR(__xludf.DUMMYFUNCTION("CONCATENATE(GOOGLETRANSLATE(B1024, ""en"", ""zh-cn""))"),"我的账户")</f>
        <v>我的账户</v>
      </c>
      <c r="D1024" s="1" t="str">
        <f>IFERROR(__xludf.DUMMYFUNCTION("CONCATENATE(GOOGLETRANSLATE(B1024, ""en"", ""ko""))"),"내 계정")</f>
        <v>내 계정</v>
      </c>
      <c r="E1024" s="2" t="str">
        <f>IFERROR(__xludf.DUMMYFUNCTION("CONCATENATE(GOOGLETRANSLATE(B1024, ""en"", ""ja""))"),"私のアカウント")</f>
        <v>私のアカウント</v>
      </c>
    </row>
    <row r="1025" ht="15.75" customHeight="1">
      <c r="A1025" s="1" t="s">
        <v>1988</v>
      </c>
      <c r="B1025" s="1" t="s">
        <v>1989</v>
      </c>
      <c r="C1025" s="1" t="str">
        <f>IFERROR(__xludf.DUMMYFUNCTION("CONCATENATE(GOOGLETRANSLATE(B1025, ""en"", ""zh-cn""))"),"登录")</f>
        <v>登录</v>
      </c>
      <c r="D1025" s="1" t="str">
        <f>IFERROR(__xludf.DUMMYFUNCTION("CONCATENATE(GOOGLETRANSLATE(B1025, ""en"", ""ko""))"),"로그인")</f>
        <v>로그인</v>
      </c>
      <c r="E1025" s="2" t="str">
        <f>IFERROR(__xludf.DUMMYFUNCTION("CONCATENATE(GOOGLETRANSLATE(B1025, ""en"", ""ja""))"),"ログイン")</f>
        <v>ログイン</v>
      </c>
    </row>
    <row r="1026" ht="15.75" customHeight="1">
      <c r="A1026" s="1" t="s">
        <v>1992</v>
      </c>
      <c r="B1026" s="1" t="s">
        <v>1993</v>
      </c>
      <c r="C1026" s="1" t="str">
        <f>IFERROR(__xludf.DUMMYFUNCTION("CONCATENATE(GOOGLETRANSLATE(B1026, ""en"", ""zh-cn""))"),"订单记录")</f>
        <v>订单记录</v>
      </c>
      <c r="D1026" s="1" t="str">
        <f>IFERROR(__xludf.DUMMYFUNCTION("CONCATENATE(GOOGLETRANSLATE(B1026, ""en"", ""ko""))"),"주문 내역")</f>
        <v>주문 내역</v>
      </c>
      <c r="E1026" s="2" t="str">
        <f>IFERROR(__xludf.DUMMYFUNCTION("CONCATENATE(GOOGLETRANSLATE(B1026, ""en"", ""ja""))"),"注文履歴")</f>
        <v>注文履歴</v>
      </c>
    </row>
    <row r="1027" ht="15.75" customHeight="1">
      <c r="A1027" s="1" t="s">
        <v>1994</v>
      </c>
      <c r="B1027" s="1" t="s">
        <v>1995</v>
      </c>
      <c r="C1027" s="1" t="str">
        <f>IFERROR(__xludf.DUMMYFUNCTION("CONCATENATE(GOOGLETRANSLATE(B1027, ""en"", ""zh-cn""))"),"我的愿望清单")</f>
        <v>我的愿望清单</v>
      </c>
      <c r="D1027" s="1" t="str">
        <f>IFERROR(__xludf.DUMMYFUNCTION("CONCATENATE(GOOGLETRANSLATE(B1027, ""en"", ""ko""))"),"내 위시리스트")</f>
        <v>내 위시리스트</v>
      </c>
      <c r="E1027" s="2" t="str">
        <f>IFERROR(__xludf.DUMMYFUNCTION("CONCATENATE(GOOGLETRANSLATE(B1027, ""en"", ""ja""))"),"私のウィッシュリスト")</f>
        <v>私のウィッシュリスト</v>
      </c>
    </row>
    <row r="1028" ht="15.75" customHeight="1">
      <c r="A1028" s="1" t="s">
        <v>1996</v>
      </c>
      <c r="B1028" s="1" t="s">
        <v>1997</v>
      </c>
      <c r="C1028" s="1" t="str">
        <f>IFERROR(__xludf.DUMMYFUNCTION("CONCATENATE(GOOGLETRANSLATE(B1028, ""en"", ""zh-cn""))"),"追踪订单")</f>
        <v>追踪订单</v>
      </c>
      <c r="D1028" s="1" t="str">
        <f>IFERROR(__xludf.DUMMYFUNCTION("CONCATENATE(GOOGLETRANSLATE(B1028, ""en"", ""ko""))"),"주문 추적")</f>
        <v>주문 추적</v>
      </c>
      <c r="E1028" s="2" t="str">
        <f>IFERROR(__xludf.DUMMYFUNCTION("CONCATENATE(GOOGLETRANSLATE(B1028, ""en"", ""ja""))"),"注文を追跡する")</f>
        <v>注文を追跡する</v>
      </c>
    </row>
    <row r="1029" ht="15.75" customHeight="1">
      <c r="A1029" s="1" t="s">
        <v>1998</v>
      </c>
      <c r="B1029" s="1" t="s">
        <v>1999</v>
      </c>
      <c r="C1029" s="1" t="str">
        <f>IFERROR(__xludf.DUMMYFUNCTION("CONCATENATE(GOOGLETRANSLATE(B1029, ""en"", ""zh-cn""))"),"成为附属合作伙伴")</f>
        <v>成为附属合作伙伴</v>
      </c>
      <c r="D1029" s="1" t="str">
        <f>IFERROR(__xludf.DUMMYFUNCTION("CONCATENATE(GOOGLETRANSLATE(B1029, ""en"", ""ko""))"),"제휴 파트너가 되세요")</f>
        <v>제휴 파트너가 되세요</v>
      </c>
      <c r="E1029" s="2" t="str">
        <f>IFERROR(__xludf.DUMMYFUNCTION("CONCATENATE(GOOGLETRANSLATE(B1029, ""en"", ""ja""))"),"アフィリエイトパートナーになる")</f>
        <v>アフィリエイトパートナーになる</v>
      </c>
    </row>
    <row r="1030" ht="15.75" customHeight="1">
      <c r="A1030" s="1" t="s">
        <v>2000</v>
      </c>
      <c r="B1030" s="1" t="s">
        <v>2001</v>
      </c>
      <c r="C1030" s="1" t="str">
        <f>IFERROR(__xludf.DUMMYFUNCTION("CONCATENATE(GOOGLETRANSLATE(B1030, ""en"", ""zh-cn""))"),"成为卖家")</f>
        <v>成为卖家</v>
      </c>
      <c r="D1030" s="1" t="str">
        <f>IFERROR(__xludf.DUMMYFUNCTION("CONCATENATE(GOOGLETRANSLATE(B1030, ""en"", ""ko""))"),"판매자가 되세요")</f>
        <v>판매자가 되세요</v>
      </c>
      <c r="E1030" s="2" t="str">
        <f>IFERROR(__xludf.DUMMYFUNCTION("CONCATENATE(GOOGLETRANSLATE(B1030, ""en"", ""ja""))"),"売り手になる")</f>
        <v>売り手になる</v>
      </c>
    </row>
    <row r="1031" ht="15.75" customHeight="1">
      <c r="A1031" s="1" t="s">
        <v>2002</v>
      </c>
      <c r="B1031" s="1" t="s">
        <v>2003</v>
      </c>
      <c r="C1031" s="1" t="str">
        <f>IFERROR(__xludf.DUMMYFUNCTION("CONCATENATE(GOOGLETRANSLATE(B1031, ""en"", ""zh-cn""))"),"立即申请")</f>
        <v>立即申请</v>
      </c>
      <c r="D1031" s="1" t="str">
        <f>IFERROR(__xludf.DUMMYFUNCTION("CONCATENATE(GOOGLETRANSLATE(B1031, ""en"", ""ko""))"),"지금 신청하세요")</f>
        <v>지금 신청하세요</v>
      </c>
      <c r="E1031" s="2" t="str">
        <f>IFERROR(__xludf.DUMMYFUNCTION("CONCATENATE(GOOGLETRANSLATE(B1031, ""en"", ""ja""))"),"今すぐお申し込みください")</f>
        <v>今すぐお申し込みください</v>
      </c>
    </row>
    <row r="1032" ht="15.75" customHeight="1">
      <c r="A1032" s="1" t="s">
        <v>2004</v>
      </c>
      <c r="B1032" s="1" t="s">
        <v>2005</v>
      </c>
      <c r="C1032" s="1" t="str">
        <f>IFERROR(__xludf.DUMMYFUNCTION("CONCATENATE(GOOGLETRANSLATE(B1032, ""en"", ""zh-cn""))"),"确认")</f>
        <v>确认</v>
      </c>
      <c r="D1032" s="1" t="str">
        <f>IFERROR(__xludf.DUMMYFUNCTION("CONCATENATE(GOOGLETRANSLATE(B1032, ""en"", ""ko""))"),"확인")</f>
        <v>확인</v>
      </c>
      <c r="E1032" s="2" t="str">
        <f>IFERROR(__xludf.DUMMYFUNCTION("CONCATENATE(GOOGLETRANSLATE(B1032, ""en"", ""ja""))"),"確認")</f>
        <v>確認</v>
      </c>
    </row>
    <row r="1033" ht="15.75" customHeight="1">
      <c r="A1033" s="1" t="s">
        <v>2006</v>
      </c>
      <c r="B1033" s="1" t="s">
        <v>2007</v>
      </c>
      <c r="C1033" s="1" t="str">
        <f>IFERROR(__xludf.DUMMYFUNCTION("CONCATENATE(GOOGLETRANSLATE(B1033, ""en"", ""zh-cn""))"),"删除确认消息")</f>
        <v>删除确认消息</v>
      </c>
      <c r="D1033" s="1" t="str">
        <f>IFERROR(__xludf.DUMMYFUNCTION("CONCATENATE(GOOGLETRANSLATE(B1033, ""en"", ""ko""))"),"확인 메시지 삭제")</f>
        <v>확인 메시지 삭제</v>
      </c>
      <c r="E1033" s="2" t="str">
        <f>IFERROR(__xludf.DUMMYFUNCTION("CONCATENATE(GOOGLETRANSLATE(B1033, ""en"", ""ja""))"),"確認メッセージを削除する")</f>
        <v>確認メッセージを削除する</v>
      </c>
    </row>
    <row r="1034" ht="15.75" customHeight="1">
      <c r="A1034" s="1" t="s">
        <v>2008</v>
      </c>
      <c r="B1034" s="1" t="s">
        <v>2009</v>
      </c>
      <c r="C1034" s="1" t="str">
        <f>IFERROR(__xludf.DUMMYFUNCTION("CONCATENATE(GOOGLETRANSLATE(B1034, ""en"", ""zh-cn""))"),"取消")</f>
        <v>取消</v>
      </c>
      <c r="D1034" s="1" t="str">
        <f>IFERROR(__xludf.DUMMYFUNCTION("CONCATENATE(GOOGLETRANSLATE(B1034, ""en"", ""ko""))"),"취소")</f>
        <v>취소</v>
      </c>
      <c r="E1034" s="2" t="str">
        <f>IFERROR(__xludf.DUMMYFUNCTION("CONCATENATE(GOOGLETRANSLATE(B1034, ""en"", ""ja""))"),"キャンセル")</f>
        <v>キャンセル</v>
      </c>
    </row>
    <row r="1035" ht="15.75" customHeight="1">
      <c r="A1035" s="1" t="s">
        <v>2010</v>
      </c>
      <c r="B1035" s="1" t="s">
        <v>2011</v>
      </c>
      <c r="C1035" s="1" t="str">
        <f>IFERROR(__xludf.DUMMYFUNCTION("CONCATENATE(GOOGLETRANSLATE(B1035, ""en"", ""zh-cn""))"),"删除")</f>
        <v>删除</v>
      </c>
      <c r="D1035" s="1" t="str">
        <f>IFERROR(__xludf.DUMMYFUNCTION("CONCATENATE(GOOGLETRANSLATE(B1035, ""en"", ""ko""))"),"삭제")</f>
        <v>삭제</v>
      </c>
      <c r="E1035" s="2" t="str">
        <f>IFERROR(__xludf.DUMMYFUNCTION("CONCATENATE(GOOGLETRANSLATE(B1035, ""en"", ""ja""))"),"消去")</f>
        <v>消去</v>
      </c>
    </row>
    <row r="1036" ht="15.75" customHeight="1">
      <c r="A1036" s="1" t="s">
        <v>2012</v>
      </c>
      <c r="B1036" s="1" t="s">
        <v>2013</v>
      </c>
      <c r="C1036" s="1" t="str">
        <f>IFERROR(__xludf.DUMMYFUNCTION("CONCATENATE(GOOGLETRANSLATE(B1036, ""en"", ""zh-cn""))"),"项目已添加到比较列表中")</f>
        <v>项目已添加到比较列表中</v>
      </c>
      <c r="D1036" s="1" t="str">
        <f>IFERROR(__xludf.DUMMYFUNCTION("CONCATENATE(GOOGLETRANSLATE(B1036, ""en"", ""ko""))"),"비교 목록에 항목이 추가되었습니다.")</f>
        <v>비교 목록에 항목이 추가되었습니다.</v>
      </c>
      <c r="E1036" s="2" t="str">
        <f>IFERROR(__xludf.DUMMYFUNCTION("CONCATENATE(GOOGLETRANSLATE(B1036, ""en"", ""ja""))"),"項目が比較リストに追加されました")</f>
        <v>項目が比較リストに追加されました</v>
      </c>
    </row>
    <row r="1037" ht="15.75" customHeight="1">
      <c r="A1037" s="1" t="s">
        <v>2014</v>
      </c>
      <c r="B1037" s="1" t="s">
        <v>2015</v>
      </c>
      <c r="C1037" s="1" t="str">
        <f>IFERROR(__xludf.DUMMYFUNCTION("CONCATENATE(GOOGLETRANSLATE(B1037, ""en"", ""zh-cn""))"),"请先登录")</f>
        <v>请先登录</v>
      </c>
      <c r="D1037" s="1" t="str">
        <f>IFERROR(__xludf.DUMMYFUNCTION("CONCATENATE(GOOGLETRANSLATE(B1037, ""en"", ""ko""))"),"먼저 로그인해주세요")</f>
        <v>먼저 로그인해주세요</v>
      </c>
      <c r="E1037" s="2" t="str">
        <f>IFERROR(__xludf.DUMMYFUNCTION("CONCATENATE(GOOGLETRANSLATE(B1037, ""en"", ""ja""))"),"まずログインしてください")</f>
        <v>まずログインしてください</v>
      </c>
    </row>
    <row r="1038" ht="15.75" customHeight="1">
      <c r="A1038" s="1" t="s">
        <v>2016</v>
      </c>
      <c r="B1038" s="1" t="s">
        <v>2017</v>
      </c>
      <c r="C1038" s="1" t="str">
        <f>IFERROR(__xludf.DUMMYFUNCTION("CONCATENATE(GOOGLETRANSLATE(B1038, ""en"", ""zh-cn""))"),"总收益来自")</f>
        <v>总收益来自</v>
      </c>
      <c r="D1038" s="1" t="str">
        <f>IFERROR(__xludf.DUMMYFUNCTION("CONCATENATE(GOOGLETRANSLATE(B1038, ""en"", ""ko""))"),"총 수입")</f>
        <v>총 수입</v>
      </c>
      <c r="E1038" s="2" t="str">
        <f>IFERROR(__xludf.DUMMYFUNCTION("CONCATENATE(GOOGLETRANSLATE(B1038, ""en"", ""ja""))"),"合計収益額")</f>
        <v>合計収益額</v>
      </c>
    </row>
    <row r="1039" ht="15.75" customHeight="1">
      <c r="A1039" s="1" t="s">
        <v>2018</v>
      </c>
      <c r="B1039" s="1" t="s">
        <v>2019</v>
      </c>
      <c r="C1039" s="1" t="str">
        <f>IFERROR(__xludf.DUMMYFUNCTION("CONCATENATE(GOOGLETRANSLATE(B1039, ""en"", ""zh-cn""))"),"客户订阅")</f>
        <v>客户订阅</v>
      </c>
      <c r="D1039" s="1" t="str">
        <f>IFERROR(__xludf.DUMMYFUNCTION("CONCATENATE(GOOGLETRANSLATE(B1039, ""en"", ""ko""))"),"클라이언트 구독")</f>
        <v>클라이언트 구독</v>
      </c>
      <c r="E1039" s="2" t="str">
        <f>IFERROR(__xludf.DUMMYFUNCTION("CONCATENATE(GOOGLETRANSLATE(B1039, ""en"", ""ja""))"),"クライアントのサブスクリプション")</f>
        <v>クライアントのサブスクリプション</v>
      </c>
    </row>
    <row r="1040" ht="15.75" customHeight="1">
      <c r="A1040" s="1" t="s">
        <v>2020</v>
      </c>
      <c r="B1040" s="1" t="s">
        <v>2021</v>
      </c>
      <c r="C1040" s="1" t="str">
        <f>IFERROR(__xludf.DUMMYFUNCTION("CONCATENATE(GOOGLETRANSLATE(B1040, ""en"", ""zh-cn""))"),"产品类别")</f>
        <v>产品类别</v>
      </c>
      <c r="D1040" s="1" t="str">
        <f>IFERROR(__xludf.DUMMYFUNCTION("CONCATENATE(GOOGLETRANSLATE(B1040, ""en"", ""ko""))"),"제품 카테고리")</f>
        <v>제품 카테고리</v>
      </c>
      <c r="E1040" s="2" t="str">
        <f>IFERROR(__xludf.DUMMYFUNCTION("CONCATENATE(GOOGLETRANSLATE(B1040, ""en"", ""ja""))"),"製品カテゴリー")</f>
        <v>製品カテゴリー</v>
      </c>
    </row>
    <row r="1041" ht="15.75" customHeight="1">
      <c r="A1041" s="1" t="s">
        <v>2022</v>
      </c>
      <c r="B1041" s="1" t="s">
        <v>2023</v>
      </c>
      <c r="C1041" s="1" t="str">
        <f>IFERROR(__xludf.DUMMYFUNCTION("CONCATENATE(GOOGLETRANSLATE(B1041, ""en"", ""zh-cn""))"),"产品子子类")</f>
        <v>产品子子类</v>
      </c>
      <c r="D1041" s="1" t="str">
        <f>IFERROR(__xludf.DUMMYFUNCTION("CONCATENATE(GOOGLETRANSLATE(B1041, ""en"", ""ko""))"),"제품 하위 하위 카테고리")</f>
        <v>제품 하위 하위 카테고리</v>
      </c>
      <c r="E1041" s="2" t="str">
        <f>IFERROR(__xludf.DUMMYFUNCTION("CONCATENATE(GOOGLETRANSLATE(B1041, ""en"", ""ja""))"),"製品サブサブカテゴリ")</f>
        <v>製品サブサブカテゴリ</v>
      </c>
    </row>
    <row r="1042" ht="15.75" customHeight="1">
      <c r="A1042" s="1" t="s">
        <v>2024</v>
      </c>
      <c r="B1042" s="1" t="s">
        <v>2025</v>
      </c>
      <c r="C1042" s="1" t="str">
        <f>IFERROR(__xludf.DUMMYFUNCTION("CONCATENATE(GOOGLETRANSLATE(B1042, ""en"", ""zh-cn""))"),"产品子类别")</f>
        <v>产品子类别</v>
      </c>
      <c r="D1042" s="1" t="str">
        <f>IFERROR(__xludf.DUMMYFUNCTION("CONCATENATE(GOOGLETRANSLATE(B1042, ""en"", ""ko""))"),"제품 하위 카테고리")</f>
        <v>제품 하위 카테고리</v>
      </c>
      <c r="E1042" s="2" t="str">
        <f>IFERROR(__xludf.DUMMYFUNCTION("CONCATENATE(GOOGLETRANSLATE(B1042, ""en"", ""ja""))"),"製品サブカテゴリー")</f>
        <v>製品サブカテゴリー</v>
      </c>
    </row>
    <row r="1043" ht="15.75" customHeight="1">
      <c r="A1043" s="1" t="s">
        <v>2026</v>
      </c>
      <c r="B1043" s="1" t="s">
        <v>2027</v>
      </c>
      <c r="C1043" s="1" t="str">
        <f>IFERROR(__xludf.DUMMYFUNCTION("CONCATENATE(GOOGLETRANSLATE(B1043, ""en"", ""zh-cn""))"),"产品品牌")</f>
        <v>产品品牌</v>
      </c>
      <c r="D1043" s="1" t="str">
        <f>IFERROR(__xludf.DUMMYFUNCTION("CONCATENATE(GOOGLETRANSLATE(B1043, ""en"", ""ko""))"),"제품 브랜드")</f>
        <v>제품 브랜드</v>
      </c>
      <c r="E1043" s="2" t="str">
        <f>IFERROR(__xludf.DUMMYFUNCTION("CONCATENATE(GOOGLETRANSLATE(B1043, ""en"", ""ja""))"),"製品ブランド")</f>
        <v>製品ブランド</v>
      </c>
    </row>
    <row r="1044" ht="15.75" customHeight="1">
      <c r="A1044" s="1" t="s">
        <v>2028</v>
      </c>
      <c r="B1044" s="1" t="s">
        <v>2029</v>
      </c>
      <c r="C1044" s="1" t="str">
        <f>IFERROR(__xludf.DUMMYFUNCTION("CONCATENATE(GOOGLETRANSLATE(B1044, ""en"", ""zh-cn""))"),"顶级客户套餐")</f>
        <v>顶级客户套餐</v>
      </c>
      <c r="D1044" s="1" t="str">
        <f>IFERROR(__xludf.DUMMYFUNCTION("CONCATENATE(GOOGLETRANSLATE(B1044, ""en"", ""ko""))"),"상위 클라이언트 패키지")</f>
        <v>상위 클라이언트 패키지</v>
      </c>
      <c r="E1044" s="2" t="str">
        <f>IFERROR(__xludf.DUMMYFUNCTION("CONCATENATE(GOOGLETRANSLATE(B1044, ""en"", ""ja""))"),"トップクライアントパッケージ")</f>
        <v>トップクライアントパッケージ</v>
      </c>
    </row>
    <row r="1045" ht="15.75" customHeight="1">
      <c r="A1045" s="1" t="s">
        <v>2030</v>
      </c>
      <c r="B1045" s="1" t="s">
        <v>2031</v>
      </c>
      <c r="C1045" s="1" t="str">
        <f>IFERROR(__xludf.DUMMYFUNCTION("CONCATENATE(GOOGLETRANSLATE(B1045, ""en"", ""zh-cn""))"),"顶级自由职业者套餐")</f>
        <v>顶级自由职业者套餐</v>
      </c>
      <c r="D1045" s="1" t="str">
        <f>IFERROR(__xludf.DUMMYFUNCTION("CONCATENATE(GOOGLETRANSLATE(B1045, ""en"", ""ko""))"),"최고의 프리랜서 패키지")</f>
        <v>최고의 프리랜서 패키지</v>
      </c>
      <c r="E1045" s="2" t="str">
        <f>IFERROR(__xludf.DUMMYFUNCTION("CONCATENATE(GOOGLETRANSLATE(B1045, ""en"", ""ja""))"),"トップフリーランサーパッケージ")</f>
        <v>トップフリーランサーパッケージ</v>
      </c>
    </row>
    <row r="1046" ht="15.75" customHeight="1">
      <c r="A1046" s="1" t="s">
        <v>2032</v>
      </c>
      <c r="B1046" s="1" t="s">
        <v>2033</v>
      </c>
      <c r="C1046" s="1" t="str">
        <f>IFERROR(__xludf.DUMMYFUNCTION("CONCATENATE(GOOGLETRANSLATE(B1046, ""en"", ""zh-cn""))"),"销售数量")</f>
        <v>销售数量</v>
      </c>
      <c r="D1046" s="1" t="str">
        <f>IFERROR(__xludf.DUMMYFUNCTION("CONCATENATE(GOOGLETRANSLATE(B1046, ""en"", ""ko""))"),"판매수")</f>
        <v>판매수</v>
      </c>
      <c r="E1046" s="2" t="str">
        <f>IFERROR(__xludf.DUMMYFUNCTION("CONCATENATE(GOOGLETRANSLATE(B1046, ""en"", ""ja""))"),"販売数")</f>
        <v>販売数</v>
      </c>
    </row>
    <row r="1047" ht="15.75" customHeight="1">
      <c r="A1047" s="1" t="s">
        <v>2034</v>
      </c>
      <c r="B1047" s="1" t="s">
        <v>2035</v>
      </c>
      <c r="C1047" s="1" t="str">
        <f>IFERROR(__xludf.DUMMYFUNCTION("CONCATENATE(GOOGLETRANSLATE(B1047, ""en"", ""zh-cn""))"),"库存数量")</f>
        <v>库存数量</v>
      </c>
      <c r="D1047" s="1" t="str">
        <f>IFERROR(__xludf.DUMMYFUNCTION("CONCATENATE(GOOGLETRANSLATE(B1047, ""en"", ""ko""))"),"주식수")</f>
        <v>주식수</v>
      </c>
      <c r="E1047" s="2" t="str">
        <f>IFERROR(__xludf.DUMMYFUNCTION("CONCATENATE(GOOGLETRANSLATE(B1047, ""en"", ""ja""))"),"在庫数")</f>
        <v>在庫数</v>
      </c>
    </row>
    <row r="1048" ht="15.75" customHeight="1">
      <c r="A1048" s="1" t="s">
        <v>2036</v>
      </c>
      <c r="B1048" s="1" t="s">
        <v>2037</v>
      </c>
      <c r="C1048" s="1" t="str">
        <f>IFERROR(__xludf.DUMMYFUNCTION("CONCATENATE(GOOGLETRANSLATE(B1048, ""en"", ""zh-cn""))"),"十大产品")</f>
        <v>十大产品</v>
      </c>
      <c r="D1048" s="1" t="str">
        <f>IFERROR(__xludf.DUMMYFUNCTION("CONCATENATE(GOOGLETRANSLATE(B1048, ""en"", ""ko""))"),"상위 10개 제품")</f>
        <v>상위 10개 제품</v>
      </c>
      <c r="E1048" s="2" t="str">
        <f>IFERROR(__xludf.DUMMYFUNCTION("CONCATENATE(GOOGLETRANSLATE(B1048, ""en"", ""ja""))"),"上位 10 製品")</f>
        <v>上位 10 製品</v>
      </c>
    </row>
    <row r="1049" ht="15.75" customHeight="1">
      <c r="A1049" s="1" t="s">
        <v>2038</v>
      </c>
      <c r="B1049" s="1" t="s">
        <v>2039</v>
      </c>
      <c r="C1049" s="1" t="str">
        <f>IFERROR(__xludf.DUMMYFUNCTION("CONCATENATE(GOOGLETRANSLATE(B1049, ""en"", ""zh-cn""))"),"前 12 名产品")</f>
        <v>前 12 名产品</v>
      </c>
      <c r="D1049" s="1" t="str">
        <f>IFERROR(__xludf.DUMMYFUNCTION("CONCATENATE(GOOGLETRANSLATE(B1049, ""en"", ""ko""))"),"상위 12개 제품")</f>
        <v>상위 12개 제품</v>
      </c>
      <c r="E1049" s="2" t="str">
        <f>IFERROR(__xludf.DUMMYFUNCTION("CONCATENATE(GOOGLETRANSLATE(B1049, ""en"", ""ja""))"),"上位 12 製品")</f>
        <v>上位 12 製品</v>
      </c>
    </row>
    <row r="1050" ht="15.75" customHeight="1">
      <c r="A1050" s="1" t="s">
        <v>2040</v>
      </c>
      <c r="B1050" s="1" t="s">
        <v>2041</v>
      </c>
      <c r="C1050" s="1" t="str">
        <f>IFERROR(__xludf.DUMMYFUNCTION("CONCATENATE(GOOGLETRANSLATE(B1050, ""en"", ""zh-cn""))"),"管理员不能是卖家")</f>
        <v>管理员不能是卖家</v>
      </c>
      <c r="D1050" s="1" t="str">
        <f>IFERROR(__xludf.DUMMYFUNCTION("CONCATENATE(GOOGLETRANSLATE(B1050, ""en"", ""ko""))"),"관리자는 판매자가 될 수 없습니다")</f>
        <v>관리자는 판매자가 될 수 없습니다</v>
      </c>
      <c r="E1050" s="2" t="str">
        <f>IFERROR(__xludf.DUMMYFUNCTION("CONCATENATE(GOOGLETRANSLATE(B1050, ""en"", ""ja""))"),"管理者は販売者になることはできません")</f>
        <v>管理者は販売者になることはできません</v>
      </c>
    </row>
    <row r="1051" ht="15.75" customHeight="1">
      <c r="A1051" s="1" t="s">
        <v>2042</v>
      </c>
      <c r="B1051" s="1" t="s">
        <v>2043</v>
      </c>
      <c r="C1051" s="1" t="str">
        <f>IFERROR(__xludf.DUMMYFUNCTION("CONCATENATE(GOOGLETRANSLATE(B1051, ""en"", ""zh-cn""))"),"按评级过滤")</f>
        <v>按评级过滤</v>
      </c>
      <c r="D1051" s="1" t="str">
        <f>IFERROR(__xludf.DUMMYFUNCTION("CONCATENATE(GOOGLETRANSLATE(B1051, ""en"", ""ko""))"),"평점으로 필터링")</f>
        <v>평점으로 필터링</v>
      </c>
      <c r="E1051" s="2" t="str">
        <f>IFERROR(__xludf.DUMMYFUNCTION("CONCATENATE(GOOGLETRANSLATE(B1051, ""en"", ""ja""))"),"評価によるフィルター")</f>
        <v>評価によるフィルター</v>
      </c>
    </row>
    <row r="1052" ht="15.75" customHeight="1">
      <c r="A1052" s="1" t="s">
        <v>2044</v>
      </c>
      <c r="B1052" s="1" t="s">
        <v>2045</v>
      </c>
      <c r="C1052" s="1" t="str">
        <f>IFERROR(__xludf.DUMMYFUNCTION("CONCATENATE(GOOGLETRANSLATE(B1052, ""en"", ""zh-cn""))"),"已发布的评论已成功更新")</f>
        <v>已发布的评论已成功更新</v>
      </c>
      <c r="D1052" s="1" t="str">
        <f>IFERROR(__xludf.DUMMYFUNCTION("CONCATENATE(GOOGLETRANSLATE(B1052, ""en"", ""ko""))"),"게시된 리뷰가 업데이트되었습니다.")</f>
        <v>게시된 리뷰가 업데이트되었습니다.</v>
      </c>
      <c r="E1052" s="2" t="str">
        <f>IFERROR(__xludf.DUMMYFUNCTION("CONCATENATE(GOOGLETRANSLATE(B1052, ""en"", ""ja""))"),"公開されたレビューが正常に更新されました")</f>
        <v>公開されたレビューが正常に更新されました</v>
      </c>
    </row>
    <row r="1053" ht="15.75" customHeight="1">
      <c r="A1053" s="1" t="s">
        <v>2046</v>
      </c>
      <c r="B1053" s="1" t="s">
        <v>2047</v>
      </c>
      <c r="C1053" s="1" t="str">
        <f>IFERROR(__xludf.DUMMYFUNCTION("CONCATENATE(GOOGLETRANSLATE(B1053, ""en"", ""zh-cn""))"),"退款贴纸已成功更新")</f>
        <v>退款贴纸已成功更新</v>
      </c>
      <c r="D1053" s="1" t="str">
        <f>IFERROR(__xludf.DUMMYFUNCTION("CONCATENATE(GOOGLETRANSLATE(B1053, ""en"", ""ko""))"),"환불 스티커가 성공적으로 업데이트되었습니다.")</f>
        <v>환불 스티커가 성공적으로 업데이트되었습니다.</v>
      </c>
      <c r="E1053" s="2" t="str">
        <f>IFERROR(__xludf.DUMMYFUNCTION("CONCATENATE(GOOGLETRANSLATE(B1053, ""en"", ""ja""))"),"返金ステッカーが正常に更新されました")</f>
        <v>返金ステッカーが正常に更新されました</v>
      </c>
    </row>
    <row r="1054" ht="15.75" customHeight="1">
      <c r="A1054" s="1" t="s">
        <v>2048</v>
      </c>
      <c r="B1054" s="1" t="s">
        <v>2049</v>
      </c>
      <c r="C1054" s="1" t="str">
        <f>IFERROR(__xludf.DUMMYFUNCTION("CONCATENATE(GOOGLETRANSLATE(B1054, ""en"", ""zh-cn""))"),"编辑产品")</f>
        <v>编辑产品</v>
      </c>
      <c r="D1054" s="1" t="str">
        <f>IFERROR(__xludf.DUMMYFUNCTION("CONCATENATE(GOOGLETRANSLATE(B1054, ""en"", ""ko""))"),"제품 편집")</f>
        <v>제품 편집</v>
      </c>
      <c r="E1054" s="2" t="str">
        <f>IFERROR(__xludf.DUMMYFUNCTION("CONCATENATE(GOOGLETRANSLATE(B1054, ""en"", ""ja""))"),"製品の編集")</f>
        <v>製品の編集</v>
      </c>
    </row>
    <row r="1055" ht="15.75" customHeight="1">
      <c r="A1055" s="1" t="s">
        <v>2050</v>
      </c>
      <c r="B1055" s="1" t="s">
        <v>2051</v>
      </c>
      <c r="C1055" s="1" t="str">
        <f>IFERROR(__xludf.DUMMYFUNCTION("CONCATENATE(GOOGLETRANSLATE(B1055, ""en"", ""zh-cn""))"),"元图像")</f>
        <v>元图像</v>
      </c>
      <c r="D1055" s="1" t="str">
        <f>IFERROR(__xludf.DUMMYFUNCTION("CONCATENATE(GOOGLETRANSLATE(B1055, ""en"", ""ko""))"),"메타 이미지")</f>
        <v>메타 이미지</v>
      </c>
      <c r="E1055" s="2" t="str">
        <f>IFERROR(__xludf.DUMMYFUNCTION("CONCATENATE(GOOGLETRANSLATE(B1055, ""en"", ""ja""))"),"メタイメージ")</f>
        <v>メタイメージ</v>
      </c>
    </row>
    <row r="1056" ht="15.75" customHeight="1">
      <c r="A1056" s="1" t="s">
        <v>2052</v>
      </c>
      <c r="B1056" s="1" t="s">
        <v>2053</v>
      </c>
      <c r="C1056" s="1" t="str">
        <f>IFERROR(__xludf.DUMMYFUNCTION("CONCATENATE(GOOGLETRANSLATE(B1056, ""en"", ""zh-cn""))"),"更新产品")</f>
        <v>更新产品</v>
      </c>
      <c r="D1056" s="1" t="str">
        <f>IFERROR(__xludf.DUMMYFUNCTION("CONCATENATE(GOOGLETRANSLATE(B1056, ""en"", ""ko""))"),"제품 업데이트")</f>
        <v>제품 업데이트</v>
      </c>
      <c r="E1056" s="2" t="str">
        <f>IFERROR(__xludf.DUMMYFUNCTION("CONCATENATE(GOOGLETRANSLATE(B1056, ""en"", ""ja""))"),"製品を更新する")</f>
        <v>製品を更新する</v>
      </c>
    </row>
    <row r="1057" ht="15.75" customHeight="1">
      <c r="A1057" s="1" t="s">
        <v>2054</v>
      </c>
      <c r="B1057" s="1" t="s">
        <v>2055</v>
      </c>
      <c r="C1057" s="1" t="str">
        <f>IFERROR(__xludf.DUMMYFUNCTION("CONCATENATE(GOOGLETRANSLATE(B1057, ""en"", ""zh-cn""))"),"产品已成功删除")</f>
        <v>产品已成功删除</v>
      </c>
      <c r="D1057" s="1" t="str">
        <f>IFERROR(__xludf.DUMMYFUNCTION("CONCATENATE(GOOGLETRANSLATE(B1057, ""en"", ""ko""))"),"제품이 성공적으로 삭제되었습니다")</f>
        <v>제품이 성공적으로 삭제되었습니다</v>
      </c>
      <c r="E1057" s="2" t="str">
        <f>IFERROR(__xludf.DUMMYFUNCTION("CONCATENATE(GOOGLETRANSLATE(B1057, ""en"", ""ja""))"),"商品は正常に削除されました")</f>
        <v>商品は正常に削除されました</v>
      </c>
    </row>
    <row r="1058" ht="15.75" customHeight="1">
      <c r="A1058" s="1" t="s">
        <v>2056</v>
      </c>
      <c r="B1058" s="1" t="s">
        <v>2057</v>
      </c>
      <c r="C1058" s="1" t="str">
        <f>IFERROR(__xludf.DUMMYFUNCTION("CONCATENATE(GOOGLETRANSLATE(B1058, ""en"", ""zh-cn""))"),"您的个人资料已成功更新！")</f>
        <v>您的个人资料已成功更新！</v>
      </c>
      <c r="D1058" s="1" t="str">
        <f>IFERROR(__xludf.DUMMYFUNCTION("CONCATENATE(GOOGLETRANSLATE(B1058, ""en"", ""ko""))"),"귀하의 프로필이 성공적으로 업데이트되었습니다!")</f>
        <v>귀하의 프로필이 성공적으로 업데이트되었습니다!</v>
      </c>
      <c r="E1058" s="2" t="str">
        <f>IFERROR(__xludf.DUMMYFUNCTION("CONCATENATE(GOOGLETRANSLATE(B1058, ""en"", ""ja""))"),"プロフィールが正常に更新されました。")</f>
        <v>プロフィールが正常に更新されました。</v>
      </c>
    </row>
    <row r="1059" ht="15.75" customHeight="1">
      <c r="A1059" s="1" t="s">
        <v>2058</v>
      </c>
      <c r="B1059" s="1" t="s">
        <v>2059</v>
      </c>
      <c r="C1059" s="1" t="str">
        <f>IFERROR(__xludf.DUMMYFUNCTION("CONCATENATE(GOOGLETRANSLATE(B1059, ""en"", ""zh-cn""))"),"已达到上传限制。请升级您的套餐。")</f>
        <v>已达到上传限制。请升级您的套餐。</v>
      </c>
      <c r="D1059" s="1" t="str">
        <f>IFERROR(__xludf.DUMMYFUNCTION("CONCATENATE(GOOGLETRANSLATE(B1059, ""en"", ""ko""))"),"업로드 제한에 도달했습니다. 패키지를 업그레이드하세요.")</f>
        <v>업로드 제한에 도달했습니다. 패키지를 업그레이드하세요.</v>
      </c>
      <c r="E1059" s="2" t="str">
        <f>IFERROR(__xludf.DUMMYFUNCTION("CONCATENATE(GOOGLETRANSLATE(B1059, ""en"", ""ja""))"),"アップロード制限に達しました。パッケージをアップグレードしてください。")</f>
        <v>アップロード制限に達しました。パッケージをアップグレードしてください。</v>
      </c>
    </row>
    <row r="1060" ht="15.75" customHeight="1">
      <c r="A1060" s="1" t="s">
        <v>2060</v>
      </c>
      <c r="B1060" s="1" t="s">
        <v>2061</v>
      </c>
      <c r="C1060" s="1" t="str">
        <f>IFERROR(__xludf.DUMMYFUNCTION("CONCATENATE(GOOGLETRANSLATE(B1060, ""en"", ""zh-cn""))"),"添加您的产品")</f>
        <v>添加您的产品</v>
      </c>
      <c r="D1060" s="1" t="str">
        <f>IFERROR(__xludf.DUMMYFUNCTION("CONCATENATE(GOOGLETRANSLATE(B1060, ""en"", ""ko""))"),"제품 추가")</f>
        <v>제품 추가</v>
      </c>
      <c r="E1060" s="2" t="str">
        <f>IFERROR(__xludf.DUMMYFUNCTION("CONCATENATE(GOOGLETRANSLATE(B1060, ""en"", ""ja""))"),"製品を追加する")</f>
        <v>製品を追加する</v>
      </c>
    </row>
    <row r="1061" ht="15.75" customHeight="1">
      <c r="A1061" s="1" t="s">
        <v>2062</v>
      </c>
      <c r="B1061" s="1" t="s">
        <v>2063</v>
      </c>
      <c r="C1061" s="1" t="str">
        <f>IFERROR(__xludf.DUMMYFUNCTION("CONCATENATE(GOOGLETRANSLATE(B1061, ""en"", ""zh-cn""))"),"选择一个类别")</f>
        <v>选择一个类别</v>
      </c>
      <c r="D1061" s="1" t="str">
        <f>IFERROR(__xludf.DUMMYFUNCTION("CONCATENATE(GOOGLETRANSLATE(B1061, ""en"", ""ko""))"),"카테고리를 선택하세요")</f>
        <v>카테고리를 선택하세요</v>
      </c>
      <c r="E1061" s="2" t="str">
        <f>IFERROR(__xludf.DUMMYFUNCTION("CONCATENATE(GOOGLETRANSLATE(B1061, ""en"", ""ja""))"),"カテゴリを選択してください")</f>
        <v>カテゴリを選択してください</v>
      </c>
    </row>
    <row r="1062" ht="15.75" customHeight="1">
      <c r="A1062" s="1" t="s">
        <v>2064</v>
      </c>
      <c r="B1062" s="1" t="s">
        <v>2065</v>
      </c>
      <c r="C1062" s="1" t="str">
        <f>IFERROR(__xludf.DUMMYFUNCTION("CONCATENATE(GOOGLETRANSLATE(B1062, ""en"", ""zh-cn""))"),"选择品牌")</f>
        <v>选择品牌</v>
      </c>
      <c r="D1062" s="1" t="str">
        <f>IFERROR(__xludf.DUMMYFUNCTION("CONCATENATE(GOOGLETRANSLATE(B1062, ""en"", ""ko""))"),"브랜드를 선택하세요")</f>
        <v>브랜드를 선택하세요</v>
      </c>
      <c r="E1062" s="2" t="str">
        <f>IFERROR(__xludf.DUMMYFUNCTION("CONCATENATE(GOOGLETRANSLATE(B1062, ""en"", ""ja""))"),"ブランドを選択してください")</f>
        <v>ブランドを選択してください</v>
      </c>
    </row>
    <row r="1063" ht="15.75" customHeight="1">
      <c r="A1063" s="1" t="s">
        <v>2066</v>
      </c>
      <c r="B1063" s="1" t="s">
        <v>2067</v>
      </c>
      <c r="C1063" s="1" t="str">
        <f>IFERROR(__xludf.DUMMYFUNCTION("CONCATENATE(GOOGLETRANSLATE(B1063, ""en"", ""zh-cn""))"),"产品单位")</f>
        <v>产品单位</v>
      </c>
      <c r="D1063" s="1" t="str">
        <f>IFERROR(__xludf.DUMMYFUNCTION("CONCATENATE(GOOGLETRANSLATE(B1063, ""en"", ""ko""))"),"제품단위")</f>
        <v>제품단위</v>
      </c>
      <c r="E1063" s="2" t="str">
        <f>IFERROR(__xludf.DUMMYFUNCTION("CONCATENATE(GOOGLETRANSLATE(B1063, ""en"", ""ja""))"),"製品単位")</f>
        <v>製品単位</v>
      </c>
    </row>
    <row r="1064" ht="15.75" customHeight="1">
      <c r="A1064" s="1" t="s">
        <v>745</v>
      </c>
      <c r="B1064" s="1" t="s">
        <v>2068</v>
      </c>
      <c r="C1064" s="1" t="str">
        <f>IFERROR(__xludf.DUMMYFUNCTION("CONCATENATE(GOOGLETRANSLATE(B1064, ""en"", ""zh-cn""))"),"最小数量")</f>
        <v>最小数量</v>
      </c>
      <c r="D1064" s="1" t="str">
        <f>IFERROR(__xludf.DUMMYFUNCTION("CONCATENATE(GOOGLETRANSLATE(B1064, ""en"", ""ko""))"),"최소 수량")</f>
        <v>최소 수량</v>
      </c>
      <c r="E1064" s="2" t="str">
        <f>IFERROR(__xludf.DUMMYFUNCTION("CONCATENATE(GOOGLETRANSLATE(B1064, ""en"", ""ja""))"),"最小数量")</f>
        <v>最小数量</v>
      </c>
    </row>
    <row r="1065" ht="15.75" customHeight="1">
      <c r="A1065" s="1" t="s">
        <v>2069</v>
      </c>
      <c r="B1065" s="1" t="s">
        <v>2070</v>
      </c>
      <c r="C1065" s="1" t="str">
        <f>IFERROR(__xludf.DUMMYFUNCTION("CONCATENATE(GOOGLETRANSLATE(B1065, ""en"", ""zh-cn""))"),"产品标签")</f>
        <v>产品标签</v>
      </c>
      <c r="D1065" s="1" t="str">
        <f>IFERROR(__xludf.DUMMYFUNCTION("CONCATENATE(GOOGLETRANSLATE(B1065, ""en"", ""ko""))"),"제품 태그")</f>
        <v>제품 태그</v>
      </c>
      <c r="E1065" s="2" t="str">
        <f>IFERROR(__xludf.DUMMYFUNCTION("CONCATENATE(GOOGLETRANSLATE(B1065, ""en"", ""ja""))"),"製品タグ")</f>
        <v>製品タグ</v>
      </c>
    </row>
    <row r="1066" ht="15.75" customHeight="1">
      <c r="A1066" s="1" t="s">
        <v>2071</v>
      </c>
      <c r="B1066" s="1" t="s">
        <v>2072</v>
      </c>
      <c r="C1066" s="1" t="str">
        <f>IFERROR(__xludf.DUMMYFUNCTION("CONCATENATE(GOOGLETRANSLATE(B1066, ""en"", ""zh-cn""))"),"输入并按 Enter 键")</f>
        <v>输入并按 Enter 键</v>
      </c>
      <c r="D1066" s="1" t="str">
        <f>IFERROR(__xludf.DUMMYFUNCTION("CONCATENATE(GOOGLETRANSLATE(B1066, ""en"", ""ko""))"),"입력하고 Enter 키를 누르세요.")</f>
        <v>입력하고 Enter 키를 누르세요.</v>
      </c>
      <c r="E1066" s="2" t="str">
        <f>IFERROR(__xludf.DUMMYFUNCTION("CONCATENATE(GOOGLETRANSLATE(B1066, ""en"", ""ja""))"),"入力して Enter キーを押します")</f>
        <v>入力して Enter キーを押します</v>
      </c>
    </row>
    <row r="1067" ht="15.75" customHeight="1">
      <c r="A1067" s="1" t="s">
        <v>2073</v>
      </c>
      <c r="B1067" s="1" t="s">
        <v>2074</v>
      </c>
      <c r="C1067" s="1" t="str">
        <f>IFERROR(__xludf.DUMMYFUNCTION("CONCATENATE(GOOGLETRANSLATE(B1067, ""en"", ""zh-cn""))"),"视频")</f>
        <v>视频</v>
      </c>
      <c r="D1067" s="1" t="str">
        <f>IFERROR(__xludf.DUMMYFUNCTION("CONCATENATE(GOOGLETRANSLATE(B1067, ""en"", ""ko""))"),"비디오")</f>
        <v>비디오</v>
      </c>
      <c r="E1067" s="2" t="str">
        <f>IFERROR(__xludf.DUMMYFUNCTION("CONCATENATE(GOOGLETRANSLATE(B1067, ""en"", ""ja""))"),"動画")</f>
        <v>動画</v>
      </c>
    </row>
    <row r="1068" ht="15.75" customHeight="1">
      <c r="A1068" s="1" t="s">
        <v>2075</v>
      </c>
      <c r="B1068" s="1" t="s">
        <v>2076</v>
      </c>
      <c r="C1068" s="1" t="str">
        <f>IFERROR(__xludf.DUMMYFUNCTION("CONCATENATE(GOOGLETRANSLATE(B1068, ""en"", ""zh-cn""))"),"视频来自")</f>
        <v>视频来自</v>
      </c>
      <c r="D1068" s="1" t="str">
        <f>IFERROR(__xludf.DUMMYFUNCTION("CONCATENATE(GOOGLETRANSLATE(B1068, ""en"", ""ko""))"),"비디오 출처")</f>
        <v>비디오 출처</v>
      </c>
      <c r="E1068" s="2" t="str">
        <f>IFERROR(__xludf.DUMMYFUNCTION("CONCATENATE(GOOGLETRANSLATE(B1068, ""en"", ""ja""))"),"ビデオから")</f>
        <v>ビデオから</v>
      </c>
    </row>
    <row r="1069" ht="15.75" customHeight="1">
      <c r="A1069" s="1" t="s">
        <v>2077</v>
      </c>
      <c r="B1069" s="1" t="s">
        <v>2078</v>
      </c>
      <c r="C1069" s="1" t="str">
        <f>IFERROR(__xludf.DUMMYFUNCTION("CONCATENATE(GOOGLETRANSLATE(B1069, ""en"", ""zh-cn""))"),"视频网址")</f>
        <v>视频网址</v>
      </c>
      <c r="D1069" s="1" t="str">
        <f>IFERROR(__xludf.DUMMYFUNCTION("CONCATENATE(GOOGLETRANSLATE(B1069, ""en"", ""ko""))"),"비디오 URL")</f>
        <v>비디오 URL</v>
      </c>
      <c r="E1069" s="2" t="str">
        <f>IFERROR(__xludf.DUMMYFUNCTION("CONCATENATE(GOOGLETRANSLATE(B1069, ""en"", ""ja""))"),"動画のURL")</f>
        <v>動画のURL</v>
      </c>
    </row>
    <row r="1070" ht="15.75" customHeight="1">
      <c r="A1070" s="1" t="s">
        <v>2079</v>
      </c>
      <c r="B1070" s="1" t="s">
        <v>2080</v>
      </c>
      <c r="C1070" s="1" t="str">
        <f>IFERROR(__xludf.DUMMYFUNCTION("CONCATENATE(GOOGLETRANSLATE(B1070, ""en"", ""zh-cn""))"),"客户选择")</f>
        <v>客户选择</v>
      </c>
      <c r="D1070" s="1" t="str">
        <f>IFERROR(__xludf.DUMMYFUNCTION("CONCATENATE(GOOGLETRANSLATE(B1070, ""en"", ""ko""))"),"고객의 선택")</f>
        <v>고객의 선택</v>
      </c>
      <c r="E1070" s="2" t="str">
        <f>IFERROR(__xludf.DUMMYFUNCTION("CONCATENATE(GOOGLETRANSLATE(B1070, ""en"", ""ja""))"),"お客様の選択")</f>
        <v>お客様の選択</v>
      </c>
    </row>
    <row r="1071" ht="15.75" customHeight="1">
      <c r="A1071" s="1" t="s">
        <v>2081</v>
      </c>
      <c r="B1071" s="1" t="s">
        <v>2082</v>
      </c>
      <c r="C1071" s="1" t="str">
        <f>IFERROR(__xludf.DUMMYFUNCTION("CONCATENATE(GOOGLETRANSLATE(B1071, ""en"", ""zh-cn""))"),"PDF")</f>
        <v>PDF</v>
      </c>
      <c r="D1071" s="1" t="str">
        <f>IFERROR(__xludf.DUMMYFUNCTION("CONCATENATE(GOOGLETRANSLATE(B1071, ""en"", ""ko""))"),"PDF")</f>
        <v>PDF</v>
      </c>
      <c r="E1071" s="2" t="str">
        <f>IFERROR(__xludf.DUMMYFUNCTION("CONCATENATE(GOOGLETRANSLATE(B1071, ""en"", ""ja""))"),"PDF")</f>
        <v>PDF</v>
      </c>
    </row>
    <row r="1072" ht="15.75" customHeight="1">
      <c r="A1072" s="1" t="s">
        <v>2083</v>
      </c>
      <c r="B1072" s="1" t="s">
        <v>2084</v>
      </c>
      <c r="C1072" s="1" t="str">
        <f>IFERROR(__xludf.DUMMYFUNCTION("CONCATENATE(GOOGLETRANSLATE(B1072, ""en"", ""zh-cn""))"),"选择PDF")</f>
        <v>选择PDF</v>
      </c>
      <c r="D1072" s="1" t="str">
        <f>IFERROR(__xludf.DUMMYFUNCTION("CONCATENATE(GOOGLETRANSLATE(B1072, ""en"", ""ko""))"),"PDF를 선택하세요")</f>
        <v>PDF를 선택하세요</v>
      </c>
      <c r="E1072" s="2" t="str">
        <f>IFERROR(__xludf.DUMMYFUNCTION("CONCATENATE(GOOGLETRANSLATE(B1072, ""en"", ""ja""))"),"PDFを選択")</f>
        <v>PDFを選択</v>
      </c>
    </row>
    <row r="1073" ht="15.75" customHeight="1">
      <c r="A1073" s="1" t="s">
        <v>2085</v>
      </c>
      <c r="B1073" s="1" t="s">
        <v>2086</v>
      </c>
      <c r="C1073" s="1" t="str">
        <f>IFERROR(__xludf.DUMMYFUNCTION("CONCATENATE(GOOGLETRANSLATE(B1073, ""en"", ""zh-cn""))"),"选择类别")</f>
        <v>选择类别</v>
      </c>
      <c r="D1073" s="1" t="str">
        <f>IFERROR(__xludf.DUMMYFUNCTION("CONCATENATE(GOOGLETRANSLATE(B1073, ""en"", ""ko""))"),"카테고리 선택")</f>
        <v>카테고리 선택</v>
      </c>
      <c r="E1073" s="2" t="str">
        <f>IFERROR(__xludf.DUMMYFUNCTION("CONCATENATE(GOOGLETRANSLATE(B1073, ""en"", ""ja""))"),"カテゴリの選択")</f>
        <v>カテゴリの選択</v>
      </c>
    </row>
    <row r="1074" ht="15.75" customHeight="1">
      <c r="A1074" s="1" t="s">
        <v>2087</v>
      </c>
      <c r="B1074" s="1" t="s">
        <v>2088</v>
      </c>
      <c r="C1074" s="1" t="str">
        <f>IFERROR(__xludf.DUMMYFUNCTION("CONCATENATE(GOOGLETRANSLATE(B1074, ""en"", ""zh-cn""))"),"目标类别")</f>
        <v>目标类别</v>
      </c>
      <c r="D1074" s="1" t="str">
        <f>IFERROR(__xludf.DUMMYFUNCTION("CONCATENATE(GOOGLETRANSLATE(B1074, ""en"", ""ko""))"),"대상 카테고리")</f>
        <v>대상 카테고리</v>
      </c>
      <c r="E1074" s="2" t="str">
        <f>IFERROR(__xludf.DUMMYFUNCTION("CONCATENATE(GOOGLETRANSLATE(B1074, ""en"", ""ja""))"),"対象カテゴリー")</f>
        <v>対象カテゴリー</v>
      </c>
    </row>
    <row r="1075" ht="15.75" customHeight="1">
      <c r="A1075" s="1" t="s">
        <v>2089</v>
      </c>
      <c r="B1075" s="1" t="s">
        <v>2089</v>
      </c>
      <c r="C1075" s="1" t="str">
        <f>IFERROR(__xludf.DUMMYFUNCTION("CONCATENATE(GOOGLETRANSLATE(B1075, ""en"", ""zh-cn""))"),"子子类")</f>
        <v>子子类</v>
      </c>
      <c r="D1075" s="1" t="str">
        <f>IFERROR(__xludf.DUMMYFUNCTION("CONCATENATE(GOOGLETRANSLATE(B1075, ""en"", ""ko""))"),"하위 카테고리")</f>
        <v>하위 카테고리</v>
      </c>
      <c r="E1075" s="2" t="str">
        <f>IFERROR(__xludf.DUMMYFUNCTION("CONCATENATE(GOOGLETRANSLATE(B1075, ""en"", ""ja""))"),"サブサブカテゴリ")</f>
        <v>サブサブカテゴリ</v>
      </c>
    </row>
    <row r="1076" ht="15.75" customHeight="1">
      <c r="A1076" s="1" t="s">
        <v>2090</v>
      </c>
      <c r="B1076" s="1" t="s">
        <v>2091</v>
      </c>
      <c r="C1076" s="1" t="str">
        <f>IFERROR(__xludf.DUMMYFUNCTION("CONCATENATE(GOOGLETRANSLATE(B1076, ""en"", ""zh-cn""))"),"搜索类别")</f>
        <v>搜索类别</v>
      </c>
      <c r="D1076" s="1" t="str">
        <f>IFERROR(__xludf.DUMMYFUNCTION("CONCATENATE(GOOGLETRANSLATE(B1076, ""en"", ""ko""))"),"카테고리 검색")</f>
        <v>카테고리 검색</v>
      </c>
      <c r="E1076" s="2" t="str">
        <f>IFERROR(__xludf.DUMMYFUNCTION("CONCATENATE(GOOGLETRANSLATE(B1076, ""en"", ""ja""))"),"検索カテゴリー")</f>
        <v>検索カテゴリー</v>
      </c>
    </row>
    <row r="1077" ht="15.75" customHeight="1">
      <c r="A1077" s="1" t="s">
        <v>2092</v>
      </c>
      <c r="B1077" s="1" t="s">
        <v>2093</v>
      </c>
      <c r="C1077" s="1" t="str">
        <f>IFERROR(__xludf.DUMMYFUNCTION("CONCATENATE(GOOGLETRANSLATE(B1077, ""en"", ""zh-cn""))"),"搜索子类别")</f>
        <v>搜索子类别</v>
      </c>
      <c r="D1077" s="1" t="str">
        <f>IFERROR(__xludf.DUMMYFUNCTION("CONCATENATE(GOOGLETRANSLATE(B1077, ""en"", ""ko""))"),"하위 카테고리 검색")</f>
        <v>하위 카테고리 검색</v>
      </c>
      <c r="E1077" s="2" t="str">
        <f>IFERROR(__xludf.DUMMYFUNCTION("CONCATENATE(GOOGLETRANSLATE(B1077, ""en"", ""ja""))"),"サブカテゴリーの検索")</f>
        <v>サブカテゴリーの検索</v>
      </c>
    </row>
    <row r="1078" ht="15.75" customHeight="1">
      <c r="A1078" s="1" t="s">
        <v>2094</v>
      </c>
      <c r="B1078" s="1" t="s">
        <v>2095</v>
      </c>
      <c r="C1078" s="1" t="str">
        <f>IFERROR(__xludf.DUMMYFUNCTION("CONCATENATE(GOOGLETRANSLATE(B1078, ""en"", ""zh-cn""))"),"搜索子子类别")</f>
        <v>搜索子子类别</v>
      </c>
      <c r="D1078" s="1" t="str">
        <f>IFERROR(__xludf.DUMMYFUNCTION("CONCATENATE(GOOGLETRANSLATE(B1078, ""en"", ""ko""))"),"하위 하위 카테고리 검색")</f>
        <v>하위 하위 카테고리 검색</v>
      </c>
      <c r="E1078" s="2" t="str">
        <f>IFERROR(__xludf.DUMMYFUNCTION("CONCATENATE(GOOGLETRANSLATE(B1078, ""en"", ""ja""))"),"サブサブカテゴリーを検索")</f>
        <v>サブサブカテゴリーを検索</v>
      </c>
    </row>
    <row r="1079" ht="15.75" customHeight="1">
      <c r="A1079" s="1" t="s">
        <v>2096</v>
      </c>
      <c r="B1079" s="1" t="s">
        <v>2097</v>
      </c>
      <c r="C1079" s="1" t="str">
        <f>IFERROR(__xludf.DUMMYFUNCTION("CONCATENATE(GOOGLETRANSLATE(B1079, ""en"", ""zh-cn""))"),"更新您的产品")</f>
        <v>更新您的产品</v>
      </c>
      <c r="D1079" s="1" t="str">
        <f>IFERROR(__xludf.DUMMYFUNCTION("CONCATENATE(GOOGLETRANSLATE(B1079, ""en"", ""ko""))"),"제품 업데이트")</f>
        <v>제품 업데이트</v>
      </c>
      <c r="E1079" s="2" t="str">
        <f>IFERROR(__xludf.DUMMYFUNCTION("CONCATENATE(GOOGLETRANSLATE(B1079, ""en"", ""ja""))"),"製品をアップデートする")</f>
        <v>製品をアップデートする</v>
      </c>
    </row>
    <row r="1080" ht="15.75" customHeight="1">
      <c r="A1080" s="1" t="s">
        <v>2098</v>
      </c>
      <c r="B1080" s="1" t="s">
        <v>2099</v>
      </c>
      <c r="C1080" s="1" t="str">
        <f>IFERROR(__xludf.DUMMYFUNCTION("CONCATENATE(GOOGLETRANSLATE(B1080, ""en"", ""zh-cn""))"),"产品已成功更新")</f>
        <v>产品已成功更新</v>
      </c>
      <c r="D1080" s="1" t="str">
        <f>IFERROR(__xludf.DUMMYFUNCTION("CONCATENATE(GOOGLETRANSLATE(B1080, ""en"", ""ko""))"),"제품이 성공적으로 업데이트되었습니다.")</f>
        <v>제품이 성공적으로 업데이트되었습니다.</v>
      </c>
      <c r="E1080" s="2" t="str">
        <f>IFERROR(__xludf.DUMMYFUNCTION("CONCATENATE(GOOGLETRANSLATE(B1080, ""en"", ""ja""))"),"製品は正常に更新されました")</f>
        <v>製品は正常に更新されました</v>
      </c>
    </row>
    <row r="1081" ht="15.75" customHeight="1">
      <c r="A1081" s="1" t="s">
        <v>2100</v>
      </c>
      <c r="B1081" s="1" t="s">
        <v>2101</v>
      </c>
      <c r="C1081" s="1" t="str">
        <f>IFERROR(__xludf.DUMMYFUNCTION("CONCATENATE(GOOGLETRANSLATE(B1081, ""en"", ""zh-cn""))"),"添加您的数字产品")</f>
        <v>添加您的数字产品</v>
      </c>
      <c r="D1081" s="1" t="str">
        <f>IFERROR(__xludf.DUMMYFUNCTION("CONCATENATE(GOOGLETRANSLATE(B1081, ""en"", ""ko""))"),"디지털 제품 추가")</f>
        <v>디지털 제품 추가</v>
      </c>
      <c r="E1081" s="2" t="str">
        <f>IFERROR(__xludf.DUMMYFUNCTION("CONCATENATE(GOOGLETRANSLATE(B1081, ""en"", ""ja""))"),"デジタル製品を追加する")</f>
        <v>デジタル製品を追加する</v>
      </c>
    </row>
    <row r="1082" ht="15.75" customHeight="1">
      <c r="A1082" s="1" t="s">
        <v>2102</v>
      </c>
      <c r="B1082" s="1" t="s">
        <v>2103</v>
      </c>
      <c r="C1082" s="1" t="str">
        <f>IFERROR(__xludf.DUMMYFUNCTION("CONCATENATE(GOOGLETRANSLATE(B1082, ""en"", ""zh-cn""))"),"活跃的电子商务 CMS 更新流程")</f>
        <v>活跃的电子商务 CMS 更新流程</v>
      </c>
      <c r="D1082" s="1" t="str">
        <f>IFERROR(__xludf.DUMMYFUNCTION("CONCATENATE(GOOGLETRANSLATE(B1082, ""en"", ""ko""))"),"활성 전자상거래 CMS 업데이트 프로세스")</f>
        <v>활성 전자상거래 CMS 업데이트 프로세스</v>
      </c>
      <c r="E1082" s="2" t="str">
        <f>IFERROR(__xludf.DUMMYFUNCTION("CONCATENATE(GOOGLETRANSLATE(B1082, ""en"", ""ja""))"),"アクティブな e コマース CMS 更新プロセス")</f>
        <v>アクティブな e コマース CMS 更新プロセス</v>
      </c>
    </row>
    <row r="1083" ht="15.75" customHeight="1">
      <c r="A1083" s="1" t="s">
        <v>2104</v>
      </c>
      <c r="B1083" s="1" t="s">
        <v>2105</v>
      </c>
      <c r="C1083" s="1" t="str">
        <f>IFERROR(__xludf.DUMMYFUNCTION("CONCATENATE(GOOGLETRANSLATE(B1083, ""en"", ""zh-cn""))"),"Codecanyon 购买代码")</f>
        <v>Codecanyon 购买代码</v>
      </c>
      <c r="D1083" s="1" t="str">
        <f>IFERROR(__xludf.DUMMYFUNCTION("CONCATENATE(GOOGLETRANSLATE(B1083, ""en"", ""ko""))"),"코드캐년 구매코드")</f>
        <v>코드캐년 구매코드</v>
      </c>
      <c r="E1083" s="2" t="str">
        <f>IFERROR(__xludf.DUMMYFUNCTION("CONCATENATE(GOOGLETRANSLATE(B1083, ""en"", ""ja""))"),"コードキャニオン購入コード")</f>
        <v>コードキャニオン購入コード</v>
      </c>
    </row>
    <row r="1084" ht="15.75" customHeight="1">
      <c r="A1084" s="1" t="s">
        <v>2106</v>
      </c>
      <c r="B1084" s="1" t="s">
        <v>2107</v>
      </c>
      <c r="C1084" s="1" t="str">
        <f>IFERROR(__xludf.DUMMYFUNCTION("CONCATENATE(GOOGLETRANSLATE(B1084, ""en"", ""zh-cn""))"),"数据库名称")</f>
        <v>数据库名称</v>
      </c>
      <c r="D1084" s="1" t="str">
        <f>IFERROR(__xludf.DUMMYFUNCTION("CONCATENATE(GOOGLETRANSLATE(B1084, ""en"", ""ko""))"),"데이터베이스 이름")</f>
        <v>데이터베이스 이름</v>
      </c>
      <c r="E1084" s="2" t="str">
        <f>IFERROR(__xludf.DUMMYFUNCTION("CONCATENATE(GOOGLETRANSLATE(B1084, ""en"", ""ja""))"),"データベース名")</f>
        <v>データベース名</v>
      </c>
    </row>
    <row r="1085" ht="15.75" customHeight="1">
      <c r="A1085" s="1" t="s">
        <v>2108</v>
      </c>
      <c r="B1085" s="1" t="s">
        <v>2109</v>
      </c>
      <c r="C1085" s="1" t="str">
        <f>IFERROR(__xludf.DUMMYFUNCTION("CONCATENATE(GOOGLETRANSLATE(B1085, ""en"", ""zh-cn""))"),"数据库用户名")</f>
        <v>数据库用户名</v>
      </c>
      <c r="D1085" s="1" t="str">
        <f>IFERROR(__xludf.DUMMYFUNCTION("CONCATENATE(GOOGLETRANSLATE(B1085, ""en"", ""ko""))"),"데이터베이스 사용자 이름")</f>
        <v>데이터베이스 사용자 이름</v>
      </c>
      <c r="E1085" s="2" t="str">
        <f>IFERROR(__xludf.DUMMYFUNCTION("CONCATENATE(GOOGLETRANSLATE(B1085, ""en"", ""ja""))"),"データベースのユーザー名")</f>
        <v>データベースのユーザー名</v>
      </c>
    </row>
    <row r="1086" ht="15.75" customHeight="1">
      <c r="A1086" s="1" t="s">
        <v>2110</v>
      </c>
      <c r="B1086" s="1" t="s">
        <v>2111</v>
      </c>
      <c r="C1086" s="1" t="str">
        <f>IFERROR(__xludf.DUMMYFUNCTION("CONCATENATE(GOOGLETRANSLATE(B1086, ""en"", ""zh-cn""))"),"数据库密码")</f>
        <v>数据库密码</v>
      </c>
      <c r="D1086" s="1" t="str">
        <f>IFERROR(__xludf.DUMMYFUNCTION("CONCATENATE(GOOGLETRANSLATE(B1086, ""en"", ""ko""))"),"데이터베이스 비밀번호")</f>
        <v>데이터베이스 비밀번호</v>
      </c>
      <c r="E1086" s="2" t="str">
        <f>IFERROR(__xludf.DUMMYFUNCTION("CONCATENATE(GOOGLETRANSLATE(B1086, ""en"", ""ja""))"),"データベースのパスワード")</f>
        <v>データベースのパスワード</v>
      </c>
    </row>
    <row r="1087" ht="15.75" customHeight="1">
      <c r="A1087" s="1" t="s">
        <v>2112</v>
      </c>
      <c r="B1087" s="1" t="s">
        <v>2113</v>
      </c>
      <c r="C1087" s="1" t="str">
        <f>IFERROR(__xludf.DUMMYFUNCTION("CONCATENATE(GOOGLETRANSLATE(B1087, ""en"", ""zh-cn""))"),"数据库主机名")</f>
        <v>数据库主机名</v>
      </c>
      <c r="D1087" s="1" t="str">
        <f>IFERROR(__xludf.DUMMYFUNCTION("CONCATENATE(GOOGLETRANSLATE(B1087, ""en"", ""ko""))"),"데이터베이스 호스트 이름")</f>
        <v>데이터베이스 호스트 이름</v>
      </c>
      <c r="E1087" s="2" t="str">
        <f>IFERROR(__xludf.DUMMYFUNCTION("CONCATENATE(GOOGLETRANSLATE(B1087, ""en"", ""ja""))"),"データベースのホスト名")</f>
        <v>データベースのホスト名</v>
      </c>
    </row>
    <row r="1088" ht="15.75" customHeight="1">
      <c r="A1088" s="1" t="s">
        <v>2114</v>
      </c>
      <c r="B1088" s="1" t="s">
        <v>2115</v>
      </c>
      <c r="C1088" s="1" t="str">
        <f>IFERROR(__xludf.DUMMYFUNCTION("CONCATENATE(GOOGLETRANSLATE(B1088, ""en"", ""zh-cn""))"),"立即更新")</f>
        <v>立即更新</v>
      </c>
      <c r="D1088" s="1" t="str">
        <f>IFERROR(__xludf.DUMMYFUNCTION("CONCATENATE(GOOGLETRANSLATE(B1088, ""en"", ""ko""))"),"지금 업데이트")</f>
        <v>지금 업데이트</v>
      </c>
      <c r="E1088" s="2" t="str">
        <f>IFERROR(__xludf.DUMMYFUNCTION("CONCATENATE(GOOGLETRANSLATE(B1088, ""en"", ""ja""))"),"今すぐアップデート")</f>
        <v>今すぐアップデート</v>
      </c>
    </row>
    <row r="1089" ht="15.75" customHeight="1">
      <c r="A1089" s="1" t="s">
        <v>2116</v>
      </c>
      <c r="B1089" s="1" t="s">
        <v>2117</v>
      </c>
      <c r="C1089" s="1" t="str">
        <f>IFERROR(__xludf.DUMMYFUNCTION("CONCATENATE(GOOGLETRANSLATE(B1089, ""en"", ""zh-cn""))"),"恭喜你")</f>
        <v>恭喜你</v>
      </c>
      <c r="D1089" s="1" t="str">
        <f>IFERROR(__xludf.DUMMYFUNCTION("CONCATENATE(GOOGLETRANSLATE(B1089, ""en"", ""ko""))"),"축하해요")</f>
        <v>축하해요</v>
      </c>
      <c r="E1089" s="2" t="str">
        <f>IFERROR(__xludf.DUMMYFUNCTION("CONCATENATE(GOOGLETRANSLATE(B1089, ""en"", ""ja""))"),"おめでとう")</f>
        <v>おめでとう</v>
      </c>
    </row>
    <row r="1090" ht="15.75" customHeight="1">
      <c r="A1090" s="1" t="s">
        <v>2118</v>
      </c>
      <c r="B1090" s="1" t="s">
        <v>2119</v>
      </c>
      <c r="C1090" s="1" t="str">
        <f>IFERROR(__xludf.DUMMYFUNCTION("CONCATENATE(GOOGLETRANSLATE(B1090, ""en"", ""zh-cn""))"),"您已成功完成更新过程。请登录以继续")</f>
        <v>您已成功完成更新过程。请登录以继续</v>
      </c>
      <c r="D1090" s="1" t="str">
        <f>IFERROR(__xludf.DUMMYFUNCTION("CONCATENATE(GOOGLETRANSLATE(B1090, ""en"", ""ko""))"),"업데이트 프로세스를 성공적으로 완료했습니다. 계속하려면 로그인하세요")</f>
        <v>업데이트 프로세스를 성공적으로 완료했습니다. 계속하려면 로그인하세요</v>
      </c>
      <c r="E1090" s="2" t="str">
        <f>IFERROR(__xludf.DUMMYFUNCTION("CONCATENATE(GOOGLETRANSLATE(B1090, ""en"", ""ja""))"),"更新プロセスが正常に完了しました。続行するにはログインしてください")</f>
        <v>更新プロセスが正常に完了しました。続行するにはログインしてください</v>
      </c>
    </row>
    <row r="1091" ht="15.75" customHeight="1">
      <c r="A1091" s="1" t="s">
        <v>2120</v>
      </c>
      <c r="B1091" s="1" t="s">
        <v>2121</v>
      </c>
      <c r="C1091" s="1" t="str">
        <f>IFERROR(__xludf.DUMMYFUNCTION("CONCATENATE(GOOGLETRANSLATE(B1091, ""en"", ""zh-cn""))"),"回到首页")</f>
        <v>回到首页</v>
      </c>
      <c r="D1091" s="1" t="str">
        <f>IFERROR(__xludf.DUMMYFUNCTION("CONCATENATE(GOOGLETRANSLATE(B1091, ""en"", ""ko""))"),"홈으로 이동")</f>
        <v>홈으로 이동</v>
      </c>
      <c r="E1091" s="2" t="str">
        <f>IFERROR(__xludf.DUMMYFUNCTION("CONCATENATE(GOOGLETRANSLATE(B1091, ""en"", ""ja""))"),"ホームへ行く")</f>
        <v>ホームへ行く</v>
      </c>
    </row>
    <row r="1092" ht="15.75" customHeight="1">
      <c r="A1092" s="1" t="s">
        <v>2122</v>
      </c>
      <c r="B1092" s="1" t="s">
        <v>2123</v>
      </c>
      <c r="C1092" s="1" t="str">
        <f>IFERROR(__xludf.DUMMYFUNCTION("CONCATENATE(GOOGLETRANSLATE(B1092, ""en"", ""zh-cn""))"),"登录管理面板")</f>
        <v>登录管理面板</v>
      </c>
      <c r="D1092" s="1" t="str">
        <f>IFERROR(__xludf.DUMMYFUNCTION("CONCATENATE(GOOGLETRANSLATE(B1092, ""en"", ""ko""))"),"관리자 패널에 로그인")</f>
        <v>관리자 패널에 로그인</v>
      </c>
      <c r="E1092" s="2" t="str">
        <f>IFERROR(__xludf.DUMMYFUNCTION("CONCATENATE(GOOGLETRANSLATE(B1092, ""en"", ""ja""))"),"管理パネルにログイン")</f>
        <v>管理パネルにログイン</v>
      </c>
    </row>
    <row r="1093" ht="15.75" customHeight="1">
      <c r="A1093" s="1" t="s">
        <v>2124</v>
      </c>
      <c r="B1093" s="1" t="s">
        <v>2125</v>
      </c>
      <c r="C1093" s="1" t="str">
        <f>IFERROR(__xludf.DUMMYFUNCTION("CONCATENATE(GOOGLETRANSLATE(B1093, ""en"", ""zh-cn""))"),"S3 文件系统凭证")</f>
        <v>S3 文件系统凭证</v>
      </c>
      <c r="D1093" s="1" t="str">
        <f>IFERROR(__xludf.DUMMYFUNCTION("CONCATENATE(GOOGLETRANSLATE(B1093, ""en"", ""ko""))"),"S3 파일 시스템 자격 증명")</f>
        <v>S3 파일 시스템 자격 증명</v>
      </c>
      <c r="E1093" s="2" t="str">
        <f>IFERROR(__xludf.DUMMYFUNCTION("CONCATENATE(GOOGLETRANSLATE(B1093, ""en"", ""ja""))"),"S3 ファイル システムの認証情報")</f>
        <v>S3 ファイル システムの認証情報</v>
      </c>
    </row>
    <row r="1094" ht="15.75" customHeight="1">
      <c r="A1094" s="1" t="s">
        <v>2126</v>
      </c>
      <c r="B1094" s="1" t="s">
        <v>2127</v>
      </c>
      <c r="C1094" s="1" t="str">
        <f>IFERROR(__xludf.DUMMYFUNCTION("CONCATENATE(GOOGLETRANSLATE(B1094, ""en"", ""zh-cn""))"),"AWS_ACCESS_KEY_ID")</f>
        <v>AWS_ACCESS_KEY_ID</v>
      </c>
      <c r="D1094" s="1" t="str">
        <f>IFERROR(__xludf.DUMMYFUNCTION("CONCATENATE(GOOGLETRANSLATE(B1094, ""en"", ""ko""))"),"AWS_ACCESS_KEY_ID")</f>
        <v>AWS_ACCESS_KEY_ID</v>
      </c>
      <c r="E1094" s="2" t="str">
        <f>IFERROR(__xludf.DUMMYFUNCTION("CONCATENATE(GOOGLETRANSLATE(B1094, ""en"", ""ja""))"),"AWS_ACCESS_KEY_ID")</f>
        <v>AWS_ACCESS_KEY_ID</v>
      </c>
    </row>
    <row r="1095" ht="15.75" customHeight="1">
      <c r="A1095" s="1" t="s">
        <v>2128</v>
      </c>
      <c r="B1095" s="1" t="s">
        <v>2129</v>
      </c>
      <c r="C1095" s="1" t="str">
        <f>IFERROR(__xludf.DUMMYFUNCTION("CONCATENATE(GOOGLETRANSLATE(B1095, ""en"", ""zh-cn""))"),"AWS_SECRET_ACCESS_KEY")</f>
        <v>AWS_SECRET_ACCESS_KEY</v>
      </c>
      <c r="D1095" s="1" t="str">
        <f>IFERROR(__xludf.DUMMYFUNCTION("CONCATENATE(GOOGLETRANSLATE(B1095, ""en"", ""ko""))"),"AWS_SECRET_ACCESS_KEY")</f>
        <v>AWS_SECRET_ACCESS_KEY</v>
      </c>
      <c r="E1095" s="2" t="str">
        <f>IFERROR(__xludf.DUMMYFUNCTION("CONCATENATE(GOOGLETRANSLATE(B1095, ""en"", ""ja""))"),"AWS_SECRET_ACCESS_KEY")</f>
        <v>AWS_SECRET_ACCESS_KEY</v>
      </c>
    </row>
    <row r="1096" ht="15.75" customHeight="1">
      <c r="A1096" s="1" t="s">
        <v>2130</v>
      </c>
      <c r="B1096" s="1" t="s">
        <v>2131</v>
      </c>
      <c r="C1096" s="1" t="str">
        <f>IFERROR(__xludf.DUMMYFUNCTION("CONCATENATE(GOOGLETRANSLATE(B1096, ""en"", ""zh-cn""))"),"AWS_DEFAULT_REGION")</f>
        <v>AWS_DEFAULT_REGION</v>
      </c>
      <c r="D1096" s="1" t="str">
        <f>IFERROR(__xludf.DUMMYFUNCTION("CONCATENATE(GOOGLETRANSLATE(B1096, ""en"", ""ko""))"),"AWS_DEFAULT_REGION")</f>
        <v>AWS_DEFAULT_REGION</v>
      </c>
      <c r="E1096" s="2" t="str">
        <f>IFERROR(__xludf.DUMMYFUNCTION("CONCATENATE(GOOGLETRANSLATE(B1096, ""en"", ""ja""))"),"AWS_DEFAULT_REGION")</f>
        <v>AWS_DEFAULT_REGION</v>
      </c>
    </row>
    <row r="1097" ht="15.75" customHeight="1">
      <c r="A1097" s="1" t="s">
        <v>2132</v>
      </c>
      <c r="B1097" s="1" t="s">
        <v>2133</v>
      </c>
      <c r="C1097" s="1" t="str">
        <f>IFERROR(__xludf.DUMMYFUNCTION("CONCATENATE(GOOGLETRANSLATE(B1097, ""en"", ""zh-cn""))"),"AWS_桶")</f>
        <v>AWS_桶</v>
      </c>
      <c r="D1097" s="1" t="str">
        <f>IFERROR(__xludf.DUMMYFUNCTION("CONCATENATE(GOOGLETRANSLATE(B1097, ""en"", ""ko""))"),"AWS_BUCKET")</f>
        <v>AWS_BUCKET</v>
      </c>
      <c r="E1097" s="2" t="str">
        <f>IFERROR(__xludf.DUMMYFUNCTION("CONCATENATE(GOOGLETRANSLATE(B1097, ""en"", ""ja""))"),"AWS_BUCKET")</f>
        <v>AWS_BUCKET</v>
      </c>
    </row>
    <row r="1098" ht="15.75" customHeight="1">
      <c r="A1098" s="1" t="s">
        <v>2134</v>
      </c>
      <c r="B1098" s="1" t="s">
        <v>2135</v>
      </c>
      <c r="C1098" s="1" t="str">
        <f>IFERROR(__xludf.DUMMYFUNCTION("CONCATENATE(GOOGLETRANSLATE(B1098, ""en"", ""zh-cn""))"),"AWS_URL")</f>
        <v>AWS_URL</v>
      </c>
      <c r="D1098" s="1" t="str">
        <f>IFERROR(__xludf.DUMMYFUNCTION("CONCATENATE(GOOGLETRANSLATE(B1098, ""en"", ""ko""))"),"AWS_URL")</f>
        <v>AWS_URL</v>
      </c>
      <c r="E1098" s="2" t="str">
        <f>IFERROR(__xludf.DUMMYFUNCTION("CONCATENATE(GOOGLETRANSLATE(B1098, ""en"", ""ja""))"),"AWS_URL")</f>
        <v>AWS_URL</v>
      </c>
    </row>
    <row r="1099" ht="15.75" customHeight="1">
      <c r="A1099" s="1" t="s">
        <v>2136</v>
      </c>
      <c r="B1099" s="1" t="s">
        <v>2137</v>
      </c>
      <c r="C1099" s="1" t="str">
        <f>IFERROR(__xludf.DUMMYFUNCTION("CONCATENATE(GOOGLETRANSLATE(B1099, ""en"", ""zh-cn""))"),"S3文件系统激活")</f>
        <v>S3文件系统激活</v>
      </c>
      <c r="D1099" s="1" t="str">
        <f>IFERROR(__xludf.DUMMYFUNCTION("CONCATENATE(GOOGLETRANSLATE(B1099, ""en"", ""ko""))"),"S3 파일 시스템 활성화")</f>
        <v>S3 파일 시스템 활성화</v>
      </c>
      <c r="E1099" s="2" t="str">
        <f>IFERROR(__xludf.DUMMYFUNCTION("CONCATENATE(GOOGLETRANSLATE(B1099, ""en"", ""ja""))"),"S3 ファイル システムのアクティベーション")</f>
        <v>S3 ファイル システムのアクティベーション</v>
      </c>
    </row>
    <row r="1100" ht="15.75" customHeight="1">
      <c r="A1100" s="1" t="s">
        <v>2138</v>
      </c>
      <c r="B1100" s="1" t="s">
        <v>2139</v>
      </c>
      <c r="C1100" s="1" t="str">
        <f>IFERROR(__xludf.DUMMYFUNCTION("CONCATENATE(GOOGLETRANSLATE(B1100, ""en"", ""zh-cn""))"),"您的电话号码")</f>
        <v>您的电话号码</v>
      </c>
      <c r="D1100" s="1" t="str">
        <f>IFERROR(__xludf.DUMMYFUNCTION("CONCATENATE(GOOGLETRANSLATE(B1100, ""en"", ""ko""))"),"귀하의 전화번호")</f>
        <v>귀하의 전화번호</v>
      </c>
      <c r="E1100" s="2" t="str">
        <f>IFERROR(__xludf.DUMMYFUNCTION("CONCATENATE(GOOGLETRANSLATE(B1100, ""en"", ""ja""))"),"あなたの電話番号")</f>
        <v>あなたの電話番号</v>
      </c>
    </row>
    <row r="1101" ht="15.75" customHeight="1">
      <c r="A1101" s="1" t="s">
        <v>2140</v>
      </c>
      <c r="B1101" s="1" t="s">
        <v>2141</v>
      </c>
      <c r="C1101" s="1" t="str">
        <f>IFERROR(__xludf.DUMMYFUNCTION("CONCATENATE(GOOGLETRANSLATE(B1101, ""en"", ""zh-cn""))"),"压缩文件")</f>
        <v>压缩文件</v>
      </c>
      <c r="D1101" s="1" t="str">
        <f>IFERROR(__xludf.DUMMYFUNCTION("CONCATENATE(GOOGLETRANSLATE(B1101, ""en"", ""ko""))"),"Zip 파일")</f>
        <v>Zip 파일</v>
      </c>
      <c r="E1101" s="2" t="str">
        <f>IFERROR(__xludf.DUMMYFUNCTION("CONCATENATE(GOOGLETRANSLATE(B1101, ""en"", ""ja""))"),"ZIPファイル")</f>
        <v>ZIPファイル</v>
      </c>
    </row>
    <row r="1102" ht="15.75" customHeight="1">
      <c r="A1102" s="1" t="s">
        <v>2142</v>
      </c>
      <c r="B1102" s="1" t="s">
        <v>2143</v>
      </c>
      <c r="C1102" s="1" t="str">
        <f>IFERROR(__xludf.DUMMYFUNCTION("CONCATENATE(GOOGLETRANSLATE(B1102, ""en"", ""zh-cn""))"),"安装")</f>
        <v>安装</v>
      </c>
      <c r="D1102" s="1" t="str">
        <f>IFERROR(__xludf.DUMMYFUNCTION("CONCATENATE(GOOGLETRANSLATE(B1102, ""en"", ""ko""))"),"설치하다")</f>
        <v>설치하다</v>
      </c>
      <c r="E1102" s="2" t="str">
        <f>IFERROR(__xludf.DUMMYFUNCTION("CONCATENATE(GOOGLETRANSLATE(B1102, ""en"", ""ja""))"),"インストール")</f>
        <v>インストール</v>
      </c>
    </row>
    <row r="1103" ht="15.75" customHeight="1">
      <c r="A1103" s="1" t="s">
        <v>2144</v>
      </c>
      <c r="B1103" s="1" t="s">
        <v>2145</v>
      </c>
      <c r="C1103" s="1" t="str">
        <f>IFERROR(__xludf.DUMMYFUNCTION("CONCATENATE(GOOGLETRANSLATE(B1103, ""en"", ""zh-cn""))"),"该版本无法安装插件，请更新。")</f>
        <v>该版本无法安装插件，请更新。</v>
      </c>
      <c r="D1103" s="1" t="str">
        <f>IFERROR(__xludf.DUMMYFUNCTION("CONCATENATE(GOOGLETRANSLATE(B1103, ""en"", ""ko""))"),"이 버전은 애드온을 설치할 수 없습니다. 업데이트하세요.")</f>
        <v>이 버전은 애드온을 설치할 수 없습니다. 업데이트하세요.</v>
      </c>
      <c r="E1103" s="2" t="str">
        <f>IFERROR(__xludf.DUMMYFUNCTION("CONCATENATE(GOOGLETRANSLATE(B1103, ""en"", ""ja""))"),"このバージョンではアドオンをインストールできません。更新してください。")</f>
        <v>このバージョンではアドオンをインストールできません。更新してください。</v>
      </c>
    </row>
    <row r="1104" ht="15.75" customHeight="1">
      <c r="A1104" s="1" t="s">
        <v>2146</v>
      </c>
      <c r="B1104" s="1" t="s">
        <v>2147</v>
      </c>
      <c r="C1104" s="1" t="str">
        <f>IFERROR(__xludf.DUMMYFUNCTION("CONCATENATE(GOOGLETRANSLATE(B1104, ""en"", ""zh-cn""))"),"在菜单中搜索")</f>
        <v>在菜单中搜索</v>
      </c>
      <c r="D1104" s="1" t="str">
        <f>IFERROR(__xludf.DUMMYFUNCTION("CONCATENATE(GOOGLETRANSLATE(B1104, ""en"", ""ko""))"),"메뉴에서 검색")</f>
        <v>메뉴에서 검색</v>
      </c>
      <c r="E1104" s="2" t="str">
        <f>IFERROR(__xludf.DUMMYFUNCTION("CONCATENATE(GOOGLETRANSLATE(B1104, ""en"", ""ja""))"),"メニュー内検索")</f>
        <v>メニュー内検索</v>
      </c>
    </row>
    <row r="1105" ht="15.75" customHeight="1">
      <c r="A1105" s="1" t="s">
        <v>2148</v>
      </c>
      <c r="B1105" s="1" t="s">
        <v>2149</v>
      </c>
      <c r="C1105" s="1" t="str">
        <f>IFERROR(__xludf.DUMMYFUNCTION("CONCATENATE(GOOGLETRANSLATE(B1105, ""en"", ""zh-cn""))"),"上传的文件")</f>
        <v>上传的文件</v>
      </c>
      <c r="D1105" s="1" t="str">
        <f>IFERROR(__xludf.DUMMYFUNCTION("CONCATENATE(GOOGLETRANSLATE(B1105, ""en"", ""ko""))"),"업로드된 파일")</f>
        <v>업로드된 파일</v>
      </c>
      <c r="E1105" s="2" t="str">
        <f>IFERROR(__xludf.DUMMYFUNCTION("CONCATENATE(GOOGLETRANSLATE(B1105, ""en"", ""ja""))"),"アップロードされたファイル")</f>
        <v>アップロードされたファイル</v>
      </c>
    </row>
    <row r="1106" ht="15.75" customHeight="1">
      <c r="A1106" s="1" t="s">
        <v>2150</v>
      </c>
      <c r="B1106" s="1" t="s">
        <v>2151</v>
      </c>
      <c r="C1106" s="1" t="str">
        <f>IFERROR(__xludf.DUMMYFUNCTION("CONCATENATE(GOOGLETRANSLATE(B1106, ""en"", ""zh-cn""))"),"航运城市")</f>
        <v>航运城市</v>
      </c>
      <c r="D1106" s="1" t="str">
        <f>IFERROR(__xludf.DUMMYFUNCTION("CONCATENATE(GOOGLETRANSLATE(B1106, ""en"", ""ko""))"),"배송 도시")</f>
        <v>배송 도시</v>
      </c>
      <c r="E1106" s="2" t="str">
        <f>IFERROR(__xludf.DUMMYFUNCTION("CONCATENATE(GOOGLETRANSLATE(B1106, ""en"", ""ja""))"),"配送都市")</f>
        <v>配送都市</v>
      </c>
    </row>
    <row r="1107" ht="15.75" customHeight="1">
      <c r="A1107" s="1" t="s">
        <v>2152</v>
      </c>
      <c r="B1107" s="1" t="s">
        <v>2153</v>
      </c>
      <c r="C1107" s="1" t="str">
        <f>IFERROR(__xludf.DUMMYFUNCTION("CONCATENATE(GOOGLETRANSLATE(B1107, ""en"", ""zh-cn""))"),"系统")</f>
        <v>系统</v>
      </c>
      <c r="D1107" s="1" t="str">
        <f>IFERROR(__xludf.DUMMYFUNCTION("CONCATENATE(GOOGLETRANSLATE(B1107, ""en"", ""ko""))"),"체계")</f>
        <v>체계</v>
      </c>
      <c r="E1107" s="2" t="str">
        <f>IFERROR(__xludf.DUMMYFUNCTION("CONCATENATE(GOOGLETRANSLATE(B1107, ""en"", ""ja""))"),"システム")</f>
        <v>システム</v>
      </c>
    </row>
    <row r="1108" ht="15.75" customHeight="1">
      <c r="A1108" s="1" t="s">
        <v>2154</v>
      </c>
      <c r="B1108" s="1" t="s">
        <v>2155</v>
      </c>
      <c r="C1108" s="1" t="str">
        <f>IFERROR(__xludf.DUMMYFUNCTION("CONCATENATE(GOOGLETRANSLATE(B1108, ""en"", ""zh-cn""))"),"服务器状态")</f>
        <v>服务器状态</v>
      </c>
      <c r="D1108" s="1" t="str">
        <f>IFERROR(__xludf.DUMMYFUNCTION("CONCATENATE(GOOGLETRANSLATE(B1108, ""en"", ""ko""))"),"서버 상태")</f>
        <v>서버 상태</v>
      </c>
      <c r="E1108" s="2" t="str">
        <f>IFERROR(__xludf.DUMMYFUNCTION("CONCATENATE(GOOGLETRANSLATE(B1108, ""en"", ""ja""))"),"サーバーのステータス")</f>
        <v>サーバーのステータス</v>
      </c>
    </row>
    <row r="1109" ht="15.75" customHeight="1">
      <c r="A1109" s="1" t="s">
        <v>2156</v>
      </c>
      <c r="B1109" s="1" t="s">
        <v>2157</v>
      </c>
      <c r="C1109" s="1" t="str">
        <f>IFERROR(__xludf.DUMMYFUNCTION("CONCATENATE(GOOGLETRANSLATE(B1109, ""en"", ""zh-cn""))"),"未找到任何内容")</f>
        <v>未找到任何内容</v>
      </c>
      <c r="D1109" s="1" t="str">
        <f>IFERROR(__xludf.DUMMYFUNCTION("CONCATENATE(GOOGLETRANSLATE(B1109, ""en"", ""ko""))"),"아무것도 찾지 못했습니다")</f>
        <v>아무것도 찾지 못했습니다</v>
      </c>
      <c r="E1109" s="2" t="str">
        <f>IFERROR(__xludf.DUMMYFUNCTION("CONCATENATE(GOOGLETRANSLATE(B1109, ""en"", ""ja""))"),"何も見つかりませんでした")</f>
        <v>何も見つかりませんでした</v>
      </c>
    </row>
    <row r="1110" ht="15.75" customHeight="1">
      <c r="A1110" s="1" t="s">
        <v>2158</v>
      </c>
      <c r="B1110" s="1" t="s">
        <v>2159</v>
      </c>
      <c r="C1110" s="1" t="str">
        <f>IFERROR(__xludf.DUMMYFUNCTION("CONCATENATE(GOOGLETRANSLATE(B1110, ""en"", ""zh-cn""))"),"家长类别")</f>
        <v>家长类别</v>
      </c>
      <c r="D1110" s="1" t="str">
        <f>IFERROR(__xludf.DUMMYFUNCTION("CONCATENATE(GOOGLETRANSLATE(B1110, ""en"", ""ko""))"),"상위 카테고리")</f>
        <v>상위 카테고리</v>
      </c>
      <c r="E1110" s="2" t="str">
        <f>IFERROR(__xludf.DUMMYFUNCTION("CONCATENATE(GOOGLETRANSLATE(B1110, ""en"", ""ja""))"),"親カテゴリ")</f>
        <v>親カテゴリ</v>
      </c>
    </row>
    <row r="1111" ht="15.75" customHeight="1">
      <c r="A1111" s="1" t="s">
        <v>2160</v>
      </c>
      <c r="B1111" s="1" t="s">
        <v>2161</v>
      </c>
      <c r="C1111" s="1" t="str">
        <f>IFERROR(__xludf.DUMMYFUNCTION("CONCATENATE(GOOGLETRANSLATE(B1111, ""en"", ""zh-cn""))"),"等级")</f>
        <v>等级</v>
      </c>
      <c r="D1111" s="1" t="str">
        <f>IFERROR(__xludf.DUMMYFUNCTION("CONCATENATE(GOOGLETRANSLATE(B1111, ""en"", ""ko""))"),"수준")</f>
        <v>수준</v>
      </c>
      <c r="E1111" s="2" t="str">
        <f>IFERROR(__xludf.DUMMYFUNCTION("CONCATENATE(GOOGLETRANSLATE(B1111, ""en"", ""ja""))"),"レベル")</f>
        <v>レベル</v>
      </c>
    </row>
    <row r="1112" ht="15.75" customHeight="1">
      <c r="A1112" s="1" t="s">
        <v>2162</v>
      </c>
      <c r="B1112" s="1" t="s">
        <v>2163</v>
      </c>
      <c r="C1112" s="1" t="str">
        <f>IFERROR(__xludf.DUMMYFUNCTION("CONCATENATE(GOOGLETRANSLATE(B1112, ""en"", ""zh-cn""))"),"类别信息")</f>
        <v>类别信息</v>
      </c>
      <c r="D1112" s="1" t="str">
        <f>IFERROR(__xludf.DUMMYFUNCTION("CONCATENATE(GOOGLETRANSLATE(B1112, ""en"", ""ko""))"),"카테고리 정보")</f>
        <v>카테고리 정보</v>
      </c>
      <c r="E1112" s="2" t="str">
        <f>IFERROR(__xludf.DUMMYFUNCTION("CONCATENATE(GOOGLETRANSLATE(B1112, ""en"", ""ja""))"),"カテゴリ情報")</f>
        <v>カテゴリ情報</v>
      </c>
    </row>
    <row r="1113" ht="15.75" customHeight="1">
      <c r="A1113" s="1" t="s">
        <v>2164</v>
      </c>
      <c r="B1113" s="1" t="s">
        <v>2165</v>
      </c>
      <c r="C1113" s="1" t="str">
        <f>IFERROR(__xludf.DUMMYFUNCTION("CONCATENATE(GOOGLETRANSLATE(B1113, ""en"", ""zh-cn""))"),"可翻译")</f>
        <v>可翻译</v>
      </c>
      <c r="D1113" s="1" t="str">
        <f>IFERROR(__xludf.DUMMYFUNCTION("CONCATENATE(GOOGLETRANSLATE(B1113, ""en"", ""ko""))"),"번역 가능")</f>
        <v>번역 가능</v>
      </c>
      <c r="E1113" s="2" t="str">
        <f>IFERROR(__xludf.DUMMYFUNCTION("CONCATENATE(GOOGLETRANSLATE(B1113, ""en"", ""ja""))"),"翻訳可能")</f>
        <v>翻訳可能</v>
      </c>
    </row>
    <row r="1114" ht="15.75" customHeight="1">
      <c r="A1114" s="1" t="s">
        <v>2166</v>
      </c>
      <c r="B1114" s="1" t="s">
        <v>2167</v>
      </c>
      <c r="C1114" s="1" t="str">
        <f>IFERROR(__xludf.DUMMYFUNCTION("CONCATENATE(GOOGLETRANSLATE(B1114, ""en"", ""zh-cn""))"),"没有父母")</f>
        <v>没有父母</v>
      </c>
      <c r="D1114" s="1" t="str">
        <f>IFERROR(__xludf.DUMMYFUNCTION("CONCATENATE(GOOGLETRANSLATE(B1114, ""en"", ""ko""))"),"상위 없음")</f>
        <v>상위 없음</v>
      </c>
      <c r="E1114" s="2" t="str">
        <f>IFERROR(__xludf.DUMMYFUNCTION("CONCATENATE(GOOGLETRANSLATE(B1114, ""en"", ""ja""))"),"親がいません")</f>
        <v>親がいません</v>
      </c>
    </row>
    <row r="1115" ht="15.75" customHeight="1">
      <c r="A1115" s="1" t="s">
        <v>2168</v>
      </c>
      <c r="B1115" s="1" t="s">
        <v>2169</v>
      </c>
      <c r="C1115" s="1" t="str">
        <f>IFERROR(__xludf.DUMMYFUNCTION("CONCATENATE(GOOGLETRANSLATE(B1115, ""en"", ""zh-cn""))"),"身体的")</f>
        <v>身体的</v>
      </c>
      <c r="D1115" s="1" t="str">
        <f>IFERROR(__xludf.DUMMYFUNCTION("CONCATENATE(GOOGLETRANSLATE(B1115, ""en"", ""ko""))"),"물리적")</f>
        <v>물리적</v>
      </c>
      <c r="E1115" s="2" t="str">
        <f>IFERROR(__xludf.DUMMYFUNCTION("CONCATENATE(GOOGLETRANSLATE(B1115, ""en"", ""ja""))"),"物理的な")</f>
        <v>物理的な</v>
      </c>
    </row>
    <row r="1116" ht="15.75" customHeight="1">
      <c r="A1116" s="1" t="s">
        <v>2170</v>
      </c>
      <c r="B1116" s="1" t="s">
        <v>2171</v>
      </c>
      <c r="C1116" s="1" t="str">
        <f>IFERROR(__xludf.DUMMYFUNCTION("CONCATENATE(GOOGLETRANSLATE(B1116, ""en"", ""zh-cn""))"),"数字的")</f>
        <v>数字的</v>
      </c>
      <c r="D1116" s="1" t="str">
        <f>IFERROR(__xludf.DUMMYFUNCTION("CONCATENATE(GOOGLETRANSLATE(B1116, ""en"", ""ko""))"),"디지털")</f>
        <v>디지털</v>
      </c>
      <c r="E1116" s="2" t="str">
        <f>IFERROR(__xludf.DUMMYFUNCTION("CONCATENATE(GOOGLETRANSLATE(B1116, ""en"", ""ja""))"),"デジタル")</f>
        <v>デジタル</v>
      </c>
    </row>
    <row r="1117" ht="15.75" customHeight="1">
      <c r="A1117" s="1" t="s">
        <v>2172</v>
      </c>
      <c r="B1117" s="1" t="s">
        <v>2172</v>
      </c>
      <c r="C1117" s="1" t="str">
        <f>IFERROR(__xludf.DUMMYFUNCTION("CONCATENATE(GOOGLETRANSLATE(B1117, ""en"", ""zh-cn""))"),"200x200")</f>
        <v>200x200</v>
      </c>
      <c r="D1117" s="1" t="str">
        <f>IFERROR(__xludf.DUMMYFUNCTION("CONCATENATE(GOOGLETRANSLATE(B1117, ""en"", ""ko""))"),"200x200")</f>
        <v>200x200</v>
      </c>
      <c r="E1117" s="2" t="str">
        <f>IFERROR(__xludf.DUMMYFUNCTION("CONCATENATE(GOOGLETRANSLATE(B1117, ""en"", ""ja""))"),"200×200")</f>
        <v>200×200</v>
      </c>
    </row>
    <row r="1118" ht="15.75" customHeight="1">
      <c r="A1118" s="1" t="s">
        <v>2173</v>
      </c>
      <c r="B1118" s="1" t="s">
        <v>2173</v>
      </c>
      <c r="C1118" s="1" t="str">
        <f>IFERROR(__xludf.DUMMYFUNCTION("CONCATENATE(GOOGLETRANSLATE(B1118, ""en"", ""zh-cn""))"),"32x32")</f>
        <v>32x32</v>
      </c>
      <c r="D1118" s="1" t="str">
        <f>IFERROR(__xludf.DUMMYFUNCTION("CONCATENATE(GOOGLETRANSLATE(B1118, ""en"", ""ko""))"),"32x32")</f>
        <v>32x32</v>
      </c>
      <c r="E1118" s="2" t="str">
        <f>IFERROR(__xludf.DUMMYFUNCTION("CONCATENATE(GOOGLETRANSLATE(B1118, ""en"", ""ja""))"),"32x32")</f>
        <v>32x32</v>
      </c>
    </row>
    <row r="1119" ht="15.75" customHeight="1">
      <c r="A1119" s="1" t="s">
        <v>2174</v>
      </c>
      <c r="B1119" s="1" t="s">
        <v>2175</v>
      </c>
      <c r="C1119" s="1" t="str">
        <f>IFERROR(__xludf.DUMMYFUNCTION("CONCATENATE(GOOGLETRANSLATE(B1119, ""en"", ""zh-cn""))"),"搜索您的文件")</f>
        <v>搜索您的文件</v>
      </c>
      <c r="D1119" s="1" t="str">
        <f>IFERROR(__xludf.DUMMYFUNCTION("CONCATENATE(GOOGLETRANSLATE(B1119, ""en"", ""ko""))"),"파일 검색")</f>
        <v>파일 검색</v>
      </c>
      <c r="E1119" s="2" t="str">
        <f>IFERROR(__xludf.DUMMYFUNCTION("CONCATENATE(GOOGLETRANSLATE(B1119, ""en"", ""ja""))"),"ファイルを検索する")</f>
        <v>ファイルを検索する</v>
      </c>
    </row>
    <row r="1120" ht="15.75" customHeight="1">
      <c r="A1120" s="1" t="s">
        <v>2176</v>
      </c>
      <c r="B1120" s="1" t="s">
        <v>2177</v>
      </c>
      <c r="C1120" s="1" t="str">
        <f>IFERROR(__xludf.DUMMYFUNCTION("CONCATENATE(GOOGLETRANSLATE(B1120, ""en"", ""zh-cn""))"),"类别已成功更新")</f>
        <v>类别已成功更新</v>
      </c>
      <c r="D1120" s="1" t="str">
        <f>IFERROR(__xludf.DUMMYFUNCTION("CONCATENATE(GOOGLETRANSLATE(B1120, ""en"", ""ko""))"),"카테고리가 성공적으로 업데이트되었습니다.")</f>
        <v>카테고리가 성공적으로 업데이트되었습니다.</v>
      </c>
      <c r="E1120" s="2" t="str">
        <f>IFERROR(__xludf.DUMMYFUNCTION("CONCATENATE(GOOGLETRANSLATE(B1120, ""en"", ""ja""))"),"カテゴリが正常に更新されました")</f>
        <v>カテゴリが正常に更新されました</v>
      </c>
    </row>
    <row r="1121" ht="15.75" customHeight="1">
      <c r="A1121" s="1" t="s">
        <v>2178</v>
      </c>
      <c r="B1121" s="1" t="s">
        <v>2179</v>
      </c>
      <c r="C1121" s="1" t="str">
        <f>IFERROR(__xludf.DUMMYFUNCTION("CONCATENATE(GOOGLETRANSLATE(B1121, ""en"", ""zh-cn""))"),"所有上传的文件")</f>
        <v>所有上传的文件</v>
      </c>
      <c r="D1121" s="1" t="str">
        <f>IFERROR(__xludf.DUMMYFUNCTION("CONCATENATE(GOOGLETRANSLATE(B1121, ""en"", ""ko""))"),"업로드된 모든 파일")</f>
        <v>업로드된 모든 파일</v>
      </c>
      <c r="E1121" s="2" t="str">
        <f>IFERROR(__xludf.DUMMYFUNCTION("CONCATENATE(GOOGLETRANSLATE(B1121, ""en"", ""ja""))"),"アップロードされたすべてのファイル")</f>
        <v>アップロードされたすべてのファイル</v>
      </c>
    </row>
    <row r="1122" ht="15.75" customHeight="1">
      <c r="A1122" s="1" t="s">
        <v>2180</v>
      </c>
      <c r="B1122" s="1" t="s">
        <v>2181</v>
      </c>
      <c r="C1122" s="1" t="str">
        <f>IFERROR(__xludf.DUMMYFUNCTION("CONCATENATE(GOOGLETRANSLATE(B1122, ""en"", ""zh-cn""))"),"上传新文件")</f>
        <v>上传新文件</v>
      </c>
      <c r="D1122" s="1" t="str">
        <f>IFERROR(__xludf.DUMMYFUNCTION("CONCATENATE(GOOGLETRANSLATE(B1122, ""en"", ""ko""))"),"새 파일 업로드")</f>
        <v>새 파일 업로드</v>
      </c>
      <c r="E1122" s="2" t="str">
        <f>IFERROR(__xludf.DUMMYFUNCTION("CONCATENATE(GOOGLETRANSLATE(B1122, ""en"", ""ja""))"),"新しいファイルをアップロードする")</f>
        <v>新しいファイルをアップロードする</v>
      </c>
    </row>
    <row r="1123" ht="15.75" customHeight="1">
      <c r="A1123" s="1" t="s">
        <v>2182</v>
      </c>
      <c r="B1123" s="1" t="s">
        <v>2183</v>
      </c>
      <c r="C1123" s="1" t="str">
        <f>IFERROR(__xludf.DUMMYFUNCTION("CONCATENATE(GOOGLETRANSLATE(B1123, ""en"", ""zh-cn""))"),"所有文件")</f>
        <v>所有文件</v>
      </c>
      <c r="D1123" s="1" t="str">
        <f>IFERROR(__xludf.DUMMYFUNCTION("CONCATENATE(GOOGLETRANSLATE(B1123, ""en"", ""ko""))"),"모든 파일")</f>
        <v>모든 파일</v>
      </c>
      <c r="E1123" s="2" t="str">
        <f>IFERROR(__xludf.DUMMYFUNCTION("CONCATENATE(GOOGLETRANSLATE(B1123, ""en"", ""ja""))"),"すべてのファイル")</f>
        <v>すべてのファイル</v>
      </c>
    </row>
    <row r="1124" ht="15.75" customHeight="1">
      <c r="A1124" s="1" t="s">
        <v>2184</v>
      </c>
      <c r="B1124" s="1" t="s">
        <v>2185</v>
      </c>
      <c r="C1124" s="1" t="str">
        <f>IFERROR(__xludf.DUMMYFUNCTION("CONCATENATE(GOOGLETRANSLATE(B1124, ""en"", ""zh-cn""))"),"搜索")</f>
        <v>搜索</v>
      </c>
      <c r="D1124" s="1" t="str">
        <f>IFERROR(__xludf.DUMMYFUNCTION("CONCATENATE(GOOGLETRANSLATE(B1124, ""en"", ""ko""))"),"찾다")</f>
        <v>찾다</v>
      </c>
      <c r="E1124" s="2" t="str">
        <f>IFERROR(__xludf.DUMMYFUNCTION("CONCATENATE(GOOGLETRANSLATE(B1124, ""en"", ""ja""))"),"検索")</f>
        <v>検索</v>
      </c>
    </row>
    <row r="1125" ht="15.75" customHeight="1">
      <c r="A1125" s="1" t="s">
        <v>2186</v>
      </c>
      <c r="B1125" s="1" t="s">
        <v>2187</v>
      </c>
      <c r="C1125" s="1" t="str">
        <f>IFERROR(__xludf.DUMMYFUNCTION("CONCATENATE(GOOGLETRANSLATE(B1125, ""en"", ""zh-cn""))"),"详细信息")</f>
        <v>详细信息</v>
      </c>
      <c r="D1125" s="1" t="str">
        <f>IFERROR(__xludf.DUMMYFUNCTION("CONCATENATE(GOOGLETRANSLATE(B1125, ""en"", ""ko""))"),"세부 정보")</f>
        <v>세부 정보</v>
      </c>
      <c r="E1125" s="2" t="str">
        <f>IFERROR(__xludf.DUMMYFUNCTION("CONCATENATE(GOOGLETRANSLATE(B1125, ""en"", ""ja""))"),"詳細情報")</f>
        <v>詳細情報</v>
      </c>
    </row>
    <row r="1126" ht="15.75" customHeight="1">
      <c r="A1126" s="1" t="s">
        <v>2188</v>
      </c>
      <c r="B1126" s="1" t="s">
        <v>2189</v>
      </c>
      <c r="C1126" s="1" t="str">
        <f>IFERROR(__xludf.DUMMYFUNCTION("CONCATENATE(GOOGLETRANSLATE(B1126, ""en"", ""zh-cn""))"),"复制链接")</f>
        <v>复制链接</v>
      </c>
      <c r="D1126" s="1" t="str">
        <f>IFERROR(__xludf.DUMMYFUNCTION("CONCATENATE(GOOGLETRANSLATE(B1126, ""en"", ""ko""))"),"링크 복사")</f>
        <v>링크 복사</v>
      </c>
      <c r="E1126" s="2" t="str">
        <f>IFERROR(__xludf.DUMMYFUNCTION("CONCATENATE(GOOGLETRANSLATE(B1126, ""en"", ""ja""))"),"リンクをコピー")</f>
        <v>リンクをコピー</v>
      </c>
    </row>
    <row r="1127" ht="15.75" customHeight="1">
      <c r="A1127" s="1" t="s">
        <v>2190</v>
      </c>
      <c r="B1127" s="1" t="s">
        <v>2191</v>
      </c>
      <c r="C1127" s="1" t="str">
        <f>IFERROR(__xludf.DUMMYFUNCTION("CONCATENATE(GOOGLETRANSLATE(B1127, ""en"", ""zh-cn""))"),"您确定要删除该文件吗？")</f>
        <v>您确定要删除该文件吗？</v>
      </c>
      <c r="D1127" s="1" t="str">
        <f>IFERROR(__xludf.DUMMYFUNCTION("CONCATENATE(GOOGLETRANSLATE(B1127, ""en"", ""ko""))"),"이 파일을 삭제하시겠습니까?")</f>
        <v>이 파일을 삭제하시겠습니까?</v>
      </c>
      <c r="E1127" s="2" t="str">
        <f>IFERROR(__xludf.DUMMYFUNCTION("CONCATENATE(GOOGLETRANSLATE(B1127, ""en"", ""ja""))"),"このファイルを削除してもよろしいですか?")</f>
        <v>このファイルを削除してもよろしいですか?</v>
      </c>
    </row>
    <row r="1128" ht="15.75" customHeight="1">
      <c r="A1128" s="1" t="s">
        <v>2192</v>
      </c>
      <c r="B1128" s="1" t="s">
        <v>2193</v>
      </c>
      <c r="C1128" s="1" t="str">
        <f>IFERROR(__xludf.DUMMYFUNCTION("CONCATENATE(GOOGLETRANSLATE(B1128, ""en"", ""zh-cn""))"),"文件信息")</f>
        <v>文件信息</v>
      </c>
      <c r="D1128" s="1" t="str">
        <f>IFERROR(__xludf.DUMMYFUNCTION("CONCATENATE(GOOGLETRANSLATE(B1128, ""en"", ""ko""))"),"파일 정보")</f>
        <v>파일 정보</v>
      </c>
      <c r="E1128" s="2" t="str">
        <f>IFERROR(__xludf.DUMMYFUNCTION("CONCATENATE(GOOGLETRANSLATE(B1128, ""en"", ""ja""))"),"ファイル情報")</f>
        <v>ファイル情報</v>
      </c>
    </row>
    <row r="1129" ht="15.75" customHeight="1">
      <c r="A1129" s="1" t="s">
        <v>2194</v>
      </c>
      <c r="B1129" s="1" t="s">
        <v>2195</v>
      </c>
      <c r="C1129" s="1" t="str">
        <f>IFERROR(__xludf.DUMMYFUNCTION("CONCATENATE(GOOGLETRANSLATE(B1129, ""en"", ""zh-cn""))"),"链接已复制到剪贴板")</f>
        <v>链接已复制到剪贴板</v>
      </c>
      <c r="D1129" s="1" t="str">
        <f>IFERROR(__xludf.DUMMYFUNCTION("CONCATENATE(GOOGLETRANSLATE(B1129, ""en"", ""ko""))"),"링크가 클립보드에 복사되었습니다.")</f>
        <v>링크가 클립보드에 복사되었습니다.</v>
      </c>
      <c r="E1129" s="2" t="str">
        <f>IFERROR(__xludf.DUMMYFUNCTION("CONCATENATE(GOOGLETRANSLATE(B1129, ""en"", ""ja""))"),"リンクがクリップボードにコピーされました")</f>
        <v>リンクがクリップボードにコピーされました</v>
      </c>
    </row>
    <row r="1130" ht="15.75" customHeight="1">
      <c r="A1130" s="1" t="s">
        <v>2196</v>
      </c>
      <c r="B1130" s="1" t="s">
        <v>2197</v>
      </c>
      <c r="C1130" s="1" t="str">
        <f>IFERROR(__xludf.DUMMYFUNCTION("CONCATENATE(GOOGLETRANSLATE(B1130, ""en"", ""zh-cn""))"),"哎呀，无法复制")</f>
        <v>哎呀，无法复制</v>
      </c>
      <c r="D1130" s="1" t="str">
        <f>IFERROR(__xludf.DUMMYFUNCTION("CONCATENATE(GOOGLETRANSLATE(B1130, ""en"", ""ko""))"),"이런, 복사할 수 없습니다")</f>
        <v>이런, 복사할 수 없습니다</v>
      </c>
      <c r="E1130" s="2" t="str">
        <f>IFERROR(__xludf.DUMMYFUNCTION("CONCATENATE(GOOGLETRANSLATE(B1130, ""en"", ""ja""))"),"おっと、コピーできません")</f>
        <v>おっと、コピーできません</v>
      </c>
    </row>
    <row r="1131" ht="15.75" customHeight="1">
      <c r="A1131" s="1" t="s">
        <v>2198</v>
      </c>
      <c r="B1131" s="1" t="s">
        <v>2199</v>
      </c>
      <c r="C1131" s="1" t="str">
        <f>IFERROR(__xludf.DUMMYFUNCTION("CONCATENATE(GOOGLETRANSLATE(B1131, ""en"", ""zh-cn""))"),"文件删除成功")</f>
        <v>文件删除成功</v>
      </c>
      <c r="D1131" s="1" t="str">
        <f>IFERROR(__xludf.DUMMYFUNCTION("CONCATENATE(GOOGLETRANSLATE(B1131, ""en"", ""ko""))"),"파일이 삭제되었습니다.")</f>
        <v>파일이 삭제되었습니다.</v>
      </c>
      <c r="E1131" s="2" t="str">
        <f>IFERROR(__xludf.DUMMYFUNCTION("CONCATENATE(GOOGLETRANSLATE(B1131, ""en"", ""ja""))"),"ファイルは正常に削除されました")</f>
        <v>ファイルは正常に削除されました</v>
      </c>
    </row>
    <row r="1132" ht="15.75" customHeight="1">
      <c r="A1132" s="1" t="s">
        <v>2200</v>
      </c>
      <c r="B1132" s="1" t="s">
        <v>2201</v>
      </c>
      <c r="C1132" s="1" t="str">
        <f>IFERROR(__xludf.DUMMYFUNCTION("CONCATENATE(GOOGLETRANSLATE(B1132, ""en"", ""zh-cn""))"),"添加新品牌")</f>
        <v>添加新品牌</v>
      </c>
      <c r="D1132" s="1" t="str">
        <f>IFERROR(__xludf.DUMMYFUNCTION("CONCATENATE(GOOGLETRANSLATE(B1132, ""en"", ""ko""))"),"새 브랜드 추가")</f>
        <v>새 브랜드 추가</v>
      </c>
      <c r="E1132" s="2" t="str">
        <f>IFERROR(__xludf.DUMMYFUNCTION("CONCATENATE(GOOGLETRANSLATE(B1132, ""en"", ""ja""))"),"新しいブランドを追加")</f>
        <v>新しいブランドを追加</v>
      </c>
    </row>
    <row r="1133" ht="15.75" customHeight="1">
      <c r="A1133" s="1" t="s">
        <v>2202</v>
      </c>
      <c r="B1133" s="1" t="s">
        <v>2202</v>
      </c>
      <c r="C1133" s="1" t="str">
        <f>IFERROR(__xludf.DUMMYFUNCTION("CONCATENATE(GOOGLETRANSLATE(B1133, ""en"", ""zh-cn""))"),"120x80")</f>
        <v>120x80</v>
      </c>
      <c r="D1133" s="1" t="str">
        <f>IFERROR(__xludf.DUMMYFUNCTION("CONCATENATE(GOOGLETRANSLATE(B1133, ""en"", ""ko""))"),"120x80")</f>
        <v>120x80</v>
      </c>
      <c r="E1133" s="2" t="str">
        <f>IFERROR(__xludf.DUMMYFUNCTION("CONCATENATE(GOOGLETRANSLATE(B1133, ""en"", ""ja""))"),"120×80")</f>
        <v>120×80</v>
      </c>
    </row>
    <row r="1134" ht="15.75" customHeight="1">
      <c r="A1134" s="1" t="s">
        <v>2203</v>
      </c>
      <c r="B1134" s="1" t="s">
        <v>2204</v>
      </c>
      <c r="C1134" s="1" t="str">
        <f>IFERROR(__xludf.DUMMYFUNCTION("CONCATENATE(GOOGLETRANSLATE(B1134, ""en"", ""zh-cn""))"),"品牌信息")</f>
        <v>品牌信息</v>
      </c>
      <c r="D1134" s="1" t="str">
        <f>IFERROR(__xludf.DUMMYFUNCTION("CONCATENATE(GOOGLETRANSLATE(B1134, ""en"", ""ko""))"),"브랜드 정보")</f>
        <v>브랜드 정보</v>
      </c>
      <c r="E1134" s="2" t="str">
        <f>IFERROR(__xludf.DUMMYFUNCTION("CONCATENATE(GOOGLETRANSLATE(B1134, ""en"", ""ja""))"),"ブランド情報")</f>
        <v>ブランド情報</v>
      </c>
    </row>
    <row r="1135" ht="15.75" customHeight="1">
      <c r="A1135" s="1" t="s">
        <v>2205</v>
      </c>
      <c r="B1135" s="1" t="s">
        <v>2206</v>
      </c>
      <c r="C1135" s="1" t="str">
        <f>IFERROR(__xludf.DUMMYFUNCTION("CONCATENATE(GOOGLETRANSLATE(B1135, ""en"", ""zh-cn""))"),"品牌已成功更新")</f>
        <v>品牌已成功更新</v>
      </c>
      <c r="D1135" s="1" t="str">
        <f>IFERROR(__xludf.DUMMYFUNCTION("CONCATENATE(GOOGLETRANSLATE(B1135, ""en"", ""ko""))"),"브랜드가 성공적으로 업데이트되었습니다.")</f>
        <v>브랜드가 성공적으로 업데이트되었습니다.</v>
      </c>
      <c r="E1135" s="2" t="str">
        <f>IFERROR(__xludf.DUMMYFUNCTION("CONCATENATE(GOOGLETRANSLATE(B1135, ""en"", ""ja""))"),"ブランドが正常に更新されました")</f>
        <v>ブランドが正常に更新されました</v>
      </c>
    </row>
    <row r="1136" ht="15.75" customHeight="1">
      <c r="A1136" s="1" t="s">
        <v>2207</v>
      </c>
      <c r="B1136" s="1" t="s">
        <v>2208</v>
      </c>
      <c r="C1136" s="1" t="str">
        <f>IFERROR(__xludf.DUMMYFUNCTION("CONCATENATE(GOOGLETRANSLATE(B1136, ""en"", ""zh-cn""))"),"品牌已成功删除")</f>
        <v>品牌已成功删除</v>
      </c>
      <c r="D1136" s="1" t="str">
        <f>IFERROR(__xludf.DUMMYFUNCTION("CONCATENATE(GOOGLETRANSLATE(B1136, ""en"", ""ko""))"),"브랜드가 삭제되었습니다.")</f>
        <v>브랜드가 삭제되었습니다.</v>
      </c>
      <c r="E1136" s="2" t="str">
        <f>IFERROR(__xludf.DUMMYFUNCTION("CONCATENATE(GOOGLETRANSLATE(B1136, ""en"", ""ja""))"),"ブランドは正常に削除されました")</f>
        <v>ブランドは正常に削除されました</v>
      </c>
    </row>
    <row r="1137" ht="15.75" customHeight="1">
      <c r="A1137" s="1" t="s">
        <v>2209</v>
      </c>
      <c r="B1137" s="1" t="s">
        <v>2210</v>
      </c>
      <c r="C1137" s="1" t="str">
        <f>IFERROR(__xludf.DUMMYFUNCTION("CONCATENATE(GOOGLETRANSLATE(B1137, ""en"", ""zh-cn""))"),"这用于搜索。输入客户可以找到该产品的词语。")</f>
        <v>这用于搜索。输入客户可以找到该产品的词语。</v>
      </c>
      <c r="D1137" s="1" t="str">
        <f>IFERROR(__xludf.DUMMYFUNCTION("CONCATENATE(GOOGLETRANSLATE(B1137, ""en"", ""ko""))"),"검색에 사용됩니다. 고객이 이 제품을 찾을 수 있는 단어를 입력하세요.")</f>
        <v>검색에 사용됩니다. 고객이 이 제품을 찾을 수 있는 단어를 입력하세요.</v>
      </c>
      <c r="E1137" s="2" t="str">
        <f>IFERROR(__xludf.DUMMYFUNCTION("CONCATENATE(GOOGLETRANSLATE(B1137, ""en"", ""ja""))"),"これは検索に使用されます。お客様がこの商品を見つけるための単語を入力してください。")</f>
        <v>これは検索に使用されます。お客様がこの商品を見つけるための単語を入力してください。</v>
      </c>
    </row>
    <row r="1138" ht="15.75" customHeight="1">
      <c r="A1138" s="1" t="s">
        <v>2211</v>
      </c>
      <c r="B1138" s="1" t="s">
        <v>2212</v>
      </c>
      <c r="C1138" s="1" t="str">
        <f>IFERROR(__xludf.DUMMYFUNCTION("CONCATENATE(GOOGLETRANSLATE(B1138, ""en"", ""zh-cn""))"),"这些图像在产品详细信息页面图库中可见。使用 600x600 尺寸的图像。")</f>
        <v>这些图像在产品详细信息页面图库中可见。使用 600x600 尺寸的图像。</v>
      </c>
      <c r="D1138" s="1" t="str">
        <f>IFERROR(__xludf.DUMMYFUNCTION("CONCATENATE(GOOGLETRANSLATE(B1138, ""en"", ""ko""))"),"이러한 이미지는 제품 세부 정보 페이지 갤러리에 표시됩니다. 600x600 크기의 이미지를 사용하세요.")</f>
        <v>이러한 이미지는 제품 세부 정보 페이지 갤러리에 표시됩니다. 600x600 크기의 이미지를 사용하세요.</v>
      </c>
      <c r="E1138" s="2" t="str">
        <f>IFERROR(__xludf.DUMMYFUNCTION("CONCATENATE(GOOGLETRANSLATE(B1138, ""en"", ""ja""))"),"これらの画像は、製品詳細ページのギャラリーに表示されます。 600x600 サイズの画像を使用してください。")</f>
        <v>これらの画像は、製品詳細ページのギャラリーに表示されます。 600x600 サイズの画像を使用してください。</v>
      </c>
    </row>
    <row r="1139" ht="15.75" customHeight="1">
      <c r="A1139" s="1" t="s">
        <v>2213</v>
      </c>
      <c r="B1139" s="1" t="s">
        <v>2214</v>
      </c>
      <c r="C1139" s="1" t="str">
        <f>IFERROR(__xludf.DUMMYFUNCTION("CONCATENATE(GOOGLETRANSLATE(B1139, ""en"", ""zh-cn""))"),"该图像在所有产品包装盒中均可见。使用 300x300 尺寸的图像。在图像的主要对象周围保留一些空白，因为我们必须在不同的设备中裁剪一些边缘以使其响应。")</f>
        <v>该图像在所有产品包装盒中均可见。使用 300x300 尺寸的图像。在图像的主要对象周围保留一些空白，因为我们必须在不同的设备中裁剪一些边缘以使其响应。</v>
      </c>
      <c r="D1139" s="1" t="str">
        <f>IFERROR(__xludf.DUMMYFUNCTION("CONCATENATE(GOOGLETRANSLATE(B1139, ""en"", ""ko""))"),"이 이미지는 모든 제품 상자에 표시됩니다. 300x300 크기의 이미지를 사용하세요. 반응형으로 만들기 위해 다양한 장치에서 일부 가장자리를 잘라야 했기 때문에 이미지의 주요 개체 주위에 약간의 빈 공간을 유지하십시오.")</f>
        <v>이 이미지는 모든 제품 상자에 표시됩니다. 300x300 크기의 이미지를 사용하세요. 반응형으로 만들기 위해 다양한 장치에서 일부 가장자리를 잘라야 했기 때문에 이미지의 주요 개체 주위에 약간의 빈 공간을 유지하십시오.</v>
      </c>
      <c r="E1139" s="2" t="str">
        <f>IFERROR(__xludf.DUMMYFUNCTION("CONCATENATE(GOOGLETRANSLATE(B1139, ""en"", ""ja""))"),"この画像はすべての製品ボックスに表示されます。 300x300 サイズの画像を使用してください。レスポンシブにするためにさまざまなデバイスでエッジをトリミングする必要があるため、画像のメインオブジェクトの周囲に空白スペースを確保してください。")</f>
        <v>この画像はすべての製品ボックスに表示されます。 300x300 サイズの画像を使用してください。レスポンシブにするためにさまざまなデバイスでエッジをトリミングする必要があるため、画像のメインオブジェクトの周囲に空白スペースを確保してください。</v>
      </c>
    </row>
    <row r="1140" ht="15.75" customHeight="1">
      <c r="A1140" s="1" t="s">
        <v>2215</v>
      </c>
      <c r="B1140" s="1" t="s">
        <v>2216</v>
      </c>
      <c r="C1140" s="1" t="str">
        <f>IFERROR(__xludf.DUMMYFUNCTION("CONCATENATE(GOOGLETRANSLATE(B1140, ""en"", ""zh-cn""))"),"使用正确的链接，无需额外参数。不要使用短共享链接/嵌入 iframe 代码。")</f>
        <v>使用正确的链接，无需额外参数。不要使用短共享链接/嵌入 iframe 代码。</v>
      </c>
      <c r="D1140" s="1" t="str">
        <f>IFERROR(__xludf.DUMMYFUNCTION("CONCATENATE(GOOGLETRANSLATE(B1140, ""en"", ""ko""))"),"별도의 매개변수 없이 적절한 링크를 사용하세요. 짧은 공유 링크/삽입된 iframe 코드를 사용하지 마세요.")</f>
        <v>별도의 매개변수 없이 적절한 링크를 사용하세요. 짧은 공유 링크/삽입된 iframe 코드를 사용하지 마세요.</v>
      </c>
      <c r="E1140" s="2" t="str">
        <f>IFERROR(__xludf.DUMMYFUNCTION("CONCATENATE(GOOGLETRANSLATE(B1140, ""en"", ""ja""))"),"追加のパラメーターなしで適切なリンクを使用してください。短い共有リンク/埋め込み iframe コードは使用しないでください。")</f>
        <v>追加のパラメーターなしで適切なリンクを使用してください。短い共有リンク/埋め込み iframe コードは使用しないでください。</v>
      </c>
    </row>
    <row r="1141" ht="15.75" customHeight="1">
      <c r="A1141" s="1" t="s">
        <v>2217</v>
      </c>
      <c r="B1141" s="1" t="s">
        <v>2218</v>
      </c>
      <c r="C1141" s="1" t="str">
        <f>IFERROR(__xludf.DUMMYFUNCTION("CONCATENATE(GOOGLETRANSLATE(B1141, ""en"", ""zh-cn""))"),"保存产品")</f>
        <v>保存产品</v>
      </c>
      <c r="D1141" s="1" t="str">
        <f>IFERROR(__xludf.DUMMYFUNCTION("CONCATENATE(GOOGLETRANSLATE(B1141, ""en"", ""ko""))"),"제품 저장")</f>
        <v>제품 저장</v>
      </c>
      <c r="E1141" s="2" t="str">
        <f>IFERROR(__xludf.DUMMYFUNCTION("CONCATENATE(GOOGLETRANSLATE(B1141, ""en"", ""ja""))"),"製品の保存")</f>
        <v>製品の保存</v>
      </c>
    </row>
    <row r="1142" ht="15.75" customHeight="1">
      <c r="A1142" s="1" t="s">
        <v>2219</v>
      </c>
      <c r="B1142" s="1" t="s">
        <v>2220</v>
      </c>
      <c r="C1142" s="1" t="str">
        <f>IFERROR(__xludf.DUMMYFUNCTION("CONCATENATE(GOOGLETRANSLATE(B1142, ""en"", ""zh-cn""))"),"产品已成功插入")</f>
        <v>产品已成功插入</v>
      </c>
      <c r="D1142" s="1" t="str">
        <f>IFERROR(__xludf.DUMMYFUNCTION("CONCATENATE(GOOGLETRANSLATE(B1142, ""en"", ""ko""))"),"제품이 성공적으로 삽입되었습니다.")</f>
        <v>제품이 성공적으로 삽입되었습니다.</v>
      </c>
      <c r="E1142" s="2" t="str">
        <f>IFERROR(__xludf.DUMMYFUNCTION("CONCATENATE(GOOGLETRANSLATE(B1142, ""en"", ""ja""))"),"製品は正常に挿入されました")</f>
        <v>製品は正常に挿入されました</v>
      </c>
    </row>
    <row r="1143" ht="15.75" customHeight="1">
      <c r="A1143" s="1" t="s">
        <v>229</v>
      </c>
      <c r="B1143" s="1" t="s">
        <v>2221</v>
      </c>
      <c r="C1143" s="1" t="str">
        <f>IFERROR(__xludf.DUMMYFUNCTION("CONCATENATE(GOOGLETRANSLATE(B1143, ""en"", ""zh-cn""))"),"出了问题！")</f>
        <v>出了问题！</v>
      </c>
      <c r="D1143" s="1" t="str">
        <f>IFERROR(__xludf.DUMMYFUNCTION("CONCATENATE(GOOGLETRANSLATE(B1143, ""en"", ""ko""))"),"문제가 발생했습니다.")</f>
        <v>문제가 발생했습니다.</v>
      </c>
      <c r="E1143" s="2" t="str">
        <f>IFERROR(__xludf.DUMMYFUNCTION("CONCATENATE(GOOGLETRANSLATE(B1143, ""en"", ""ja""))"),"何か問題が発生しました!")</f>
        <v>何か問題が発生しました!</v>
      </c>
    </row>
    <row r="1144" ht="15.75" customHeight="1">
      <c r="A1144" s="1" t="s">
        <v>2222</v>
      </c>
      <c r="B1144" s="1" t="s">
        <v>2223</v>
      </c>
      <c r="C1144" s="1" t="str">
        <f>IFERROR(__xludf.DUMMYFUNCTION("CONCATENATE(GOOGLETRANSLATE(B1144, ""en"", ""zh-cn""))"),"对于给您带来的不便，我们深表歉意，但我们正在努力解决。")</f>
        <v>对于给您带来的不便，我们深表歉意，但我们正在努力解决。</v>
      </c>
      <c r="D1144" s="1" t="str">
        <f>IFERROR(__xludf.DUMMYFUNCTION("CONCATENATE(GOOGLETRANSLATE(B1144, ""en"", ""ko""))"),"불편을 끼쳐드려 죄송합니다. 최선을 다하고 있습니다.")</f>
        <v>불편을 끼쳐드려 죄송합니다. 최선을 다하고 있습니다.</v>
      </c>
      <c r="E1144" s="2" t="str">
        <f>IFERROR(__xludf.DUMMYFUNCTION("CONCATENATE(GOOGLETRANSLATE(B1144, ""en"", ""ja""))"),"ご迷惑をおかけして申し訳ございませんが、現在対応中です。")</f>
        <v>ご迷惑をおかけして申し訳ございませんが、現在対応中です。</v>
      </c>
    </row>
    <row r="1145" ht="15.75" customHeight="1">
      <c r="A1145" s="1" t="s">
        <v>2224</v>
      </c>
      <c r="B1145" s="1" t="s">
        <v>2225</v>
      </c>
      <c r="C1145" s="1" t="str">
        <f>IFERROR(__xludf.DUMMYFUNCTION("CONCATENATE(GOOGLETRANSLATE(B1145, ""en"", ""zh-cn""))"),"错误代码")</f>
        <v>错误代码</v>
      </c>
      <c r="D1145" s="1" t="str">
        <f>IFERROR(__xludf.DUMMYFUNCTION("CONCATENATE(GOOGLETRANSLATE(B1145, ""en"", ""ko""))"),"오류 코드")</f>
        <v>오류 코드</v>
      </c>
      <c r="E1145" s="2" t="str">
        <f>IFERROR(__xludf.DUMMYFUNCTION("CONCATENATE(GOOGLETRANSLATE(B1145, ""en"", ""ja""))"),"エラーコード")</f>
        <v>エラーコード</v>
      </c>
    </row>
    <row r="1146" ht="15.75" customHeight="1">
      <c r="A1146" s="1" t="s">
        <v>2226</v>
      </c>
      <c r="B1146" s="1" t="s">
        <v>2227</v>
      </c>
      <c r="C1146" s="1" t="str">
        <f>IFERROR(__xludf.DUMMYFUNCTION("CONCATENATE(GOOGLETRANSLATE(B1146, ""en"", ""zh-cn""))"),"请配置 SMTP 设置以使用所有电子邮件发送功能")</f>
        <v>请配置 SMTP 设置以使用所有电子邮件发送功能</v>
      </c>
      <c r="D1146" s="1" t="str">
        <f>IFERROR(__xludf.DUMMYFUNCTION("CONCATENATE(GOOGLETRANSLATE(B1146, ""en"", ""ko""))"),"모든 이메일 전송 기능을 작동하려면 SMTP 설정을 구성하십시오.")</f>
        <v>모든 이메일 전송 기능을 작동하려면 SMTP 설정을 구성하십시오.</v>
      </c>
      <c r="E1146" s="2" t="str">
        <f>IFERROR(__xludf.DUMMYFUNCTION("CONCATENATE(GOOGLETRANSLATE(B1146, ""en"", ""ja""))"),"すべての電子メール送信機能が動作するように SMTP 設定を構成してください")</f>
        <v>すべての電子メール送信機能が動作するように SMTP 設定を構成してください</v>
      </c>
    </row>
    <row r="1147" ht="15.75" customHeight="1">
      <c r="A1147" s="1" t="s">
        <v>2228</v>
      </c>
      <c r="B1147" s="1" t="s">
        <v>2229</v>
      </c>
      <c r="C1147" s="1" t="str">
        <f>IFERROR(__xludf.DUMMYFUNCTION("CONCATENATE(GOOGLETRANSLATE(B1147, ""en"", ""zh-cn""))"),"命令")</f>
        <v>命令</v>
      </c>
      <c r="D1147" s="1" t="str">
        <f>IFERROR(__xludf.DUMMYFUNCTION("CONCATENATE(GOOGLETRANSLATE(B1147, ""en"", ""ko""))"),"주문하다")</f>
        <v>주문하다</v>
      </c>
      <c r="E1147" s="2" t="str">
        <f>IFERROR(__xludf.DUMMYFUNCTION("CONCATENATE(GOOGLETRANSLATE(B1147, ""en"", ""ja""))"),"注文")</f>
        <v>注文</v>
      </c>
    </row>
    <row r="1148" ht="15.75" customHeight="1">
      <c r="A1148" s="1" t="s">
        <v>2230</v>
      </c>
      <c r="B1148" s="1" t="s">
        <v>2231</v>
      </c>
      <c r="C1148" s="1" t="str">
        <f>IFERROR(__xludf.DUMMYFUNCTION("CONCATENATE(GOOGLETRANSLATE(B1148, ""en"", ""zh-cn""))"),"我们限制横幅高度来维护 UI。我们必须针对不同设备从左侧和右侧进行裁剪，以使其具有响应能力。在设计横幅之前，请记住这些要点。")</f>
        <v>我们限制横幅高度来维护 UI。我们必须针对不同设备从左侧和右侧进行裁剪，以使其具有响应能力。在设计横幅之前，请记住这些要点。</v>
      </c>
      <c r="D1148" s="1" t="str">
        <f>IFERROR(__xludf.DUMMYFUNCTION("CONCATENATE(GOOGLETRANSLATE(B1148, ""en"", ""ko""))"),"UI 유지를 위해 배너 높이를 제한했습니다. 반응형으로 만들기 위해 다양한 장치에 대해 뷰의 왼쪽과 오른쪽 측면을 모두 잘라야 했습니다. 배너를 디자인하기 전에 다음 사항을 염두에 두십시오.")</f>
        <v>UI 유지를 위해 배너 높이를 제한했습니다. 반응형으로 만들기 위해 다양한 장치에 대해 뷰의 왼쪽과 오른쪽 측면을 모두 잘라야 했습니다. 배너를 디자인하기 전에 다음 사항을 염두에 두십시오.</v>
      </c>
      <c r="E1148" s="2" t="str">
        <f>IFERROR(__xludf.DUMMYFUNCTION("CONCATENATE(GOOGLETRANSLATE(B1148, ""en"", ""ja""))"),"UI を維持するために、バナーの高さを制限しています。レスポンシブにするには、さまざまなデバイスのビューで左側と右側の両方からトリミングする必要がありました。バナーをデザインする前に、次の点に留意してください。")</f>
        <v>UI を維持するために、バナーの高さを制限しています。レスポンシブにするには、さまざまなデバイスのビューで左側と右側の両方からトリミングする必要がありました。バナーをデザインする前に、次の点に留意してください。</v>
      </c>
    </row>
    <row r="1149" ht="15.75" customHeight="1">
      <c r="A1149" s="1" t="s">
        <v>2232</v>
      </c>
      <c r="B1149" s="1" t="s">
        <v>2233</v>
      </c>
      <c r="C1149" s="1" t="str">
        <f>IFERROR(__xludf.DUMMYFUNCTION("CONCATENATE(GOOGLETRANSLATE(B1149, ""en"", ""zh-cn""))"),"首页横幅 3（最多 3）")</f>
        <v>首页横幅 3（最多 3）</v>
      </c>
      <c r="D1149" s="1" t="str">
        <f>IFERROR(__xludf.DUMMYFUNCTION("CONCATENATE(GOOGLETRANSLATE(B1149, ""en"", ""ko""))"),"홈 배너 3(최대 3개)")</f>
        <v>홈 배너 3(최대 3개)</v>
      </c>
      <c r="E1149" s="2" t="str">
        <f>IFERROR(__xludf.DUMMYFUNCTION("CONCATENATE(GOOGLETRANSLATE(B1149, ""en"", ""ja""))"),"ホームバナー 3 (最大 3)")</f>
        <v>ホームバナー 3 (最大 3)</v>
      </c>
    </row>
    <row r="1150" ht="15.75" customHeight="1">
      <c r="A1150" s="1" t="s">
        <v>2234</v>
      </c>
      <c r="B1150" s="1" t="s">
        <v>2235</v>
      </c>
      <c r="C1150" s="1" t="str">
        <f>IFERROR(__xludf.DUMMYFUNCTION("CONCATENATE(GOOGLETRANSLATE(B1150, ""en"", ""zh-cn""))"),"添加新卖家")</f>
        <v>添加新卖家</v>
      </c>
      <c r="D1150" s="1" t="str">
        <f>IFERROR(__xludf.DUMMYFUNCTION("CONCATENATE(GOOGLETRANSLATE(B1150, ""en"", ""ko""))"),"새 판매자 추가")</f>
        <v>새 판매자 추가</v>
      </c>
      <c r="E1150" s="2" t="str">
        <f>IFERROR(__xludf.DUMMYFUNCTION("CONCATENATE(GOOGLETRANSLATE(B1150, ""en"", ""ja""))"),"新しい販売者の追加")</f>
        <v>新しい販売者の追加</v>
      </c>
    </row>
    <row r="1151" ht="15.75" customHeight="1">
      <c r="A1151" s="1" t="s">
        <v>2236</v>
      </c>
      <c r="B1151" s="1" t="s">
        <v>2237</v>
      </c>
      <c r="C1151" s="1" t="str">
        <f>IFERROR(__xludf.DUMMYFUNCTION("CONCATENATE(GOOGLETRANSLATE(B1151, ""en"", ""zh-cn""))"),"按批准过滤")</f>
        <v>按批准过滤</v>
      </c>
      <c r="D1151" s="1" t="str">
        <f>IFERROR(__xludf.DUMMYFUNCTION("CONCATENATE(GOOGLETRANSLATE(B1151, ""en"", ""ko""))"),"승인으로 필터링")</f>
        <v>승인으로 필터링</v>
      </c>
      <c r="E1151" s="2" t="str">
        <f>IFERROR(__xludf.DUMMYFUNCTION("CONCATENATE(GOOGLETRANSLATE(B1151, ""en"", ""ja""))"),"承認によるフィルター")</f>
        <v>承認によるフィルター</v>
      </c>
    </row>
    <row r="1152" ht="15.75" customHeight="1">
      <c r="A1152" s="1" t="s">
        <v>2238</v>
      </c>
      <c r="B1152" s="1" t="s">
        <v>2239</v>
      </c>
      <c r="C1152" s="1" t="str">
        <f>IFERROR(__xludf.DUMMYFUNCTION("CONCATENATE(GOOGLETRANSLATE(B1152, ""en"", ""zh-cn""))"),"未批准")</f>
        <v>未批准</v>
      </c>
      <c r="D1152" s="1" t="str">
        <f>IFERROR(__xludf.DUMMYFUNCTION("CONCATENATE(GOOGLETRANSLATE(B1152, ""en"", ""ko""))"),"승인되지 않음")</f>
        <v>승인되지 않음</v>
      </c>
      <c r="E1152" s="2" t="str">
        <f>IFERROR(__xludf.DUMMYFUNCTION("CONCATENATE(GOOGLETRANSLATE(B1152, ""en"", ""ja""))"),"未承認")</f>
        <v>未承認</v>
      </c>
    </row>
    <row r="1153" ht="15.75" customHeight="1">
      <c r="A1153" s="1" t="s">
        <v>2240</v>
      </c>
      <c r="B1153" s="1" t="s">
        <v>2241</v>
      </c>
      <c r="C1153" s="1" t="str">
        <f>IFERROR(__xludf.DUMMYFUNCTION("CONCATENATE(GOOGLETRANSLATE(B1153, ""en"", ""zh-cn""))"),"输入姓名或电子邮件并输入")</f>
        <v>输入姓名或电子邮件并输入</v>
      </c>
      <c r="D1153" s="1" t="str">
        <f>IFERROR(__xludf.DUMMYFUNCTION("CONCATENATE(GOOGLETRANSLATE(B1153, ""en"", ""ko""))"),"이름이나 이메일을 입력하고 Enter를 누르세요.")</f>
        <v>이름이나 이메일을 입력하고 Enter를 누르세요.</v>
      </c>
      <c r="E1153" s="2" t="str">
        <f>IFERROR(__xludf.DUMMYFUNCTION("CONCATENATE(GOOGLETRANSLATE(B1153, ""en"", ""ja""))"),"名前またはメールアドレスを入力して Enter")</f>
        <v>名前またはメールアドレスを入力して Enter</v>
      </c>
    </row>
    <row r="1154" ht="15.75" customHeight="1">
      <c r="A1154" s="1" t="s">
        <v>2242</v>
      </c>
      <c r="B1154" s="1" t="s">
        <v>2243</v>
      </c>
      <c r="C1154" s="1" t="str">
        <f>IFERROR(__xludf.DUMMYFUNCTION("CONCATENATE(GOOGLETRANSLATE(B1154, ""en"", ""zh-cn""))"),"由于卖家")</f>
        <v>由于卖家</v>
      </c>
      <c r="D1154" s="1" t="str">
        <f>IFERROR(__xludf.DUMMYFUNCTION("CONCATENATE(GOOGLETRANSLATE(B1154, ""en"", ""ko""))"),"판매자로 인해")</f>
        <v>판매자로 인해</v>
      </c>
      <c r="E1154" s="2" t="str">
        <f>IFERROR(__xludf.DUMMYFUNCTION("CONCATENATE(GOOGLETRANSLATE(B1154, ""en"", ""ja""))"),"売主の都合により")</f>
        <v>売主の都合により</v>
      </c>
    </row>
    <row r="1155" ht="15.75" customHeight="1">
      <c r="A1155" s="1" t="s">
        <v>2244</v>
      </c>
      <c r="B1155" s="1" t="s">
        <v>2245</v>
      </c>
      <c r="C1155" s="1" t="str">
        <f>IFERROR(__xludf.DUMMYFUNCTION("CONCATENATE(GOOGLETRANSLATE(B1155, ""en"", ""zh-cn""))"),"以该卖家身份登录")</f>
        <v>以该卖家身份登录</v>
      </c>
      <c r="D1155" s="1" t="str">
        <f>IFERROR(__xludf.DUMMYFUNCTION("CONCATENATE(GOOGLETRANSLATE(B1155, ""en"", ""ko""))"),"이 판매자로 로그인")</f>
        <v>이 판매자로 로그인</v>
      </c>
      <c r="E1155" s="2" t="str">
        <f>IFERROR(__xludf.DUMMYFUNCTION("CONCATENATE(GOOGLETRANSLATE(B1155, ""en"", ""ja""))"),"この販売者としてログイン")</f>
        <v>この販売者としてログイン</v>
      </c>
    </row>
    <row r="1156" ht="15.75" customHeight="1">
      <c r="A1156" s="1" t="s">
        <v>2246</v>
      </c>
      <c r="B1156" s="1" t="s">
        <v>2247</v>
      </c>
      <c r="C1156" s="1" t="str">
        <f>IFERROR(__xludf.DUMMYFUNCTION("CONCATENATE(GOOGLETRANSLATE(B1156, ""en"", ""zh-cn""))"),"前往付款")</f>
        <v>前往付款</v>
      </c>
      <c r="D1156" s="1" t="str">
        <f>IFERROR(__xludf.DUMMYFUNCTION("CONCATENATE(GOOGLETRANSLATE(B1156, ""en"", ""ko""))"),"결제로 이동")</f>
        <v>결제로 이동</v>
      </c>
      <c r="E1156" s="2" t="str">
        <f>IFERROR(__xludf.DUMMYFUNCTION("CONCATENATE(GOOGLETRANSLATE(B1156, ""en"", ""ja""))"),"お支払いに進む")</f>
        <v>お支払いに進む</v>
      </c>
    </row>
    <row r="1157" ht="15.75" customHeight="1">
      <c r="A1157" s="1" t="s">
        <v>2248</v>
      </c>
      <c r="B1157" s="1" t="s">
        <v>2249</v>
      </c>
      <c r="C1157" s="1" t="str">
        <f>IFERROR(__xludf.DUMMYFUNCTION("CONCATENATE(GOOGLETRANSLATE(B1157, ""en"", ""zh-cn""))"),"禁止该卖家")</f>
        <v>禁止该卖家</v>
      </c>
      <c r="D1157" s="1" t="str">
        <f>IFERROR(__xludf.DUMMYFUNCTION("CONCATENATE(GOOGLETRANSLATE(B1157, ""en"", ""ko""))"),"이 판매자를 금지하세요")</f>
        <v>이 판매자를 금지하세요</v>
      </c>
      <c r="E1157" s="2" t="str">
        <f>IFERROR(__xludf.DUMMYFUNCTION("CONCATENATE(GOOGLETRANSLATE(B1157, ""en"", ""ja""))"),"この販売者を禁止する")</f>
        <v>この販売者を禁止する</v>
      </c>
    </row>
    <row r="1158" ht="15.75" customHeight="1">
      <c r="A1158" s="1" t="s">
        <v>2250</v>
      </c>
      <c r="B1158" s="1" t="s">
        <v>2251</v>
      </c>
      <c r="C1158" s="1" t="str">
        <f>IFERROR(__xludf.DUMMYFUNCTION("CONCATENATE(GOOGLETRANSLATE(B1158, ""en"", ""zh-cn""))"),"您真的要禁止该卖家吗？")</f>
        <v>您真的要禁止该卖家吗？</v>
      </c>
      <c r="D1158" s="1" t="str">
        <f>IFERROR(__xludf.DUMMYFUNCTION("CONCATENATE(GOOGLETRANSLATE(B1158, ""en"", ""ko""))"),"정말로 이 판매자를 차단하시겠습니까?")</f>
        <v>정말로 이 판매자를 차단하시겠습니까?</v>
      </c>
      <c r="E1158" s="2" t="str">
        <f>IFERROR(__xludf.DUMMYFUNCTION("CONCATENATE(GOOGLETRANSLATE(B1158, ""en"", ""ja""))"),"本当にこの販売者を禁止したいですか?")</f>
        <v>本当にこの販売者を禁止したいですか?</v>
      </c>
    </row>
    <row r="1159" ht="15.75" customHeight="1">
      <c r="A1159" s="1" t="s">
        <v>2252</v>
      </c>
      <c r="B1159" s="1" t="s">
        <v>2253</v>
      </c>
      <c r="C1159" s="1" t="str">
        <f>IFERROR(__xludf.DUMMYFUNCTION("CONCATENATE(GOOGLETRANSLATE(B1159, ""en"", ""zh-cn""))"),"继续！")</f>
        <v>继续！</v>
      </c>
      <c r="D1159" s="1" t="str">
        <f>IFERROR(__xludf.DUMMYFUNCTION("CONCATENATE(GOOGLETRANSLATE(B1159, ""en"", ""ko""))"),"진행하다!")</f>
        <v>진행하다!</v>
      </c>
      <c r="E1159" s="2" t="str">
        <f>IFERROR(__xludf.DUMMYFUNCTION("CONCATENATE(GOOGLETRANSLATE(B1159, ""en"", ""ja""))"),"進む！")</f>
        <v>進む！</v>
      </c>
    </row>
    <row r="1160" ht="15.75" customHeight="1">
      <c r="A1160" s="1" t="s">
        <v>2254</v>
      </c>
      <c r="B1160" s="1" t="s">
        <v>2255</v>
      </c>
      <c r="C1160" s="1" t="str">
        <f>IFERROR(__xludf.DUMMYFUNCTION("CONCATENATE(GOOGLETRANSLATE(B1160, ""en"", ""zh-cn""))"),"批准的卖家更新成功")</f>
        <v>批准的卖家更新成功</v>
      </c>
      <c r="D1160" s="1" t="str">
        <f>IFERROR(__xludf.DUMMYFUNCTION("CONCATENATE(GOOGLETRANSLATE(B1160, ""en"", ""ko""))"),"승인된 판매자가 업데이트되었습니다.")</f>
        <v>승인된 판매자가 업데이트되었습니다.</v>
      </c>
      <c r="E1160" s="2" t="str">
        <f>IFERROR(__xludf.DUMMYFUNCTION("CONCATENATE(GOOGLETRANSLATE(B1160, ""en"", ""ja""))"),"承認された販売者が正常に更新されました")</f>
        <v>承認された販売者が正常に更新されました</v>
      </c>
    </row>
    <row r="1161" ht="15.75" customHeight="1">
      <c r="A1161" s="1" t="s">
        <v>2256</v>
      </c>
      <c r="B1161" s="1" t="s">
        <v>2257</v>
      </c>
      <c r="C1161" s="1" t="str">
        <f>IFERROR(__xludf.DUMMYFUNCTION("CONCATENATE(GOOGLETRANSLATE(B1161, ""en"", ""zh-cn""))"),"卖家已删除成功")</f>
        <v>卖家已删除成功</v>
      </c>
      <c r="D1161" s="1" t="str">
        <f>IFERROR(__xludf.DUMMYFUNCTION("CONCATENATE(GOOGLETRANSLATE(B1161, ""en"", ""ko""))"),"판매자가 삭제되었습니다.")</f>
        <v>판매자가 삭제되었습니다.</v>
      </c>
      <c r="E1161" s="2" t="str">
        <f>IFERROR(__xludf.DUMMYFUNCTION("CONCATENATE(GOOGLETRANSLATE(B1161, ""en"", ""ja""))"),"販売者は正常に削除されました")</f>
        <v>販売者は正常に削除されました</v>
      </c>
    </row>
    <row r="1162" ht="15.75" customHeight="1">
      <c r="A1162" s="1" t="s">
        <v>2258</v>
      </c>
      <c r="B1162" s="1" t="s">
        <v>2259</v>
      </c>
      <c r="C1162" s="1" t="str">
        <f>IFERROR(__xludf.DUMMYFUNCTION("CONCATENATE(GOOGLETRANSLATE(B1162, ""en"", ""zh-cn""))"),"卖家信息")</f>
        <v>卖家信息</v>
      </c>
      <c r="D1162" s="1" t="str">
        <f>IFERROR(__xludf.DUMMYFUNCTION("CONCATENATE(GOOGLETRANSLATE(B1162, ""en"", ""ko""))"),"판매자 정보")</f>
        <v>판매자 정보</v>
      </c>
      <c r="E1162" s="2" t="str">
        <f>IFERROR(__xludf.DUMMYFUNCTION("CONCATENATE(GOOGLETRANSLATE(B1162, ""en"", ""ja""))"),"販売者情報")</f>
        <v>販売者情報</v>
      </c>
    </row>
    <row r="1163" ht="15.75" customHeight="1">
      <c r="A1163" s="1" t="s">
        <v>2260</v>
      </c>
      <c r="B1163" s="1" t="s">
        <v>2261</v>
      </c>
      <c r="C1163" s="1" t="str">
        <f>IFERROR(__xludf.DUMMYFUNCTION("CONCATENATE(GOOGLETRANSLATE(B1163, ""en"", ""zh-cn""))"),"卖家已成功添加")</f>
        <v>卖家已成功添加</v>
      </c>
      <c r="D1163" s="1" t="str">
        <f>IFERROR(__xludf.DUMMYFUNCTION("CONCATENATE(GOOGLETRANSLATE(B1163, ""en"", ""ko""))"),"판매자가 성공적으로 삽입되었습니다.")</f>
        <v>판매자가 성공적으로 삽입되었습니다.</v>
      </c>
      <c r="E1163" s="2" t="str">
        <f>IFERROR(__xludf.DUMMYFUNCTION("CONCATENATE(GOOGLETRANSLATE(B1163, ""en"", ""ja""))"),"販売者が正常に挿入されました")</f>
        <v>販売者が正常に挿入されました</v>
      </c>
    </row>
    <row r="1164" ht="15.75" customHeight="1">
      <c r="A1164" s="1" t="s">
        <v>2262</v>
      </c>
      <c r="B1164" s="1" t="s">
        <v>2263</v>
      </c>
      <c r="C1164" s="1" t="str">
        <f>IFERROR(__xludf.DUMMYFUNCTION("CONCATENATE(GOOGLETRANSLATE(B1164, ""en"", ""zh-cn""))"),"电子邮件已存在！")</f>
        <v>电子邮件已存在！</v>
      </c>
      <c r="D1164" s="1" t="str">
        <f>IFERROR(__xludf.DUMMYFUNCTION("CONCATENATE(GOOGLETRANSLATE(B1164, ""en"", ""ko""))"),"이메일이 이미 존재합니다!")</f>
        <v>이메일이 이미 존재합니다!</v>
      </c>
      <c r="E1164" s="2" t="str">
        <f>IFERROR(__xludf.DUMMYFUNCTION("CONCATENATE(GOOGLETRANSLATE(B1164, ""en"", ""ja""))"),"電子メールはすでに存在します。")</f>
        <v>電子メールはすでに存在します。</v>
      </c>
    </row>
    <row r="1165" ht="15.75" customHeight="1">
      <c r="A1165" s="1" t="s">
        <v>2264</v>
      </c>
      <c r="B1165" s="1" t="s">
        <v>2265</v>
      </c>
      <c r="C1165" s="1" t="str">
        <f>IFERROR(__xludf.DUMMYFUNCTION("CONCATENATE(GOOGLETRANSLATE(B1165, ""en"", ""zh-cn""))"),"验证您的电子邮件地址")</f>
        <v>验证您的电子邮件地址</v>
      </c>
      <c r="D1165" s="1" t="str">
        <f>IFERROR(__xludf.DUMMYFUNCTION("CONCATENATE(GOOGLETRANSLATE(B1165, ""en"", ""ko""))"),"이메일 주소 확인")</f>
        <v>이메일 주소 확인</v>
      </c>
      <c r="E1165" s="2" t="str">
        <f>IFERROR(__xludf.DUMMYFUNCTION("CONCATENATE(GOOGLETRANSLATE(B1165, ""en"", ""ja""))"),"メールアドレスを確認してください")</f>
        <v>メールアドレスを確認してください</v>
      </c>
    </row>
    <row r="1166" ht="15.75" customHeight="1">
      <c r="A1166" s="1" t="s">
        <v>2266</v>
      </c>
      <c r="B1166" s="1" t="s">
        <v>2267</v>
      </c>
      <c r="C1166" s="1" t="str">
        <f>IFERROR(__xludf.DUMMYFUNCTION("CONCATENATE(GOOGLETRANSLATE(B1166, ""en"", ""zh-cn""))"),"在继续之前，请检查您的电子邮件以获取验证链接。")</f>
        <v>在继续之前，请检查您的电子邮件以获取验证链接。</v>
      </c>
      <c r="D1166" s="1" t="str">
        <f>IFERROR(__xludf.DUMMYFUNCTION("CONCATENATE(GOOGLETRANSLATE(B1166, ""en"", ""ko""))"),"계속하기 전에 이메일에서 확인 링크를 확인하세요.")</f>
        <v>계속하기 전에 이메일에서 확인 링크를 확인하세요.</v>
      </c>
      <c r="E1166" s="2" t="str">
        <f>IFERROR(__xludf.DUMMYFUNCTION("CONCATENATE(GOOGLETRANSLATE(B1166, ""en"", ""ja""))"),"続行する前に、電子メールで確認リンクを確認してください。")</f>
        <v>続行する前に、電子メールで確認リンクを確認してください。</v>
      </c>
    </row>
    <row r="1167" ht="15.75" customHeight="1">
      <c r="A1167" s="1" t="s">
        <v>2268</v>
      </c>
      <c r="B1167" s="1" t="s">
        <v>2269</v>
      </c>
      <c r="C1167" s="1" t="str">
        <f>IFERROR(__xludf.DUMMYFUNCTION("CONCATENATE(GOOGLETRANSLATE(B1167, ""en"", ""zh-cn""))"),"如果您没有收到电子邮件。")</f>
        <v>如果您没有收到电子邮件。</v>
      </c>
      <c r="D1167" s="1" t="str">
        <f>IFERROR(__xludf.DUMMYFUNCTION("CONCATENATE(GOOGLETRANSLATE(B1167, ""en"", ""ko""))"),"이메일을 받지 못한 경우.")</f>
        <v>이메일을 받지 못한 경우.</v>
      </c>
      <c r="E1167" s="2" t="str">
        <f>IFERROR(__xludf.DUMMYFUNCTION("CONCATENATE(GOOGLETRANSLATE(B1167, ""en"", ""ja""))"),"メールが届かない場合。")</f>
        <v>メールが届かない場合。</v>
      </c>
    </row>
    <row r="1168" ht="15.75" customHeight="1">
      <c r="A1168" s="1" t="s">
        <v>2270</v>
      </c>
      <c r="B1168" s="1" t="s">
        <v>2271</v>
      </c>
      <c r="C1168" s="1" t="str">
        <f>IFERROR(__xludf.DUMMYFUNCTION("CONCATENATE(GOOGLETRANSLATE(B1168, ""en"", ""zh-cn""))"),"单击此处请求另一个")</f>
        <v>单击此处请求另一个</v>
      </c>
      <c r="D1168" s="1" t="str">
        <f>IFERROR(__xludf.DUMMYFUNCTION("CONCATENATE(GOOGLETRANSLATE(B1168, ""en"", ""ko""))"),"다른 것을 요청하려면 여기를 클릭하세요")</f>
        <v>다른 것을 요청하려면 여기를 클릭하세요</v>
      </c>
      <c r="E1168" s="2" t="str">
        <f>IFERROR(__xludf.DUMMYFUNCTION("CONCATENATE(GOOGLETRANSLATE(B1168, ""en"", ""ja""))"),"別のリクエストを行う場合はここをクリックしてください")</f>
        <v>別のリクエストを行う場合はここをクリックしてください</v>
      </c>
    </row>
    <row r="1169" ht="15.75" customHeight="1">
      <c r="A1169" s="1" t="s">
        <v>2272</v>
      </c>
      <c r="B1169" s="1" t="s">
        <v>2273</v>
      </c>
      <c r="C1169" s="1" t="str">
        <f>IFERROR(__xludf.DUMMYFUNCTION("CONCATENATE(GOOGLETRANSLATE(B1169, ""en"", ""zh-cn""))"),"电子邮件验证")</f>
        <v>电子邮件验证</v>
      </c>
      <c r="D1169" s="1" t="str">
        <f>IFERROR(__xludf.DUMMYFUNCTION("CONCATENATE(GOOGLETRANSLATE(B1169, ""en"", ""ko""))"),"이메일 확인")</f>
        <v>이메일 확인</v>
      </c>
      <c r="E1169" s="2" t="str">
        <f>IFERROR(__xludf.DUMMYFUNCTION("CONCATENATE(GOOGLETRANSLATE(B1169, ""en"", ""ja""))"),"メール認証")</f>
        <v>メール認証</v>
      </c>
    </row>
    <row r="1170" ht="15.75" customHeight="1">
      <c r="A1170" s="1" t="s">
        <v>2274</v>
      </c>
      <c r="B1170" s="1" t="s">
        <v>2275</v>
      </c>
      <c r="C1170" s="1" t="str">
        <f>IFERROR(__xludf.DUMMYFUNCTION("CONCATENATE(GOOGLETRANSLATE(B1170, ""en"", ""zh-cn""))"),"电子邮件验证 -")</f>
        <v>电子邮件验证 -</v>
      </c>
      <c r="D1170" s="1" t="str">
        <f>IFERROR(__xludf.DUMMYFUNCTION("CONCATENATE(GOOGLETRANSLATE(B1170, ""en"", ""ko""))"),"이메일 확인 -")</f>
        <v>이메일 확인 -</v>
      </c>
      <c r="E1170" s="2" t="str">
        <f>IFERROR(__xludf.DUMMYFUNCTION("CONCATENATE(GOOGLETRANSLATE(B1170, ""en"", ""ja""))"),"メール認証 -")</f>
        <v>メール認証 -</v>
      </c>
    </row>
    <row r="1171" ht="15.75" customHeight="1">
      <c r="A1171" s="1" t="s">
        <v>2276</v>
      </c>
      <c r="B1171" s="1" t="s">
        <v>2277</v>
      </c>
      <c r="C1171" s="1" t="str">
        <f>IFERROR(__xludf.DUMMYFUNCTION("CONCATENATE(GOOGLETRANSLATE(B1171, ""en"", ""zh-cn""))"),"HTTPS 激活")</f>
        <v>HTTPS 激活</v>
      </c>
      <c r="D1171" s="1" t="str">
        <f>IFERROR(__xludf.DUMMYFUNCTION("CONCATENATE(GOOGLETRANSLATE(B1171, ""en"", ""ko""))"),"HTTPS 활성화")</f>
        <v>HTTPS 활성화</v>
      </c>
      <c r="E1171" s="2" t="str">
        <f>IFERROR(__xludf.DUMMYFUNCTION("CONCATENATE(GOOGLETRANSLATE(B1171, ""en"", ""ja""))"),"HTTPSのアクティベーション")</f>
        <v>HTTPSのアクティベーション</v>
      </c>
    </row>
    <row r="1172" ht="15.75" customHeight="1">
      <c r="A1172" s="1" t="s">
        <v>2278</v>
      </c>
      <c r="B1172" s="1" t="s">
        <v>2279</v>
      </c>
      <c r="C1172" s="1" t="str">
        <f>IFERROR(__xludf.DUMMYFUNCTION("CONCATENATE(GOOGLETRANSLATE(B1172, ""en"", ""zh-cn""))"),"维护方式")</f>
        <v>维护方式</v>
      </c>
      <c r="D1172" s="1" t="str">
        <f>IFERROR(__xludf.DUMMYFUNCTION("CONCATENATE(GOOGLETRANSLATE(B1172, ""en"", ""ko""))"),"유지 관리 모드")</f>
        <v>유지 관리 모드</v>
      </c>
      <c r="E1172" s="2" t="str">
        <f>IFERROR(__xludf.DUMMYFUNCTION("CONCATENATE(GOOGLETRANSLATE(B1172, ""en"", ""ja""))"),"メンテナンスモード")</f>
        <v>メンテナンスモード</v>
      </c>
    </row>
    <row r="1173" ht="15.75" customHeight="1">
      <c r="A1173" s="1" t="s">
        <v>2280</v>
      </c>
      <c r="B1173" s="1" t="s">
        <v>2281</v>
      </c>
      <c r="C1173" s="1" t="str">
        <f>IFERROR(__xludf.DUMMYFUNCTION("CONCATENATE(GOOGLETRANSLATE(B1173, ""en"", ""zh-cn""))"),"维护模式激活")</f>
        <v>维护模式激活</v>
      </c>
      <c r="D1173" s="1" t="str">
        <f>IFERROR(__xludf.DUMMYFUNCTION("CONCATENATE(GOOGLETRANSLATE(B1173, ""en"", ""ko""))"),"유지 관리 모드 활성화")</f>
        <v>유지 관리 모드 활성화</v>
      </c>
      <c r="E1173" s="2" t="str">
        <f>IFERROR(__xludf.DUMMYFUNCTION("CONCATENATE(GOOGLETRANSLATE(B1173, ""en"", ""ja""))"),"メンテナンスモードの有効化")</f>
        <v>メンテナンスモードの有効化</v>
      </c>
    </row>
    <row r="1174" ht="15.75" customHeight="1">
      <c r="A1174" s="1" t="s">
        <v>2282</v>
      </c>
      <c r="B1174" s="1" t="s">
        <v>2283</v>
      </c>
      <c r="C1174" s="1" t="str">
        <f>IFERROR(__xludf.DUMMYFUNCTION("CONCATENATE(GOOGLETRANSLATE(B1174, ""en"", ""zh-cn""))"),"分类产品激活")</f>
        <v>分类产品激活</v>
      </c>
      <c r="D1174" s="1" t="str">
        <f>IFERROR(__xludf.DUMMYFUNCTION("CONCATENATE(GOOGLETRANSLATE(B1174, ""en"", ""ko""))"),"분류된 제품 활성화")</f>
        <v>분류된 제품 활성화</v>
      </c>
      <c r="E1174" s="2" t="str">
        <f>IFERROR(__xludf.DUMMYFUNCTION("CONCATENATE(GOOGLETRANSLATE(B1174, ""en"", ""ja""))"),"分類された製品のアクティベート")</f>
        <v>分類された製品のアクティベート</v>
      </c>
    </row>
    <row r="1175" ht="15.75" customHeight="1">
      <c r="A1175" s="1" t="s">
        <v>2284</v>
      </c>
      <c r="B1175" s="1" t="s">
        <v>2285</v>
      </c>
      <c r="C1175" s="1" t="str">
        <f>IFERROR(__xludf.DUMMYFUNCTION("CONCATENATE(GOOGLETRANSLATE(B1175, ""en"", ""zh-cn""))"),"分类产品")</f>
        <v>分类产品</v>
      </c>
      <c r="D1175" s="1" t="str">
        <f>IFERROR(__xludf.DUMMYFUNCTION("CONCATENATE(GOOGLETRANSLATE(B1175, ""en"", ""ko""))"),"분류된 제품")</f>
        <v>분류된 제품</v>
      </c>
      <c r="E1175" s="2" t="str">
        <f>IFERROR(__xludf.DUMMYFUNCTION("CONCATENATE(GOOGLETRANSLATE(B1175, ""en"", ""ja""))"),"分類された製品")</f>
        <v>分類された製品</v>
      </c>
    </row>
    <row r="1176" ht="15.75" customHeight="1">
      <c r="A1176" s="1" t="s">
        <v>2286</v>
      </c>
      <c r="B1176" s="1" t="s">
        <v>2287</v>
      </c>
      <c r="C1176" s="1" t="str">
        <f>IFERROR(__xludf.DUMMYFUNCTION("CONCATENATE(GOOGLETRANSLATE(B1176, ""en"", ""zh-cn""))"),"业务相关")</f>
        <v>业务相关</v>
      </c>
      <c r="D1176" s="1" t="str">
        <f>IFERROR(__xludf.DUMMYFUNCTION("CONCATENATE(GOOGLETRANSLATE(B1176, ""en"", ""ko""))"),"비즈니스 관련")</f>
        <v>비즈니스 관련</v>
      </c>
      <c r="E1176" s="2" t="str">
        <f>IFERROR(__xludf.DUMMYFUNCTION("CONCATENATE(GOOGLETRANSLATE(B1176, ""en"", ""ja""))"),"ビジネス関連")</f>
        <v>ビジネス関連</v>
      </c>
    </row>
    <row r="1177" ht="15.75" customHeight="1">
      <c r="A1177" s="1" t="s">
        <v>2288</v>
      </c>
      <c r="B1177" s="1" t="s">
        <v>2289</v>
      </c>
      <c r="C1177" s="1" t="str">
        <f>IFERROR(__xludf.DUMMYFUNCTION("CONCATENATE(GOOGLETRANSLATE(B1177, ""en"", ""zh-cn""))"),"供应商系统激活")</f>
        <v>供应商系统激活</v>
      </c>
      <c r="D1177" s="1" t="str">
        <f>IFERROR(__xludf.DUMMYFUNCTION("CONCATENATE(GOOGLETRANSLATE(B1177, ""en"", ""ko""))"),"벤더 시스템 활성화")</f>
        <v>벤더 시스템 활성화</v>
      </c>
      <c r="E1177" s="2" t="str">
        <f>IFERROR(__xludf.DUMMYFUNCTION("CONCATENATE(GOOGLETRANSLATE(B1177, ""en"", ""ja""))"),"ベンダーシステムのアクティベーション")</f>
        <v>ベンダーシステムのアクティベーション</v>
      </c>
    </row>
    <row r="1178" ht="15.75" customHeight="1">
      <c r="A1178" s="1" t="s">
        <v>2290</v>
      </c>
      <c r="B1178" s="1" t="s">
        <v>2291</v>
      </c>
      <c r="C1178" s="1" t="str">
        <f>IFERROR(__xludf.DUMMYFUNCTION("CONCATENATE(GOOGLETRANSLATE(B1178, ""en"", ""zh-cn""))"),"钱包系统激活")</f>
        <v>钱包系统激活</v>
      </c>
      <c r="D1178" s="1" t="str">
        <f>IFERROR(__xludf.DUMMYFUNCTION("CONCATENATE(GOOGLETRANSLATE(B1178, ""en"", ""ko""))"),"지갑 시스템 활성화")</f>
        <v>지갑 시스템 활성화</v>
      </c>
      <c r="E1178" s="2" t="str">
        <f>IFERROR(__xludf.DUMMYFUNCTION("CONCATENATE(GOOGLETRANSLATE(B1178, ""en"", ""ja""))"),"ウォレットシステムのアクティベーション")</f>
        <v>ウォレットシステムのアクティベーション</v>
      </c>
    </row>
    <row r="1179" ht="15.75" customHeight="1">
      <c r="A1179" s="1" t="s">
        <v>2292</v>
      </c>
      <c r="B1179" s="1" t="s">
        <v>2293</v>
      </c>
      <c r="C1179" s="1" t="str">
        <f>IFERROR(__xludf.DUMMYFUNCTION("CONCATENATE(GOOGLETRANSLATE(B1179, ""en"", ""zh-cn""))"),"优惠券系统激活")</f>
        <v>优惠券系统激活</v>
      </c>
      <c r="D1179" s="1" t="str">
        <f>IFERROR(__xludf.DUMMYFUNCTION("CONCATENATE(GOOGLETRANSLATE(B1179, ""en"", ""ko""))"),"쿠폰 시스템 활성화")</f>
        <v>쿠폰 시스템 활성화</v>
      </c>
      <c r="E1179" s="2" t="str">
        <f>IFERROR(__xludf.DUMMYFUNCTION("CONCATENATE(GOOGLETRANSLATE(B1179, ""en"", ""ja""))"),"クーポンシステムの有効化")</f>
        <v>クーポンシステムの有効化</v>
      </c>
    </row>
    <row r="1180" ht="15.75" customHeight="1">
      <c r="A1180" s="1" t="s">
        <v>2294</v>
      </c>
      <c r="B1180" s="1" t="s">
        <v>2295</v>
      </c>
      <c r="C1180" s="1" t="str">
        <f>IFERROR(__xludf.DUMMYFUNCTION("CONCATENATE(GOOGLETRANSLATE(B1180, ""en"", ""zh-cn""))"),"接送点激活")</f>
        <v>接送点激活</v>
      </c>
      <c r="D1180" s="1" t="str">
        <f>IFERROR(__xludf.DUMMYFUNCTION("CONCATENATE(GOOGLETRANSLATE(B1180, ""en"", ""ko""))"),"픽업 지점 활성화")</f>
        <v>픽업 지점 활성화</v>
      </c>
      <c r="E1180" s="2" t="str">
        <f>IFERROR(__xludf.DUMMYFUNCTION("CONCATENATE(GOOGLETRANSLATE(B1180, ""en"", ""ja""))"),"ピックアップポイントの有効化")</f>
        <v>ピックアップポイントの有効化</v>
      </c>
    </row>
    <row r="1181" ht="15.75" customHeight="1">
      <c r="A1181" s="1" t="s">
        <v>2296</v>
      </c>
      <c r="B1181" s="1" t="s">
        <v>2297</v>
      </c>
      <c r="C1181" s="1" t="str">
        <f>IFERROR(__xludf.DUMMYFUNCTION("CONCATENATE(GOOGLETRANSLATE(B1181, ""en"", ""zh-cn""))"),"对话激活")</f>
        <v>对话激活</v>
      </c>
      <c r="D1181" s="1" t="str">
        <f>IFERROR(__xludf.DUMMYFUNCTION("CONCATENATE(GOOGLETRANSLATE(B1181, ""en"", ""ko""))"),"대화 활성화")</f>
        <v>대화 활성화</v>
      </c>
      <c r="E1181" s="2" t="str">
        <f>IFERROR(__xludf.DUMMYFUNCTION("CONCATENATE(GOOGLETRANSLATE(B1181, ""en"", ""ja""))"),"会話の活性化")</f>
        <v>会話の活性化</v>
      </c>
    </row>
    <row r="1182" ht="15.75" customHeight="1">
      <c r="A1182" s="1" t="s">
        <v>2298</v>
      </c>
      <c r="B1182" s="1" t="s">
        <v>2299</v>
      </c>
      <c r="C1182" s="1" t="str">
        <f>IFERROR(__xludf.DUMMYFUNCTION("CONCATENATE(GOOGLETRANSLATE(B1182, ""en"", ""zh-cn""))"),"访客结账激活")</f>
        <v>访客结账激活</v>
      </c>
      <c r="D1182" s="1" t="str">
        <f>IFERROR(__xludf.DUMMYFUNCTION("CONCATENATE(GOOGLETRANSLATE(B1182, ""en"", ""ko""))"),"비회원 결제 활성화")</f>
        <v>비회원 결제 활성화</v>
      </c>
      <c r="E1182" s="2" t="str">
        <f>IFERROR(__xludf.DUMMYFUNCTION("CONCATENATE(GOOGLETRANSLATE(B1182, ""en"", ""ja""))"),"ゲストチェックアウトのアクティベーション")</f>
        <v>ゲストチェックアウトのアクティベーション</v>
      </c>
    </row>
    <row r="1183" ht="15.75" customHeight="1">
      <c r="A1183" s="1" t="s">
        <v>2300</v>
      </c>
      <c r="B1183" s="1" t="s">
        <v>2301</v>
      </c>
      <c r="C1183" s="1" t="str">
        <f>IFERROR(__xludf.DUMMYFUNCTION("CONCATENATE(GOOGLETRANSLATE(B1183, ""en"", ""zh-cn""))"),"基于类别的佣金")</f>
        <v>基于类别的佣金</v>
      </c>
      <c r="D1183" s="1" t="str">
        <f>IFERROR(__xludf.DUMMYFUNCTION("CONCATENATE(GOOGLETRANSLATE(B1183, ""en"", ""ko""))"),"카테고리 기반 커미션")</f>
        <v>카테고리 기반 커미션</v>
      </c>
      <c r="E1183" s="2" t="str">
        <f>IFERROR(__xludf.DUMMYFUNCTION("CONCATENATE(GOOGLETRANSLATE(B1183, ""en"", ""ja""))"),"カテゴリベースの手数料")</f>
        <v>カテゴリベースの手数料</v>
      </c>
    </row>
    <row r="1184" ht="15.75" customHeight="1">
      <c r="A1184" s="1" t="s">
        <v>2302</v>
      </c>
      <c r="B1184" s="1" t="s">
        <v>2303</v>
      </c>
      <c r="C1184" s="1" t="str">
        <f>IFERROR(__xludf.DUMMYFUNCTION("CONCATENATE(GOOGLETRANSLATE(B1184, ""en"", ""zh-cn""))"),"激活此选项后，卖家佣金将被禁用，您需要为每个类别设置佣金，否则管理员将不会获得任何佣金")</f>
        <v>激活此选项后，卖家佣金将被禁用，您需要为每个类别设置佣金，否则管理员将不会获得任何佣金</v>
      </c>
      <c r="D1184" s="1" t="str">
        <f>IFERROR(__xludf.DUMMYFUNCTION("CONCATENATE(GOOGLETRANSLATE(B1184, ""en"", ""ko""))"),"이 옵션을 활성화하면 판매자 커미션이 비활성화되며 각 카테고리에 커미션을 설정해야 합니다. 그렇지 않으면 관리자가 커미션을 받을 수 없습니다.")</f>
        <v>이 옵션을 활성화하면 판매자 커미션이 비활성화되며 각 카테고리에 커미션을 설정해야 합니다. 그렇지 않으면 관리자가 커미션을 받을 수 없습니다.</v>
      </c>
      <c r="E1184" s="2" t="str">
        <f>IFERROR(__xludf.DUMMYFUNCTION("CONCATENATE(GOOGLETRANSLATE(B1184, ""en"", ""ja""))"),"このオプションを有効にすると、販売者のコミッションが無効になり、カテゴリごとにコミッションを設定する必要があります。そうしないと、管理者はコミッションを取得できません。")</f>
        <v>このオプションを有効にすると、販売者のコミッションが無効になり、カテゴリごとにコミッションを設定する必要があります。そうしないと、管理者はコミッションを取得できません。</v>
      </c>
    </row>
    <row r="1185" ht="15.75" customHeight="1">
      <c r="A1185" s="1" t="s">
        <v>2304</v>
      </c>
      <c r="B1185" s="1" t="s">
        <v>2305</v>
      </c>
      <c r="C1185" s="1" t="str">
        <f>IFERROR(__xludf.DUMMYFUNCTION("CONCATENATE(GOOGLETRANSLATE(B1185, ""en"", ""zh-cn""))"),"立即设置佣金")</f>
        <v>立即设置佣金</v>
      </c>
      <c r="D1185" s="1" t="str">
        <f>IFERROR(__xludf.DUMMYFUNCTION("CONCATENATE(GOOGLETRANSLATE(B1185, ""en"", ""ko""))"),"지금 커미션 설정")</f>
        <v>지금 커미션 설정</v>
      </c>
      <c r="E1185" s="2" t="str">
        <f>IFERROR(__xludf.DUMMYFUNCTION("CONCATENATE(GOOGLETRANSLATE(B1185, ""en"", ""ja""))"),"今すぐ手数料を設定")</f>
        <v>今すぐ手数料を設定</v>
      </c>
    </row>
    <row r="1186" ht="15.75" customHeight="1">
      <c r="A1186" s="1" t="s">
        <v>2306</v>
      </c>
      <c r="B1186" s="1" t="s">
        <v>2307</v>
      </c>
      <c r="C1186" s="1" t="str">
        <f>IFERROR(__xludf.DUMMYFUNCTION("CONCATENATE(GOOGLETRANSLATE(B1186, ""en"", ""zh-cn""))"),"支付相关")</f>
        <v>支付相关</v>
      </c>
      <c r="D1186" s="1" t="str">
        <f>IFERROR(__xludf.DUMMYFUNCTION("CONCATENATE(GOOGLETRANSLATE(B1186, ""en"", ""ko""))"),"결제 관련")</f>
        <v>결제 관련</v>
      </c>
      <c r="E1186" s="2" t="str">
        <f>IFERROR(__xludf.DUMMYFUNCTION("CONCATENATE(GOOGLETRANSLATE(B1186, ""en"", ""ja""))"),"決済関連")</f>
        <v>決済関連</v>
      </c>
    </row>
    <row r="1187" ht="15.75" customHeight="1">
      <c r="A1187" s="1" t="s">
        <v>2308</v>
      </c>
      <c r="B1187" s="1" t="s">
        <v>2309</v>
      </c>
      <c r="C1187" s="1" t="str">
        <f>IFERROR(__xludf.DUMMYFUNCTION("CONCATENATE(GOOGLETRANSLATE(B1187, ""en"", ""zh-cn""))"),"Paypal支付激活")</f>
        <v>Paypal支付激活</v>
      </c>
      <c r="D1187" s="1" t="str">
        <f>IFERROR(__xludf.DUMMYFUNCTION("CONCATENATE(GOOGLETRANSLATE(B1187, ""en"", ""ko""))"),"페이팔 결제 활성화")</f>
        <v>페이팔 결제 활성화</v>
      </c>
      <c r="E1187" s="2" t="str">
        <f>IFERROR(__xludf.DUMMYFUNCTION("CONCATENATE(GOOGLETRANSLATE(B1187, ""en"", ""ja""))"),"Paypal支払いのアクティベーション")</f>
        <v>Paypal支払いのアクティベーション</v>
      </c>
    </row>
    <row r="1188" ht="15.75" customHeight="1">
      <c r="A1188" s="1" t="s">
        <v>2310</v>
      </c>
      <c r="B1188" s="1" t="s">
        <v>2311</v>
      </c>
      <c r="C1188" s="1" t="str">
        <f>IFERROR(__xludf.DUMMYFUNCTION("CONCATENATE(GOOGLETRANSLATE(B1188, ""en"", ""zh-cn""))"),"您需要正确配置 Paypal 才能启用此功能")</f>
        <v>您需要正确配置 Paypal 才能启用此功能</v>
      </c>
      <c r="D1188" s="1" t="str">
        <f>IFERROR(__xludf.DUMMYFUNCTION("CONCATENATE(GOOGLETRANSLATE(B1188, ""en"", ""ko""))"),"이 기능을 활성화하려면 PayPal을 올바르게 구성해야 합니다.")</f>
        <v>이 기능을 활성화하려면 PayPal을 올바르게 구성해야 합니다.</v>
      </c>
      <c r="E1188" s="2" t="str">
        <f>IFERROR(__xludf.DUMMYFUNCTION("CONCATENATE(GOOGLETRANSLATE(B1188, ""en"", ""ja""))"),"この機能を有効にするには、Paypal を正しく設定する必要があります")</f>
        <v>この機能を有効にするには、Paypal を正しく設定する必要があります</v>
      </c>
    </row>
    <row r="1189" ht="15.75" customHeight="1">
      <c r="A1189" s="1" t="s">
        <v>2312</v>
      </c>
      <c r="B1189" s="1" t="s">
        <v>2313</v>
      </c>
      <c r="C1189" s="1" t="str">
        <f>IFERROR(__xludf.DUMMYFUNCTION("CONCATENATE(GOOGLETRANSLATE(B1189, ""en"", ""zh-cn""))"),"条纹支付激活")</f>
        <v>条纹支付激活</v>
      </c>
      <c r="D1189" s="1" t="str">
        <f>IFERROR(__xludf.DUMMYFUNCTION("CONCATENATE(GOOGLETRANSLATE(B1189, ""en"", ""ko""))"),"스트라이프 결제 활성화")</f>
        <v>스트라이프 결제 활성화</v>
      </c>
      <c r="E1189" s="2" t="str">
        <f>IFERROR(__xludf.DUMMYFUNCTION("CONCATENATE(GOOGLETRANSLATE(B1189, ""en"", ""ja""))"),"Stripe 支払いのアクティベーション")</f>
        <v>Stripe 支払いのアクティベーション</v>
      </c>
    </row>
    <row r="1190" ht="15.75" customHeight="1">
      <c r="A1190" s="1" t="s">
        <v>2314</v>
      </c>
      <c r="B1190" s="1" t="s">
        <v>2315</v>
      </c>
      <c r="C1190" s="1" t="str">
        <f>IFERROR(__xludf.DUMMYFUNCTION("CONCATENATE(GOOGLETRANSLATE(B1190, ""en"", ""zh-cn""))"),"SSlCommerz 激活")</f>
        <v>SSlCommerz 激活</v>
      </c>
      <c r="D1190" s="1" t="str">
        <f>IFERROR(__xludf.DUMMYFUNCTION("CONCATENATE(GOOGLETRANSLATE(B1190, ""en"", ""ko""))"),"SSLCommerz 활성화")</f>
        <v>SSLCommerz 활성화</v>
      </c>
      <c r="E1190" s="2" t="str">
        <f>IFERROR(__xludf.DUMMYFUNCTION("CONCATENATE(GOOGLETRANSLATE(B1190, ""en"", ""ja""))"),"SSlCommerz アクティベーション")</f>
        <v>SSlCommerz アクティベーション</v>
      </c>
    </row>
    <row r="1191" ht="15.75" customHeight="1">
      <c r="A1191" s="1" t="s">
        <v>2316</v>
      </c>
      <c r="B1191" s="1" t="s">
        <v>2317</v>
      </c>
      <c r="C1191" s="1" t="str">
        <f>IFERROR(__xludf.DUMMYFUNCTION("CONCATENATE(GOOGLETRANSLATE(B1191, ""en"", ""zh-cn""))"),"Instamojo 付款激活")</f>
        <v>Instamojo 付款激活</v>
      </c>
      <c r="D1191" s="1" t="str">
        <f>IFERROR(__xludf.DUMMYFUNCTION("CONCATENATE(GOOGLETRANSLATE(B1191, ""en"", ""ko""))"),"Instamojo 결제 활성화")</f>
        <v>Instamojo 결제 활성화</v>
      </c>
      <c r="E1191" s="2" t="str">
        <f>IFERROR(__xludf.DUMMYFUNCTION("CONCATENATE(GOOGLETRANSLATE(B1191, ""en"", ""ja""))"),"Instamojo 支払いのアクティベーション")</f>
        <v>Instamojo 支払いのアクティベーション</v>
      </c>
    </row>
    <row r="1192" ht="15.75" customHeight="1">
      <c r="A1192" s="1" t="s">
        <v>2318</v>
      </c>
      <c r="B1192" s="1" t="s">
        <v>2319</v>
      </c>
      <c r="C1192" s="1" t="str">
        <f>IFERROR(__xludf.DUMMYFUNCTION("CONCATENATE(GOOGLETRANSLATE(B1192, ""en"", ""zh-cn""))"),"您需要正确配置 Instamojo Payment 才能启用此功能")</f>
        <v>您需要正确配置 Instamojo Payment 才能启用此功能</v>
      </c>
      <c r="D1192" s="1" t="str">
        <f>IFERROR(__xludf.DUMMYFUNCTION("CONCATENATE(GOOGLETRANSLATE(B1192, ""en"", ""ko""))"),"이 기능을 활성화하려면 Instamojo 결제를 올바르게 구성해야 합니다.")</f>
        <v>이 기능을 활성화하려면 Instamojo 결제를 올바르게 구성해야 합니다.</v>
      </c>
      <c r="E1192" s="2" t="str">
        <f>IFERROR(__xludf.DUMMYFUNCTION("CONCATENATE(GOOGLETRANSLATE(B1192, ""en"", ""ja""))"),"この機能を有効にするには、Instamojo Paymentを正しく設定する必要があります")</f>
        <v>この機能を有効にするには、Instamojo Paymentを正しく設定する必要があります</v>
      </c>
    </row>
    <row r="1193" ht="15.75" customHeight="1">
      <c r="A1193" s="1" t="s">
        <v>2320</v>
      </c>
      <c r="B1193" s="1" t="s">
        <v>2321</v>
      </c>
      <c r="C1193" s="1" t="str">
        <f>IFERROR(__xludf.DUMMYFUNCTION("CONCATENATE(GOOGLETRANSLATE(B1193, ""en"", ""zh-cn""))"),"剃刀付费激活")</f>
        <v>剃刀付费激活</v>
      </c>
      <c r="D1193" s="1" t="str">
        <f>IFERROR(__xludf.DUMMYFUNCTION("CONCATENATE(GOOGLETRANSLATE(B1193, ""en"", ""ko""))"),"Razor Pay 활성화")</f>
        <v>Razor Pay 활성화</v>
      </c>
      <c r="E1193" s="2" t="str">
        <f>IFERROR(__xludf.DUMMYFUNCTION("CONCATENATE(GOOGLETRANSLATE(B1193, ""en"", ""ja""))"),"Razor Pay のアクティベーション")</f>
        <v>Razor Pay のアクティベーション</v>
      </c>
    </row>
    <row r="1194" ht="15.75" customHeight="1">
      <c r="A1194" s="1" t="s">
        <v>2322</v>
      </c>
      <c r="B1194" s="1" t="s">
        <v>2323</v>
      </c>
      <c r="C1194" s="1" t="str">
        <f>IFERROR(__xludf.DUMMYFUNCTION("CONCATENATE(GOOGLETRANSLATE(B1194, ""en"", ""zh-cn""))"),"您需要正确配置 Razor 才能启用此功能")</f>
        <v>您需要正确配置 Razor 才能启用此功能</v>
      </c>
      <c r="D1194" s="1" t="str">
        <f>IFERROR(__xludf.DUMMYFUNCTION("CONCATENATE(GOOGLETRANSLATE(B1194, ""en"", ""ko""))"),"이 기능을 활성화하려면 Razor를 올바르게 구성해야 합니다.")</f>
        <v>이 기능을 활성화하려면 Razor를 올바르게 구성해야 합니다.</v>
      </c>
      <c r="E1194" s="2" t="str">
        <f>IFERROR(__xludf.DUMMYFUNCTION("CONCATENATE(GOOGLETRANSLATE(B1194, ""en"", ""ja""))"),"この機能を有効にするには、Razor を正しく構成する必要があります")</f>
        <v>この機能を有効にするには、Razor を正しく構成する必要があります</v>
      </c>
    </row>
    <row r="1195" ht="15.75" customHeight="1">
      <c r="A1195" s="1" t="s">
        <v>2324</v>
      </c>
      <c r="B1195" s="1" t="s">
        <v>2325</v>
      </c>
      <c r="C1195" s="1" t="str">
        <f>IFERROR(__xludf.DUMMYFUNCTION("CONCATENATE(GOOGLETRANSLATE(B1195, ""en"", ""zh-cn""))"),"PayStack激活")</f>
        <v>PayStack激活</v>
      </c>
      <c r="D1195" s="1" t="str">
        <f>IFERROR(__xludf.DUMMYFUNCTION("CONCATENATE(GOOGLETRANSLATE(B1195, ""en"", ""ko""))"),"PayStack 활성화")</f>
        <v>PayStack 활성화</v>
      </c>
      <c r="E1195" s="2" t="str">
        <f>IFERROR(__xludf.DUMMYFUNCTION("CONCATENATE(GOOGLETRANSLATE(B1195, ""en"", ""ja""))"),"ペイスタックのアクティベーション")</f>
        <v>ペイスタックのアクティベーション</v>
      </c>
    </row>
    <row r="1196" ht="15.75" customHeight="1">
      <c r="A1196" s="1" t="s">
        <v>2326</v>
      </c>
      <c r="B1196" s="1" t="s">
        <v>2327</v>
      </c>
      <c r="C1196" s="1" t="str">
        <f>IFERROR(__xludf.DUMMYFUNCTION("CONCATENATE(GOOGLETRANSLATE(B1196, ""en"", ""zh-cn""))"),"您需要正确配置 PayStack 才能启用此功能")</f>
        <v>您需要正确配置 PayStack 才能启用此功能</v>
      </c>
      <c r="D1196" s="1" t="str">
        <f>IFERROR(__xludf.DUMMYFUNCTION("CONCATENATE(GOOGLETRANSLATE(B1196, ""en"", ""ko""))"),"이 기능을 활성화하려면 PayStack을 올바르게 구성해야 합니다.")</f>
        <v>이 기능을 활성화하려면 PayStack을 올바르게 구성해야 합니다.</v>
      </c>
      <c r="E1196" s="2" t="str">
        <f>IFERROR(__xludf.DUMMYFUNCTION("CONCATENATE(GOOGLETRANSLATE(B1196, ""en"", ""ja""))"),"この機能を有効にするには、PayStack を正しく設定する必要があります")</f>
        <v>この機能を有効にするには、PayStack を正しく設定する必要があります</v>
      </c>
    </row>
    <row r="1197" ht="15.75" customHeight="1">
      <c r="A1197" s="1" t="s">
        <v>2328</v>
      </c>
      <c r="B1197" s="1" t="s">
        <v>2329</v>
      </c>
      <c r="C1197" s="1" t="str">
        <f>IFERROR(__xludf.DUMMYFUNCTION("CONCATENATE(GOOGLETRANSLATE(B1197, ""en"", ""zh-cn""))"),"VoguePay 激活")</f>
        <v>VoguePay 激活</v>
      </c>
      <c r="D1197" s="1" t="str">
        <f>IFERROR(__xludf.DUMMYFUNCTION("CONCATENATE(GOOGLETRANSLATE(B1197, ""en"", ""ko""))"),"VoguePay 활성화")</f>
        <v>VoguePay 활성화</v>
      </c>
      <c r="E1197" s="2" t="str">
        <f>IFERROR(__xludf.DUMMYFUNCTION("CONCATENATE(GOOGLETRANSLATE(B1197, ""en"", ""ja""))"),"VoguePayのアクティベーション")</f>
        <v>VoguePayのアクティベーション</v>
      </c>
    </row>
    <row r="1198" ht="15.75" customHeight="1">
      <c r="A1198" s="1" t="s">
        <v>2330</v>
      </c>
      <c r="B1198" s="1" t="s">
        <v>2331</v>
      </c>
      <c r="C1198" s="1" t="str">
        <f>IFERROR(__xludf.DUMMYFUNCTION("CONCATENATE(GOOGLETRANSLATE(B1198, ""en"", ""zh-cn""))"),"您需要正确配置 VoguePay 才能启用此功能")</f>
        <v>您需要正确配置 VoguePay 才能启用此功能</v>
      </c>
      <c r="D1198" s="1" t="str">
        <f>IFERROR(__xludf.DUMMYFUNCTION("CONCATENATE(GOOGLETRANSLATE(B1198, ""en"", ""ko""))"),"이 기능을 활성화하려면 VoguePay를 올바르게 구성해야 합니다.")</f>
        <v>이 기능을 활성화하려면 VoguePay를 올바르게 구성해야 합니다.</v>
      </c>
      <c r="E1198" s="2" t="str">
        <f>IFERROR(__xludf.DUMMYFUNCTION("CONCATENATE(GOOGLETRANSLATE(B1198, ""en"", ""ja""))"),"この機能を有効にするには、VoguePay を正しく設定する必要があります")</f>
        <v>この機能を有効にするには、VoguePay を正しく設定する必要があります</v>
      </c>
    </row>
    <row r="1199" ht="15.75" customHeight="1">
      <c r="A1199" s="1" t="s">
        <v>2332</v>
      </c>
      <c r="B1199" s="1" t="s">
        <v>2333</v>
      </c>
      <c r="C1199" s="1" t="str">
        <f>IFERROR(__xludf.DUMMYFUNCTION("CONCATENATE(GOOGLETRANSLATE(B1199, ""en"", ""zh-cn""))"),"支付宝激活")</f>
        <v>支付宝激活</v>
      </c>
      <c r="D1199" s="1" t="str">
        <f>IFERROR(__xludf.DUMMYFUNCTION("CONCATENATE(GOOGLETRANSLATE(B1199, ""en"", ""ko""))"),"Payhere 활성화")</f>
        <v>Payhere 활성화</v>
      </c>
      <c r="E1199" s="2" t="str">
        <f>IFERROR(__xludf.DUMMYFUNCTION("CONCATENATE(GOOGLETRANSLATE(B1199, ""en"", ""ja""))"),"Payhereのアクティベーション")</f>
        <v>Payhereのアクティベーション</v>
      </c>
    </row>
    <row r="1200" ht="15.75" customHeight="1">
      <c r="A1200" s="1" t="s">
        <v>2334</v>
      </c>
      <c r="B1200" s="1" t="s">
        <v>2335</v>
      </c>
      <c r="C1200" s="1" t="str">
        <f>IFERROR(__xludf.DUMMYFUNCTION("CONCATENATE(GOOGLETRANSLATE(B1200, ""en"", ""zh-cn""))"),"Ngenius 激活")</f>
        <v>Ngenius 激活</v>
      </c>
      <c r="D1200" s="1" t="str">
        <f>IFERROR(__xludf.DUMMYFUNCTION("CONCATENATE(GOOGLETRANSLATE(B1200, ""en"", ""ko""))"),"Ngenius 활성화")</f>
        <v>Ngenius 활성화</v>
      </c>
      <c r="E1200" s="2" t="str">
        <f>IFERROR(__xludf.DUMMYFUNCTION("CONCATENATE(GOOGLETRANSLATE(B1200, ""en"", ""ja""))"),"Ngenius アクティベーション")</f>
        <v>Ngenius アクティベーション</v>
      </c>
    </row>
    <row r="1201" ht="15.75" customHeight="1">
      <c r="A1201" s="1" t="s">
        <v>2336</v>
      </c>
      <c r="B1201" s="1" t="s">
        <v>2337</v>
      </c>
      <c r="C1201" s="1" t="str">
        <f>IFERROR(__xludf.DUMMYFUNCTION("CONCATENATE(GOOGLETRANSLATE(B1201, ""en"", ""zh-cn""))"),"您需要正确配置 Ngenius 才能启用此功能")</f>
        <v>您需要正确配置 Ngenius 才能启用此功能</v>
      </c>
      <c r="D1201" s="1" t="str">
        <f>IFERROR(__xludf.DUMMYFUNCTION("CONCATENATE(GOOGLETRANSLATE(B1201, ""en"", ""ko""))"),"이 기능을 활성화하려면 Ngenius를 올바르게 구성해야 합니다.")</f>
        <v>이 기능을 활성화하려면 Ngenius를 올바르게 구성해야 합니다.</v>
      </c>
      <c r="E1201" s="2" t="str">
        <f>IFERROR(__xludf.DUMMYFUNCTION("CONCATENATE(GOOGLETRANSLATE(B1201, ""en"", ""ja""))"),"この機能を有効にするには、Ngenius を正しく設定する必要があります")</f>
        <v>この機能を有効にするには、Ngenius を正しく設定する必要があります</v>
      </c>
    </row>
    <row r="1202" ht="15.75" customHeight="1">
      <c r="A1202" s="1" t="s">
        <v>2338</v>
      </c>
      <c r="B1202" s="1" t="s">
        <v>2339</v>
      </c>
      <c r="C1202" s="1" t="str">
        <f>IFERROR(__xludf.DUMMYFUNCTION("CONCATENATE(GOOGLETRANSLATE(B1202, ""en"", ""zh-cn""))"),"伊兹科激活")</f>
        <v>伊兹科激活</v>
      </c>
      <c r="D1202" s="1" t="str">
        <f>IFERROR(__xludf.DUMMYFUNCTION("CONCATENATE(GOOGLETRANSLATE(B1202, ""en"", ""ko""))"),"이지코 활성화")</f>
        <v>이지코 활성화</v>
      </c>
      <c r="E1202" s="2" t="str">
        <f>IFERROR(__xludf.DUMMYFUNCTION("CONCATENATE(GOOGLETRANSLATE(B1202, ""en"", ""ja""))"),"イイジコのアクティベーション")</f>
        <v>イイジコのアクティベーション</v>
      </c>
    </row>
    <row r="1203" ht="15.75" customHeight="1">
      <c r="A1203" s="1" t="s">
        <v>2340</v>
      </c>
      <c r="B1203" s="1" t="s">
        <v>2341</v>
      </c>
      <c r="C1203" s="1" t="str">
        <f>IFERROR(__xludf.DUMMYFUNCTION("CONCATENATE(GOOGLETRANSLATE(B1203, ""en"", ""zh-cn""))"),"您需要正确配置 iyzico 才能启用此功能")</f>
        <v>您需要正确配置 iyzico 才能启用此功能</v>
      </c>
      <c r="D1203" s="1" t="str">
        <f>IFERROR(__xludf.DUMMYFUNCTION("CONCATENATE(GOOGLETRANSLATE(B1203, ""en"", ""ko""))"),"이 기능을 활성화하려면 iyzico를 올바르게 구성해야 합니다.")</f>
        <v>이 기능을 활성화하려면 iyzico를 올바르게 구성해야 합니다.</v>
      </c>
      <c r="E1203" s="2" t="str">
        <f>IFERROR(__xludf.DUMMYFUNCTION("CONCATENATE(GOOGLETRANSLATE(B1203, ""en"", ""ja""))"),"この機能を有効にするには、iyzico を正しく設定する必要があります")</f>
        <v>この機能を有効にするには、iyzico を正しく設定する必要があります</v>
      </c>
    </row>
    <row r="1204" ht="15.75" customHeight="1">
      <c r="A1204" s="1" t="s">
        <v>2342</v>
      </c>
      <c r="B1204" s="1" t="s">
        <v>2343</v>
      </c>
      <c r="C1204" s="1" t="str">
        <f>IFERROR(__xludf.DUMMYFUNCTION("CONCATENATE(GOOGLETRANSLATE(B1204, ""en"", ""zh-cn""))"),"Bkash激活")</f>
        <v>Bkash激活</v>
      </c>
      <c r="D1204" s="1" t="str">
        <f>IFERROR(__xludf.DUMMYFUNCTION("CONCATENATE(GOOGLETRANSLATE(B1204, ""en"", ""ko""))"),"Bkash 활성화")</f>
        <v>Bkash 활성화</v>
      </c>
      <c r="E1204" s="2" t="str">
        <f>IFERROR(__xludf.DUMMYFUNCTION("CONCATENATE(GOOGLETRANSLATE(B1204, ""en"", ""ja""))"),"Bkashのアクティベーション")</f>
        <v>Bkashのアクティベーション</v>
      </c>
    </row>
    <row r="1205" ht="15.75" customHeight="1">
      <c r="A1205" s="1" t="s">
        <v>2344</v>
      </c>
      <c r="B1205" s="1" t="s">
        <v>2345</v>
      </c>
      <c r="C1205" s="1" t="str">
        <f>IFERROR(__xludf.DUMMYFUNCTION("CONCATENATE(GOOGLETRANSLATE(B1205, ""en"", ""zh-cn""))"),"您需要正确配置bkash才能启用此功能")</f>
        <v>您需要正确配置bkash才能启用此功能</v>
      </c>
      <c r="D1205" s="1" t="str">
        <f>IFERROR(__xludf.DUMMYFUNCTION("CONCATENATE(GOOGLETRANSLATE(B1205, ""en"", ""ko""))"),"이 기능을 활성화하려면 bkash를 올바르게 구성해야 합니다.")</f>
        <v>이 기능을 활성화하려면 bkash를 올바르게 구성해야 합니다.</v>
      </c>
      <c r="E1205" s="2" t="str">
        <f>IFERROR(__xludf.DUMMYFUNCTION("CONCATENATE(GOOGLETRANSLATE(B1205, ""en"", ""ja""))"),"この機能を有効にするには、bkash を正しく設定する必要があります")</f>
        <v>この機能を有効にするには、bkash を正しく設定する必要があります</v>
      </c>
    </row>
    <row r="1206" ht="15.75" customHeight="1">
      <c r="A1206" s="1" t="s">
        <v>2346</v>
      </c>
      <c r="B1206" s="1" t="s">
        <v>2347</v>
      </c>
      <c r="C1206" s="1" t="str">
        <f>IFERROR(__xludf.DUMMYFUNCTION("CONCATENATE(GOOGLETRANSLATE(B1206, ""en"", ""zh-cn""))"),"纳加德激活")</f>
        <v>纳加德激活</v>
      </c>
      <c r="D1206" s="1" t="str">
        <f>IFERROR(__xludf.DUMMYFUNCTION("CONCATENATE(GOOGLETRANSLATE(B1206, ""en"", ""ko""))"),"나가드 활성화")</f>
        <v>나가드 활성화</v>
      </c>
      <c r="E1206" s="2" t="str">
        <f>IFERROR(__xludf.DUMMYFUNCTION("CONCATENATE(GOOGLETRANSLATE(B1206, ""en"", ""ja""))"),"ナガドの活性化")</f>
        <v>ナガドの活性化</v>
      </c>
    </row>
    <row r="1207" ht="15.75" customHeight="1">
      <c r="A1207" s="1" t="s">
        <v>2348</v>
      </c>
      <c r="B1207" s="1" t="s">
        <v>2349</v>
      </c>
      <c r="C1207" s="1" t="str">
        <f>IFERROR(__xludf.DUMMYFUNCTION("CONCATENATE(GOOGLETRANSLATE(B1207, ""en"", ""zh-cn""))"),"您需要正确配置nagad才能启用此功能")</f>
        <v>您需要正确配置nagad才能启用此功能</v>
      </c>
      <c r="D1207" s="1" t="str">
        <f>IFERROR(__xludf.DUMMYFUNCTION("CONCATENATE(GOOGLETRANSLATE(B1207, ""en"", ""ko""))"),"이 기능을 활성화하려면 nagad를 올바르게 구성해야 합니다.")</f>
        <v>이 기능을 활성화하려면 nagad를 올바르게 구성해야 합니다.</v>
      </c>
      <c r="E1207" s="2" t="str">
        <f>IFERROR(__xludf.DUMMYFUNCTION("CONCATENATE(GOOGLETRANSLATE(B1207, ""en"", ""ja""))"),"この機能を有効にするには、nagad を正しく設定する必要があります")</f>
        <v>この機能を有効にするには、nagad を正しく設定する必要があります</v>
      </c>
    </row>
    <row r="1208" ht="15.75" customHeight="1">
      <c r="A1208" s="1" t="s">
        <v>2350</v>
      </c>
      <c r="B1208" s="1" t="s">
        <v>2351</v>
      </c>
      <c r="C1208" s="1" t="str">
        <f>IFERROR(__xludf.DUMMYFUNCTION("CONCATENATE(GOOGLETRANSLATE(B1208, ""en"", ""zh-cn""))"),"现金支付激活")</f>
        <v>现金支付激活</v>
      </c>
      <c r="D1208" s="1" t="str">
        <f>IFERROR(__xludf.DUMMYFUNCTION("CONCATENATE(GOOGLETRANSLATE(B1208, ""en"", ""ko""))"),"현금 결제 활성화")</f>
        <v>현금 결제 활성화</v>
      </c>
      <c r="E1208" s="2" t="str">
        <f>IFERROR(__xludf.DUMMYFUNCTION("CONCATENATE(GOOGLETRANSLATE(B1208, ""en"", ""ja""))"),"現金支払いのアクティベーション")</f>
        <v>現金支払いのアクティベーション</v>
      </c>
    </row>
    <row r="1209" ht="15.75" customHeight="1">
      <c r="A1209" s="1" t="s">
        <v>2352</v>
      </c>
      <c r="B1209" s="1" t="s">
        <v>2353</v>
      </c>
      <c r="C1209" s="1" t="str">
        <f>IFERROR(__xludf.DUMMYFUNCTION("CONCATENATE(GOOGLETRANSLATE(B1209, ""en"", ""zh-cn""))"),"社交媒体登录")</f>
        <v>社交媒体登录</v>
      </c>
      <c r="D1209" s="1" t="str">
        <f>IFERROR(__xludf.DUMMYFUNCTION("CONCATENATE(GOOGLETRANSLATE(B1209, ""en"", ""ko""))"),"소셜 미디어 로그인")</f>
        <v>소셜 미디어 로그인</v>
      </c>
      <c r="E1209" s="2" t="str">
        <f>IFERROR(__xludf.DUMMYFUNCTION("CONCATENATE(GOOGLETRANSLATE(B1209, ""en"", ""ja""))"),"ソーシャルメディアログイン")</f>
        <v>ソーシャルメディアログイン</v>
      </c>
    </row>
    <row r="1210" ht="15.75" customHeight="1">
      <c r="A1210" s="1" t="s">
        <v>2354</v>
      </c>
      <c r="B1210" s="1" t="s">
        <v>2355</v>
      </c>
      <c r="C1210" s="1" t="str">
        <f>IFERROR(__xludf.DUMMYFUNCTION("CONCATENATE(GOOGLETRANSLATE(B1210, ""en"", ""zh-cn""))"),"脸书登录")</f>
        <v>脸书登录</v>
      </c>
      <c r="D1210" s="1" t="str">
        <f>IFERROR(__xludf.DUMMYFUNCTION("CONCATENATE(GOOGLETRANSLATE(B1210, ""en"", ""ko""))"),"페이스북 로그인")</f>
        <v>페이스북 로그인</v>
      </c>
      <c r="E1210" s="2" t="str">
        <f>IFERROR(__xludf.DUMMYFUNCTION("CONCATENATE(GOOGLETRANSLATE(B1210, ""en"", ""ja""))"),"Facebook ログイン")</f>
        <v>Facebook ログイン</v>
      </c>
    </row>
    <row r="1211" ht="15.75" customHeight="1">
      <c r="A1211" s="1" t="s">
        <v>2356</v>
      </c>
      <c r="B1211" s="1" t="s">
        <v>2357</v>
      </c>
      <c r="C1211" s="1" t="str">
        <f>IFERROR(__xludf.DUMMYFUNCTION("CONCATENATE(GOOGLETRANSLATE(B1211, ""en"", ""zh-cn""))"),"您需要正确配置 Facebook 客户端才能启用此功能")</f>
        <v>您需要正确配置 Facebook 客户端才能启用此功能</v>
      </c>
      <c r="D1211" s="1" t="str">
        <f>IFERROR(__xludf.DUMMYFUNCTION("CONCATENATE(GOOGLETRANSLATE(B1211, ""en"", ""ko""))"),"이 기능을 활성화하려면 Facebook 클라이언트를 올바르게 구성해야 합니다.")</f>
        <v>이 기능을 활성화하려면 Facebook 클라이언트를 올바르게 구성해야 합니다.</v>
      </c>
      <c r="E1211" s="2" t="str">
        <f>IFERROR(__xludf.DUMMYFUNCTION("CONCATENATE(GOOGLETRANSLATE(B1211, ""en"", ""ja""))"),"この機能を有効にするには、Facebook クライアントを正しく設定する必要があります")</f>
        <v>この機能を有効にするには、Facebook クライアントを正しく設定する必要があります</v>
      </c>
    </row>
    <row r="1212" ht="15.75" customHeight="1">
      <c r="A1212" s="1" t="s">
        <v>2358</v>
      </c>
      <c r="B1212" s="1" t="s">
        <v>2359</v>
      </c>
      <c r="C1212" s="1" t="str">
        <f>IFERROR(__xludf.DUMMYFUNCTION("CONCATENATE(GOOGLETRANSLATE(B1212, ""en"", ""zh-cn""))"),"谷歌登录")</f>
        <v>谷歌登录</v>
      </c>
      <c r="D1212" s="1" t="str">
        <f>IFERROR(__xludf.DUMMYFUNCTION("CONCATENATE(GOOGLETRANSLATE(B1212, ""en"", ""ko""))"),"구글 로그인")</f>
        <v>구글 로그인</v>
      </c>
      <c r="E1212" s="2" t="str">
        <f>IFERROR(__xludf.DUMMYFUNCTION("CONCATENATE(GOOGLETRANSLATE(B1212, ""en"", ""ja""))"),"Googleログイン")</f>
        <v>Googleログイン</v>
      </c>
    </row>
    <row r="1213" ht="15.75" customHeight="1">
      <c r="A1213" s="1" t="s">
        <v>2360</v>
      </c>
      <c r="B1213" s="1" t="s">
        <v>2361</v>
      </c>
      <c r="C1213" s="1" t="str">
        <f>IFERROR(__xludf.DUMMYFUNCTION("CONCATENATE(GOOGLETRANSLATE(B1213, ""en"", ""zh-cn""))"),"您需要正确配置 Google 客户端才能启用此功能")</f>
        <v>您需要正确配置 Google 客户端才能启用此功能</v>
      </c>
      <c r="D1213" s="1" t="str">
        <f>IFERROR(__xludf.DUMMYFUNCTION("CONCATENATE(GOOGLETRANSLATE(B1213, ""en"", ""ko""))"),"이 기능을 활성화하려면 Google 클라이언트를 올바르게 구성해야 합니다.")</f>
        <v>이 기능을 활성화하려면 Google 클라이언트를 올바르게 구성해야 합니다.</v>
      </c>
      <c r="E1213" s="2" t="str">
        <f>IFERROR(__xludf.DUMMYFUNCTION("CONCATENATE(GOOGLETRANSLATE(B1213, ""en"", ""ja""))"),"この機能を有効にするには、Google クライアントを正しく設定する必要があります")</f>
        <v>この機能を有効にするには、Google クライアントを正しく設定する必要があります</v>
      </c>
    </row>
    <row r="1214" ht="15.75" customHeight="1">
      <c r="A1214" s="1" t="s">
        <v>2362</v>
      </c>
      <c r="B1214" s="1" t="s">
        <v>2363</v>
      </c>
      <c r="C1214" s="1" t="str">
        <f>IFERROR(__xludf.DUMMYFUNCTION("CONCATENATE(GOOGLETRANSLATE(B1214, ""en"", ""zh-cn""))"),"推特登录")</f>
        <v>推特登录</v>
      </c>
      <c r="D1214" s="1" t="str">
        <f>IFERROR(__xludf.DUMMYFUNCTION("CONCATENATE(GOOGLETRANSLATE(B1214, ""en"", ""ko""))"),"트위터 로그인")</f>
        <v>트위터 로그인</v>
      </c>
      <c r="E1214" s="2" t="str">
        <f>IFERROR(__xludf.DUMMYFUNCTION("CONCATENATE(GOOGLETRANSLATE(B1214, ""en"", ""ja""))"),"ツイッターログイン")</f>
        <v>ツイッターログイン</v>
      </c>
    </row>
    <row r="1215" ht="15.75" customHeight="1">
      <c r="A1215" s="1" t="s">
        <v>2364</v>
      </c>
      <c r="B1215" s="1" t="s">
        <v>2365</v>
      </c>
      <c r="C1215" s="1" t="str">
        <f>IFERROR(__xludf.DUMMYFUNCTION("CONCATENATE(GOOGLETRANSLATE(B1215, ""en"", ""zh-cn""))"),"您需要正确配置 Twitter 客户端才能启用此功能")</f>
        <v>您需要正确配置 Twitter 客户端才能启用此功能</v>
      </c>
      <c r="D1215" s="1" t="str">
        <f>IFERROR(__xludf.DUMMYFUNCTION("CONCATENATE(GOOGLETRANSLATE(B1215, ""en"", ""ko""))"),"이 기능을 활성화하려면 Twitter 클라이언트를 올바르게 구성해야 합니다.")</f>
        <v>이 기능을 활성화하려면 Twitter 클라이언트를 올바르게 구성해야 합니다.</v>
      </c>
      <c r="E1215" s="2" t="str">
        <f>IFERROR(__xludf.DUMMYFUNCTION("CONCATENATE(GOOGLETRANSLATE(B1215, ""en"", ""ja""))"),"この機能を有効にするには、Twitter クライアントを正しく設定する必要があります")</f>
        <v>この機能を有効にするには、Twitter クライアントを正しく設定する必要があります</v>
      </c>
    </row>
    <row r="1216" ht="15.75" customHeight="1">
      <c r="A1216" s="1" t="s">
        <v>2366</v>
      </c>
      <c r="B1216" s="1" t="s">
        <v>2367</v>
      </c>
      <c r="C1216" s="1" t="str">
        <f>IFERROR(__xludf.DUMMYFUNCTION("CONCATENATE(GOOGLETRANSLATE(B1216, ""en"", ""zh-cn""))"),"店铺标志")</f>
        <v>店铺标志</v>
      </c>
      <c r="D1216" s="1" t="str">
        <f>IFERROR(__xludf.DUMMYFUNCTION("CONCATENATE(GOOGLETRANSLATE(B1216, ""en"", ""ko""))"),"상점 로고")</f>
        <v>상점 로고</v>
      </c>
      <c r="E1216" s="2" t="str">
        <f>IFERROR(__xludf.DUMMYFUNCTION("CONCATENATE(GOOGLETRANSLATE(B1216, ""en"", ""ja""))"),"ショップロゴ")</f>
        <v>ショップロゴ</v>
      </c>
    </row>
    <row r="1217" ht="15.75" customHeight="1">
      <c r="A1217" s="1" t="s">
        <v>2368</v>
      </c>
      <c r="B1217" s="1" t="s">
        <v>2369</v>
      </c>
      <c r="C1217" s="1" t="str">
        <f>IFERROR(__xludf.DUMMYFUNCTION("CONCATENATE(GOOGLETRANSLATE(B1217, ""en"", ""zh-cn""))"),"店铺地址")</f>
        <v>店铺地址</v>
      </c>
      <c r="D1217" s="1" t="str">
        <f>IFERROR(__xludf.DUMMYFUNCTION("CONCATENATE(GOOGLETRANSLATE(B1217, ""en"", ""ko""))"),"매장 주소")</f>
        <v>매장 주소</v>
      </c>
      <c r="E1217" s="2" t="str">
        <f>IFERROR(__xludf.DUMMYFUNCTION("CONCATENATE(GOOGLETRANSLATE(B1217, ""en"", ""ja""))"),"ショップ住所")</f>
        <v>ショップ住所</v>
      </c>
    </row>
    <row r="1218" ht="15.75" customHeight="1">
      <c r="A1218" s="1" t="s">
        <v>2370</v>
      </c>
      <c r="B1218" s="1" t="s">
        <v>2371</v>
      </c>
      <c r="C1218" s="1" t="str">
        <f>IFERROR(__xludf.DUMMYFUNCTION("CONCATENATE(GOOGLETRANSLATE(B1218, ""en"", ""zh-cn""))"),"横幅设置")</f>
        <v>横幅设置</v>
      </c>
      <c r="D1218" s="1" t="str">
        <f>IFERROR(__xludf.DUMMYFUNCTION("CONCATENATE(GOOGLETRANSLATE(B1218, ""en"", ""ko""))"),"배너 설정")</f>
        <v>배너 설정</v>
      </c>
      <c r="E1218" s="2" t="str">
        <f>IFERROR(__xludf.DUMMYFUNCTION("CONCATENATE(GOOGLETRANSLATE(B1218, ""en"", ""ja""))"),"バナー設定")</f>
        <v>バナー設定</v>
      </c>
    </row>
    <row r="1219" ht="15.75" customHeight="1">
      <c r="A1219" s="1" t="s">
        <v>2372</v>
      </c>
      <c r="B1219" s="1" t="s">
        <v>2373</v>
      </c>
      <c r="C1219" s="1" t="str">
        <f>IFERROR(__xludf.DUMMYFUNCTION("CONCATENATE(GOOGLETRANSLATE(B1219, ""en"", ""zh-cn""))"),"横幅")</f>
        <v>横幅</v>
      </c>
      <c r="D1219" s="1" t="str">
        <f>IFERROR(__xludf.DUMMYFUNCTION("CONCATENATE(GOOGLETRANSLATE(B1219, ""en"", ""ko""))"),"배너")</f>
        <v>배너</v>
      </c>
      <c r="E1219" s="2" t="str">
        <f>IFERROR(__xludf.DUMMYFUNCTION("CONCATENATE(GOOGLETRANSLATE(B1219, ""en"", ""ja""))"),"バナー")</f>
        <v>バナー</v>
      </c>
    </row>
    <row r="1220" ht="15.75" customHeight="1">
      <c r="A1220" s="1" t="s">
        <v>2374</v>
      </c>
      <c r="B1220" s="1" t="s">
        <v>2375</v>
      </c>
      <c r="C1220" s="1" t="str">
        <f>IFERROR(__xludf.DUMMYFUNCTION("CONCATENATE(GOOGLETRANSLATE(B1220, ""en"", ""zh-cn""))"),"我们必须限制高度以保持一致性。在某些设备中，横幅的两侧可能会因高度限制而被裁剪。")</f>
        <v>我们必须限制高度以保持一致性。在某些设备中，横幅的两侧可能会因高度限制而被裁剪。</v>
      </c>
      <c r="D1220" s="1" t="str">
        <f>IFERROR(__xludf.DUMMYFUNCTION("CONCATENATE(GOOGLETRANSLATE(B1220, ""en"", ""ko""))"),"우리는 일관성을 유지하기 위해 높이를 제한해야 했습니다. 일부 장치에서는 높이 제한으로 인해 배너의 양쪽이 잘릴 수 있습니다.")</f>
        <v>우리는 일관성을 유지하기 위해 높이를 제한해야 했습니다. 일부 장치에서는 높이 제한으로 인해 배너의 양쪽이 잘릴 수 있습니다.</v>
      </c>
      <c r="E1220" s="2" t="str">
        <f>IFERROR(__xludf.DUMMYFUNCTION("CONCATENATE(GOOGLETRANSLATE(B1220, ""en"", ""ja""))"),"一貫性を維持するために高さを制限する必要がありました。一部のデバイスでは、高さ制限のためにバナーの両側が切り取られる場合があります。")</f>
        <v>一貫性を維持するために高さを制限する必要がありました。一部のデバイスでは、高さ制限のためにバナーの両側が切り取られる場合があります。</v>
      </c>
    </row>
    <row r="1221" ht="15.75" customHeight="1">
      <c r="A1221" s="1" t="s">
        <v>2376</v>
      </c>
      <c r="B1221" s="1" t="s">
        <v>2377</v>
      </c>
      <c r="C1221" s="1" t="str">
        <f>IFERROR(__xludf.DUMMYFUNCTION("CONCATENATE(GOOGLETRANSLATE(B1221, ""en"", ""zh-cn""))"),"插入带有 https 的链接")</f>
        <v>插入带有 https 的链接</v>
      </c>
      <c r="D1221" s="1" t="str">
        <f>IFERROR(__xludf.DUMMYFUNCTION("CONCATENATE(GOOGLETRANSLATE(B1221, ""en"", ""ko""))"),"https로 링크 삽입")</f>
        <v>https로 링크 삽입</v>
      </c>
      <c r="E1221" s="2" t="str">
        <f>IFERROR(__xludf.DUMMYFUNCTION("CONCATENATE(GOOGLETRANSLATE(B1221, ""en"", ""ja""))"),"httpsでリンクを挿入")</f>
        <v>httpsでリンクを挿入</v>
      </c>
    </row>
    <row r="1222" ht="15.75" customHeight="1">
      <c r="A1222" s="1" t="s">
        <v>2378</v>
      </c>
      <c r="B1222" s="1" t="s">
        <v>2379</v>
      </c>
      <c r="C1222" s="1" t="str">
        <f>IFERROR(__xludf.DUMMYFUNCTION("CONCATENATE(GOOGLETRANSLATE(B1222, ""en"", ""zh-cn""))"),"您的商店已成功更新！")</f>
        <v>您的商店已成功更新！</v>
      </c>
      <c r="D1222" s="1" t="str">
        <f>IFERROR(__xludf.DUMMYFUNCTION("CONCATENATE(GOOGLETRANSLATE(B1222, ""en"", ""ko""))"),"귀하의 상점이 성공적으로 업데이트되었습니다!")</f>
        <v>귀하의 상점이 성공적으로 업데이트되었습니다!</v>
      </c>
      <c r="E1222" s="2" t="str">
        <f>IFERROR(__xludf.DUMMYFUNCTION("CONCATENATE(GOOGLETRANSLATE(B1222, ""en"", ""ja""))"),"ショップが正常に更新されました。")</f>
        <v>ショップが正常に更新されました。</v>
      </c>
    </row>
    <row r="1223" ht="15.75" customHeight="1">
      <c r="A1223" s="1" t="s">
        <v>162</v>
      </c>
      <c r="B1223" s="1" t="s">
        <v>163</v>
      </c>
      <c r="C1223" s="1" t="str">
        <f>IFERROR(__xludf.DUMMYFUNCTION("CONCATENATE(GOOGLETRANSLATE(B1223, ""en"", ""zh-cn""))"),"支持票")</f>
        <v>支持票</v>
      </c>
      <c r="D1223" s="1" t="str">
        <f>IFERROR(__xludf.DUMMYFUNCTION("CONCATENATE(GOOGLETRANSLATE(B1223, ""en"", ""ko""))"),"지원 티켓")</f>
        <v>지원 티켓</v>
      </c>
      <c r="E1223" s="2" t="str">
        <f>IFERROR(__xludf.DUMMYFUNCTION("CONCATENATE(GOOGLETRANSLATE(B1223, ""en"", ""ja""))"),"サポートチケット")</f>
        <v>サポートチケット</v>
      </c>
    </row>
    <row r="1224" ht="15.75" customHeight="1">
      <c r="A1224" s="1" t="s">
        <v>2010</v>
      </c>
      <c r="B1224" s="1" t="s">
        <v>2011</v>
      </c>
      <c r="C1224" s="1" t="str">
        <f>IFERROR(__xludf.DUMMYFUNCTION("CONCATENATE(GOOGLETRANSLATE(B1224, ""en"", ""zh-cn""))"),"删除")</f>
        <v>删除</v>
      </c>
      <c r="D1224" s="1" t="str">
        <f>IFERROR(__xludf.DUMMYFUNCTION("CONCATENATE(GOOGLETRANSLATE(B1224, ""en"", ""ko""))"),"삭제")</f>
        <v>삭제</v>
      </c>
      <c r="E1224" s="2" t="str">
        <f>IFERROR(__xludf.DUMMYFUNCTION("CONCATENATE(GOOGLETRANSLATE(B1224, ""en"", ""ja""))"),"消去")</f>
        <v>消去</v>
      </c>
    </row>
    <row r="1225" ht="15.75" customHeight="1">
      <c r="A1225" s="1" t="s">
        <v>2380</v>
      </c>
      <c r="B1225" s="1" t="s">
        <v>2381</v>
      </c>
      <c r="C1225" s="1" t="str">
        <f>IFERROR(__xludf.DUMMYFUNCTION("CONCATENATE(GOOGLETRANSLATE(B1225, ""en"", ""zh-cn""))"),"搜索结果为")</f>
        <v>搜索结果为</v>
      </c>
      <c r="D1225" s="1" t="str">
        <f>IFERROR(__xludf.DUMMYFUNCTION("CONCATENATE(GOOGLETRANSLATE(B1225, ""en"", ""ko""))"),"다음에 대한 검색 결과")</f>
        <v>다음에 대한 검색 결과</v>
      </c>
      <c r="E1225" s="2" t="str">
        <f>IFERROR(__xludf.DUMMYFUNCTION("CONCATENATE(GOOGLETRANSLATE(B1225, ""en"", ""ja""))"),"の検索結果")</f>
        <v>の検索結果</v>
      </c>
    </row>
    <row r="1226" ht="15.75" customHeight="1">
      <c r="A1226" s="1" t="s">
        <v>2382</v>
      </c>
      <c r="B1226" s="1" t="s">
        <v>2383</v>
      </c>
      <c r="C1226" s="1" t="str">
        <f>IFERROR(__xludf.DUMMYFUNCTION("CONCATENATE(GOOGLETRANSLATE(B1226, ""en"", ""zh-cn""))"),"品牌已成功插入")</f>
        <v>品牌已成功插入</v>
      </c>
      <c r="D1226" s="1" t="str">
        <f>IFERROR(__xludf.DUMMYFUNCTION("CONCATENATE(GOOGLETRANSLATE(B1226, ""en"", ""ko""))"),"브랜드가 성공적으로 삽입되었습니다.")</f>
        <v>브랜드가 성공적으로 삽입되었습니다.</v>
      </c>
      <c r="E1226" s="2" t="str">
        <f>IFERROR(__xludf.DUMMYFUNCTION("CONCATENATE(GOOGLETRANSLATE(B1226, ""en"", ""ja""))"),"ブランドが正常に挿入されました")</f>
        <v>ブランドが正常に挿入されました</v>
      </c>
    </row>
    <row r="1227" ht="15.75" customHeight="1">
      <c r="A1227" s="1" t="s">
        <v>2384</v>
      </c>
      <c r="B1227" s="1" t="s">
        <v>2385</v>
      </c>
      <c r="C1227" s="1" t="str">
        <f>IFERROR(__xludf.DUMMYFUNCTION("CONCATENATE(GOOGLETRANSLATE(B1227, ""en"", ""zh-cn""))"),"关于")</f>
        <v>关于</v>
      </c>
      <c r="D1227" s="1" t="str">
        <f>IFERROR(__xludf.DUMMYFUNCTION("CONCATENATE(GOOGLETRANSLATE(B1227, ""en"", ""ko""))"),"에 대한")</f>
        <v>에 대한</v>
      </c>
      <c r="E1227" s="2" t="str">
        <f>IFERROR(__xludf.DUMMYFUNCTION("CONCATENATE(GOOGLETRANSLATE(B1227, ""en"", ""ja""))"),"について")</f>
        <v>について</v>
      </c>
    </row>
    <row r="1228" ht="15.75" customHeight="1">
      <c r="A1228" s="1" t="s">
        <v>2386</v>
      </c>
      <c r="B1228" s="1" t="s">
        <v>2387</v>
      </c>
      <c r="C1228" s="1" t="str">
        <f>IFERROR(__xludf.DUMMYFUNCTION("CONCATENATE(GOOGLETRANSLATE(B1228, ""en"", ""zh-cn""))"),"付款信息")</f>
        <v>付款信息</v>
      </c>
      <c r="D1228" s="1" t="str">
        <f>IFERROR(__xludf.DUMMYFUNCTION("CONCATENATE(GOOGLETRANSLATE(B1228, ""en"", ""ko""))"),"지급 정보")</f>
        <v>지급 정보</v>
      </c>
      <c r="E1228" s="2" t="str">
        <f>IFERROR(__xludf.DUMMYFUNCTION("CONCATENATE(GOOGLETRANSLATE(B1228, ""en"", ""ja""))"),"支払い情報")</f>
        <v>支払い情報</v>
      </c>
    </row>
    <row r="1229" ht="15.75" customHeight="1">
      <c r="A1229" s="1" t="s">
        <v>2388</v>
      </c>
      <c r="B1229" s="1" t="s">
        <v>2389</v>
      </c>
      <c r="C1229" s="1" t="str">
        <f>IFERROR(__xludf.DUMMYFUNCTION("CONCATENATE(GOOGLETRANSLATE(B1229, ""en"", ""zh-cn""))"),"银行账户名称")</f>
        <v>银行账户名称</v>
      </c>
      <c r="D1229" s="1" t="str">
        <f>IFERROR(__xludf.DUMMYFUNCTION("CONCATENATE(GOOGLETRANSLATE(B1229, ""en"", ""ko""))"),"은행 계좌 이름")</f>
        <v>은행 계좌 이름</v>
      </c>
      <c r="E1229" s="2" t="str">
        <f>IFERROR(__xludf.DUMMYFUNCTION("CONCATENATE(GOOGLETRANSLATE(B1229, ""en"", ""ja""))"),"銀行口座名")</f>
        <v>銀行口座名</v>
      </c>
    </row>
    <row r="1230" ht="15.75" customHeight="1">
      <c r="A1230" s="1" t="s">
        <v>2390</v>
      </c>
      <c r="B1230" s="1" t="s">
        <v>2391</v>
      </c>
      <c r="C1230" s="1" t="str">
        <f>IFERROR(__xludf.DUMMYFUNCTION("CONCATENATE(GOOGLETRANSLATE(B1230, ""en"", ""zh-cn""))"),"银行帐号")</f>
        <v>银行帐号</v>
      </c>
      <c r="D1230" s="1" t="str">
        <f>IFERROR(__xludf.DUMMYFUNCTION("CONCATENATE(GOOGLETRANSLATE(B1230, ""en"", ""ko""))"),"은행 계좌 번호")</f>
        <v>은행 계좌 번호</v>
      </c>
      <c r="E1230" s="2" t="str">
        <f>IFERROR(__xludf.DUMMYFUNCTION("CONCATENATE(GOOGLETRANSLATE(B1230, ""en"", ""ja""))"),"銀行口座番号")</f>
        <v>銀行口座番号</v>
      </c>
    </row>
    <row r="1231" ht="15.75" customHeight="1">
      <c r="A1231" s="1" t="s">
        <v>2392</v>
      </c>
      <c r="B1231" s="1" t="s">
        <v>2393</v>
      </c>
      <c r="C1231" s="1" t="str">
        <f>IFERROR(__xludf.DUMMYFUNCTION("CONCATENATE(GOOGLETRANSLATE(B1231, ""en"", ""zh-cn""))"),"产品总数")</f>
        <v>产品总数</v>
      </c>
      <c r="D1231" s="1" t="str">
        <f>IFERROR(__xludf.DUMMYFUNCTION("CONCATENATE(GOOGLETRANSLATE(B1231, ""en"", ""ko""))"),"총 제품")</f>
        <v>총 제품</v>
      </c>
      <c r="E1231" s="2" t="str">
        <f>IFERROR(__xludf.DUMMYFUNCTION("CONCATENATE(GOOGLETRANSLATE(B1231, ""en"", ""ja""))"),"総製品数")</f>
        <v>総製品数</v>
      </c>
    </row>
    <row r="1232" ht="15.75" customHeight="1">
      <c r="A1232" s="1" t="s">
        <v>2394</v>
      </c>
      <c r="B1232" s="1" t="s">
        <v>2395</v>
      </c>
      <c r="C1232" s="1" t="str">
        <f>IFERROR(__xludf.DUMMYFUNCTION("CONCATENATE(GOOGLETRANSLATE(B1232, ""en"", ""zh-cn""))"),"总销售金额")</f>
        <v>总销售金额</v>
      </c>
      <c r="D1232" s="1" t="str">
        <f>IFERROR(__xludf.DUMMYFUNCTION("CONCATENATE(GOOGLETRANSLATE(B1232, ""en"", ""ko""))"),"총 판매 금액")</f>
        <v>총 판매 금액</v>
      </c>
      <c r="E1232" s="2" t="str">
        <f>IFERROR(__xludf.DUMMYFUNCTION("CONCATENATE(GOOGLETRANSLATE(B1232, ""en"", ""ja""))"),"総販売額")</f>
        <v>総販売額</v>
      </c>
    </row>
    <row r="1233" ht="15.75" customHeight="1">
      <c r="A1233" s="1" t="s">
        <v>2396</v>
      </c>
      <c r="B1233" s="1" t="s">
        <v>2397</v>
      </c>
      <c r="C1233" s="1" t="str">
        <f>IFERROR(__xludf.DUMMYFUNCTION("CONCATENATE(GOOGLETRANSLATE(B1233, ""en"", ""zh-cn""))"),"钱包余额")</f>
        <v>钱包余额</v>
      </c>
      <c r="D1233" s="1" t="str">
        <f>IFERROR(__xludf.DUMMYFUNCTION("CONCATENATE(GOOGLETRANSLATE(B1233, ""en"", ""ko""))"),"월렛 잔액")</f>
        <v>월렛 잔액</v>
      </c>
      <c r="E1233" s="2" t="str">
        <f>IFERROR(__xludf.DUMMYFUNCTION("CONCATENATE(GOOGLETRANSLATE(B1233, ""en"", ""ja""))"),"ウォレット残高")</f>
        <v>ウォレット残高</v>
      </c>
    </row>
    <row r="1234" ht="15.75" customHeight="1">
      <c r="A1234" s="1" t="s">
        <v>2398</v>
      </c>
      <c r="B1234" s="1" t="s">
        <v>2399</v>
      </c>
      <c r="C1234" s="1" t="str">
        <f>IFERROR(__xludf.DUMMYFUNCTION("CONCATENATE(GOOGLETRANSLATE(B1234, ""en"", ""zh-cn""))"),"Cookie 协议")</f>
        <v>Cookie 协议</v>
      </c>
      <c r="D1234" s="1" t="str">
        <f>IFERROR(__xludf.DUMMYFUNCTION("CONCATENATE(GOOGLETRANSLATE(B1234, ""en"", ""ko""))"),"쿠키 계약")</f>
        <v>쿠키 계약</v>
      </c>
      <c r="E1234" s="2" t="str">
        <f>IFERROR(__xludf.DUMMYFUNCTION("CONCATENATE(GOOGLETRANSLATE(B1234, ""en"", ""ja""))"),"クッキーに関する同意書")</f>
        <v>クッキーに関する同意書</v>
      </c>
    </row>
    <row r="1235" ht="15.75" customHeight="1">
      <c r="A1235" s="1" t="s">
        <v>2400</v>
      </c>
      <c r="B1235" s="1" t="s">
        <v>2401</v>
      </c>
      <c r="C1235" s="1" t="str">
        <f>IFERROR(__xludf.DUMMYFUNCTION("CONCATENATE(GOOGLETRANSLATE(B1235, ""en"", ""zh-cn""))"),"Cookie 协议文本")</f>
        <v>Cookie 协议文本</v>
      </c>
      <c r="D1235" s="1" t="str">
        <f>IFERROR(__xludf.DUMMYFUNCTION("CONCATENATE(GOOGLETRANSLATE(B1235, ""en"", ""ko""))"),"쿠키 계약 텍스트")</f>
        <v>쿠키 계약 텍스트</v>
      </c>
      <c r="E1235" s="2" t="str">
        <f>IFERROR(__xludf.DUMMYFUNCTION("CONCATENATE(GOOGLETRANSLATE(B1235, ""en"", ""ja""))"),"Cookie 同意書のテキスト")</f>
        <v>Cookie 同意書のテキスト</v>
      </c>
    </row>
    <row r="1236" ht="15.75" customHeight="1">
      <c r="A1236" s="1" t="s">
        <v>2402</v>
      </c>
      <c r="B1236" s="1" t="s">
        <v>2403</v>
      </c>
      <c r="C1236" s="1" t="str">
        <f>IFERROR(__xludf.DUMMYFUNCTION("CONCATENATE(GOOGLETRANSLATE(B1236, ""en"", ""zh-cn""))"),"显示 Cookie 协议？")</f>
        <v>显示 Cookie 协议？</v>
      </c>
      <c r="D1236" s="1" t="str">
        <f>IFERROR(__xludf.DUMMYFUNCTION("CONCATENATE(GOOGLETRANSLATE(B1236, ""en"", ""ko""))"),"쿠키 계약을 표시하시겠습니까?")</f>
        <v>쿠키 계약을 표시하시겠습니까?</v>
      </c>
      <c r="E1236" s="2" t="str">
        <f>IFERROR(__xludf.DUMMYFUNCTION("CONCATENATE(GOOGLETRANSLATE(B1236, ""en"", ""ja""))"),"Cookie 同意書を表示しますか?")</f>
        <v>Cookie 同意書を表示しますか?</v>
      </c>
    </row>
    <row r="1237" ht="15.75" customHeight="1">
      <c r="A1237" s="1" t="s">
        <v>2404</v>
      </c>
      <c r="B1237" s="1" t="s">
        <v>2405</v>
      </c>
      <c r="C1237" s="1" t="str">
        <f>IFERROR(__xludf.DUMMYFUNCTION("CONCATENATE(GOOGLETRANSLATE(B1237, ""en"", ""zh-cn""))"),"自定义脚本")</f>
        <v>自定义脚本</v>
      </c>
      <c r="D1237" s="1" t="str">
        <f>IFERROR(__xludf.DUMMYFUNCTION("CONCATENATE(GOOGLETRANSLATE(B1237, ""en"", ""ko""))"),"사용자 정의 스크립트")</f>
        <v>사용자 정의 스크립트</v>
      </c>
      <c r="E1237" s="2" t="str">
        <f>IFERROR(__xludf.DUMMYFUNCTION("CONCATENATE(GOOGLETRANSLATE(B1237, ""en"", ""ja""))"),"カスタムスクリプト")</f>
        <v>カスタムスクリプト</v>
      </c>
    </row>
    <row r="1238" ht="15.75" customHeight="1">
      <c r="A1238" s="1" t="s">
        <v>2406</v>
      </c>
      <c r="B1238" s="1" t="s">
        <v>2407</v>
      </c>
      <c r="C1238" s="1" t="str">
        <f>IFERROR(__xludf.DUMMYFUNCTION("CONCATENATE(GOOGLETRANSLATE(B1238, ""en"", ""zh-cn""))"),"标头自定义脚本 - 之前 &lt;/head&gt;")</f>
        <v>标头自定义脚本 - 之前 &lt;/head&gt;</v>
      </c>
      <c r="D1238" s="1" t="str">
        <f>IFERROR(__xludf.DUMMYFUNCTION("CONCATENATE(GOOGLETRANSLATE(B1238, ""en"", ""ko""))"),"헤더 사용자 정의 스크립트 - &lt;/head&gt; 이전")</f>
        <v>헤더 사용자 정의 스크립트 - &lt;/head&gt; 이전</v>
      </c>
      <c r="E1238" s="2" t="str">
        <f>IFERROR(__xludf.DUMMYFUNCTION("CONCATENATE(GOOGLETRANSLATE(B1238, ""en"", ""ja""))"),"ヘッダーのカスタム スクリプト - &lt;/head&gt; の前")</f>
        <v>ヘッダーのカスタム スクリプト - &lt;/head&gt; の前</v>
      </c>
    </row>
    <row r="1239" ht="15.75" customHeight="1">
      <c r="A1239" s="1" t="s">
        <v>2408</v>
      </c>
      <c r="B1239" s="1" t="s">
        <v>2409</v>
      </c>
      <c r="C1239" s="1" t="str">
        <f>IFERROR(__xludf.DUMMYFUNCTION("CONCATENATE(GOOGLETRANSLATE(B1239, ""en"", ""zh-cn""))"),"使用 &lt;script&gt; 标签编写脚本")</f>
        <v>使用 &lt;script&gt; 标签编写脚本</v>
      </c>
      <c r="D1239" s="1" t="str">
        <f>IFERROR(__xludf.DUMMYFUNCTION("CONCATENATE(GOOGLETRANSLATE(B1239, ""en"", ""ko""))"),"&lt;script&gt; 태그로 스크립트 작성")</f>
        <v>&lt;script&gt; 태그로 스크립트 작성</v>
      </c>
      <c r="E1239" s="2" t="str">
        <f>IFERROR(__xludf.DUMMYFUNCTION("CONCATENATE(GOOGLETRANSLATE(B1239, ""en"", ""ja""))"),"&lt;script&gt;タグでスクリプトを書く")</f>
        <v>&lt;script&gt;タグでスクリプトを書く</v>
      </c>
    </row>
    <row r="1240" ht="15.75" customHeight="1">
      <c r="A1240" s="1" t="s">
        <v>2410</v>
      </c>
      <c r="B1240" s="1" t="s">
        <v>2411</v>
      </c>
      <c r="C1240" s="1" t="str">
        <f>IFERROR(__xludf.DUMMYFUNCTION("CONCATENATE(GOOGLETRANSLATE(B1240, ""en"", ""zh-cn""))"),"页脚自定义脚本 - 之前 &lt;/body&gt;")</f>
        <v>页脚自定义脚本 - 之前 &lt;/body&gt;</v>
      </c>
      <c r="D1240" s="1" t="str">
        <f>IFERROR(__xludf.DUMMYFUNCTION("CONCATENATE(GOOGLETRANSLATE(B1240, ""en"", ""ko""))"),"바닥글 사용자 정의 스크립트 - &lt;/body&gt; 이전")</f>
        <v>바닥글 사용자 정의 스크립트 - &lt;/body&gt; 이전</v>
      </c>
      <c r="E1240" s="2" t="str">
        <f>IFERROR(__xludf.DUMMYFUNCTION("CONCATENATE(GOOGLETRANSLATE(B1240, ""en"", ""ja""))"),"フッターのカスタム スクリプト - &lt;/body&gt; の前")</f>
        <v>フッターのカスタム スクリプト - &lt;/body&gt; の前</v>
      </c>
    </row>
    <row r="1241" ht="15.75" customHeight="1">
      <c r="A1241" s="1" t="s">
        <v>2412</v>
      </c>
      <c r="B1241" s="1" t="s">
        <v>2413</v>
      </c>
      <c r="C1241" s="1" t="str">
        <f>IFERROR(__xludf.DUMMYFUNCTION("CONCATENATE(GOOGLETRANSLATE(B1241, ""en"", ""zh-cn""))"),"类别已成功插入")</f>
        <v>类别已成功插入</v>
      </c>
      <c r="D1241" s="1" t="str">
        <f>IFERROR(__xludf.DUMMYFUNCTION("CONCATENATE(GOOGLETRANSLATE(B1241, ""en"", ""ko""))"),"카테고리가 성공적으로 삽입되었습니다.")</f>
        <v>카테고리가 성공적으로 삽입되었습니다.</v>
      </c>
      <c r="E1241" s="2" t="str">
        <f>IFERROR(__xludf.DUMMYFUNCTION("CONCATENATE(GOOGLETRANSLATE(B1241, ""en"", ""ja""))"),"カテゴリが正常に挿入されました")</f>
        <v>カテゴリが正常に挿入されました</v>
      </c>
    </row>
    <row r="1242" ht="15.75" customHeight="1">
      <c r="A1242" s="1" t="s">
        <v>2414</v>
      </c>
      <c r="B1242" s="1" t="s">
        <v>2415</v>
      </c>
      <c r="C1242" s="1" t="str">
        <f>IFERROR(__xludf.DUMMYFUNCTION("CONCATENATE(GOOGLETRANSLATE(B1242, ""en"", ""zh-cn""))"),"全闪优惠")</f>
        <v>全闪优惠</v>
      </c>
      <c r="D1242" s="1" t="str">
        <f>IFERROR(__xludf.DUMMYFUNCTION("CONCATENATE(GOOGLETRANSLATE(B1242, ""en"", ""ko""))"),"올플래시 특가")</f>
        <v>올플래시 특가</v>
      </c>
      <c r="E1242" s="2" t="str">
        <f>IFERROR(__xludf.DUMMYFUNCTION("CONCATENATE(GOOGLETRANSLATE(B1242, ""en"", ""ja""))"),"すべてのフラッシュセール")</f>
        <v>すべてのフラッシュセール</v>
      </c>
    </row>
    <row r="1243" ht="15.75" customHeight="1">
      <c r="A1243" s="1" t="s">
        <v>2416</v>
      </c>
      <c r="B1243" s="1" t="s">
        <v>2417</v>
      </c>
      <c r="C1243" s="1" t="str">
        <f>IFERROR(__xludf.DUMMYFUNCTION("CONCATENATE(GOOGLETRANSLATE(B1243, ""en"", ""zh-cn""))"),"创建新的限时优惠")</f>
        <v>创建新的限时优惠</v>
      </c>
      <c r="D1243" s="1" t="str">
        <f>IFERROR(__xludf.DUMMYFUNCTION("CONCATENATE(GOOGLETRANSLATE(B1243, ""en"", ""ko""))"),"새 플래시 딜 생성")</f>
        <v>새 플래시 딜 생성</v>
      </c>
      <c r="E1243" s="2" t="str">
        <f>IFERROR(__xludf.DUMMYFUNCTION("CONCATENATE(GOOGLETRANSLATE(B1243, ""en"", ""ja""))"),"新しいフラッシュディールを作成する")</f>
        <v>新しいフラッシュディールを作成する</v>
      </c>
    </row>
    <row r="1244" ht="15.75" customHeight="1">
      <c r="A1244" s="1" t="s">
        <v>2418</v>
      </c>
      <c r="B1244" s="1" t="s">
        <v>2419</v>
      </c>
      <c r="C1244" s="1" t="str">
        <f>IFERROR(__xludf.DUMMYFUNCTION("CONCATENATE(GOOGLETRANSLATE(B1244, ""en"", ""zh-cn""))"),"#FFFFFF")</f>
        <v>#FFFFFF</v>
      </c>
      <c r="D1244" s="1" t="str">
        <f>IFERROR(__xludf.DUMMYFUNCTION("CONCATENATE(GOOGLETRANSLATE(B1244, ""en"", ""ko""))"),"#FFFFFF")</f>
        <v>#FFFFFF</v>
      </c>
      <c r="E1244" s="2" t="str">
        <f>IFERROR(__xludf.DUMMYFUNCTION("CONCATENATE(GOOGLETRANSLATE(B1244, ""en"", ""ja""))"),"#FFFFFF")</f>
        <v>#FFFFFF</v>
      </c>
    </row>
    <row r="1245" ht="15.75" customHeight="1">
      <c r="A1245" s="1" t="s">
        <v>2420</v>
      </c>
      <c r="B1245" s="1" t="s">
        <v>2421</v>
      </c>
      <c r="C1245" s="1" t="str">
        <f>IFERROR(__xludf.DUMMYFUNCTION("CONCATENATE(GOOGLETRANSLATE(B1245, ""en"", ""zh-cn""))"),"此图片在闪购详情页面中显示为封面横幅。")</f>
        <v>此图片在闪购详情页面中显示为封面横幅。</v>
      </c>
      <c r="D1245" s="1" t="str">
        <f>IFERROR(__xludf.DUMMYFUNCTION("CONCATENATE(GOOGLETRANSLATE(B1245, ""en"", ""ko""))"),"이 이미지는 플래시 딜 세부정보 페이지의 표지 배너로 표시됩니다.")</f>
        <v>이 이미지는 플래시 딜 세부정보 페이지의 표지 배너로 표시됩니다.</v>
      </c>
      <c r="E1245" s="2" t="str">
        <f>IFERROR(__xludf.DUMMYFUNCTION("CONCATENATE(GOOGLETRANSLATE(B1245, ""en"", ""ja""))"),"この画像は、フラッシュ ディール詳細ページのカバー バナーとして表示されます。")</f>
        <v>この画像は、フラッシュ ディール詳細ページのカバー バナーとして表示されます。</v>
      </c>
    </row>
    <row r="1246" ht="15.75" customHeight="1">
      <c r="A1246" s="1" t="s">
        <v>2422</v>
      </c>
      <c r="B1246" s="1" t="s">
        <v>2423</v>
      </c>
      <c r="C1246" s="1" t="str">
        <f>IFERROR(__xludf.DUMMYFUNCTION("CONCATENATE(GOOGLETRANSLATE(B1246, ""en"", ""zh-cn""))"),"闪购已成功插入")</f>
        <v>闪购已成功插入</v>
      </c>
      <c r="D1246" s="1" t="str">
        <f>IFERROR(__xludf.DUMMYFUNCTION("CONCATENATE(GOOGLETRANSLATE(B1246, ""en"", ""ko""))"),"플래시 딜이 성공적으로 삽입되었습니다.")</f>
        <v>플래시 딜이 성공적으로 삽입되었습니다.</v>
      </c>
      <c r="E1246" s="2" t="str">
        <f>IFERROR(__xludf.DUMMYFUNCTION("CONCATENATE(GOOGLETRANSLATE(B1246, ""en"", ""ja""))"),"フラッシュ ディールが正常に挿入されました")</f>
        <v>フラッシュ ディールが正常に挿入されました</v>
      </c>
    </row>
    <row r="1247" ht="15.75" customHeight="1">
      <c r="A1247" s="1" t="s">
        <v>2424</v>
      </c>
      <c r="B1247" s="1" t="s">
        <v>2425</v>
      </c>
      <c r="C1247" s="1" t="str">
        <f>IFERROR(__xludf.DUMMYFUNCTION("CONCATENATE(GOOGLETRANSLATE(B1247, ""en"", ""zh-cn""))"),"闪购状态更新成功")</f>
        <v>闪购状态更新成功</v>
      </c>
      <c r="D1247" s="1" t="str">
        <f>IFERROR(__xludf.DUMMYFUNCTION("CONCATENATE(GOOGLETRANSLATE(B1247, ""en"", ""ko""))"),"플래시 거래 상태가 성공적으로 업데이트되었습니다.")</f>
        <v>플래시 거래 상태가 성공적으로 업데이트되었습니다.</v>
      </c>
      <c r="E1247" s="2" t="str">
        <f>IFERROR(__xludf.DUMMYFUNCTION("CONCATENATE(GOOGLETRANSLATE(B1247, ""en"", ""ja""))"),"フラッシュ取引ステータスが正常に更新されました")</f>
        <v>フラッシュ取引ステータスが正常に更新されました</v>
      </c>
    </row>
    <row r="1248" ht="15.75" customHeight="1">
      <c r="A1248" s="1" t="s">
        <v>2426</v>
      </c>
      <c r="B1248" s="1" t="s">
        <v>2427</v>
      </c>
      <c r="C1248" s="1" t="str">
        <f>IFERROR(__xludf.DUMMYFUNCTION("CONCATENATE(GOOGLETRANSLATE(B1248, ""en"", ""zh-cn""))"),"闪购已成功更新")</f>
        <v>闪购已成功更新</v>
      </c>
      <c r="D1248" s="1" t="str">
        <f>IFERROR(__xludf.DUMMYFUNCTION("CONCATENATE(GOOGLETRANSLATE(B1248, ""en"", ""ko""))"),"플래시 딜이 성공적으로 업데이트되었습니다.")</f>
        <v>플래시 딜이 성공적으로 업데이트되었습니다.</v>
      </c>
      <c r="E1248" s="2" t="str">
        <f>IFERROR(__xludf.DUMMYFUNCTION("CONCATENATE(GOOGLETRANSLATE(B1248, ""en"", ""ja""))"),"フラッシュ ディールが正常に更新されました")</f>
        <v>フラッシュ ディールが正常に更新されました</v>
      </c>
    </row>
    <row r="1249" ht="15.75" customHeight="1">
      <c r="A1249" s="1" t="s">
        <v>2428</v>
      </c>
      <c r="B1249" s="1" t="s">
        <v>2429</v>
      </c>
      <c r="C1249" s="1" t="str">
        <f>IFERROR(__xludf.DUMMYFUNCTION("CONCATENATE(GOOGLETRANSLATE(B1249, ""en"", ""zh-cn""))"),"更新语言信息")</f>
        <v>更新语言信息</v>
      </c>
      <c r="D1249" s="1" t="str">
        <f>IFERROR(__xludf.DUMMYFUNCTION("CONCATENATE(GOOGLETRANSLATE(B1249, ""en"", ""ko""))"),"언어 정보 업데이트")</f>
        <v>언어 정보 업데이트</v>
      </c>
      <c r="E1249" s="2" t="str">
        <f>IFERROR(__xludf.DUMMYFUNCTION("CONCATENATE(GOOGLETRANSLATE(B1249, ""en"", ""ja""))"),"言語情報を更新する")</f>
        <v>言語情報を更新する</v>
      </c>
    </row>
    <row r="1250" ht="15.75" customHeight="1">
      <c r="A1250" s="1" t="s">
        <v>2430</v>
      </c>
      <c r="B1250" s="1" t="s">
        <v>2431</v>
      </c>
      <c r="C1250" s="1" t="str">
        <f>IFERROR(__xludf.DUMMYFUNCTION("CONCATENATE(GOOGLETRANSLATE(B1250, ""en"", ""zh-cn""))"),"语言已成功更新")</f>
        <v>语言已成功更新</v>
      </c>
      <c r="D1250" s="1" t="str">
        <f>IFERROR(__xludf.DUMMYFUNCTION("CONCATENATE(GOOGLETRANSLATE(B1250, ""en"", ""ko""))"),"언어가 성공적으로 업데이트되었습니다.")</f>
        <v>언어가 성공적으로 업데이트되었습니다.</v>
      </c>
      <c r="E1250" s="2" t="str">
        <f>IFERROR(__xludf.DUMMYFUNCTION("CONCATENATE(GOOGLETRANSLATE(B1250, ""en"", ""ja""))"),"言語が正常に更新されました")</f>
        <v>言語が正常に更新されました</v>
      </c>
    </row>
    <row r="1251" ht="15.75" customHeight="1">
      <c r="A1251" s="1" t="s">
        <v>2432</v>
      </c>
      <c r="B1251" s="1" t="s">
        <v>2433</v>
      </c>
      <c r="C1251" s="1" t="str">
        <f>IFERROR(__xludf.DUMMYFUNCTION("CONCATENATE(GOOGLETRANSLATE(B1251, ""en"", ""zh-cn""))"),"输入键并输入")</f>
        <v>输入键并输入</v>
      </c>
      <c r="D1251" s="1" t="str">
        <f>IFERROR(__xludf.DUMMYFUNCTION("CONCATENATE(GOOGLETRANSLATE(B1251, ""en"", ""ko""))"),"키를 입력하고 Enter를 누르세요.")</f>
        <v>키를 입력하고 Enter를 누르세요.</v>
      </c>
      <c r="E1251" s="2" t="str">
        <f>IFERROR(__xludf.DUMMYFUNCTION("CONCATENATE(GOOGLETRANSLATE(B1251, ""en"", ""ja""))"),"キーを入力して Enter")</f>
        <v>キーを入力して Enter</v>
      </c>
    </row>
    <row r="1252" ht="15.75" customHeight="1">
      <c r="A1252" s="1" t="s">
        <v>2434</v>
      </c>
      <c r="B1252" s="1" t="s">
        <v>2435</v>
      </c>
      <c r="C1252" s="1" t="str">
        <f>IFERROR(__xludf.DUMMYFUNCTION("CONCATENATE(GOOGLETRANSLATE(B1252, ""en"", ""zh-cn""))"),"翻译更新为")</f>
        <v>翻译更新为</v>
      </c>
      <c r="D1252" s="1" t="str">
        <f>IFERROR(__xludf.DUMMYFUNCTION("CONCATENATE(GOOGLETRANSLATE(B1252, ""en"", ""ko""))"),"다음에 대한 번역이 업데이트되었습니다.")</f>
        <v>다음에 대한 번역이 업데이트되었습니다.</v>
      </c>
      <c r="E1252" s="2" t="str">
        <f>IFERROR(__xludf.DUMMYFUNCTION("CONCATENATE(GOOGLETRANSLATE(B1252, ""en"", ""ja""))"),"翻訳が更新されました")</f>
        <v>翻訳が更新されました</v>
      </c>
    </row>
    <row r="1253" ht="15.75" customHeight="1">
      <c r="A1253" s="1" t="s">
        <v>2436</v>
      </c>
      <c r="B1253" s="1" t="s">
        <v>2437</v>
      </c>
      <c r="C1253" s="1" t="str">
        <f>IFERROR(__xludf.DUMMYFUNCTION("CONCATENATE(GOOGLETRANSLATE(B1253, ""en"", ""zh-cn""))"),"语言已成功插入")</f>
        <v>语言已成功插入</v>
      </c>
      <c r="D1253" s="1" t="str">
        <f>IFERROR(__xludf.DUMMYFUNCTION("CONCATENATE(GOOGLETRANSLATE(B1253, ""en"", ""ko""))"),"언어가 성공적으로 삽입되었습니다")</f>
        <v>언어가 성공적으로 삽입되었습니다</v>
      </c>
      <c r="E1253" s="2" t="str">
        <f>IFERROR(__xludf.DUMMYFUNCTION("CONCATENATE(GOOGLETRANSLATE(B1253, ""en"", ""ja""))"),"言語が正常に挿入されました")</f>
        <v>言語が正常に挿入されました</v>
      </c>
    </row>
    <row r="1254" ht="15.75" customHeight="1">
      <c r="A1254" s="1" t="s">
        <v>2438</v>
      </c>
      <c r="B1254" s="1" t="s">
        <v>2439</v>
      </c>
      <c r="C1254" s="1" t="str">
        <f>IFERROR(__xludf.DUMMYFUNCTION("CONCATENATE(GOOGLETRANSLATE(B1254, ""en"", ""zh-cn""))"),"立即验证")</f>
        <v>立即验证</v>
      </c>
      <c r="D1254" s="1" t="str">
        <f>IFERROR(__xludf.DUMMYFUNCTION("CONCATENATE(GOOGLETRANSLATE(B1254, ""en"", ""ko""))"),"지금 확인하세요")</f>
        <v>지금 확인하세요</v>
      </c>
      <c r="E1254" s="2" t="str">
        <f>IFERROR(__xludf.DUMMYFUNCTION("CONCATENATE(GOOGLETRANSLATE(B1254, ""en"", ""ja""))"),"今すぐ確認してください")</f>
        <v>今すぐ確認してください</v>
      </c>
    </row>
    <row r="1255" ht="15.75" customHeight="1">
      <c r="A1255" s="1" t="s">
        <v>2440</v>
      </c>
      <c r="B1255" s="1" t="s">
        <v>2441</v>
      </c>
      <c r="C1255" s="1" t="str">
        <f>IFERROR(__xludf.DUMMYFUNCTION("CONCATENATE(GOOGLETRANSLATE(B1255, ""en"", ""zh-cn""))"),"伊济科")</f>
        <v>伊济科</v>
      </c>
      <c r="D1255" s="1" t="str">
        <f>IFERROR(__xludf.DUMMYFUNCTION("CONCATENATE(GOOGLETRANSLATE(B1255, ""en"", ""ko""))"),"이지코")</f>
        <v>이지코</v>
      </c>
      <c r="E1255" s="2" t="str">
        <f>IFERROR(__xludf.DUMMYFUNCTION("CONCATENATE(GOOGLETRANSLATE(B1255, ""en"", ""ja""))"),"イイジコ")</f>
        <v>イイジコ</v>
      </c>
    </row>
    <row r="1256" ht="15.75" customHeight="1">
      <c r="A1256" s="1" t="s">
        <v>2442</v>
      </c>
      <c r="B1256" s="1" t="s">
        <v>2443</v>
      </c>
      <c r="C1256" s="1" t="str">
        <f>IFERROR(__xludf.DUMMYFUNCTION("CONCATENATE(GOOGLETRANSLATE(B1256, ""en"", ""zh-cn""))"),"Bkash凭证")</f>
        <v>Bkash凭证</v>
      </c>
      <c r="D1256" s="1" t="str">
        <f>IFERROR(__xludf.DUMMYFUNCTION("CONCATENATE(GOOGLETRANSLATE(B1256, ""en"", ""ko""))"),"Bkash 자격 증명")</f>
        <v>Bkash 자격 증명</v>
      </c>
      <c r="E1256" s="2" t="str">
        <f>IFERROR(__xludf.DUMMYFUNCTION("CONCATENATE(GOOGLETRANSLATE(B1256, ""en"", ""ja""))"),"Bkash 資格情報")</f>
        <v>Bkash 資格情報</v>
      </c>
    </row>
    <row r="1257" ht="15.75" customHeight="1">
      <c r="A1257" s="1" t="s">
        <v>2444</v>
      </c>
      <c r="B1257" s="1" t="s">
        <v>2445</v>
      </c>
      <c r="C1257" s="1" t="str">
        <f>IFERROR(__xludf.DUMMYFUNCTION("CONCATENATE(GOOGLETRANSLATE(B1257, ""en"", ""zh-cn""))"),"BKASH 结帐应用程序密钥")</f>
        <v>BKASH 结帐应用程序密钥</v>
      </c>
      <c r="D1257" s="1" t="str">
        <f>IFERROR(__xludf.DUMMYFUNCTION("CONCATENATE(GOOGLETRANSLATE(B1257, ""en"", ""ko""))"),"BKASH 체크아웃 앱 키")</f>
        <v>BKASH 체크아웃 앱 키</v>
      </c>
      <c r="E1257" s="2" t="str">
        <f>IFERROR(__xludf.DUMMYFUNCTION("CONCATENATE(GOOGLETRANSLATE(B1257, ""en"", ""ja""))"),"BKASH チェックアウト アプリ キー")</f>
        <v>BKASH チェックアウト アプリ キー</v>
      </c>
    </row>
    <row r="1258" ht="15.75" customHeight="1">
      <c r="A1258" s="1" t="s">
        <v>2446</v>
      </c>
      <c r="B1258" s="1" t="s">
        <v>2447</v>
      </c>
      <c r="C1258" s="1" t="str">
        <f>IFERROR(__xludf.DUMMYFUNCTION("CONCATENATE(GOOGLETRANSLATE(B1258, ""en"", ""zh-cn""))"),"BKASH结帐应用程序的秘密")</f>
        <v>BKASH结帐应用程序的秘密</v>
      </c>
      <c r="D1258" s="1" t="str">
        <f>IFERROR(__xludf.DUMMYFUNCTION("CONCATENATE(GOOGLETRANSLATE(B1258, ""en"", ""ko""))"),"BKASH 체크아웃 앱 비밀")</f>
        <v>BKASH 체크아웃 앱 비밀</v>
      </c>
      <c r="E1258" s="2" t="str">
        <f>IFERROR(__xludf.DUMMYFUNCTION("CONCATENATE(GOOGLETRANSLATE(B1258, ""en"", ""ja""))"),"BKASHチェックアウトアプリの秘密")</f>
        <v>BKASHチェックアウトアプリの秘密</v>
      </c>
    </row>
    <row r="1259" ht="15.75" customHeight="1">
      <c r="A1259" s="1" t="s">
        <v>2448</v>
      </c>
      <c r="B1259" s="1" t="s">
        <v>2449</v>
      </c>
      <c r="C1259" s="1" t="str">
        <f>IFERROR(__xludf.DUMMYFUNCTION("CONCATENATE(GOOGLETRANSLATE(B1259, ""en"", ""zh-cn""))"),"BKASH结账用户名")</f>
        <v>BKASH结账用户名</v>
      </c>
      <c r="D1259" s="1" t="str">
        <f>IFERROR(__xludf.DUMMYFUNCTION("CONCATENATE(GOOGLETRANSLATE(B1259, ""en"", ""ko""))"),"BKASH 체크아웃 사용자 이름")</f>
        <v>BKASH 체크아웃 사용자 이름</v>
      </c>
      <c r="E1259" s="2" t="str">
        <f>IFERROR(__xludf.DUMMYFUNCTION("CONCATENATE(GOOGLETRANSLATE(B1259, ""en"", ""ja""))"),"BKASH チェックアウト ユーザー名")</f>
        <v>BKASH チェックアウト ユーザー名</v>
      </c>
    </row>
    <row r="1260" ht="15.75" customHeight="1">
      <c r="A1260" s="1" t="s">
        <v>2450</v>
      </c>
      <c r="B1260" s="1" t="s">
        <v>2451</v>
      </c>
      <c r="C1260" s="1" t="str">
        <f>IFERROR(__xludf.DUMMYFUNCTION("CONCATENATE(GOOGLETRANSLATE(B1260, ""en"", ""zh-cn""))"),"BKASH 结账密码")</f>
        <v>BKASH 结账密码</v>
      </c>
      <c r="D1260" s="1" t="str">
        <f>IFERROR(__xludf.DUMMYFUNCTION("CONCATENATE(GOOGLETRANSLATE(B1260, ""en"", ""ko""))"),"BKASH 체크아웃 비밀번호")</f>
        <v>BKASH 체크아웃 비밀번호</v>
      </c>
      <c r="E1260" s="2" t="str">
        <f>IFERROR(__xludf.DUMMYFUNCTION("CONCATENATE(GOOGLETRANSLATE(B1260, ""en"", ""ja""))"),"BKASH チェックアウト パスワード")</f>
        <v>BKASH チェックアウト パスワード</v>
      </c>
    </row>
    <row r="1261" ht="15.75" customHeight="1">
      <c r="A1261" s="1" t="s">
        <v>2452</v>
      </c>
      <c r="B1261" s="1" t="s">
        <v>2453</v>
      </c>
      <c r="C1261" s="1" t="str">
        <f>IFERROR(__xludf.DUMMYFUNCTION("CONCATENATE(GOOGLETRANSLATE(B1261, ""en"", ""zh-cn""))"),"Bkash 沙盒模式")</f>
        <v>Bkash 沙盒模式</v>
      </c>
      <c r="D1261" s="1" t="str">
        <f>IFERROR(__xludf.DUMMYFUNCTION("CONCATENATE(GOOGLETRANSLATE(B1261, ""en"", ""ko""))"),"Bkash 샌드박스 모드")</f>
        <v>Bkash 샌드박스 모드</v>
      </c>
      <c r="E1261" s="2" t="str">
        <f>IFERROR(__xludf.DUMMYFUNCTION("CONCATENATE(GOOGLETRANSLATE(B1261, ""en"", ""ja""))"),"Bkash サンドボックス モード")</f>
        <v>Bkash サンドボックス モード</v>
      </c>
    </row>
    <row r="1262" ht="15.75" customHeight="1">
      <c r="A1262" s="1" t="s">
        <v>2454</v>
      </c>
      <c r="B1262" s="1" t="s">
        <v>2455</v>
      </c>
      <c r="C1262" s="1" t="str">
        <f>IFERROR(__xludf.DUMMYFUNCTION("CONCATENATE(GOOGLETRANSLATE(B1262, ""en"", ""zh-cn""))"),"纳加德凭证")</f>
        <v>纳加德凭证</v>
      </c>
      <c r="D1262" s="1" t="str">
        <f>IFERROR(__xludf.DUMMYFUNCTION("CONCATENATE(GOOGLETRANSLATE(B1262, ""en"", ""ko""))"),"나가드 자격 증명")</f>
        <v>나가드 자격 증명</v>
      </c>
      <c r="E1262" s="2" t="str">
        <f>IFERROR(__xludf.DUMMYFUNCTION("CONCATENATE(GOOGLETRANSLATE(B1262, ""en"", ""ja""))"),"ナガドの資格情報")</f>
        <v>ナガドの資格情報</v>
      </c>
    </row>
    <row r="1263" ht="15.75" customHeight="1">
      <c r="A1263" s="1" t="s">
        <v>2456</v>
      </c>
      <c r="B1263" s="1" t="s">
        <v>2457</v>
      </c>
      <c r="C1263" s="1" t="str">
        <f>IFERROR(__xludf.DUMMYFUNCTION("CONCATENATE(GOOGLETRANSLATE(B1263, ""en"", ""zh-cn""))"),"纳加德模式")</f>
        <v>纳加德模式</v>
      </c>
      <c r="D1263" s="1" t="str">
        <f>IFERROR(__xludf.DUMMYFUNCTION("CONCATENATE(GOOGLETRANSLATE(B1263, ""en"", ""ko""))"),"나가드 모드")</f>
        <v>나가드 모드</v>
      </c>
      <c r="E1263" s="2" t="str">
        <f>IFERROR(__xludf.DUMMYFUNCTION("CONCATENATE(GOOGLETRANSLATE(B1263, ""en"", ""ja""))"),"ナガドモード")</f>
        <v>ナガドモード</v>
      </c>
    </row>
    <row r="1264" ht="15.75" customHeight="1">
      <c r="A1264" s="1" t="s">
        <v>2458</v>
      </c>
      <c r="B1264" s="1" t="s">
        <v>2459</v>
      </c>
      <c r="C1264" s="1" t="str">
        <f>IFERROR(__xludf.DUMMYFUNCTION("CONCATENATE(GOOGLETRANSLATE(B1264, ""en"", ""zh-cn""))"),"NAGAD 商户 ID")</f>
        <v>NAGAD 商户 ID</v>
      </c>
      <c r="D1264" s="1" t="str">
        <f>IFERROR(__xludf.DUMMYFUNCTION("CONCATENATE(GOOGLETRANSLATE(B1264, ""en"", ""ko""))"),"나가드 판매자 ID")</f>
        <v>나가드 판매자 ID</v>
      </c>
      <c r="E1264" s="2" t="str">
        <f>IFERROR(__xludf.DUMMYFUNCTION("CONCATENATE(GOOGLETRANSLATE(B1264, ""en"", ""ja""))"),"ナガドの販売者ID")</f>
        <v>ナガドの販売者ID</v>
      </c>
    </row>
    <row r="1265" ht="15.75" customHeight="1">
      <c r="A1265" s="1" t="s">
        <v>2460</v>
      </c>
      <c r="B1265" s="1" t="s">
        <v>2461</v>
      </c>
      <c r="C1265" s="1" t="str">
        <f>IFERROR(__xludf.DUMMYFUNCTION("CONCATENATE(GOOGLETRANSLATE(B1265, ""en"", ""zh-cn""))"),"NAGAD 商户号码")</f>
        <v>NAGAD 商户号码</v>
      </c>
      <c r="D1265" s="1" t="str">
        <f>IFERROR(__xludf.DUMMYFUNCTION("CONCATENATE(GOOGLETRANSLATE(B1265, ""en"", ""ko""))"),"나가드 판매자 번호")</f>
        <v>나가드 판매자 번호</v>
      </c>
      <c r="E1265" s="2" t="str">
        <f>IFERROR(__xludf.DUMMYFUNCTION("CONCATENATE(GOOGLETRANSLATE(B1265, ""en"", ""ja""))"),"ナガドの販売者番号")</f>
        <v>ナガドの販売者番号</v>
      </c>
    </row>
    <row r="1266" ht="15.75" customHeight="1">
      <c r="A1266" s="1" t="s">
        <v>2462</v>
      </c>
      <c r="B1266" s="1" t="s">
        <v>2463</v>
      </c>
      <c r="C1266" s="1" t="str">
        <f>IFERROR(__xludf.DUMMYFUNCTION("CONCATENATE(GOOGLETRANSLATE(B1266, ""en"", ""zh-cn""))"),"NAGAD PG 公钥")</f>
        <v>NAGAD PG 公钥</v>
      </c>
      <c r="D1266" s="1" t="str">
        <f>IFERROR(__xludf.DUMMYFUNCTION("CONCATENATE(GOOGLETRANSLATE(B1266, ""en"", ""ko""))"),"나가드 PG 공개 키")</f>
        <v>나가드 PG 공개 키</v>
      </c>
      <c r="E1266" s="2" t="str">
        <f>IFERROR(__xludf.DUMMYFUNCTION("CONCATENATE(GOOGLETRANSLATE(B1266, ""en"", ""ja""))"),"ナガド PG 公開鍵")</f>
        <v>ナガド PG 公開鍵</v>
      </c>
    </row>
    <row r="1267" ht="15.75" customHeight="1">
      <c r="A1267" s="1" t="s">
        <v>2464</v>
      </c>
      <c r="B1267" s="1" t="s">
        <v>2465</v>
      </c>
      <c r="C1267" s="1" t="str">
        <f>IFERROR(__xludf.DUMMYFUNCTION("CONCATENATE(GOOGLETRANSLATE(B1267, ""en"", ""zh-cn""))"),"NAGAD 商家私钥")</f>
        <v>NAGAD 商家私钥</v>
      </c>
      <c r="D1267" s="1" t="str">
        <f>IFERROR(__xludf.DUMMYFUNCTION("CONCATENATE(GOOGLETRANSLATE(B1267, ""en"", ""ko""))"),"나가드 판매자 개인 키")</f>
        <v>나가드 판매자 개인 키</v>
      </c>
      <c r="E1267" s="2" t="str">
        <f>IFERROR(__xludf.DUMMYFUNCTION("CONCATENATE(GOOGLETRANSLATE(B1267, ""en"", ""ja""))"),"ナガド商人の秘密鍵")</f>
        <v>ナガド商人の秘密鍵</v>
      </c>
    </row>
    <row r="1268" ht="15.75" customHeight="1">
      <c r="A1268" s="1" t="s">
        <v>2466</v>
      </c>
      <c r="B1268" s="1" t="s">
        <v>2467</v>
      </c>
      <c r="C1268" s="1" t="str">
        <f>IFERROR(__xludf.DUMMYFUNCTION("CONCATENATE(GOOGLETRANSLATE(B1268, ""en"", ""zh-cn""))"),"伊兹科凭证")</f>
        <v>伊兹科凭证</v>
      </c>
      <c r="D1268" s="1" t="str">
        <f>IFERROR(__xludf.DUMMYFUNCTION("CONCATENATE(GOOGLETRANSLATE(B1268, ""en"", ""ko""))"),"Iyzico 자격 증명")</f>
        <v>Iyzico 자격 증명</v>
      </c>
      <c r="E1268" s="2" t="str">
        <f>IFERROR(__xludf.DUMMYFUNCTION("CONCATENATE(GOOGLETRANSLATE(B1268, ""en"", ""ja""))"),"イイジコの資格情報")</f>
        <v>イイジコの資格情報</v>
      </c>
    </row>
    <row r="1269" ht="15.75" customHeight="1">
      <c r="A1269" s="1" t="s">
        <v>2468</v>
      </c>
      <c r="B1269" s="1" t="s">
        <v>2469</v>
      </c>
      <c r="C1269" s="1" t="str">
        <f>IFERROR(__xludf.DUMMYFUNCTION("CONCATENATE(GOOGLETRANSLATE(B1269, ""en"", ""zh-cn""))"),"IYZICO_API_KEY")</f>
        <v>IYZICO_API_KEY</v>
      </c>
      <c r="D1269" s="1" t="str">
        <f>IFERROR(__xludf.DUMMYFUNCTION("CONCATENATE(GOOGLETRANSLATE(B1269, ""en"", ""ko""))"),"IYZICO_API_KEY")</f>
        <v>IYZICO_API_KEY</v>
      </c>
      <c r="E1269" s="2" t="str">
        <f>IFERROR(__xludf.DUMMYFUNCTION("CONCATENATE(GOOGLETRANSLATE(B1269, ""en"", ""ja""))"),"IYZICO_API_KEY")</f>
        <v>IYZICO_API_KEY</v>
      </c>
    </row>
    <row r="1270" ht="15.75" customHeight="1">
      <c r="A1270" s="1" t="s">
        <v>2468</v>
      </c>
      <c r="B1270" s="1" t="s">
        <v>2470</v>
      </c>
      <c r="C1270" s="1" t="str">
        <f>IFERROR(__xludf.DUMMYFUNCTION("CONCATENATE(GOOGLETRANSLATE(B1270, ""en"", ""zh-cn""))"),"IYZICO API 密钥")</f>
        <v>IYZICO API 密钥</v>
      </c>
      <c r="D1270" s="1" t="str">
        <f>IFERROR(__xludf.DUMMYFUNCTION("CONCATENATE(GOOGLETRANSLATE(B1270, ""en"", ""ko""))"),"IYZICO API 키")</f>
        <v>IYZICO API 키</v>
      </c>
      <c r="E1270" s="2" t="str">
        <f>IFERROR(__xludf.DUMMYFUNCTION("CONCATENATE(GOOGLETRANSLATE(B1270, ""en"", ""ja""))"),"IYZICO APIキー")</f>
        <v>IYZICO APIキー</v>
      </c>
    </row>
    <row r="1271" ht="15.75" customHeight="1">
      <c r="A1271" s="1" t="s">
        <v>2471</v>
      </c>
      <c r="B1271" s="1" t="s">
        <v>2472</v>
      </c>
      <c r="C1271" s="1" t="str">
        <f>IFERROR(__xludf.DUMMYFUNCTION("CONCATENATE(GOOGLETRANSLATE(B1271, ""en"", ""zh-cn""))"),"IYZICO_SECRET_KEY")</f>
        <v>IYZICO_SECRET_KEY</v>
      </c>
      <c r="D1271" s="1" t="str">
        <f>IFERROR(__xludf.DUMMYFUNCTION("CONCATENATE(GOOGLETRANSLATE(B1271, ""en"", ""ko""))"),"IYZICO_SECRET_KEY")</f>
        <v>IYZICO_SECRET_KEY</v>
      </c>
      <c r="E1271" s="2" t="str">
        <f>IFERROR(__xludf.DUMMYFUNCTION("CONCATENATE(GOOGLETRANSLATE(B1271, ""en"", ""ja""))"),"IYZICO_SECRET_KEY")</f>
        <v>IYZICO_SECRET_KEY</v>
      </c>
    </row>
    <row r="1272" ht="15.75" customHeight="1">
      <c r="A1272" s="1" t="s">
        <v>2471</v>
      </c>
      <c r="B1272" s="1" t="s">
        <v>2473</v>
      </c>
      <c r="C1272" s="1" t="str">
        <f>IFERROR(__xludf.DUMMYFUNCTION("CONCATENATE(GOOGLETRANSLATE(B1272, ""en"", ""zh-cn""))"),"IYZICO 秘密钥匙")</f>
        <v>IYZICO 秘密钥匙</v>
      </c>
      <c r="D1272" s="1" t="str">
        <f>IFERROR(__xludf.DUMMYFUNCTION("CONCATENATE(GOOGLETRANSLATE(B1272, ""en"", ""ko""))"),"IYZICO 비밀 키")</f>
        <v>IYZICO 비밀 키</v>
      </c>
      <c r="E1272" s="2" t="str">
        <f>IFERROR(__xludf.DUMMYFUNCTION("CONCATENATE(GOOGLETRANSLATE(B1272, ""en"", ""ja""))"),"IYZICOの秘密鍵")</f>
        <v>IYZICOの秘密鍵</v>
      </c>
    </row>
    <row r="1273" ht="15.75" customHeight="1">
      <c r="A1273" s="1" t="s">
        <v>2474</v>
      </c>
      <c r="B1273" s="1" t="s">
        <v>2475</v>
      </c>
      <c r="C1273" s="1" t="str">
        <f>IFERROR(__xludf.DUMMYFUNCTION("CONCATENATE(GOOGLETRANSLATE(B1273, ""en"", ""zh-cn""))"),"IYZICO沙盒模式")</f>
        <v>IYZICO沙盒模式</v>
      </c>
      <c r="D1273" s="1" t="str">
        <f>IFERROR(__xludf.DUMMYFUNCTION("CONCATENATE(GOOGLETRANSLATE(B1273, ""en"", ""ko""))"),"IYZICO 샌드박스 모드")</f>
        <v>IYZICO 샌드박스 모드</v>
      </c>
      <c r="E1273" s="2" t="str">
        <f>IFERROR(__xludf.DUMMYFUNCTION("CONCATENATE(GOOGLETRANSLATE(B1273, ""en"", ""ja""))"),"IYZICO サンドボックス モード")</f>
        <v>IYZICO サンドボックス モード</v>
      </c>
    </row>
    <row r="1274" ht="15.75" customHeight="1">
      <c r="A1274" s="1" t="s">
        <v>2476</v>
      </c>
      <c r="B1274" s="1" t="s">
        <v>2477</v>
      </c>
      <c r="C1274" s="1" t="str">
        <f>IFERROR(__xludf.DUMMYFUNCTION("CONCATENATE(GOOGLETRANSLATE(B1274, ""en"", ""zh-cn""))"),"因斯塔莫霍")</f>
        <v>因斯塔莫霍</v>
      </c>
      <c r="D1274" s="1" t="str">
        <f>IFERROR(__xludf.DUMMYFUNCTION("CONCATENATE(GOOGLETRANSLATE(B1274, ""en"", ""ko""))"),"인스타모조")</f>
        <v>인스타모조</v>
      </c>
      <c r="E1274" s="2" t="str">
        <f>IFERROR(__xludf.DUMMYFUNCTION("CONCATENATE(GOOGLETRANSLATE(B1274, ""en"", ""ja""))"),"インスタモジョ")</f>
        <v>インスタモジョ</v>
      </c>
    </row>
    <row r="1275" ht="15.75" customHeight="1">
      <c r="A1275" s="1" t="s">
        <v>2478</v>
      </c>
      <c r="B1275" s="1" t="s">
        <v>2479</v>
      </c>
      <c r="C1275" s="1" t="str">
        <f>IFERROR(__xludf.DUMMYFUNCTION("CONCATENATE(GOOGLETRANSLATE(B1275, ""en"", ""zh-cn""))"),"纳加德")</f>
        <v>纳加德</v>
      </c>
      <c r="D1275" s="1" t="str">
        <f>IFERROR(__xludf.DUMMYFUNCTION("CONCATENATE(GOOGLETRANSLATE(B1275, ""en"", ""ko""))"),"나가드")</f>
        <v>나가드</v>
      </c>
      <c r="E1275" s="2" t="str">
        <f>IFERROR(__xludf.DUMMYFUNCTION("CONCATENATE(GOOGLETRANSLATE(B1275, ""en"", ""ja""))"),"ナガド")</f>
        <v>ナガド</v>
      </c>
    </row>
    <row r="1276" ht="15.75" customHeight="1">
      <c r="A1276" s="1" t="s">
        <v>2480</v>
      </c>
      <c r="B1276" s="1" t="s">
        <v>2481</v>
      </c>
      <c r="C1276" s="1" t="str">
        <f>IFERROR(__xludf.DUMMYFUNCTION("CONCATENATE(GOOGLETRANSLATE(B1276, ""en"", ""zh-cn""))"),"布卡什")</f>
        <v>布卡什</v>
      </c>
      <c r="D1276" s="1" t="str">
        <f>IFERROR(__xludf.DUMMYFUNCTION("CONCATENATE(GOOGLETRANSLATE(B1276, ""en"", ""ko""))"),"브카시")</f>
        <v>브카시</v>
      </c>
      <c r="E1276" s="2" t="str">
        <f>IFERROR(__xludf.DUMMYFUNCTION("CONCATENATE(GOOGLETRANSLATE(B1276, ""en"", ""ja""))"),"ブカシュ")</f>
        <v>ブカシュ</v>
      </c>
    </row>
    <row r="1277" ht="15.75" customHeight="1">
      <c r="A1277" s="1" t="s">
        <v>2482</v>
      </c>
      <c r="B1277" s="1" t="s">
        <v>2483</v>
      </c>
      <c r="C1277" s="1" t="str">
        <f>IFERROR(__xludf.DUMMYFUNCTION("CONCATENATE(GOOGLETRANSLATE(B1277, ""en"", ""zh-cn""))"),"您的订单已下达")</f>
        <v>您的订单已下达</v>
      </c>
      <c r="D1277" s="1" t="str">
        <f>IFERROR(__xludf.DUMMYFUNCTION("CONCATENATE(GOOGLETRANSLATE(B1277, ""en"", ""ko""))"),"주문이 완료되었습니다.")</f>
        <v>주문이 완료되었습니다.</v>
      </c>
      <c r="E1277" s="2" t="str">
        <f>IFERROR(__xludf.DUMMYFUNCTION("CONCATENATE(GOOGLETRANSLATE(B1277, ""en"", ""ja""))"),"ご注文は完了しました")</f>
        <v>ご注文は完了しました</v>
      </c>
    </row>
    <row r="1278" ht="15.75" customHeight="1">
      <c r="A1278" s="1" t="s">
        <v>2484</v>
      </c>
      <c r="B1278" s="1" t="s">
        <v>2485</v>
      </c>
      <c r="C1278" s="1" t="str">
        <f>IFERROR(__xludf.DUMMYFUNCTION("CONCATENATE(GOOGLETRANSLATE(B1278, ""en"", ""zh-cn""))"),"您的订单已成功下达")</f>
        <v>您的订单已成功下达</v>
      </c>
      <c r="D1278" s="1" t="str">
        <f>IFERROR(__xludf.DUMMYFUNCTION("CONCATENATE(GOOGLETRANSLATE(B1278, ""en"", ""ko""))"),"주문이 성공적으로 완료되었습니다")</f>
        <v>주문이 성공적으로 완료되었습니다</v>
      </c>
      <c r="E1278" s="2" t="str">
        <f>IFERROR(__xludf.DUMMYFUNCTION("CONCATENATE(GOOGLETRANSLATE(B1278, ""en"", ""ja""))"),"ご注文は正常に完了しました")</f>
        <v>ご注文は正常に完了しました</v>
      </c>
    </row>
    <row r="1279" ht="15.75" customHeight="1">
      <c r="A1279" s="1" t="s">
        <v>2486</v>
      </c>
      <c r="B1279" s="1" t="s">
        <v>2487</v>
      </c>
      <c r="C1279" s="1" t="str">
        <f>IFERROR(__xludf.DUMMYFUNCTION("CONCATENATE(GOOGLETRANSLATE(B1279, ""en"", ""zh-cn""))"),"产品图片")</f>
        <v>产品图片</v>
      </c>
      <c r="D1279" s="1" t="str">
        <f>IFERROR(__xludf.DUMMYFUNCTION("CONCATENATE(GOOGLETRANSLATE(B1279, ""en"", ""ko""))"),"제품 이미지")</f>
        <v>제품 이미지</v>
      </c>
      <c r="E1279" s="2" t="str">
        <f>IFERROR(__xludf.DUMMYFUNCTION("CONCATENATE(GOOGLETRANSLATE(B1279, ""en"", ""ja""))"),"製品イメージ")</f>
        <v>製品イメージ</v>
      </c>
    </row>
    <row r="1280" ht="15.75" customHeight="1">
      <c r="A1280" s="1" t="s">
        <v>15</v>
      </c>
      <c r="B1280" s="1" t="s">
        <v>16</v>
      </c>
      <c r="C1280" s="1" t="str">
        <f>IFERROR(__xludf.DUMMYFUNCTION("CONCATENATE(GOOGLETRANSLATE(B1280, ""en"", ""zh-cn""))"),"添加比较")</f>
        <v>添加比较</v>
      </c>
      <c r="D1280" s="1" t="str">
        <f>IFERROR(__xludf.DUMMYFUNCTION("CONCATENATE(GOOGLETRANSLATE(B1280, ""en"", ""ko""))"),"비교하려면 추가하세요")</f>
        <v>비교하려면 추가하세요</v>
      </c>
      <c r="E1280" s="2" t="str">
        <f>IFERROR(__xludf.DUMMYFUNCTION("CONCATENATE(GOOGLETRANSLATE(B1280, ""en"", ""ja""))"),"比較に追加")</f>
        <v>比較に追加</v>
      </c>
    </row>
    <row r="1281" ht="15.75" customHeight="1">
      <c r="A1281" s="1" t="s">
        <v>2488</v>
      </c>
      <c r="B1281" s="1" t="s">
        <v>2489</v>
      </c>
      <c r="C1281" s="1" t="str">
        <f>IFERROR(__xludf.DUMMYFUNCTION("CONCATENATE(GOOGLETRANSLATE(B1281, ""en"", ""zh-cn""))"),"步骤1")</f>
        <v>步骤1</v>
      </c>
      <c r="D1281" s="1" t="str">
        <f>IFERROR(__xludf.DUMMYFUNCTION("CONCATENATE(GOOGLETRANSLATE(B1281, ""en"", ""ko""))"),"1단계")</f>
        <v>1단계</v>
      </c>
      <c r="E1281" s="2" t="str">
        <f>IFERROR(__xludf.DUMMYFUNCTION("CONCATENATE(GOOGLETRANSLATE(B1281, ""en"", ""ja""))"),"ステップ1")</f>
        <v>ステップ1</v>
      </c>
    </row>
    <row r="1282" ht="15.75" customHeight="1">
      <c r="A1282" s="1" t="s">
        <v>2490</v>
      </c>
      <c r="B1282" s="1" t="s">
        <v>2491</v>
      </c>
      <c r="C1282" s="1" t="str">
        <f>IFERROR(__xludf.DUMMYFUNCTION("CONCATENATE(GOOGLETRANSLATE(B1282, ""en"", ""zh-cn""))"),"下载骨架文件并用适当的数据填充它")</f>
        <v>下载骨架文件并用适当的数据填充它</v>
      </c>
      <c r="D1282" s="1" t="str">
        <f>IFERROR(__xludf.DUMMYFUNCTION("CONCATENATE(GOOGLETRANSLATE(B1282, ""en"", ""ko""))"),"스켈레톤 파일을 다운로드하고 적절한 데이터로 채웁니다.")</f>
        <v>스켈레톤 파일을 다운로드하고 적절한 데이터로 채웁니다.</v>
      </c>
      <c r="E1282" s="2" t="str">
        <f>IFERROR(__xludf.DUMMYFUNCTION("CONCATENATE(GOOGLETRANSLATE(B1282, ""en"", ""ja""))"),"スケルトン ファイルをダウンロードし、適切なデータを入力します。")</f>
        <v>スケルトン ファイルをダウンロードし、適切なデータを入力します。</v>
      </c>
    </row>
    <row r="1283" ht="15.75" customHeight="1">
      <c r="A1283" s="1" t="s">
        <v>2492</v>
      </c>
      <c r="B1283" s="1" t="s">
        <v>2493</v>
      </c>
      <c r="C1283" s="1" t="str">
        <f>IFERROR(__xludf.DUMMYFUNCTION("CONCATENATE(GOOGLETRANSLATE(B1283, ""en"", ""zh-cn""))"),"您可以下载示例文件以了解如何填写数据")</f>
        <v>您可以下载示例文件以了解如何填写数据</v>
      </c>
      <c r="D1283" s="1" t="str">
        <f>IFERROR(__xludf.DUMMYFUNCTION("CONCATENATE(GOOGLETRANSLATE(B1283, ""en"", ""ko""))"),"예제 파일을 다운로드하여 데이터를 채우는 방법을 이해할 수 있습니다.")</f>
        <v>예제 파일을 다운로드하여 데이터를 채우는 방법을 이해할 수 있습니다.</v>
      </c>
      <c r="E1283" s="2" t="str">
        <f>IFERROR(__xludf.DUMMYFUNCTION("CONCATENATE(GOOGLETRANSLATE(B1283, ""en"", ""ja""))"),"サンプル ファイルをダウンロードすると、データをどのように入力する必要があるかを理解できます。")</f>
        <v>サンプル ファイルをダウンロードすると、データをどのように入力する必要があるかを理解できます。</v>
      </c>
    </row>
    <row r="1284" ht="15.75" customHeight="1">
      <c r="A1284" s="1" t="s">
        <v>2494</v>
      </c>
      <c r="B1284" s="1" t="s">
        <v>2495</v>
      </c>
      <c r="C1284" s="1" t="str">
        <f>IFERROR(__xludf.DUMMYFUNCTION("CONCATENATE(GOOGLETRANSLATE(B1284, ""en"", ""zh-cn""))"),"下载并填写骨架文件后，将其上传到下面的表格中并提交")</f>
        <v>下载并填写骨架文件后，将其上传到下面的表格中并提交</v>
      </c>
      <c r="D1284" s="1" t="str">
        <f>IFERROR(__xludf.DUMMYFUNCTION("CONCATENATE(GOOGLETRANSLATE(B1284, ""en"", ""ko""))"),"스켈레톤 파일을 다운로드하여 작성하신 후, 아래 양식에 업로드하여 제출해주세요.")</f>
        <v>스켈레톤 파일을 다운로드하여 작성하신 후, 아래 양식에 업로드하여 제출해주세요.</v>
      </c>
      <c r="E1284" s="2" t="str">
        <f>IFERROR(__xludf.DUMMYFUNCTION("CONCATENATE(GOOGLETRANSLATE(B1284, ""en"", ""ja""))"),"スケルトン ファイルをダウンロードして入力したら、以下のフォームにアップロードして送信してください。")</f>
        <v>スケルトン ファイルをダウンロードして入力したら、以下のフォームにアップロードして送信してください。</v>
      </c>
    </row>
    <row r="1285" ht="15.75" customHeight="1">
      <c r="A1285" s="1" t="s">
        <v>2496</v>
      </c>
      <c r="B1285" s="1" t="s">
        <v>2497</v>
      </c>
      <c r="C1285" s="1" t="str">
        <f>IFERROR(__xludf.DUMMYFUNCTION("CONCATENATE(GOOGLETRANSLATE(B1285, ""en"", ""zh-cn""))"),"上传产品后，您需要对其进行编辑并设置产品的图片和选择")</f>
        <v>上传产品后，您需要对其进行编辑并设置产品的图片和选择</v>
      </c>
      <c r="D1285" s="1" t="str">
        <f>IFERROR(__xludf.DUMMYFUNCTION("CONCATENATE(GOOGLETRANSLATE(B1285, ""en"", ""ko""))"),"제품을 업로드한 후 편집하고 제품 이미지와 선택 사항을 설정해야 합니다.")</f>
        <v>제품을 업로드한 후 편집하고 제품 이미지와 선택 사항을 설정해야 합니다.</v>
      </c>
      <c r="E1285" s="2" t="str">
        <f>IFERROR(__xludf.DUMMYFUNCTION("CONCATENATE(GOOGLETRANSLATE(B1285, ""en"", ""ja""))"),"商品をアップロードした後、商品を編集し、商品の画像と選択肢を設定する必要があります")</f>
        <v>商品をアップロードした後、商品を編集し、商品の画像と選択肢を設定する必要があります</v>
      </c>
    </row>
    <row r="1286" ht="15.75" customHeight="1">
      <c r="A1286" s="1" t="s">
        <v>2498</v>
      </c>
      <c r="B1286" s="1" t="s">
        <v>2499</v>
      </c>
      <c r="C1286" s="1" t="str">
        <f>IFERROR(__xludf.DUMMYFUNCTION("CONCATENATE(GOOGLETRANSLATE(B1286, ""en"", ""zh-cn""))"),"步骤2")</f>
        <v>步骤2</v>
      </c>
      <c r="D1286" s="1" t="str">
        <f>IFERROR(__xludf.DUMMYFUNCTION("CONCATENATE(GOOGLETRANSLATE(B1286, ""en"", ""ko""))"),"2단계")</f>
        <v>2단계</v>
      </c>
      <c r="E1286" s="2" t="str">
        <f>IFERROR(__xludf.DUMMYFUNCTION("CONCATENATE(GOOGLETRANSLATE(B1286, ""en"", ""ja""))"),"ステップ2")</f>
        <v>ステップ2</v>
      </c>
    </row>
    <row r="1287" ht="15.75" customHeight="1">
      <c r="A1287" s="1" t="s">
        <v>2500</v>
      </c>
      <c r="B1287" s="1" t="s">
        <v>2501</v>
      </c>
      <c r="C1287" s="1" t="str">
        <f>IFERROR(__xludf.DUMMYFUNCTION("CONCATENATE(GOOGLETRANSLATE(B1287, ""en"", ""zh-cn""))"),"类别和品牌应采用数字 ID")</f>
        <v>类别和品牌应采用数字 ID</v>
      </c>
      <c r="D1287" s="1" t="str">
        <f>IFERROR(__xludf.DUMMYFUNCTION("CONCATENATE(GOOGLETRANSLATE(B1287, ""en"", ""ko""))"),"카테고리 및 브랜드는 숫자 ID여야 합니다.")</f>
        <v>카테고리 및 브랜드는 숫자 ID여야 합니다.</v>
      </c>
      <c r="E1287" s="2" t="str">
        <f>IFERROR(__xludf.DUMMYFUNCTION("CONCATENATE(GOOGLETRANSLATE(B1287, ""en"", ""ja""))"),"カテゴリとブランドは数値 ID に含める必要があります")</f>
        <v>カテゴリとブランドは数値 ID に含める必要があります</v>
      </c>
    </row>
    <row r="1288" ht="15.75" customHeight="1">
      <c r="A1288" s="1" t="s">
        <v>2502</v>
      </c>
      <c r="B1288" s="1" t="s">
        <v>2503</v>
      </c>
      <c r="C1288" s="1" t="str">
        <f>IFERROR(__xludf.DUMMYFUNCTION("CONCATENATE(GOOGLETRANSLATE(B1288, ""en"", ""zh-cn""))"),"您可以下载 pdf 来获取类别和品牌 ID")</f>
        <v>您可以下载 pdf 来获取类别和品牌 ID</v>
      </c>
      <c r="D1288" s="1" t="str">
        <f>IFERROR(__xludf.DUMMYFUNCTION("CONCATENATE(GOOGLETRANSLATE(B1288, ""en"", ""ko""))"),"PDF를 다운로드하여 카테고리 및 브랜드 ID를 얻을 수 있습니다.")</f>
        <v>PDF를 다운로드하여 카테고리 및 브랜드 ID를 얻을 수 있습니다.</v>
      </c>
      <c r="E1288" s="2" t="str">
        <f>IFERROR(__xludf.DUMMYFUNCTION("CONCATENATE(GOOGLETRANSLATE(B1288, ""en"", ""ja""))"),"PDFをダウンロードしてカテゴリとブランドIDを取得できます")</f>
        <v>PDFをダウンロードしてカテゴリとブランドIDを取得できます</v>
      </c>
    </row>
    <row r="1289" ht="15.75" customHeight="1">
      <c r="A1289" s="1" t="s">
        <v>2504</v>
      </c>
      <c r="B1289" s="1" t="s">
        <v>2505</v>
      </c>
      <c r="C1289" s="1" t="str">
        <f>IFERROR(__xludf.DUMMYFUNCTION("CONCATENATE(GOOGLETRANSLATE(B1289, ""en"", ""zh-cn""))"),"上传产品文件")</f>
        <v>上传产品文件</v>
      </c>
      <c r="D1289" s="1" t="str">
        <f>IFERROR(__xludf.DUMMYFUNCTION("CONCATENATE(GOOGLETRANSLATE(B1289, ""en"", ""ko""))"),"제품 파일 업로드")</f>
        <v>제품 파일 업로드</v>
      </c>
      <c r="E1289" s="2" t="str">
        <f>IFERROR(__xludf.DUMMYFUNCTION("CONCATENATE(GOOGLETRANSLATE(B1289, ""en"", ""ja""))"),"製品ファイルのアップロード")</f>
        <v>製品ファイルのアップロード</v>
      </c>
    </row>
    <row r="1290" ht="15.75" customHeight="1">
      <c r="A1290" s="1" t="s">
        <v>2506</v>
      </c>
      <c r="B1290" s="1" t="s">
        <v>2507</v>
      </c>
      <c r="C1290" s="1" t="str">
        <f>IFERROR(__xludf.DUMMYFUNCTION("CONCATENATE(GOOGLETRANSLATE(B1290, ""en"", ""zh-cn""))"),"所有属性")</f>
        <v>所有属性</v>
      </c>
      <c r="D1290" s="1" t="str">
        <f>IFERROR(__xludf.DUMMYFUNCTION("CONCATENATE(GOOGLETRANSLATE(B1290, ""en"", ""ko""))"),"모든 속성")</f>
        <v>모든 속성</v>
      </c>
      <c r="E1290" s="2" t="str">
        <f>IFERROR(__xludf.DUMMYFUNCTION("CONCATENATE(GOOGLETRANSLATE(B1290, ""en"", ""ja""))"),"すべての属性")</f>
        <v>すべての属性</v>
      </c>
    </row>
    <row r="1291" ht="15.75" customHeight="1">
      <c r="A1291" s="1" t="s">
        <v>2508</v>
      </c>
      <c r="B1291" s="1" t="s">
        <v>2509</v>
      </c>
      <c r="C1291" s="1" t="str">
        <f>IFERROR(__xludf.DUMMYFUNCTION("CONCATENATE(GOOGLETRANSLATE(B1291, ""en"", ""zh-cn""))"),"添加新属性")</f>
        <v>添加新属性</v>
      </c>
      <c r="D1291" s="1" t="str">
        <f>IFERROR(__xludf.DUMMYFUNCTION("CONCATENATE(GOOGLETRANSLATE(B1291, ""en"", ""ko""))"),"새 속성 추가")</f>
        <v>새 속성 추가</v>
      </c>
      <c r="E1291" s="2" t="str">
        <f>IFERROR(__xludf.DUMMYFUNCTION("CONCATENATE(GOOGLETRANSLATE(B1291, ""en"", ""ja""))"),"新しい属性の追加")</f>
        <v>新しい属性の追加</v>
      </c>
    </row>
    <row r="1292" ht="15.75" customHeight="1">
      <c r="A1292" s="1" t="s">
        <v>2510</v>
      </c>
      <c r="B1292" s="1" t="s">
        <v>2511</v>
      </c>
      <c r="C1292" s="1" t="str">
        <f>IFERROR(__xludf.DUMMYFUNCTION("CONCATENATE(GOOGLETRANSLATE(B1292, ""en"", ""zh-cn""))"),"属性已成功插入")</f>
        <v>属性已成功插入</v>
      </c>
      <c r="D1292" s="1" t="str">
        <f>IFERROR(__xludf.DUMMYFUNCTION("CONCATENATE(GOOGLETRANSLATE(B1292, ""en"", ""ko""))"),"속성이 성공적으로 삽입되었습니다.")</f>
        <v>속성이 성공적으로 삽입되었습니다.</v>
      </c>
      <c r="E1292" s="2" t="str">
        <f>IFERROR(__xludf.DUMMYFUNCTION("CONCATENATE(GOOGLETRANSLATE(B1292, ""en"", ""ja""))"),"属性が正常に挿入されました")</f>
        <v>属性が正常に挿入されました</v>
      </c>
    </row>
    <row r="1293" ht="15.75" customHeight="1">
      <c r="A1293" s="1" t="s">
        <v>2512</v>
      </c>
      <c r="B1293" s="1" t="s">
        <v>2513</v>
      </c>
      <c r="C1293" s="1" t="str">
        <f>IFERROR(__xludf.DUMMYFUNCTION("CONCATENATE(GOOGLETRANSLATE(B1293, ""en"", ""zh-cn""))"),"属性已成功删除")</f>
        <v>属性已成功删除</v>
      </c>
      <c r="D1293" s="1" t="str">
        <f>IFERROR(__xludf.DUMMYFUNCTION("CONCATENATE(GOOGLETRANSLATE(B1293, ""en"", ""ko""))"),"속성이 삭제되었습니다.")</f>
        <v>속성이 삭제되었습니다.</v>
      </c>
      <c r="E1293" s="2" t="str">
        <f>IFERROR(__xludf.DUMMYFUNCTION("CONCATENATE(GOOGLETRANSLATE(B1293, ""en"", ""ja""))"),"属性が正常に削除されました")</f>
        <v>属性が正常に削除されました</v>
      </c>
    </row>
    <row r="1294" ht="15.75" customHeight="1">
      <c r="A1294" s="1" t="s">
        <v>2514</v>
      </c>
      <c r="B1294" s="1" t="s">
        <v>2515</v>
      </c>
      <c r="C1294" s="1" t="str">
        <f>IFERROR(__xludf.DUMMYFUNCTION("CONCATENATE(GOOGLETRANSLATE(B1294, ""en"", ""zh-cn""))"),"产品已成功复制")</f>
        <v>产品已成功复制</v>
      </c>
      <c r="D1294" s="1" t="str">
        <f>IFERROR(__xludf.DUMMYFUNCTION("CONCATENATE(GOOGLETRANSLATE(B1294, ""en"", ""ko""))"),"제품이 성공적으로 복제되었습니다.")</f>
        <v>제품이 성공적으로 복제되었습니다.</v>
      </c>
      <c r="E1294" s="2" t="str">
        <f>IFERROR(__xludf.DUMMYFUNCTION("CONCATENATE(GOOGLETRANSLATE(B1294, ""en"", ""ja""))"),"製品は正常に複製されました")</f>
        <v>製品は正常に複製されました</v>
      </c>
    </row>
    <row r="1295" ht="15.75" customHeight="1">
      <c r="A1295" s="1" t="s">
        <v>2516</v>
      </c>
      <c r="B1295" s="1" t="s">
        <v>2517</v>
      </c>
      <c r="C1295" s="1" t="str">
        <f>IFERROR(__xludf.DUMMYFUNCTION("CONCATENATE(GOOGLETRANSLATE(B1295, ""en"", ""zh-cn""))"),"按日期过滤")</f>
        <v>按日期过滤</v>
      </c>
      <c r="D1295" s="1" t="str">
        <f>IFERROR(__xludf.DUMMYFUNCTION("CONCATENATE(GOOGLETRANSLATE(B1295, ""en"", ""ko""))"),"날짜별로 필터링")</f>
        <v>날짜별로 필터링</v>
      </c>
      <c r="E1295" s="2" t="str">
        <f>IFERROR(__xludf.DUMMYFUNCTION("CONCATENATE(GOOGLETRANSLATE(B1295, ""en"", ""ja""))"),"日付でフィルタリングする")</f>
        <v>日付でフィルタリングする</v>
      </c>
    </row>
    <row r="1296" ht="15.75" customHeight="1">
      <c r="A1296" s="1" t="s">
        <v>2518</v>
      </c>
      <c r="B1296" s="1" t="s">
        <v>2519</v>
      </c>
      <c r="C1296" s="1" t="str">
        <f>IFERROR(__xludf.DUMMYFUNCTION("CONCATENATE(GOOGLETRANSLATE(B1296, ""en"", ""zh-cn""))"),"1. 类别和品牌应采用数字 ID。")</f>
        <v>1. 类别和品牌应采用数字 ID。</v>
      </c>
      <c r="D1296" s="1" t="str">
        <f>IFERROR(__xludf.DUMMYFUNCTION("CONCATENATE(GOOGLETRANSLATE(B1296, ""en"", ""ko""))"),"1. 카테고리와 브랜드는 숫자ID로 되어 있어야 합니다.")</f>
        <v>1. 카테고리와 브랜드는 숫자ID로 되어 있어야 합니다.</v>
      </c>
      <c r="E1296" s="2" t="str">
        <f>IFERROR(__xludf.DUMMYFUNCTION("CONCATENATE(GOOGLETRANSLATE(B1296, ""en"", ""ja""))"),"1. カテゴリとブランドは数値 ID である必要があります。")</f>
        <v>1. カテゴリとブランドは数値 ID である必要があります。</v>
      </c>
    </row>
    <row r="1297" ht="15.75" customHeight="1">
      <c r="A1297" s="1" t="s">
        <v>2520</v>
      </c>
      <c r="B1297" s="1" t="s">
        <v>2521</v>
      </c>
      <c r="C1297" s="1" t="str">
        <f>IFERROR(__xludf.DUMMYFUNCTION("CONCATENATE(GOOGLETRANSLATE(B1297, ""en"", ""zh-cn""))"),"2. 您可以下载 pdf 来获取类别和品牌 id。")</f>
        <v>2. 您可以下载 pdf 来获取类别和品牌 id。</v>
      </c>
      <c r="D1297" s="1" t="str">
        <f>IFERROR(__xludf.DUMMYFUNCTION("CONCATENATE(GOOGLETRANSLATE(B1297, ""en"", ""ko""))"),"2. PDF를 다운로드하여 카테고리 및 브랜드 ID를 얻을 수 있습니다.")</f>
        <v>2. PDF를 다운로드하여 카테고리 및 브랜드 ID를 얻을 수 있습니다.</v>
      </c>
      <c r="E1297" s="2" t="str">
        <f>IFERROR(__xludf.DUMMYFUNCTION("CONCATENATE(GOOGLETRANSLATE(B1297, ""en"", ""ja""))"),"2. PDF をダウンロードして、カテゴリとブランド ID を取得できます。")</f>
        <v>2. PDF をダウンロードして、カテゴリとブランド ID を取得できます。</v>
      </c>
    </row>
    <row r="1298" ht="15.75" customHeight="1">
      <c r="A1298" s="1" t="s">
        <v>2522</v>
      </c>
      <c r="B1298" s="1" t="s">
        <v>2523</v>
      </c>
      <c r="C1298" s="1" t="str">
        <f>IFERROR(__xludf.DUMMYFUNCTION("CONCATENATE(GOOGLETRANSLATE(B1298, ""en"", ""zh-cn""))"),"付款完成")</f>
        <v>付款完成</v>
      </c>
      <c r="D1298" s="1" t="str">
        <f>IFERROR(__xludf.DUMMYFUNCTION("CONCATENATE(GOOGLETRANSLATE(B1298, ""en"", ""ko""))"),"결제 완료")</f>
        <v>결제 완료</v>
      </c>
      <c r="E1298" s="2" t="str">
        <f>IFERROR(__xludf.DUMMYFUNCTION("CONCATENATE(GOOGLETRANSLATE(B1298, ""en"", ""ja""))"),"支払い完了")</f>
        <v>支払い完了</v>
      </c>
    </row>
    <row r="1299" ht="15.75" customHeight="1">
      <c r="A1299" s="1" t="s">
        <v>2524</v>
      </c>
      <c r="B1299" s="1" t="s">
        <v>2525</v>
      </c>
      <c r="C1299" s="1" t="str">
        <f>IFERROR(__xludf.DUMMYFUNCTION("CONCATENATE(GOOGLETRANSLATE(B1299, ""en"", ""zh-cn""))"),"接触")</f>
        <v>接触</v>
      </c>
      <c r="D1299" s="1" t="str">
        <f>IFERROR(__xludf.DUMMYFUNCTION("CONCATENATE(GOOGLETRANSLATE(B1299, ""en"", ""ko""))"),"연락하다")</f>
        <v>연락하다</v>
      </c>
      <c r="E1299" s="2" t="str">
        <f>IFERROR(__xludf.DUMMYFUNCTION("CONCATENATE(GOOGLETRANSLATE(B1299, ""en"", ""ja""))"),"接触")</f>
        <v>接触</v>
      </c>
    </row>
    <row r="1300" ht="15.75" customHeight="1">
      <c r="A1300" s="1" t="s">
        <v>2526</v>
      </c>
      <c r="B1300" s="1" t="s">
        <v>2527</v>
      </c>
      <c r="C1300" s="1" t="str">
        <f>IFERROR(__xludf.DUMMYFUNCTION("CONCATENATE(GOOGLETRANSLATE(B1300, ""en"", ""zh-cn""))"),"订单状态已更新")</f>
        <v>订单状态已更新</v>
      </c>
      <c r="D1300" s="1" t="str">
        <f>IFERROR(__xludf.DUMMYFUNCTION("CONCATENATE(GOOGLETRANSLATE(B1300, ""en"", ""ko""))"),"주문 상태가 업데이트되었습니다.")</f>
        <v>주문 상태가 업데이트되었습니다.</v>
      </c>
      <c r="E1300" s="2" t="str">
        <f>IFERROR(__xludf.DUMMYFUNCTION("CONCATENATE(GOOGLETRANSLATE(B1300, ""en"", ""ja""))"),"注文状況が更新されました")</f>
        <v>注文状況が更新されました</v>
      </c>
    </row>
    <row r="1301" ht="15.75" customHeight="1">
      <c r="A1301" s="1" t="s">
        <v>2528</v>
      </c>
      <c r="B1301" s="1" t="s">
        <v>2529</v>
      </c>
      <c r="C1301" s="1" t="str">
        <f>IFERROR(__xludf.DUMMYFUNCTION("CONCATENATE(GOOGLETRANSLATE(B1301, ""en"", ""zh-cn""))"),"审核已提交成功")</f>
        <v>审核已提交成功</v>
      </c>
      <c r="D1301" s="1" t="str">
        <f>IFERROR(__xludf.DUMMYFUNCTION("CONCATENATE(GOOGLETRANSLATE(B1301, ""en"", ""ko""))"),"리뷰가 성공적으로 제출되었습니다.")</f>
        <v>리뷰가 성공적으로 제출되었습니다.</v>
      </c>
      <c r="E1301" s="2" t="str">
        <f>IFERROR(__xludf.DUMMYFUNCTION("CONCATENATE(GOOGLETRANSLATE(B1301, ""en"", ""ja""))"),"レビューは正常に送信されました")</f>
        <v>レビューは正常に送信されました</v>
      </c>
    </row>
    <row r="1302" ht="15.75" customHeight="1">
      <c r="A1302" s="1" t="s">
        <v>2530</v>
      </c>
      <c r="B1302" s="1" t="s">
        <v>2531</v>
      </c>
      <c r="C1302" s="1" t="str">
        <f>IFERROR(__xludf.DUMMYFUNCTION("CONCATENATE(GOOGLETRANSLATE(B1302, ""en"", ""zh-cn""))"),"付款给卖家")</f>
        <v>付款给卖家</v>
      </c>
      <c r="D1302" s="1" t="str">
        <f>IFERROR(__xludf.DUMMYFUNCTION("CONCATENATE(GOOGLETRANSLATE(B1302, ""en"", ""ko""))"),"판매자에게 지불")</f>
        <v>판매자에게 지불</v>
      </c>
      <c r="E1302" s="2" t="str">
        <f>IFERROR(__xludf.DUMMYFUNCTION("CONCATENATE(GOOGLETRANSLATE(B1302, ""en"", ""ja""))"),"販売者に支払う")</f>
        <v>販売者に支払う</v>
      </c>
    </row>
    <row r="1303" ht="15.75" customHeight="1">
      <c r="A1303" s="1" t="s">
        <v>2532</v>
      </c>
      <c r="B1303" s="1" t="s">
        <v>2533</v>
      </c>
      <c r="C1303" s="1" t="str">
        <f>IFERROR(__xludf.DUMMYFUNCTION("CONCATENATE(GOOGLETRANSLATE(B1303, ""en"", ""zh-cn""))"),"交易代码")</f>
        <v>交易代码</v>
      </c>
      <c r="D1303" s="1" t="str">
        <f>IFERROR(__xludf.DUMMYFUNCTION("CONCATENATE(GOOGLETRANSLATE(B1303, ""en"", ""ko""))"),"전송 코드")</f>
        <v>전송 코드</v>
      </c>
      <c r="E1303" s="2" t="str">
        <f>IFERROR(__xludf.DUMMYFUNCTION("CONCATENATE(GOOGLETRANSLATE(B1303, ""en"", ""ja""))"),"送信コード")</f>
        <v>送信コード</v>
      </c>
    </row>
    <row r="1304" ht="15.75" customHeight="1">
      <c r="A1304" s="1" t="s">
        <v>2534</v>
      </c>
      <c r="B1304" s="1" t="s">
        <v>2535</v>
      </c>
      <c r="C1304" s="1" t="str">
        <f>IFERROR(__xludf.DUMMYFUNCTION("CONCATENATE(GOOGLETRANSLATE(B1304, ""en"", ""zh-cn""))"),"清除到期")</f>
        <v>清除到期</v>
      </c>
      <c r="D1304" s="1" t="str">
        <f>IFERROR(__xludf.DUMMYFUNCTION("CONCATENATE(GOOGLETRANSLATE(B1304, ""en"", ""ko""))"),"기한이 정해져 있음")</f>
        <v>기한이 정해져 있음</v>
      </c>
      <c r="E1304" s="2" t="str">
        <f>IFERROR(__xludf.DUMMYFUNCTION("CONCATENATE(GOOGLETRANSLATE(B1304, ""en"", ""ja""))"),"期限をクリア")</f>
        <v>期限をクリア</v>
      </c>
    </row>
    <row r="1305" ht="15.75" customHeight="1">
      <c r="A1305" s="1" t="s">
        <v>2536</v>
      </c>
      <c r="B1305" s="1" t="s">
        <v>2537</v>
      </c>
      <c r="C1305" s="1" t="str">
        <f>IFERROR(__xludf.DUMMYFUNCTION("CONCATENATE(GOOGLETRANSLATE(B1305, ""en"", ""zh-cn""))"),"产品愿望报告")</f>
        <v>产品愿望报告</v>
      </c>
      <c r="D1305" s="1" t="str">
        <f>IFERROR(__xludf.DUMMYFUNCTION("CONCATENATE(GOOGLETRANSLATE(B1305, ""en"", ""ko""))"),"제품 희망 보고서")</f>
        <v>제품 희망 보고서</v>
      </c>
      <c r="E1305" s="2" t="str">
        <f>IFERROR(__xludf.DUMMYFUNCTION("CONCATENATE(GOOGLETRANSLATE(B1305, ""en"", ""ja""))"),"製品ウィッシュレポート")</f>
        <v>製品ウィッシュレポート</v>
      </c>
    </row>
    <row r="1306" ht="15.75" customHeight="1">
      <c r="A1306" s="1" t="s">
        <v>2538</v>
      </c>
      <c r="B1306" s="1" t="s">
        <v>2539</v>
      </c>
      <c r="C1306" s="1" t="str">
        <f>IFERROR(__xludf.DUMMYFUNCTION("CONCATENATE(GOOGLETRANSLATE(B1306, ""en"", ""zh-cn""))"),"愿望数量")</f>
        <v>愿望数量</v>
      </c>
      <c r="D1306" s="1" t="str">
        <f>IFERROR(__xludf.DUMMYFUNCTION("CONCATENATE(GOOGLETRANSLATE(B1306, ""en"", ""ko""))"),"소원의 수")</f>
        <v>소원의 수</v>
      </c>
      <c r="E1306" s="2" t="str">
        <f>IFERROR(__xludf.DUMMYFUNCTION("CONCATENATE(GOOGLETRANSLATE(B1306, ""en"", ""ja""))"),"願いの数")</f>
        <v>願いの数</v>
      </c>
    </row>
    <row r="1307" ht="15.75" customHeight="1">
      <c r="A1307" s="1" t="s">
        <v>2540</v>
      </c>
      <c r="B1307" s="1" t="s">
        <v>2541</v>
      </c>
      <c r="C1307" s="1" t="str">
        <f>IFERROR(__xludf.DUMMYFUNCTION("CONCATENATE(GOOGLETRANSLATE(B1307, ""en"", ""zh-cn""))"),"所有客户")</f>
        <v>所有客户</v>
      </c>
      <c r="D1307" s="1" t="str">
        <f>IFERROR(__xludf.DUMMYFUNCTION("CONCATENATE(GOOGLETRANSLATE(B1307, ""en"", ""ko""))"),"모든 고객")</f>
        <v>모든 고객</v>
      </c>
      <c r="E1307" s="2" t="str">
        <f>IFERROR(__xludf.DUMMYFUNCTION("CONCATENATE(GOOGLETRANSLATE(B1307, ""en"", ""ja""))"),"すべてのお客様")</f>
        <v>すべてのお客様</v>
      </c>
    </row>
    <row r="1308" ht="15.75" customHeight="1">
      <c r="A1308" s="1" t="s">
        <v>2542</v>
      </c>
      <c r="B1308" s="1" t="s">
        <v>2543</v>
      </c>
      <c r="C1308" s="1" t="str">
        <f>IFERROR(__xludf.DUMMYFUNCTION("CONCATENATE(GOOGLETRANSLATE(B1308, ""en"", ""zh-cn""))"),"输入电子邮件或姓名并输入")</f>
        <v>输入电子邮件或姓名并输入</v>
      </c>
      <c r="D1308" s="1" t="str">
        <f>IFERROR(__xludf.DUMMYFUNCTION("CONCATENATE(GOOGLETRANSLATE(B1308, ""en"", ""ko""))"),"이메일이나 이름을 입력하고 Enter를 누르세요.")</f>
        <v>이메일이나 이름을 입력하고 Enter를 누르세요.</v>
      </c>
      <c r="E1308" s="2" t="str">
        <f>IFERROR(__xludf.DUMMYFUNCTION("CONCATENATE(GOOGLETRANSLATE(B1308, ""en"", ""ja""))"),"メールアドレスまたは名前を入力して Enter")</f>
        <v>メールアドレスまたは名前を入力して Enter</v>
      </c>
    </row>
    <row r="1309" ht="15.75" customHeight="1">
      <c r="A1309" s="1" t="s">
        <v>2544</v>
      </c>
      <c r="B1309" s="1" t="s">
        <v>2545</v>
      </c>
      <c r="C1309" s="1" t="str">
        <f>IFERROR(__xludf.DUMMYFUNCTION("CONCATENATE(GOOGLETRANSLATE(B1309, ""en"", ""zh-cn""))"),"包裹")</f>
        <v>包裹</v>
      </c>
      <c r="D1309" s="1" t="str">
        <f>IFERROR(__xludf.DUMMYFUNCTION("CONCATENATE(GOOGLETRANSLATE(B1309, ""en"", ""ko""))"),"패키지")</f>
        <v>패키지</v>
      </c>
      <c r="E1309" s="2" t="str">
        <f>IFERROR(__xludf.DUMMYFUNCTION("CONCATENATE(GOOGLETRANSLATE(B1309, ""en"", ""ja""))"),"パッケージ")</f>
        <v>パッケージ</v>
      </c>
    </row>
    <row r="1310" ht="15.75" customHeight="1">
      <c r="A1310" s="1" t="s">
        <v>2546</v>
      </c>
      <c r="B1310" s="1" t="s">
        <v>2547</v>
      </c>
      <c r="C1310" s="1" t="str">
        <f>IFERROR(__xludf.DUMMYFUNCTION("CONCATENATE(GOOGLETRANSLATE(B1310, ""en"", ""zh-cn""))"),"以该客户身份登录")</f>
        <v>以该客户身份登录</v>
      </c>
      <c r="D1310" s="1" t="str">
        <f>IFERROR(__xludf.DUMMYFUNCTION("CONCATENATE(GOOGLETRANSLATE(B1310, ""en"", ""ko""))"),"이 고객으로 로그인")</f>
        <v>이 고객으로 로그인</v>
      </c>
      <c r="E1310" s="2" t="str">
        <f>IFERROR(__xludf.DUMMYFUNCTION("CONCATENATE(GOOGLETRANSLATE(B1310, ""en"", ""ja""))"),"この顧客としてログインします")</f>
        <v>この顧客としてログインします</v>
      </c>
    </row>
    <row r="1311" ht="15.75" customHeight="1">
      <c r="A1311" s="1" t="s">
        <v>2548</v>
      </c>
      <c r="B1311" s="1" t="s">
        <v>2549</v>
      </c>
      <c r="C1311" s="1" t="str">
        <f>IFERROR(__xludf.DUMMYFUNCTION("CONCATENATE(GOOGLETRANSLATE(B1311, ""en"", ""zh-cn""))"),"禁止该客户")</f>
        <v>禁止该客户</v>
      </c>
      <c r="D1311" s="1" t="str">
        <f>IFERROR(__xludf.DUMMYFUNCTION("CONCATENATE(GOOGLETRANSLATE(B1311, ""en"", ""ko""))"),"이 고객을 금지하세요")</f>
        <v>이 고객을 금지하세요</v>
      </c>
      <c r="E1311" s="2" t="str">
        <f>IFERROR(__xludf.DUMMYFUNCTION("CONCATENATE(GOOGLETRANSLATE(B1311, ""en"", ""ja""))"),"この顧客を禁止する")</f>
        <v>この顧客を禁止する</v>
      </c>
    </row>
    <row r="1312" ht="15.75" customHeight="1">
      <c r="A1312" s="1" t="s">
        <v>2550</v>
      </c>
      <c r="B1312" s="1" t="s">
        <v>2551</v>
      </c>
      <c r="C1312" s="1" t="str">
        <f>IFERROR(__xludf.DUMMYFUNCTION("CONCATENATE(GOOGLETRANSLATE(B1312, ""en"", ""zh-cn""))"),"您真的要禁止该客户吗？")</f>
        <v>您真的要禁止该客户吗？</v>
      </c>
      <c r="D1312" s="1" t="str">
        <f>IFERROR(__xludf.DUMMYFUNCTION("CONCATENATE(GOOGLETRANSLATE(B1312, ""en"", ""ko""))"),"이 고객을 정말로 차단하시겠습니까?")</f>
        <v>이 고객을 정말로 차단하시겠습니까?</v>
      </c>
      <c r="E1312" s="2" t="str">
        <f>IFERROR(__xludf.DUMMYFUNCTION("CONCATENATE(GOOGLETRANSLATE(B1312, ""en"", ""ja""))"),"本当にこの顧客を禁止したいですか?")</f>
        <v>本当にこの顧客を禁止したいですか?</v>
      </c>
    </row>
    <row r="1313" ht="15.75" customHeight="1">
      <c r="A1313" s="1" t="s">
        <v>2552</v>
      </c>
      <c r="B1313" s="1" t="s">
        <v>2553</v>
      </c>
      <c r="C1313" s="1" t="str">
        <f>IFERROR(__xludf.DUMMYFUNCTION("CONCATENATE(GOOGLETRANSLATE(B1313, ""en"", ""zh-cn""))"),"您真的要取消禁止该客户吗？")</f>
        <v>您真的要取消禁止该客户吗？</v>
      </c>
      <c r="D1313" s="1" t="str">
        <f>IFERROR(__xludf.DUMMYFUNCTION("CONCATENATE(GOOGLETRANSLATE(B1313, ""en"", ""ko""))"),"정말로 이 고객의 차단을 해제하시겠습니까?")</f>
        <v>정말로 이 고객의 차단을 해제하시겠습니까?</v>
      </c>
      <c r="E1313" s="2" t="str">
        <f>IFERROR(__xludf.DUMMYFUNCTION("CONCATENATE(GOOGLETRANSLATE(B1313, ""en"", ""ja""))"),"本当にこの顧客の禁止を解除したいですか?")</f>
        <v>本当にこの顧客の禁止を解除したいですか?</v>
      </c>
    </row>
    <row r="1314" ht="15.75" customHeight="1">
      <c r="A1314" s="1" t="s">
        <v>2554</v>
      </c>
      <c r="B1314" s="1" t="s">
        <v>2555</v>
      </c>
      <c r="C1314" s="1" t="str">
        <f>IFERROR(__xludf.DUMMYFUNCTION("CONCATENATE(GOOGLETRANSLATE(B1314, ""en"", ""zh-cn""))"),"票已成功发送")</f>
        <v>票已成功发送</v>
      </c>
      <c r="D1314" s="1" t="str">
        <f>IFERROR(__xludf.DUMMYFUNCTION("CONCATENATE(GOOGLETRANSLATE(B1314, ""en"", ""ko""))"),"티켓이 성공적으로 전송되었습니다")</f>
        <v>티켓이 성공적으로 전송되었습니다</v>
      </c>
      <c r="E1314" s="2" t="str">
        <f>IFERROR(__xludf.DUMMYFUNCTION("CONCATENATE(GOOGLETRANSLATE(B1314, ""en"", ""ja""))"),"チケットは正常に送信されました")</f>
        <v>チケットは正常に送信されました</v>
      </c>
    </row>
    <row r="1315" ht="15.75" customHeight="1">
      <c r="A1315" s="1" t="s">
        <v>2556</v>
      </c>
      <c r="B1315" s="1" t="s">
        <v>2557</v>
      </c>
      <c r="C1315" s="1" t="str">
        <f>IFERROR(__xludf.DUMMYFUNCTION("CONCATENATE(GOOGLETRANSLATE(B1315, ""en"", ""zh-cn""))"),"发送回复")</f>
        <v>发送回复</v>
      </c>
      <c r="D1315" s="1" t="str">
        <f>IFERROR(__xludf.DUMMYFUNCTION("CONCATENATE(GOOGLETRANSLATE(B1315, ""en"", ""ko""))"),"답장 보내기")</f>
        <v>답장 보내기</v>
      </c>
      <c r="E1315" s="2" t="str">
        <f>IFERROR(__xludf.DUMMYFUNCTION("CONCATENATE(GOOGLETRANSLATE(B1315, ""en"", ""ja""))"),"返信を送信")</f>
        <v>返信を送信</v>
      </c>
    </row>
    <row r="1316" ht="15.75" customHeight="1">
      <c r="A1316" s="1" t="s">
        <v>2558</v>
      </c>
      <c r="B1316" s="1" t="s">
        <v>2559</v>
      </c>
      <c r="C1316" s="1" t="str">
        <f>IFERROR(__xludf.DUMMYFUNCTION("CONCATENATE(GOOGLETRANSLATE(B1316, ""en"", ""zh-cn""))"),"充值钱包")</f>
        <v>充值钱包</v>
      </c>
      <c r="D1316" s="1" t="str">
        <f>IFERROR(__xludf.DUMMYFUNCTION("CONCATENATE(GOOGLETRANSLATE(B1316, ""en"", ""ko""))"),"지갑 충전")</f>
        <v>지갑 충전</v>
      </c>
      <c r="E1316" s="2" t="str">
        <f>IFERROR(__xludf.DUMMYFUNCTION("CONCATENATE(GOOGLETRANSLATE(B1316, ""en"", ""ja""))"),"ウォレットにリチャージ")</f>
        <v>ウォレットにリチャージ</v>
      </c>
    </row>
    <row r="1317" ht="15.75" customHeight="1">
      <c r="A1317" s="1" t="s">
        <v>2560</v>
      </c>
      <c r="B1317" s="1" t="s">
        <v>2561</v>
      </c>
      <c r="C1317" s="1" t="str">
        <f>IFERROR(__xludf.DUMMYFUNCTION("CONCATENATE(GOOGLETRANSLATE(B1317, ""en"", ""zh-cn""))"),"钱包充值历史")</f>
        <v>钱包充值历史</v>
      </c>
      <c r="D1317" s="1" t="str">
        <f>IFERROR(__xludf.DUMMYFUNCTION("CONCATENATE(GOOGLETRANSLATE(B1317, ""en"", ""ko""))"),"지갑 충전 내역")</f>
        <v>지갑 충전 내역</v>
      </c>
      <c r="E1317" s="2" t="str">
        <f>IFERROR(__xludf.DUMMYFUNCTION("CONCATENATE(GOOGLETRANSLATE(B1317, ""en"", ""ja""))"),"ウォレットのリチャージ履歴")</f>
        <v>ウォレットのリチャージ履歴</v>
      </c>
    </row>
    <row r="1318" ht="15.75" customHeight="1">
      <c r="A1318" s="1" t="s">
        <v>2562</v>
      </c>
      <c r="B1318" s="1" t="s">
        <v>2563</v>
      </c>
      <c r="C1318" s="1" t="str">
        <f>IFERROR(__xludf.DUMMYFUNCTION("CONCATENATE(GOOGLETRANSLATE(B1318, ""en"", ""zh-cn""))"),"离线充值钱包")</f>
        <v>离线充值钱包</v>
      </c>
      <c r="D1318" s="1" t="str">
        <f>IFERROR(__xludf.DUMMYFUNCTION("CONCATENATE(GOOGLETRANSLATE(B1318, ""en"", ""ko""))"),"오프라인 충전 지갑")</f>
        <v>오프라인 충전 지갑</v>
      </c>
      <c r="E1318" s="2" t="str">
        <f>IFERROR(__xludf.DUMMYFUNCTION("CONCATENATE(GOOGLETRANSLATE(B1318, ""en"", ""ja""))"),"オフライン リチャージ ウォレット")</f>
        <v>オフライン リチャージ ウォレット</v>
      </c>
    </row>
    <row r="1319" ht="15.75" customHeight="1">
      <c r="A1319" s="1" t="s">
        <v>2564</v>
      </c>
      <c r="B1319" s="1" t="s">
        <v>2565</v>
      </c>
      <c r="C1319" s="1" t="str">
        <f>IFERROR(__xludf.DUMMYFUNCTION("CONCATENATE(GOOGLETRANSLATE(B1319, ""en"", ""zh-cn""))"),"消息已发送给卖家")</f>
        <v>消息已发送给卖家</v>
      </c>
      <c r="D1319" s="1" t="str">
        <f>IFERROR(__xludf.DUMMYFUNCTION("CONCATENATE(GOOGLETRANSLATE(B1319, ""en"", ""ko""))"),"판매자에게 메시지가 전송되었습니다")</f>
        <v>판매자에게 메시지가 전송되었습니다</v>
      </c>
      <c r="E1319" s="2" t="str">
        <f>IFERROR(__xludf.DUMMYFUNCTION("CONCATENATE(GOOGLETRANSLATE(B1319, ""en"", ""ja""))"),"メッセージが販売者に送信されました")</f>
        <v>メッセージが販売者に送信されました</v>
      </c>
    </row>
    <row r="1320" ht="15.75" customHeight="1">
      <c r="A1320" s="1" t="s">
        <v>2566</v>
      </c>
      <c r="B1320" s="1" t="s">
        <v>2567</v>
      </c>
      <c r="C1320" s="1" t="str">
        <f>IFERROR(__xludf.DUMMYFUNCTION("CONCATENATE(GOOGLETRANSLATE(B1320, ""en"", ""zh-cn""))"),"您的分类产品上传限制已达到。请购买套餐。")</f>
        <v>您的分类产品上传限制已达到。请购买套餐。</v>
      </c>
      <c r="D1320" s="1" t="str">
        <f>IFERROR(__xludf.DUMMYFUNCTION("CONCATENATE(GOOGLETRANSLATE(B1320, ""en"", ""ko""))"),"분류된 제품 업로드 제한에 도달했습니다. 패키지를 구매해주세요.")</f>
        <v>분류된 제품 업로드 제한에 도달했습니다. 패키지를 구매해주세요.</v>
      </c>
      <c r="E1320" s="2" t="str">
        <f>IFERROR(__xludf.DUMMYFUNCTION("CONCATENATE(GOOGLETRANSLATE(B1320, ""en"", ""ja""))"),"機密商品のアップロード制限に達しました。パッケージをご購入ください。")</f>
        <v>機密商品のアップロード制限に達しました。パッケージをご購入ください。</v>
      </c>
    </row>
    <row r="1321" ht="15.75" customHeight="1">
      <c r="A1321" s="1" t="s">
        <v>2568</v>
      </c>
      <c r="B1321" s="1" t="s">
        <v>2569</v>
      </c>
      <c r="C1321" s="1" t="str">
        <f>IFERROR(__xludf.DUMMYFUNCTION("CONCATENATE(GOOGLETRANSLATE(B1321, ""en"", ""zh-cn""))"),"为客户提供的优质套餐")</f>
        <v>为客户提供的优质套餐</v>
      </c>
      <c r="D1321" s="1" t="str">
        <f>IFERROR(__xludf.DUMMYFUNCTION("CONCATENATE(GOOGLETRANSLATE(B1321, ""en"", ""ko""))"),"고객을 위한 프리미엄 패키지")</f>
        <v>고객을 위한 프리미엄 패키지</v>
      </c>
      <c r="E1321" s="2" t="str">
        <f>IFERROR(__xludf.DUMMYFUNCTION("CONCATENATE(GOOGLETRANSLATE(B1321, ""en"", ""ja""))"),"顧客向けプレミアムパッケージ")</f>
        <v>顧客向けプレミアムパッケージ</v>
      </c>
    </row>
    <row r="1322" ht="15.75" customHeight="1">
      <c r="A1322" s="1" t="s">
        <v>2570</v>
      </c>
      <c r="B1322" s="1" t="s">
        <v>2571</v>
      </c>
      <c r="C1322" s="1" t="str">
        <f>IFERROR(__xludf.DUMMYFUNCTION("CONCATENATE(GOOGLETRANSLATE(B1322, ""en"", ""zh-cn""))"),"线下套餐购买 ")</f>
        <v>线下套餐购买 </v>
      </c>
      <c r="D1322" s="1" t="str">
        <f>IFERROR(__xludf.DUMMYFUNCTION("CONCATENATE(GOOGLETRANSLATE(B1322, ""en"", ""ko""))"),"오프라인 패키지 구매 ")</f>
        <v>오프라인 패키지 구매 </v>
      </c>
      <c r="E1322" s="2" t="str">
        <f>IFERROR(__xludf.DUMMYFUNCTION("CONCATENATE(GOOGLETRANSLATE(B1322, ""en"", ""ja""))"),"オフラインパッケージ購入 ")</f>
        <v>オフラインパッケージ購入 </v>
      </c>
    </row>
    <row r="1323" ht="15.75" customHeight="1">
      <c r="A1323" s="1" t="s">
        <v>2572</v>
      </c>
      <c r="B1323" s="1" t="s">
        <v>2573</v>
      </c>
      <c r="C1323" s="1" t="str">
        <f>IFERROR(__xludf.DUMMYFUNCTION("CONCATENATE(GOOGLETRANSLATE(B1323, ""en"", ""zh-cn""))"),"所有分类包")</f>
        <v>所有分类包</v>
      </c>
      <c r="D1323" s="1" t="str">
        <f>IFERROR(__xludf.DUMMYFUNCTION("CONCATENATE(GOOGLETRANSLATE(B1323, ""en"", ""ko""))"),"모든 분류 패키지")</f>
        <v>모든 분류 패키지</v>
      </c>
      <c r="E1323" s="2" t="str">
        <f>IFERROR(__xludf.DUMMYFUNCTION("CONCATENATE(GOOGLETRANSLATE(B1323, ""en"", ""ja""))"),"すべてのクラシファイドパッケージ")</f>
        <v>すべてのクラシファイドパッケージ</v>
      </c>
    </row>
    <row r="1324" ht="15.75" customHeight="1">
      <c r="A1324" s="1" t="s">
        <v>2574</v>
      </c>
      <c r="B1324" s="1" t="s">
        <v>2575</v>
      </c>
      <c r="C1324" s="1" t="str">
        <f>IFERROR(__xludf.DUMMYFUNCTION("CONCATENATE(GOOGLETRANSLATE(B1324, ""en"", ""zh-cn""))"),"创建新包")</f>
        <v>创建新包</v>
      </c>
      <c r="D1324" s="1" t="str">
        <f>IFERROR(__xludf.DUMMYFUNCTION("CONCATENATE(GOOGLETRANSLATE(B1324, ""en"", ""ko""))"),"새 패키지 만들기")</f>
        <v>새 패키지 만들기</v>
      </c>
      <c r="E1324" s="2" t="str">
        <f>IFERROR(__xludf.DUMMYFUNCTION("CONCATENATE(GOOGLETRANSLATE(B1324, ""en"", ""ja""))"),"新しいパッケージの作成")</f>
        <v>新しいパッケージの作成</v>
      </c>
    </row>
    <row r="1325" ht="15.75" customHeight="1">
      <c r="A1325" s="1" t="s">
        <v>2576</v>
      </c>
      <c r="B1325" s="1" t="s">
        <v>2577</v>
      </c>
      <c r="C1325" s="1" t="str">
        <f>IFERROR(__xludf.DUMMYFUNCTION("CONCATENATE(GOOGLETRANSLATE(B1325, ""en"", ""zh-cn""))"),"套餐购买成功")</f>
        <v>套餐购买成功</v>
      </c>
      <c r="D1325" s="1" t="str">
        <f>IFERROR(__xludf.DUMMYFUNCTION("CONCATENATE(GOOGLETRANSLATE(B1325, ""en"", ""ko""))"),"패키지 구매 성공")</f>
        <v>패키지 구매 성공</v>
      </c>
      <c r="E1325" s="2" t="str">
        <f>IFERROR(__xludf.DUMMYFUNCTION("CONCATENATE(GOOGLETRANSLATE(B1325, ""en"", ""ja""))"),"パッケージ購入が成功しました")</f>
        <v>パッケージ購入が成功しました</v>
      </c>
    </row>
    <row r="1326" ht="15.75" customHeight="1">
      <c r="A1326" s="1" t="s">
        <v>2578</v>
      </c>
      <c r="B1326" s="1" t="s">
        <v>2579</v>
      </c>
      <c r="C1326" s="1" t="str">
        <f>IFERROR(__xludf.DUMMYFUNCTION("CONCATENATE(GOOGLETRANSLATE(B1326, ""en"", ""zh-cn""))"),"产品上传剩余")</f>
        <v>产品上传剩余</v>
      </c>
      <c r="D1326" s="1" t="str">
        <f>IFERROR(__xludf.DUMMYFUNCTION("CONCATENATE(GOOGLETRANSLATE(B1326, ""en"", ""ko""))"),"남은 제품 업로드")</f>
        <v>남은 제품 업로드</v>
      </c>
      <c r="E1326" s="2" t="str">
        <f>IFERROR(__xludf.DUMMYFUNCTION("CONCATENATE(GOOGLETRANSLATE(B1326, ""en"", ""ja""))"),"製品のアップロードが残っています")</f>
        <v>製品のアップロードが残っています</v>
      </c>
    </row>
    <row r="1327" ht="15.75" customHeight="1">
      <c r="A1327" s="1" t="s">
        <v>2580</v>
      </c>
      <c r="B1327" s="1" t="s">
        <v>2581</v>
      </c>
      <c r="C1327" s="1" t="str">
        <f>IFERROR(__xludf.DUMMYFUNCTION("CONCATENATE(GOOGLETRANSLATE(B1327, ""en"", ""zh-cn""))"),"当前套餐")</f>
        <v>当前套餐</v>
      </c>
      <c r="D1327" s="1" t="str">
        <f>IFERROR(__xludf.DUMMYFUNCTION("CONCATENATE(GOOGLETRANSLATE(B1327, ""en"", ""ko""))"),"현재 패키지")</f>
        <v>현재 패키지</v>
      </c>
      <c r="E1327" s="2" t="str">
        <f>IFERROR(__xludf.DUMMYFUNCTION("CONCATENATE(GOOGLETRANSLATE(B1327, ""en"", ""ja""))"),"現在のパッケージ")</f>
        <v>現在のパッケージ</v>
      </c>
    </row>
    <row r="1328" ht="15.75" customHeight="1">
      <c r="A1328" s="1" t="s">
        <v>2582</v>
      </c>
      <c r="B1328" s="1" t="s">
        <v>2583</v>
      </c>
      <c r="C1328" s="1" t="str">
        <f>IFERROR(__xludf.DUMMYFUNCTION("CONCATENATE(GOOGLETRANSLATE(B1328, ""en"", ""zh-cn""))"),"选择条件")</f>
        <v>选择条件</v>
      </c>
      <c r="D1328" s="1" t="str">
        <f>IFERROR(__xludf.DUMMYFUNCTION("CONCATENATE(GOOGLETRANSLATE(B1328, ""en"", ""ko""))"),"조건을 선택하세요")</f>
        <v>조건을 선택하세요</v>
      </c>
      <c r="E1328" s="2" t="str">
        <f>IFERROR(__xludf.DUMMYFUNCTION("CONCATENATE(GOOGLETRANSLATE(B1328, ""en"", ""ja""))"),"条件を選択してください")</f>
        <v>条件を選択してください</v>
      </c>
    </row>
    <row r="1329" ht="15.75" customHeight="1">
      <c r="A1329" s="1" t="s">
        <v>2584</v>
      </c>
      <c r="B1329" s="1" t="s">
        <v>2585</v>
      </c>
      <c r="C1329" s="1" t="str">
        <f>IFERROR(__xludf.DUMMYFUNCTION("CONCATENATE(GOOGLETRANSLATE(B1329, ""en"", ""zh-cn""))"),"上传者")</f>
        <v>上传者</v>
      </c>
      <c r="D1329" s="1" t="str">
        <f>IFERROR(__xludf.DUMMYFUNCTION("CONCATENATE(GOOGLETRANSLATE(B1329, ""en"", ""ko""))"),"업로드한 사람")</f>
        <v>업로드한 사람</v>
      </c>
      <c r="E1329" s="2" t="str">
        <f>IFERROR(__xludf.DUMMYFUNCTION("CONCATENATE(GOOGLETRANSLATE(B1329, ""en"", ""ja""))"),"アップロード者")</f>
        <v>アップロード者</v>
      </c>
    </row>
    <row r="1330" ht="15.75" customHeight="1">
      <c r="A1330" s="1" t="s">
        <v>2586</v>
      </c>
      <c r="B1330" s="1" t="s">
        <v>2587</v>
      </c>
      <c r="C1330" s="1" t="str">
        <f>IFERROR(__xludf.DUMMYFUNCTION("CONCATENATE(GOOGLETRANSLATE(B1330, ""en"", ""zh-cn""))"),"客户状态")</f>
        <v>客户状态</v>
      </c>
      <c r="D1330" s="1" t="str">
        <f>IFERROR(__xludf.DUMMYFUNCTION("CONCATENATE(GOOGLETRANSLATE(B1330, ""en"", ""ko""))"),"고객현황")</f>
        <v>고객현황</v>
      </c>
      <c r="E1330" s="2" t="str">
        <f>IFERROR(__xludf.DUMMYFUNCTION("CONCATENATE(GOOGLETRANSLATE(B1330, ""en"", ""ja""))"),"顧客ステータス")</f>
        <v>顧客ステータス</v>
      </c>
    </row>
    <row r="1331" ht="15.75" customHeight="1">
      <c r="A1331" s="1" t="s">
        <v>2588</v>
      </c>
      <c r="B1331" s="1" t="s">
        <v>2589</v>
      </c>
      <c r="C1331" s="1" t="str">
        <f>IFERROR(__xludf.DUMMYFUNCTION("CONCATENATE(GOOGLETRANSLATE(B1331, ""en"", ""zh-cn""))"),"未发表")</f>
        <v>未发表</v>
      </c>
      <c r="D1331" s="1" t="str">
        <f>IFERROR(__xludf.DUMMYFUNCTION("CONCATENATE(GOOGLETRANSLATE(B1331, ""en"", ""ko""))"),"널리 알려지지 않은")</f>
        <v>널리 알려지지 않은</v>
      </c>
      <c r="E1331" s="2" t="str">
        <f>IFERROR(__xludf.DUMMYFUNCTION("CONCATENATE(GOOGLETRANSLATE(B1331, ""en"", ""ja""))"),"未公開")</f>
        <v>未公開</v>
      </c>
    </row>
    <row r="1332" ht="15.75" customHeight="1">
      <c r="A1332" s="1" t="s">
        <v>2590</v>
      </c>
      <c r="B1332" s="1" t="s">
        <v>2591</v>
      </c>
      <c r="C1332" s="1" t="str">
        <f>IFERROR(__xludf.DUMMYFUNCTION("CONCATENATE(GOOGLETRANSLATE(B1332, ""en"", ""zh-cn""))"),"发送邮件")</f>
        <v>发送邮件</v>
      </c>
      <c r="D1332" s="1" t="str">
        <f>IFERROR(__xludf.DUMMYFUNCTION("CONCATENATE(GOOGLETRANSLATE(B1332, ""en"", ""ko""))"),"센드메일")</f>
        <v>센드메일</v>
      </c>
      <c r="E1332" s="2" t="str">
        <f>IFERROR(__xludf.DUMMYFUNCTION("CONCATENATE(GOOGLETRANSLATE(B1332, ""en"", ""ja""))"),"メールの送信")</f>
        <v>メールの送信</v>
      </c>
    </row>
    <row r="1333" ht="15.75" customHeight="1">
      <c r="A1333" s="1" t="s">
        <v>2592</v>
      </c>
      <c r="B1333" s="1" t="s">
        <v>2593</v>
      </c>
      <c r="C1333" s="1" t="str">
        <f>IFERROR(__xludf.DUMMYFUNCTION("CONCATENATE(GOOGLETRANSLATE(B1333, ""en"", ""zh-cn""))"),"邮件枪")</f>
        <v>邮件枪</v>
      </c>
      <c r="D1333" s="1" t="str">
        <f>IFERROR(__xludf.DUMMYFUNCTION("CONCATENATE(GOOGLETRANSLATE(B1333, ""en"", ""ko""))"),"메일건")</f>
        <v>메일건</v>
      </c>
      <c r="E1333" s="2" t="str">
        <f>IFERROR(__xludf.DUMMYFUNCTION("CONCATENATE(GOOGLETRANSLATE(B1333, ""en"", ""ja""))"),"メールガン")</f>
        <v>メールガン</v>
      </c>
    </row>
    <row r="1334" ht="15.75" customHeight="1">
      <c r="A1334" s="1" t="s">
        <v>2594</v>
      </c>
      <c r="B1334" s="1" t="s">
        <v>2595</v>
      </c>
      <c r="C1334" s="1" t="str">
        <f>IFERROR(__xludf.DUMMYFUNCTION("CONCATENATE(GOOGLETRANSLATE(B1334, ""en"", ""zh-cn""))"),"邮件主机")</f>
        <v>邮件主机</v>
      </c>
      <c r="D1334" s="1" t="str">
        <f>IFERROR(__xludf.DUMMYFUNCTION("CONCATENATE(GOOGLETRANSLATE(B1334, ""en"", ""ko""))"),"메일 호스트")</f>
        <v>메일 호스트</v>
      </c>
      <c r="E1334" s="2" t="str">
        <f>IFERROR(__xludf.DUMMYFUNCTION("CONCATENATE(GOOGLETRANSLATE(B1334, ""en"", ""ja""))"),"メールホスト")</f>
        <v>メールホスト</v>
      </c>
    </row>
    <row r="1335" ht="15.75" customHeight="1">
      <c r="A1335" s="1" t="s">
        <v>2596</v>
      </c>
      <c r="B1335" s="1" t="s">
        <v>2597</v>
      </c>
      <c r="C1335" s="1" t="str">
        <f>IFERROR(__xludf.DUMMYFUNCTION("CONCATENATE(GOOGLETRANSLATE(B1335, ""en"", ""zh-cn""))"),"邮件港")</f>
        <v>邮件港</v>
      </c>
      <c r="D1335" s="1" t="str">
        <f>IFERROR(__xludf.DUMMYFUNCTION("CONCATENATE(GOOGLETRANSLATE(B1335, ""en"", ""ko""))"),"메일 포트")</f>
        <v>메일 포트</v>
      </c>
      <c r="E1335" s="2" t="str">
        <f>IFERROR(__xludf.DUMMYFUNCTION("CONCATENATE(GOOGLETRANSLATE(B1335, ""en"", ""ja""))"),"メールポート")</f>
        <v>メールポート</v>
      </c>
    </row>
    <row r="1336" ht="15.75" customHeight="1">
      <c r="A1336" s="1" t="s">
        <v>2598</v>
      </c>
      <c r="B1336" s="1" t="s">
        <v>2599</v>
      </c>
      <c r="C1336" s="1" t="str">
        <f>IFERROR(__xludf.DUMMYFUNCTION("CONCATENATE(GOOGLETRANSLATE(B1336, ""en"", ""zh-cn""))"),"邮件用户名")</f>
        <v>邮件用户名</v>
      </c>
      <c r="D1336" s="1" t="str">
        <f>IFERROR(__xludf.DUMMYFUNCTION("CONCATENATE(GOOGLETRANSLATE(B1336, ""en"", ""ko""))"),"메일 사용자 이름")</f>
        <v>메일 사용자 이름</v>
      </c>
      <c r="E1336" s="2" t="str">
        <f>IFERROR(__xludf.DUMMYFUNCTION("CONCATENATE(GOOGLETRANSLATE(B1336, ""en"", ""ja""))"),"メールユーザー名")</f>
        <v>メールユーザー名</v>
      </c>
    </row>
    <row r="1337" ht="15.75" customHeight="1">
      <c r="A1337" s="1" t="s">
        <v>2600</v>
      </c>
      <c r="B1337" s="1" t="s">
        <v>2601</v>
      </c>
      <c r="C1337" s="1" t="str">
        <f>IFERROR(__xludf.DUMMYFUNCTION("CONCATENATE(GOOGLETRANSLATE(B1337, ""en"", ""zh-cn""))"),"邮件密码")</f>
        <v>邮件密码</v>
      </c>
      <c r="D1337" s="1" t="str">
        <f>IFERROR(__xludf.DUMMYFUNCTION("CONCATENATE(GOOGLETRANSLATE(B1337, ""en"", ""ko""))"),"메일 비밀번호")</f>
        <v>메일 비밀번호</v>
      </c>
      <c r="E1337" s="2" t="str">
        <f>IFERROR(__xludf.DUMMYFUNCTION("CONCATENATE(GOOGLETRANSLATE(B1337, ""en"", ""ja""))"),"メールパスワード")</f>
        <v>メールパスワード</v>
      </c>
    </row>
    <row r="1338" ht="15.75" customHeight="1">
      <c r="A1338" s="1" t="s">
        <v>2602</v>
      </c>
      <c r="B1338" s="1" t="s">
        <v>2603</v>
      </c>
      <c r="C1338" s="1" t="str">
        <f>IFERROR(__xludf.DUMMYFUNCTION("CONCATENATE(GOOGLETRANSLATE(B1338, ""en"", ""zh-cn""))"),"邮件加密")</f>
        <v>邮件加密</v>
      </c>
      <c r="D1338" s="1" t="str">
        <f>IFERROR(__xludf.DUMMYFUNCTION("CONCATENATE(GOOGLETRANSLATE(B1338, ""en"", ""ko""))"),"메일 암호화")</f>
        <v>메일 암호화</v>
      </c>
      <c r="E1338" s="2" t="str">
        <f>IFERROR(__xludf.DUMMYFUNCTION("CONCATENATE(GOOGLETRANSLATE(B1338, ""en"", ""ja""))"),"メールの暗号化")</f>
        <v>メールの暗号化</v>
      </c>
    </row>
    <row r="1339" ht="15.75" customHeight="1">
      <c r="A1339" s="1" t="s">
        <v>2604</v>
      </c>
      <c r="B1339" s="1" t="s">
        <v>2605</v>
      </c>
      <c r="C1339" s="1" t="str">
        <f>IFERROR(__xludf.DUMMYFUNCTION("CONCATENATE(GOOGLETRANSLATE(B1339, ""en"", ""zh-cn""))"),"邮寄地址")</f>
        <v>邮寄地址</v>
      </c>
      <c r="D1339" s="1" t="str">
        <f>IFERROR(__xludf.DUMMYFUNCTION("CONCATENATE(GOOGLETRANSLATE(B1339, ""en"", ""ko""))"),"보낸 사람 주소")</f>
        <v>보낸 사람 주소</v>
      </c>
      <c r="E1339" s="2" t="str">
        <f>IFERROR(__xludf.DUMMYFUNCTION("CONCATENATE(GOOGLETRANSLATE(B1339, ""en"", ""ja""))"),"メール送信元アドレス")</f>
        <v>メール送信元アドレス</v>
      </c>
    </row>
    <row r="1340" ht="15.75" customHeight="1">
      <c r="A1340" s="1" t="s">
        <v>2606</v>
      </c>
      <c r="B1340" s="1" t="s">
        <v>2607</v>
      </c>
      <c r="C1340" s="1" t="str">
        <f>IFERROR(__xludf.DUMMYFUNCTION("CONCATENATE(GOOGLETRANSLATE(B1340, ""en"", ""zh-cn""))"),"来自姓名的邮件")</f>
        <v>来自姓名的邮件</v>
      </c>
      <c r="D1340" s="1" t="str">
        <f>IFERROR(__xludf.DUMMYFUNCTION("CONCATENATE(GOOGLETRANSLATE(B1340, ""en"", ""ko""))"),"이름이 보낸 메일")</f>
        <v>이름이 보낸 메일</v>
      </c>
      <c r="E1340" s="2" t="str">
        <f>IFERROR(__xludf.DUMMYFUNCTION("CONCATENATE(GOOGLETRANSLATE(B1340, ""en"", ""ja""))"),"名前からのメール")</f>
        <v>名前からのメール</v>
      </c>
    </row>
    <row r="1341" ht="15.75" customHeight="1">
      <c r="A1341" s="1" t="s">
        <v>2608</v>
      </c>
      <c r="B1341" s="1" t="s">
        <v>2609</v>
      </c>
      <c r="C1341" s="1" t="str">
        <f>IFERROR(__xludf.DUMMYFUNCTION("CONCATENATE(GOOGLETRANSLATE(B1341, ""en"", ""zh-cn""))"),"邮枪领域")</f>
        <v>邮枪领域</v>
      </c>
      <c r="D1341" s="1" t="str">
        <f>IFERROR(__xludf.DUMMYFUNCTION("CONCATENATE(GOOGLETRANSLATE(B1341, ""en"", ""ko""))"),"메일건 도메인")</f>
        <v>메일건 도메인</v>
      </c>
      <c r="E1341" s="2" t="str">
        <f>IFERROR(__xludf.DUMMYFUNCTION("CONCATENATE(GOOGLETRANSLATE(B1341, ""en"", ""ja""))"),"メールガンドメイン")</f>
        <v>メールガンドメイン</v>
      </c>
    </row>
    <row r="1342" ht="15.75" customHeight="1">
      <c r="A1342" s="1" t="s">
        <v>2610</v>
      </c>
      <c r="B1342" s="1" t="s">
        <v>2611</v>
      </c>
      <c r="C1342" s="1" t="str">
        <f>IFERROR(__xludf.DUMMYFUNCTION("CONCATENATE(GOOGLETRANSLATE(B1342, ""en"", ""zh-cn""))"),"邮枪的秘密")</f>
        <v>邮枪的秘密</v>
      </c>
      <c r="D1342" s="1" t="str">
        <f>IFERROR(__xludf.DUMMYFUNCTION("CONCATENATE(GOOGLETRANSLATE(B1342, ""en"", ""ko""))"),"메일건 비밀")</f>
        <v>메일건 비밀</v>
      </c>
      <c r="E1342" s="2" t="str">
        <f>IFERROR(__xludf.DUMMYFUNCTION("CONCATENATE(GOOGLETRANSLATE(B1342, ""en"", ""ja""))"),"メールガンの秘密")</f>
        <v>メールガンの秘密</v>
      </c>
    </row>
    <row r="1343" ht="15.75" customHeight="1">
      <c r="A1343" s="1" t="s">
        <v>2612</v>
      </c>
      <c r="B1343" s="1" t="s">
        <v>2613</v>
      </c>
      <c r="C1343" s="1" t="str">
        <f>IFERROR(__xludf.DUMMYFUNCTION("CONCATENATE(GOOGLETRANSLATE(B1343, ""en"", ""zh-cn""))"),"保存配置")</f>
        <v>保存配置</v>
      </c>
      <c r="D1343" s="1" t="str">
        <f>IFERROR(__xludf.DUMMYFUNCTION("CONCATENATE(GOOGLETRANSLATE(B1343, ""en"", ""ko""))"),"구성 저장")</f>
        <v>구성 저장</v>
      </c>
      <c r="E1343" s="2" t="str">
        <f>IFERROR(__xludf.DUMMYFUNCTION("CONCATENATE(GOOGLETRANSLATE(B1343, ""en"", ""ja""))"),"設定の保存")</f>
        <v>設定の保存</v>
      </c>
    </row>
    <row r="1344" ht="15.75" customHeight="1">
      <c r="A1344" s="1" t="s">
        <v>2614</v>
      </c>
      <c r="B1344" s="1" t="s">
        <v>2615</v>
      </c>
      <c r="C1344" s="1" t="str">
        <f>IFERROR(__xludf.DUMMYFUNCTION("CONCATENATE(GOOGLETRANSLATE(B1344, ""en"", ""zh-cn""))"),"测试 SMTP 配置")</f>
        <v>测试 SMTP 配置</v>
      </c>
      <c r="D1344" s="1" t="str">
        <f>IFERROR(__xludf.DUMMYFUNCTION("CONCATENATE(GOOGLETRANSLATE(B1344, ""en"", ""ko""))"),"SMTP 구성 테스트")</f>
        <v>SMTP 구성 테스트</v>
      </c>
      <c r="E1344" s="2" t="str">
        <f>IFERROR(__xludf.DUMMYFUNCTION("CONCATENATE(GOOGLETRANSLATE(B1344, ""en"", ""ja""))"),"SMTP 構成をテストする")</f>
        <v>SMTP 構成をテストする</v>
      </c>
    </row>
    <row r="1345" ht="15.75" customHeight="1">
      <c r="A1345" s="1" t="s">
        <v>2616</v>
      </c>
      <c r="B1345" s="1" t="s">
        <v>2617</v>
      </c>
      <c r="C1345" s="1" t="str">
        <f>IFERROR(__xludf.DUMMYFUNCTION("CONCATENATE(GOOGLETRANSLATE(B1345, ""en"", ""zh-cn""))"),"输入您的电子邮件地址")</f>
        <v>输入您的电子邮件地址</v>
      </c>
      <c r="D1345" s="1" t="str">
        <f>IFERROR(__xludf.DUMMYFUNCTION("CONCATENATE(GOOGLETRANSLATE(B1345, ""en"", ""ko""))"),"이메일 주소를 입력하세요")</f>
        <v>이메일 주소를 입력하세요</v>
      </c>
      <c r="E1345" s="2" t="str">
        <f>IFERROR(__xludf.DUMMYFUNCTION("CONCATENATE(GOOGLETRANSLATE(B1345, ""en"", ""ja""))"),"メールアドレスを入力してください")</f>
        <v>メールアドレスを入力してください</v>
      </c>
    </row>
    <row r="1346" ht="15.75" customHeight="1">
      <c r="A1346" s="1" t="s">
        <v>2618</v>
      </c>
      <c r="B1346" s="1" t="s">
        <v>2619</v>
      </c>
      <c r="C1346" s="1" t="str">
        <f>IFERROR(__xludf.DUMMYFUNCTION("CONCATENATE(GOOGLETRANSLATE(B1346, ""en"", ""zh-cn""))"),"发送测试电子邮件")</f>
        <v>发送测试电子邮件</v>
      </c>
      <c r="D1346" s="1" t="str">
        <f>IFERROR(__xludf.DUMMYFUNCTION("CONCATENATE(GOOGLETRANSLATE(B1346, ""en"", ""ko""))"),"테스트 이메일 보내기")</f>
        <v>테스트 이메일 보내기</v>
      </c>
      <c r="E1346" s="2" t="str">
        <f>IFERROR(__xludf.DUMMYFUNCTION("CONCATENATE(GOOGLETRANSLATE(B1346, ""en"", ""ja""))"),"テストメールを送信する")</f>
        <v>テストメールを送信する</v>
      </c>
    </row>
    <row r="1347" ht="15.75" customHeight="1">
      <c r="A1347" s="1" t="s">
        <v>2620</v>
      </c>
      <c r="B1347" s="1" t="s">
        <v>2621</v>
      </c>
      <c r="C1347" s="1" t="str">
        <f>IFERROR(__xludf.DUMMYFUNCTION("CONCATENATE(GOOGLETRANSLATE(B1347, ""en"", ""zh-cn""))"),"操作说明")</f>
        <v>操作说明</v>
      </c>
      <c r="D1347" s="1" t="str">
        <f>IFERROR(__xludf.DUMMYFUNCTION("CONCATENATE(GOOGLETRANSLATE(B1347, ""en"", ""ko""))"),"지침")</f>
        <v>지침</v>
      </c>
      <c r="E1347" s="2" t="str">
        <f>IFERROR(__xludf.DUMMYFUNCTION("CONCATENATE(GOOGLETRANSLATE(B1347, ""en"", ""ja""))"),"命令")</f>
        <v>命令</v>
      </c>
    </row>
    <row r="1348" ht="15.75" customHeight="1">
      <c r="A1348" s="1" t="s">
        <v>2622</v>
      </c>
      <c r="B1348" s="1" t="s">
        <v>2623</v>
      </c>
      <c r="C1348" s="1" t="str">
        <f>IFERROR(__xludf.DUMMYFUNCTION("CONCATENATE(GOOGLETRANSLATE(B1348, ""en"", ""zh-cn""))"),"配置 SMTP 时请小心。如果配置不正确，您将在下订单、新注册、发送新闻通讯时收到错误消息。")</f>
        <v>配置 SMTP 时请小心。如果配置不正确，您将在下订单、新注册、发送新闻通讯时收到错误消息。</v>
      </c>
      <c r="D1348" s="1" t="str">
        <f>IFERROR(__xludf.DUMMYFUNCTION("CONCATENATE(GOOGLETRANSLATE(B1348, ""en"", ""ko""))"),"SMTP를 구성할 때 주의하십시오. 잘못된 구성으로 인해 주문 시, 신규 등록 시, 뉴스레터 발송 시 오류가 발생합니다.")</f>
        <v>SMTP를 구성할 때 주의하십시오. 잘못된 구성으로 인해 주문 시, 신규 등록 시, 뉴스레터 발송 시 오류가 발생합니다.</v>
      </c>
      <c r="E1348" s="2" t="str">
        <f>IFERROR(__xludf.DUMMYFUNCTION("CONCATENATE(GOOGLETRANSLATE(B1348, ""en"", ""ja""))"),"SMTP を設定するときは注意してください。設定が正しくないと、注文時、新規登録時、ニュースレターの送信時にエラーが発生します。")</f>
        <v>SMTP を設定するときは注意してください。設定が正しくないと、注文時、新規登録時、ニュースレターの送信時にエラーが発生します。</v>
      </c>
    </row>
    <row r="1349" ht="15.75" customHeight="1">
      <c r="A1349" s="1" t="s">
        <v>2624</v>
      </c>
      <c r="B1349" s="1" t="s">
        <v>2625</v>
      </c>
      <c r="C1349" s="1" t="str">
        <f>IFERROR(__xludf.DUMMYFUNCTION("CONCATENATE(GOOGLETRANSLATE(B1349, ""en"", ""zh-cn""))"),"对于非 SSL")</f>
        <v>对于非 SSL</v>
      </c>
      <c r="D1349" s="1" t="str">
        <f>IFERROR(__xludf.DUMMYFUNCTION("CONCATENATE(GOOGLETRANSLATE(B1349, ""en"", ""ko""))"),"SSL이 아닌 경우")</f>
        <v>SSL이 아닌 경우</v>
      </c>
      <c r="E1349" s="2" t="str">
        <f>IFERROR(__xludf.DUMMYFUNCTION("CONCATENATE(GOOGLETRANSLATE(B1349, ""en"", ""ja""))"),"非SSLの場合")</f>
        <v>非SSLの場合</v>
      </c>
    </row>
    <row r="1350" ht="15.75" customHeight="1">
      <c r="A1350" s="1" t="s">
        <v>2626</v>
      </c>
      <c r="B1350" s="1" t="s">
        <v>2627</v>
      </c>
      <c r="C1350" s="1" t="str">
        <f>IFERROR(__xludf.DUMMYFUNCTION("CONCATENATE(GOOGLETRANSLATE(B1350, ""en"", ""zh-cn""))"),"如果将 smtp 配置为邮件驱动程序后遇到任何问题，请选择 sendmail 作为邮件驱动程序 ")</f>
        <v>如果将 smtp 配置为邮件驱动程序后遇到任何问题，请选择 sendmail 作为邮件驱动程序 </v>
      </c>
      <c r="D1350" s="1" t="str">
        <f>IFERROR(__xludf.DUMMYFUNCTION("CONCATENATE(GOOGLETRANSLATE(B1350, ""en"", ""ko""))"),"smtp를 메일 드라이버로 구성한 후 문제가 발생하면 메일 드라이버용 sendmail을 선택하세요. ")</f>
        <v>smtp를 메일 드라이버로 구성한 후 문제가 발생하면 메일 드라이버용 sendmail을 선택하세요. </v>
      </c>
      <c r="E1350" s="2" t="str">
        <f>IFERROR(__xludf.DUMMYFUNCTION("CONCATENATE(GOOGLETRANSLATE(B1350, ""en"", ""ja""))"),"smtp をメールドライバーとして構成した後に問題が発生した場合は、メールドライバーとして sendmail を選択してください ")</f>
        <v>smtp をメールドライバーとして構成した後に問題が発生した場合は、メールドライバーとして sendmail を選択してください </v>
      </c>
    </row>
    <row r="1351" ht="15.75" customHeight="1">
      <c r="A1351" s="1" t="s">
        <v>2628</v>
      </c>
      <c r="B1351" s="1" t="s">
        <v>2629</v>
      </c>
      <c r="C1351" s="1" t="str">
        <f>IFERROR(__xludf.DUMMYFUNCTION("CONCATENATE(GOOGLETRANSLATE(B1351, ""en"", ""zh-cn""))"),"根据您的服务器邮件客户端手动设置设置邮件主机")</f>
        <v>根据您的服务器邮件客户端手动设置设置邮件主机</v>
      </c>
      <c r="D1351" s="1" t="str">
        <f>IFERROR(__xludf.DUMMYFUNCTION("CONCATENATE(GOOGLETRANSLATE(B1351, ""en"", ""ko""))"),"서버 메일 클라이언트 수동 설정에 따라 메일 호스트 설정")</f>
        <v>서버 메일 클라이언트 수동 설정에 따라 메일 호스트 설정</v>
      </c>
      <c r="E1351" s="2" t="str">
        <f>IFERROR(__xludf.DUMMYFUNCTION("CONCATENATE(GOOGLETRANSLATE(B1351, ""en"", ""ja""))"),"サーバーに応じてメールホストを設定する メールクライアントの手動設定")</f>
        <v>サーバーに応じてメールホストを設定する メールクライアントの手動設定</v>
      </c>
    </row>
    <row r="1352" ht="15.75" customHeight="1">
      <c r="A1352" s="1" t="s">
        <v>2630</v>
      </c>
      <c r="B1352" s="1" t="s">
        <v>2631</v>
      </c>
      <c r="C1352" s="1" t="str">
        <f>IFERROR(__xludf.DUMMYFUNCTION("CONCATENATE(GOOGLETRANSLATE(B1352, ""en"", ""zh-cn""))"),"将邮件端口设置为 587")</f>
        <v>将邮件端口设置为 587</v>
      </c>
      <c r="D1352" s="1" t="str">
        <f>IFERROR(__xludf.DUMMYFUNCTION("CONCATENATE(GOOGLETRANSLATE(B1352, ""en"", ""ko""))"),"메일 포트를 587로 설정")</f>
        <v>메일 포트를 587로 설정</v>
      </c>
      <c r="E1352" s="2" t="str">
        <f>IFERROR(__xludf.DUMMYFUNCTION("CONCATENATE(GOOGLETRANSLATE(B1352, ""en"", ""ja""))"),"メールポートを587に設定します")</f>
        <v>メールポートを587に設定します</v>
      </c>
    </row>
    <row r="1353" ht="15.75" customHeight="1">
      <c r="A1353" s="1" t="s">
        <v>2632</v>
      </c>
      <c r="B1353" s="1" t="s">
        <v>2633</v>
      </c>
      <c r="C1353" s="1" t="str">
        <f>IFERROR(__xludf.DUMMYFUNCTION("CONCATENATE(GOOGLETRANSLATE(B1353, ""en"", ""zh-cn""))"),"如果您遇到 tls 问题，请将邮件加密设置为 ssl")</f>
        <v>如果您遇到 tls 问题，请将邮件加密设置为 ssl</v>
      </c>
      <c r="D1353" s="1" t="str">
        <f>IFERROR(__xludf.DUMMYFUNCTION("CONCATENATE(GOOGLETRANSLATE(B1353, ""en"", ""ko""))"),"TLS 관련 문제가 발생하면 메일 암호화를 SSL로 설정하세요.")</f>
        <v>TLS 관련 문제가 발생하면 메일 암호화를 SSL로 설정하세요.</v>
      </c>
      <c r="E1353" s="2" t="str">
        <f>IFERROR(__xludf.DUMMYFUNCTION("CONCATENATE(GOOGLETRANSLATE(B1353, ""en"", ""ja""))"),"TLS で問題が発生した場合は、メール暗号化を ssl に設定してください")</f>
        <v>TLS で問題が発生した場合は、メール暗号化を ssl に設定してください</v>
      </c>
    </row>
    <row r="1354" ht="15.75" customHeight="1">
      <c r="A1354" s="1" t="s">
        <v>2634</v>
      </c>
      <c r="B1354" s="1" t="s">
        <v>2635</v>
      </c>
      <c r="C1354" s="1" t="str">
        <f>IFERROR(__xludf.DUMMYFUNCTION("CONCATENATE(GOOGLETRANSLATE(B1354, ""en"", ""zh-cn""))"),"对于 SSL")</f>
        <v>对于 SSL</v>
      </c>
      <c r="D1354" s="1" t="str">
        <f>IFERROR(__xludf.DUMMYFUNCTION("CONCATENATE(GOOGLETRANSLATE(B1354, ""en"", ""ko""))"),"SSL의 경우")</f>
        <v>SSL의 경우</v>
      </c>
      <c r="E1354" s="2" t="str">
        <f>IFERROR(__xludf.DUMMYFUNCTION("CONCATENATE(GOOGLETRANSLATE(B1354, ""en"", ""ja""))"),"SSLの場合")</f>
        <v>SSLの場合</v>
      </c>
    </row>
    <row r="1355" ht="15.75" customHeight="1">
      <c r="A1355" s="1" t="s">
        <v>2636</v>
      </c>
      <c r="B1355" s="1" t="s">
        <v>2637</v>
      </c>
      <c r="C1355" s="1" t="str">
        <f>IFERROR(__xludf.DUMMYFUNCTION("CONCATENATE(GOOGLETRANSLATE(B1355, ""en"", ""zh-cn""))"),"设置邮件端口为465")</f>
        <v>设置邮件端口为465</v>
      </c>
      <c r="D1355" s="1" t="str">
        <f>IFERROR(__xludf.DUMMYFUNCTION("CONCATENATE(GOOGLETRANSLATE(B1355, ""en"", ""ko""))"),"메일 포트를 465로 설정")</f>
        <v>메일 포트를 465로 설정</v>
      </c>
      <c r="E1355" s="2" t="str">
        <f>IFERROR(__xludf.DUMMYFUNCTION("CONCATENATE(GOOGLETRANSLATE(B1355, ""en"", ""ja""))"),"メールポートを465に設定します")</f>
        <v>メールポートを465に設定します</v>
      </c>
    </row>
    <row r="1356" ht="15.75" customHeight="1">
      <c r="A1356" s="1" t="s">
        <v>2638</v>
      </c>
      <c r="B1356" s="1" t="s">
        <v>2639</v>
      </c>
      <c r="C1356" s="1" t="str">
        <f>IFERROR(__xludf.DUMMYFUNCTION("CONCATENATE(GOOGLETRANSLATE(B1356, ""en"", ""zh-cn""))"),"将邮件加密设置为 ssl")</f>
        <v>将邮件加密设置为 ssl</v>
      </c>
      <c r="D1356" s="1" t="str">
        <f>IFERROR(__xludf.DUMMYFUNCTION("CONCATENATE(GOOGLETRANSLATE(B1356, ""en"", ""ko""))"),"메일 암호화를 SSL로 설정")</f>
        <v>메일 암호화를 SSL로 설정</v>
      </c>
      <c r="E1356" s="2" t="str">
        <f>IFERROR(__xludf.DUMMYFUNCTION("CONCATENATE(GOOGLETRANSLATE(B1356, ""en"", ""ja""))"),"メール暗号化をSSLに設定")</f>
        <v>メール暗号化をSSLに設定</v>
      </c>
    </row>
    <row r="1357" ht="15.75" customHeight="1">
      <c r="A1357" s="1" t="s">
        <v>2640</v>
      </c>
      <c r="B1357" s="1" t="s">
        <v>2641</v>
      </c>
      <c r="C1357" s="1" t="str">
        <f>IFERROR(__xludf.DUMMYFUNCTION("CONCATENATE(GOOGLETRANSLATE(B1357, ""en"", ""zh-cn""))"),"安装/更新插件")</f>
        <v>安装/更新插件</v>
      </c>
      <c r="D1357" s="1" t="str">
        <f>IFERROR(__xludf.DUMMYFUNCTION("CONCATENATE(GOOGLETRANSLATE(B1357, ""en"", ""ko""))"),"애드온 설치/업데이트")</f>
        <v>애드온 설치/업데이트</v>
      </c>
      <c r="E1357" s="2" t="str">
        <f>IFERROR(__xludf.DUMMYFUNCTION("CONCATENATE(GOOGLETRANSLATE(B1357, ""en"", ""ja""))"),"アドオンのインストール/アップデート")</f>
        <v>アドオンのインストール/アップデート</v>
      </c>
    </row>
    <row r="1358" ht="15.75" customHeight="1">
      <c r="A1358" s="1" t="s">
        <v>2642</v>
      </c>
      <c r="B1358" s="1" t="s">
        <v>2643</v>
      </c>
      <c r="C1358" s="1" t="str">
        <f>IFERROR(__xludf.DUMMYFUNCTION("CONCATENATE(GOOGLETRANSLATE(B1358, ""en"", ""zh-cn""))"),"没有安装插件")</f>
        <v>没有安装插件</v>
      </c>
      <c r="D1358" s="1" t="str">
        <f>IFERROR(__xludf.DUMMYFUNCTION("CONCATENATE(GOOGLETRANSLATE(B1358, ""en"", ""ko""))"),"애드온이 설치되지 않았습니다")</f>
        <v>애드온이 설치되지 않았습니다</v>
      </c>
      <c r="E1358" s="2" t="str">
        <f>IFERROR(__xludf.DUMMYFUNCTION("CONCATENATE(GOOGLETRANSLATE(B1358, ""en"", ""ja""))"),"アドオンがインストールされていません")</f>
        <v>アドオンがインストールされていません</v>
      </c>
    </row>
    <row r="1359" ht="15.75" customHeight="1">
      <c r="A1359" s="1" t="s">
        <v>2644</v>
      </c>
      <c r="B1359" s="1" t="s">
        <v>2645</v>
      </c>
      <c r="C1359" s="1" t="str">
        <f>IFERROR(__xludf.DUMMYFUNCTION("CONCATENATE(GOOGLETRANSLATE(B1359, ""en"", ""zh-cn""))"),"博客系统")</f>
        <v>博客系统</v>
      </c>
      <c r="D1359" s="1" t="str">
        <f>IFERROR(__xludf.DUMMYFUNCTION("CONCATENATE(GOOGLETRANSLATE(B1359, ""en"", ""ko""))"),"블로그 시스템")</f>
        <v>블로그 시스템</v>
      </c>
      <c r="E1359" s="2" t="str">
        <f>IFERROR(__xludf.DUMMYFUNCTION("CONCATENATE(GOOGLETRANSLATE(B1359, ""en"", ""ja""))"),"ブログシステム")</f>
        <v>ブログシステム</v>
      </c>
    </row>
    <row r="1360" ht="15.75" customHeight="1">
      <c r="A1360" s="1" t="s">
        <v>2646</v>
      </c>
      <c r="B1360" s="1" t="s">
        <v>2647</v>
      </c>
      <c r="C1360" s="1" t="str">
        <f>IFERROR(__xludf.DUMMYFUNCTION("CONCATENATE(GOOGLETRANSLATE(B1360, ""en"", ""zh-cn""))"),"所有帖子")</f>
        <v>所有帖子</v>
      </c>
      <c r="D1360" s="1" t="str">
        <f>IFERROR(__xludf.DUMMYFUNCTION("CONCATENATE(GOOGLETRANSLATE(B1360, ""en"", ""ko""))"),"모든 게시물")</f>
        <v>모든 게시물</v>
      </c>
      <c r="E1360" s="2" t="str">
        <f>IFERROR(__xludf.DUMMYFUNCTION("CONCATENATE(GOOGLETRANSLATE(B1360, ""en"", ""ja""))"),"すべての投稿")</f>
        <v>すべての投稿</v>
      </c>
    </row>
    <row r="1361" ht="15.75" customHeight="1">
      <c r="A1361" s="1" t="s">
        <v>2648</v>
      </c>
      <c r="B1361" s="1" t="s">
        <v>2649</v>
      </c>
      <c r="C1361" s="1" t="str">
        <f>IFERROR(__xludf.DUMMYFUNCTION("CONCATENATE(GOOGLETRANSLATE(B1361, ""en"", ""zh-cn""))"),"脸书评论")</f>
        <v>脸书评论</v>
      </c>
      <c r="D1361" s="1" t="str">
        <f>IFERROR(__xludf.DUMMYFUNCTION("CONCATENATE(GOOGLETRANSLATE(B1361, ""en"", ""ko""))"),"페이스북 댓글")</f>
        <v>페이스북 댓글</v>
      </c>
      <c r="E1361" s="2" t="str">
        <f>IFERROR(__xludf.DUMMYFUNCTION("CONCATENATE(GOOGLETRANSLATE(B1361, ""en"", ""ja""))"),"フェイスブックのコメント")</f>
        <v>フェイスブックのコメント</v>
      </c>
    </row>
    <row r="1362" ht="15.75" customHeight="1">
      <c r="A1362" s="1" t="s">
        <v>2650</v>
      </c>
      <c r="B1362" s="1" t="s">
        <v>2651</v>
      </c>
      <c r="C1362" s="1" t="str">
        <f>IFERROR(__xludf.DUMMYFUNCTION("CONCATENATE(GOOGLETRANSLATE(B1362, ""en"", ""zh-cn""))"),"添加新帖子")</f>
        <v>添加新帖子</v>
      </c>
      <c r="D1362" s="1" t="str">
        <f>IFERROR(__xludf.DUMMYFUNCTION("CONCATENATE(GOOGLETRANSLATE(B1362, ""en"", ""ko""))"),"새 게시물 추가")</f>
        <v>새 게시물 추가</v>
      </c>
      <c r="E1362" s="2" t="str">
        <f>IFERROR(__xludf.DUMMYFUNCTION("CONCATENATE(GOOGLETRANSLATE(B1362, ""en"", ""ja""))"),"新しい投稿を追加")</f>
        <v>新しい投稿を追加</v>
      </c>
    </row>
    <row r="1363" ht="15.75" customHeight="1">
      <c r="A1363" s="1" t="s">
        <v>2652</v>
      </c>
      <c r="B1363" s="1" t="s">
        <v>2653</v>
      </c>
      <c r="C1363" s="1" t="str">
        <f>IFERROR(__xludf.DUMMYFUNCTION("CONCATENATE(GOOGLETRANSLATE(B1363, ""en"", ""zh-cn""))"),"所有博客文章")</f>
        <v>所有博客文章</v>
      </c>
      <c r="D1363" s="1" t="str">
        <f>IFERROR(__xludf.DUMMYFUNCTION("CONCATENATE(GOOGLETRANSLATE(B1363, ""en"", ""ko""))"),"모든 블로그 게시물")</f>
        <v>모든 블로그 게시물</v>
      </c>
      <c r="E1363" s="2" t="str">
        <f>IFERROR(__xludf.DUMMYFUNCTION("CONCATENATE(GOOGLETRANSLATE(B1363, ""en"", ""ja""))"),"すべてのブログ投稿")</f>
        <v>すべてのブログ投稿</v>
      </c>
    </row>
    <row r="1364" ht="15.75" customHeight="1">
      <c r="A1364" s="1" t="s">
        <v>2654</v>
      </c>
      <c r="B1364" s="1" t="s">
        <v>2655</v>
      </c>
      <c r="C1364" s="1" t="str">
        <f>IFERROR(__xludf.DUMMYFUNCTION("CONCATENATE(GOOGLETRANSLATE(B1364, ""en"", ""zh-cn""))"),"简短描述")</f>
        <v>简短描述</v>
      </c>
      <c r="D1364" s="1" t="str">
        <f>IFERROR(__xludf.DUMMYFUNCTION("CONCATENATE(GOOGLETRANSLATE(B1364, ""en"", ""ko""))"),"간단한 설명")</f>
        <v>간단한 설명</v>
      </c>
      <c r="E1364" s="2" t="str">
        <f>IFERROR(__xludf.DUMMYFUNCTION("CONCATENATE(GOOGLETRANSLATE(B1364, ""en"", ""ja""))"),"簡単な説明")</f>
        <v>簡単な説明</v>
      </c>
    </row>
    <row r="1365" ht="15.75" customHeight="1">
      <c r="A1365" s="1" t="s">
        <v>2656</v>
      </c>
      <c r="B1365" s="1" t="s">
        <v>2657</v>
      </c>
      <c r="C1365" s="1" t="str">
        <f>IFERROR(__xludf.DUMMYFUNCTION("CONCATENATE(GOOGLETRANSLATE(B1365, ""en"", ""zh-cn""))"),"更改博客状态成功")</f>
        <v>更改博客状态成功</v>
      </c>
      <c r="D1365" s="1" t="str">
        <f>IFERROR(__xludf.DUMMYFUNCTION("CONCATENATE(GOOGLETRANSLATE(B1365, ""en"", ""ko""))"),"블로그 상태를 성공적으로 변경했습니다.")</f>
        <v>블로그 상태를 성공적으로 변경했습니다.</v>
      </c>
      <c r="E1365" s="2" t="str">
        <f>IFERROR(__xludf.DUMMYFUNCTION("CONCATENATE(GOOGLETRANSLATE(B1365, ""en"", ""ja""))"),"ブログのステータスが正常に変更されました")</f>
        <v>ブログのステータスが正常に変更されました</v>
      </c>
    </row>
    <row r="1366" ht="15.75" customHeight="1">
      <c r="A1366" s="1" t="s">
        <v>2658</v>
      </c>
      <c r="B1366" s="1" t="s">
        <v>2659</v>
      </c>
      <c r="C1366" s="1" t="str">
        <f>IFERROR(__xludf.DUMMYFUNCTION("CONCATENATE(GOOGLETRANSLATE(B1366, ""en"", ""zh-cn""))"),"博客信息")</f>
        <v>博客信息</v>
      </c>
      <c r="D1366" s="1" t="str">
        <f>IFERROR(__xludf.DUMMYFUNCTION("CONCATENATE(GOOGLETRANSLATE(B1366, ""en"", ""ko""))"),"블로그 정보")</f>
        <v>블로그 정보</v>
      </c>
      <c r="E1366" s="2" t="str">
        <f>IFERROR(__xludf.DUMMYFUNCTION("CONCATENATE(GOOGLETRANSLATE(B1366, ""en"", ""ja""))"),"ブログ情報")</f>
        <v>ブログ情報</v>
      </c>
    </row>
    <row r="1367" ht="15.75" customHeight="1">
      <c r="A1367" s="1" t="s">
        <v>2660</v>
      </c>
      <c r="B1367" s="1" t="s">
        <v>2661</v>
      </c>
      <c r="C1367" s="1" t="str">
        <f>IFERROR(__xludf.DUMMYFUNCTION("CONCATENATE(GOOGLETRANSLATE(B1367, ""en"", ""zh-cn""))"),"博客标题")</f>
        <v>博客标题</v>
      </c>
      <c r="D1367" s="1" t="str">
        <f>IFERROR(__xludf.DUMMYFUNCTION("CONCATENATE(GOOGLETRANSLATE(B1367, ""en"", ""ko""))"),"블로그 제목")</f>
        <v>블로그 제목</v>
      </c>
      <c r="E1367" s="2" t="str">
        <f>IFERROR(__xludf.DUMMYFUNCTION("CONCATENATE(GOOGLETRANSLATE(B1367, ""en"", ""ja""))"),"ブログタイトル")</f>
        <v>ブログタイトル</v>
      </c>
    </row>
    <row r="1368" ht="15.75" customHeight="1">
      <c r="A1368" s="1" t="s">
        <v>2662</v>
      </c>
      <c r="B1368" s="1" t="s">
        <v>2663</v>
      </c>
      <c r="C1368" s="1" t="str">
        <f>IFERROR(__xludf.DUMMYFUNCTION("CONCATENATE(GOOGLETRANSLATE(B1368, ""en"", ""zh-cn""))"),"元关键词")</f>
        <v>元关键词</v>
      </c>
      <c r="D1368" s="1" t="str">
        <f>IFERROR(__xludf.DUMMYFUNCTION("CONCATENATE(GOOGLETRANSLATE(B1368, ""en"", ""ko""))"),"메타 키워드")</f>
        <v>메타 키워드</v>
      </c>
      <c r="E1368" s="2" t="str">
        <f>IFERROR(__xludf.DUMMYFUNCTION("CONCATENATE(GOOGLETRANSLATE(B1368, ""en"", ""ja""))"),"メタキーワード")</f>
        <v>メタキーワード</v>
      </c>
    </row>
    <row r="1369" ht="15.75" customHeight="1">
      <c r="A1369" s="1" t="s">
        <v>2664</v>
      </c>
      <c r="B1369" s="1" t="s">
        <v>2665</v>
      </c>
      <c r="C1369" s="1" t="str">
        <f>IFERROR(__xludf.DUMMYFUNCTION("CONCATENATE(GOOGLETRANSLATE(B1369, ""en"", ""zh-cn""))"),"标题导航菜单")</f>
        <v>标题导航菜单</v>
      </c>
      <c r="D1369" s="1" t="str">
        <f>IFERROR(__xludf.DUMMYFUNCTION("CONCATENATE(GOOGLETRANSLATE(B1369, ""en"", ""ko""))"),"헤더 탐색 메뉴")</f>
        <v>헤더 탐색 메뉴</v>
      </c>
      <c r="E1369" s="2" t="str">
        <f>IFERROR(__xludf.DUMMYFUNCTION("CONCATENATE(GOOGLETRANSLATE(B1369, ""en"", ""ja""))"),"ヘッダーナビゲーションメニュー")</f>
        <v>ヘッダーナビゲーションメニュー</v>
      </c>
    </row>
    <row r="1370" ht="15.75" customHeight="1">
      <c r="A1370" s="1" t="s">
        <v>2666</v>
      </c>
      <c r="B1370" s="1" t="s">
        <v>2667</v>
      </c>
      <c r="C1370" s="1" t="str">
        <f>IFERROR(__xludf.DUMMYFUNCTION("CONCATENATE(GOOGLETRANSLATE(B1370, ""en"", ""zh-cn""))"),"链接至")</f>
        <v>链接至</v>
      </c>
      <c r="D1370" s="1" t="str">
        <f>IFERROR(__xludf.DUMMYFUNCTION("CONCATENATE(GOOGLETRANSLATE(B1370, ""en"", ""ko""))"),"다음과 연결")</f>
        <v>다음과 연결</v>
      </c>
      <c r="E1370" s="2" t="str">
        <f>IFERROR(__xludf.DUMMYFUNCTION("CONCATENATE(GOOGLETRANSLATE(B1370, ""en"", ""ja""))"),"とリンクする")</f>
        <v>とリンクする</v>
      </c>
    </row>
    <row r="1371" ht="15.75" customHeight="1">
      <c r="A1371" s="1" t="s">
        <v>2668</v>
      </c>
      <c r="B1371" s="1" t="s">
        <v>2669</v>
      </c>
      <c r="C1371" s="1" t="str">
        <f>IFERROR(__xludf.DUMMYFUNCTION("CONCATENATE(GOOGLETRANSLATE(B1371, ""en"", ""zh-cn""))"),"博客")</f>
        <v>博客</v>
      </c>
      <c r="D1371" s="1" t="str">
        <f>IFERROR(__xludf.DUMMYFUNCTION("CONCATENATE(GOOGLETRANSLATE(B1371, ""en"", ""ko""))"),"블로그")</f>
        <v>블로그</v>
      </c>
      <c r="E1371" s="2" t="str">
        <f>IFERROR(__xludf.DUMMYFUNCTION("CONCATENATE(GOOGLETRANSLATE(B1371, ""en"", ""ja""))"),"ブログ")</f>
        <v>ブログ</v>
      </c>
    </row>
    <row r="1372" ht="15.75" customHeight="1">
      <c r="A1372" s="1" t="s">
        <v>2670</v>
      </c>
      <c r="B1372" s="1" t="s">
        <v>2671</v>
      </c>
      <c r="C1372" s="1" t="str">
        <f>IFERROR(__xludf.DUMMYFUNCTION("CONCATENATE(GOOGLETRANSLATE(B1372, ""en"", ""zh-cn""))"),"所有博客类别")</f>
        <v>所有博客类别</v>
      </c>
      <c r="D1372" s="1" t="str">
        <f>IFERROR(__xludf.DUMMYFUNCTION("CONCATENATE(GOOGLETRANSLATE(B1372, ""en"", ""ko""))"),"모든 블로그 카테고리")</f>
        <v>모든 블로그 카테고리</v>
      </c>
      <c r="E1372" s="2" t="str">
        <f>IFERROR(__xludf.DUMMYFUNCTION("CONCATENATE(GOOGLETRANSLATE(B1372, ""en"", ""ja""))"),"すべてのブログカテゴリ")</f>
        <v>すべてのブログカテゴリ</v>
      </c>
    </row>
    <row r="1373" ht="15.75" customHeight="1">
      <c r="A1373" s="1" t="s">
        <v>2672</v>
      </c>
      <c r="B1373" s="1" t="s">
        <v>2673</v>
      </c>
      <c r="C1373" s="1" t="str">
        <f>IFERROR(__xludf.DUMMYFUNCTION("CONCATENATE(GOOGLETRANSLATE(B1373, ""en"", ""zh-cn""))"),"博客类别")</f>
        <v>博客类别</v>
      </c>
      <c r="D1373" s="1" t="str">
        <f>IFERROR(__xludf.DUMMYFUNCTION("CONCATENATE(GOOGLETRANSLATE(B1373, ""en"", ""ko""))"),"블로그 카테고리")</f>
        <v>블로그 카테고리</v>
      </c>
      <c r="E1373" s="2" t="str">
        <f>IFERROR(__xludf.DUMMYFUNCTION("CONCATENATE(GOOGLETRANSLATE(B1373, ""en"", ""ja""))"),"ブログのカテゴリー")</f>
        <v>ブログのカテゴリー</v>
      </c>
    </row>
    <row r="1374" ht="15.75" customHeight="1">
      <c r="A1374" s="1" t="s">
        <v>2674</v>
      </c>
      <c r="B1374" s="1" t="s">
        <v>2675</v>
      </c>
      <c r="C1374" s="1" t="str">
        <f>IFERROR(__xludf.DUMMYFUNCTION("CONCATENATE(GOOGLETRANSLATE(B1374, ""en"", ""zh-cn""))"),"博客类别信息")</f>
        <v>博客类别信息</v>
      </c>
      <c r="D1374" s="1" t="str">
        <f>IFERROR(__xludf.DUMMYFUNCTION("CONCATENATE(GOOGLETRANSLATE(B1374, ""en"", ""ko""))"),"블로그 카테고리 정보")</f>
        <v>블로그 카테고리 정보</v>
      </c>
      <c r="E1374" s="2" t="str">
        <f>IFERROR(__xludf.DUMMYFUNCTION("CONCATENATE(GOOGLETRANSLATE(B1374, ""en"", ""ja""))"),"ブログカテゴリー情報")</f>
        <v>ブログカテゴリー情報</v>
      </c>
    </row>
    <row r="1375" ht="15.75" customHeight="1">
      <c r="A1375" s="1" t="s">
        <v>2676</v>
      </c>
      <c r="B1375" s="1" t="s">
        <v>2677</v>
      </c>
      <c r="C1375" s="1" t="str">
        <f>IFERROR(__xludf.DUMMYFUNCTION("CONCATENATE(GOOGLETRANSLATE(B1375, ""en"", ""zh-cn""))"),"博客类别创建成功")</f>
        <v>博客类别创建成功</v>
      </c>
      <c r="D1375" s="1" t="str">
        <f>IFERROR(__xludf.DUMMYFUNCTION("CONCATENATE(GOOGLETRANSLATE(B1375, ""en"", ""ko""))"),"블로그 카테고리가 성공적으로 생성되었습니다")</f>
        <v>블로그 카테고리가 성공적으로 생성되었습니다</v>
      </c>
      <c r="E1375" s="2" t="str">
        <f>IFERROR(__xludf.DUMMYFUNCTION("CONCATENATE(GOOGLETRANSLATE(B1375, ""en"", ""ja""))"),"ブログカテゴリが正常に作成されました")</f>
        <v>ブログカテゴリが正常に作成されました</v>
      </c>
    </row>
    <row r="1376" ht="15.75" customHeight="1">
      <c r="A1376" s="1" t="s">
        <v>2678</v>
      </c>
      <c r="B1376" s="1" t="s">
        <v>2679</v>
      </c>
      <c r="C1376" s="1" t="str">
        <f>IFERROR(__xludf.DUMMYFUNCTION("CONCATENATE(GOOGLETRANSLATE(B1376, ""en"", ""zh-cn""))"),"博客文章已成功创建")</f>
        <v>博客文章已成功创建</v>
      </c>
      <c r="D1376" s="1" t="str">
        <f>IFERROR(__xludf.DUMMYFUNCTION("CONCATENATE(GOOGLETRANSLATE(B1376, ""en"", ""ko""))"),"블로그 게시물이 성공적으로 생성되었습니다.")</f>
        <v>블로그 게시물이 성공적으로 생성되었습니다.</v>
      </c>
      <c r="E1376" s="2" t="str">
        <f>IFERROR(__xludf.DUMMYFUNCTION("CONCATENATE(GOOGLETRANSLATE(B1376, ""en"", ""ja""))"),"ブログ投稿が正常に作成されました")</f>
        <v>ブログ投稿が正常に作成されました</v>
      </c>
    </row>
    <row r="1377" ht="15.75" customHeight="1">
      <c r="A1377" s="1" t="s">
        <v>2680</v>
      </c>
      <c r="B1377" s="1" t="s">
        <v>2681</v>
      </c>
      <c r="C1377" s="1" t="str">
        <f>IFERROR(__xludf.DUMMYFUNCTION("CONCATENATE(GOOGLETRANSLATE(B1377, ""en"", ""zh-cn""))"),"博文已更新成功")</f>
        <v>博文已更新成功</v>
      </c>
      <c r="D1377" s="1" t="str">
        <f>IFERROR(__xludf.DUMMYFUNCTION("CONCATENATE(GOOGLETRANSLATE(B1377, ""en"", ""ko""))"),"블로그 게시물이 성공적으로 업데이트되었습니다.")</f>
        <v>블로그 게시물이 성공적으로 업데이트되었습니다.</v>
      </c>
      <c r="E1377" s="2" t="str">
        <f>IFERROR(__xludf.DUMMYFUNCTION("CONCATENATE(GOOGLETRANSLATE(B1377, ""en"", ""ja""))"),"ブログ投稿が正常に更新されました")</f>
        <v>ブログ投稿が正常に更新されました</v>
      </c>
    </row>
    <row r="1378" ht="15.75" customHeight="1">
      <c r="A1378" s="1" t="s">
        <v>2682</v>
      </c>
      <c r="B1378" s="1" t="s">
        <v>2683</v>
      </c>
      <c r="C1378" s="1" t="str">
        <f>IFERROR(__xludf.DUMMYFUNCTION("CONCATENATE(GOOGLETRANSLATE(B1378, ""en"", ""zh-cn""))"),"博客类别已成功更新")</f>
        <v>博客类别已成功更新</v>
      </c>
      <c r="D1378" s="1" t="str">
        <f>IFERROR(__xludf.DUMMYFUNCTION("CONCATENATE(GOOGLETRANSLATE(B1378, ""en"", ""ko""))"),"블로그 카테고리가 성공적으로 업데이트되었습니다.")</f>
        <v>블로그 카테고리가 성공적으로 업데이트되었습니다.</v>
      </c>
      <c r="E1378" s="2" t="str">
        <f>IFERROR(__xludf.DUMMYFUNCTION("CONCATENATE(GOOGLETRANSLATE(B1378, ""en"", ""ja""))"),"ブログカテゴリが正常に更新されました")</f>
        <v>ブログカテゴリが正常に更新されました</v>
      </c>
    </row>
    <row r="1379" ht="15.75" customHeight="1">
      <c r="A1379" s="1" t="s">
        <v>2684</v>
      </c>
      <c r="B1379" s="1" t="s">
        <v>2685</v>
      </c>
      <c r="C1379" s="1" t="str">
        <f>IFERROR(__xludf.DUMMYFUNCTION("CONCATENATE(GOOGLETRANSLATE(B1379, ""en"", ""zh-cn""))"),"安装/更新")</f>
        <v>安装/更新</v>
      </c>
      <c r="D1379" s="1" t="str">
        <f>IFERROR(__xludf.DUMMYFUNCTION("CONCATENATE(GOOGLETRANSLATE(B1379, ""en"", ""ko""))"),"설치/업데이트")</f>
        <v>설치/업데이트</v>
      </c>
      <c r="E1379" s="2" t="str">
        <f>IFERROR(__xludf.DUMMYFUNCTION("CONCATENATE(GOOGLETRANSLATE(B1379, ""en"", ""ja""))"),"インストール/アップデート")</f>
        <v>インストール/アップデート</v>
      </c>
    </row>
    <row r="1380" ht="15.75" customHeight="1">
      <c r="A1380" s="1" t="s">
        <v>2686</v>
      </c>
      <c r="B1380" s="1" t="s">
        <v>2687</v>
      </c>
      <c r="C1380" s="1" t="str">
        <f>IFERROR(__xludf.DUMMYFUNCTION("CONCATENATE(GOOGLETRANSLATE(B1380, ""en"", ""zh-cn""))"),"插件安装成功")</f>
        <v>插件安装成功</v>
      </c>
      <c r="D1380" s="1" t="str">
        <f>IFERROR(__xludf.DUMMYFUNCTION("CONCATENATE(GOOGLETRANSLATE(B1380, ""en"", ""ko""))"),"애드온이 성공적으로 설치되었습니다")</f>
        <v>애드온이 성공적으로 설치되었습니다</v>
      </c>
      <c r="E1380" s="2" t="str">
        <f>IFERROR(__xludf.DUMMYFUNCTION("CONCATENATE(GOOGLETRANSLATE(B1380, ""en"", ""ja""))"),"アドオンが正常にインストールされました")</f>
        <v>アドオンが正常にインストールされました</v>
      </c>
    </row>
    <row r="1381" ht="15.75" customHeight="1">
      <c r="A1381" s="1" t="s">
        <v>2688</v>
      </c>
      <c r="B1381" s="1" t="s">
        <v>2689</v>
      </c>
      <c r="C1381" s="1" t="str">
        <f>IFERROR(__xludf.DUMMYFUNCTION("CONCATENATE(GOOGLETRANSLATE(B1381, ""en"", ""zh-cn""))"),"批准退款")</f>
        <v>批准退款</v>
      </c>
      <c r="D1381" s="1" t="str">
        <f>IFERROR(__xludf.DUMMYFUNCTION("CONCATENATE(GOOGLETRANSLATE(B1381, ""en"", ""ko""))"),"승인된 환불")</f>
        <v>승인된 환불</v>
      </c>
      <c r="E1381" s="2" t="str">
        <f>IFERROR(__xludf.DUMMYFUNCTION("CONCATENATE(GOOGLETRANSLATE(B1381, ""en"", ""ja""))"),"承認された払い戻し")</f>
        <v>承認された払い戻し</v>
      </c>
    </row>
    <row r="1382" ht="15.75" customHeight="1">
      <c r="A1382" s="1" t="s">
        <v>2690</v>
      </c>
      <c r="B1382" s="1" t="s">
        <v>2691</v>
      </c>
      <c r="C1382" s="1" t="str">
        <f>IFERROR(__xludf.DUMMYFUNCTION("CONCATENATE(GOOGLETRANSLATE(B1382, ""en"", ""zh-cn""))"),"拒绝退款")</f>
        <v>拒绝退款</v>
      </c>
      <c r="D1382" s="1" t="str">
        <f>IFERROR(__xludf.DUMMYFUNCTION("CONCATENATE(GOOGLETRANSLATE(B1382, ""en"", ""ko""))"),"거부된 환불")</f>
        <v>거부된 환불</v>
      </c>
      <c r="E1382" s="2" t="str">
        <f>IFERROR(__xludf.DUMMYFUNCTION("CONCATENATE(GOOGLETRANSLATE(B1382, ""en"", ""ja""))"),"拒否された返金")</f>
        <v>拒否された返金</v>
      </c>
    </row>
    <row r="1383" ht="15.75" customHeight="1">
      <c r="A1383" s="1" t="s">
        <v>2692</v>
      </c>
      <c r="B1383" s="1" t="s">
        <v>2693</v>
      </c>
      <c r="C1383" s="1" t="str">
        <f>IFERROR(__xludf.DUMMYFUNCTION("CONCATENATE(GOOGLETRANSLATE(B1383, ""en"", ""zh-cn""))"),"联盟日志")</f>
        <v>联盟日志</v>
      </c>
      <c r="D1383" s="1" t="str">
        <f>IFERROR(__xludf.DUMMYFUNCTION("CONCATENATE(GOOGLETRANSLATE(B1383, ""en"", ""ko""))"),"제휴 로그")</f>
        <v>제휴 로그</v>
      </c>
      <c r="E1383" s="2" t="str">
        <f>IFERROR(__xludf.DUMMYFUNCTION("CONCATENATE(GOOGLETRANSLATE(B1383, ""en"", ""ja""))"),"アフィリエイトのログ")</f>
        <v>アフィリエイトのログ</v>
      </c>
    </row>
    <row r="1384" ht="15.75" customHeight="1">
      <c r="A1384" s="1" t="s">
        <v>2694</v>
      </c>
      <c r="B1384" s="1" t="s">
        <v>2695</v>
      </c>
      <c r="C1384" s="1" t="str">
        <f>IFERROR(__xludf.DUMMYFUNCTION("CONCATENATE(GOOGLETRANSLATE(B1384, ""en"", ""zh-cn""))"),"非洲支付网关插件")</f>
        <v>非洲支付网关插件</v>
      </c>
      <c r="D1384" s="1" t="str">
        <f>IFERROR(__xludf.DUMMYFUNCTION("CONCATENATE(GOOGLETRANSLATE(B1384, ""en"", ""ko""))"),"아프리카 결제 게이트웨이 애드온")</f>
        <v>아프리카 결제 게이트웨이 애드온</v>
      </c>
      <c r="E1384" s="2" t="str">
        <f>IFERROR(__xludf.DUMMYFUNCTION("CONCATENATE(GOOGLETRANSLATE(B1384, ""en"", ""ja""))"),"アフリカの決済ゲートウェイ アドオン")</f>
        <v>アフリカの決済ゲートウェイ アドオン</v>
      </c>
    </row>
    <row r="1385" ht="15.75" customHeight="1">
      <c r="A1385" s="1" t="s">
        <v>2696</v>
      </c>
      <c r="B1385" s="1" t="s">
        <v>2697</v>
      </c>
      <c r="C1385" s="1" t="str">
        <f>IFERROR(__xludf.DUMMYFUNCTION("CONCATENATE(GOOGLETRANSLATE(B1385, ""en"", ""zh-cn""))"),"非洲 PG 配置")</f>
        <v>非洲 PG 配置</v>
      </c>
      <c r="D1385" s="1" t="str">
        <f>IFERROR(__xludf.DUMMYFUNCTION("CONCATENATE(GOOGLETRANSLATE(B1385, ""en"", ""ko""))"),"아프리카 PG 구성")</f>
        <v>아프리카 PG 구성</v>
      </c>
      <c r="E1385" s="2" t="str">
        <f>IFERROR(__xludf.DUMMYFUNCTION("CONCATENATE(GOOGLETRANSLATE(B1385, ""en"", ""ja""))"),"アフリカの PG 構成")</f>
        <v>アフリカの PG 構成</v>
      </c>
    </row>
    <row r="1386" ht="15.75" customHeight="1">
      <c r="A1386" s="1" t="s">
        <v>2698</v>
      </c>
      <c r="B1386" s="1" t="s">
        <v>2699</v>
      </c>
      <c r="C1386" s="1" t="str">
        <f>IFERROR(__xludf.DUMMYFUNCTION("CONCATENATE(GOOGLETRANSLATE(B1386, ""en"", ""zh-cn""))"),"设置非洲 PG 证书")</f>
        <v>设置非洲 PG 证书</v>
      </c>
      <c r="D1386" s="1" t="str">
        <f>IFERROR(__xludf.DUMMYFUNCTION("CONCATENATE(GOOGLETRANSLATE(B1386, ""en"", ""ko""))"),"아프리카 PG 자격 증명 설정")</f>
        <v>아프리카 PG 자격 증명 설정</v>
      </c>
      <c r="E1386" s="2" t="str">
        <f>IFERROR(__xludf.DUMMYFUNCTION("CONCATENATE(GOOGLETRANSLATE(B1386, ""en"", ""ja""))"),"アフリカの PG 認証情報を設定する")</f>
        <v>アフリカの PG 認証情報を設定する</v>
      </c>
    </row>
    <row r="1387" ht="15.75" customHeight="1">
      <c r="A1387" s="1" t="s">
        <v>949</v>
      </c>
      <c r="B1387" s="1" t="s">
        <v>2700</v>
      </c>
      <c r="C1387" s="1" t="str">
        <f>IFERROR(__xludf.DUMMYFUNCTION("CONCATENATE(GOOGLETRANSLATE(B1387, ""en"", ""zh-cn""))"),"在最底部，您可以找到“Facebook Page ID”")</f>
        <v>在最底部，您可以找到“Facebook Page ID”</v>
      </c>
      <c r="D1387" s="1" t="str">
        <f>IFERROR(__xludf.DUMMYFUNCTION("CONCATENATE(GOOGLETRANSLATE(B1387, ""en"", ""ko""))"),"맨 하단에 '페이스북 페이지 ID'가 있습니다.")</f>
        <v>맨 하단에 '페이스북 페이지 ID'가 있습니다.</v>
      </c>
      <c r="E1387" s="2" t="str">
        <f>IFERROR(__xludf.DUMMYFUNCTION("CONCATENATE(GOOGLETRANSLATE(B1387, ""en"", ""ja""))"),"一番下に「FacebookページID」があります。")</f>
        <v>一番下に「FacebookページID」があります。</v>
      </c>
    </row>
    <row r="1388" ht="15.75" customHeight="1">
      <c r="A1388" s="1" t="s">
        <v>951</v>
      </c>
      <c r="B1388" s="1" t="s">
        <v>2701</v>
      </c>
      <c r="C1388" s="1" t="str">
        <f>IFERROR(__xludf.DUMMYFUNCTION("CONCATENATE(GOOGLETRANSLATE(B1388, ""en"", ""zh-cn""))"),"进入您页面的“设置”并找到“高级消息传递”选项")</f>
        <v>进入您页面的“设置”并找到“高级消息传递”选项</v>
      </c>
      <c r="D1388" s="1" t="str">
        <f>IFERROR(__xludf.DUMMYFUNCTION("CONCATENATE(GOOGLETRANSLATE(B1388, ""en"", ""ko""))"),"페이지 설정으로 이동하여 ""고급 메시지"" 옵션을 찾으세요.")</f>
        <v>페이지 설정으로 이동하여 "고급 메시지" 옵션을 찾으세요.</v>
      </c>
      <c r="E1388" s="2" t="str">
        <f>IFERROR(__xludf.DUMMYFUNCTION("CONCATENATE(GOOGLETRANSLATE(B1388, ""en"", ""ja""))"),"ページの設定に移動し、「事前メッセージング」のオプションを見つけます。")</f>
        <v>ページの設定に移動し、「事前メッセージング」のオプションを見つけます。</v>
      </c>
    </row>
    <row r="1389" ht="15.75" customHeight="1">
      <c r="A1389" s="1" t="s">
        <v>953</v>
      </c>
      <c r="B1389" s="1" t="s">
        <v>2702</v>
      </c>
      <c r="C1389" s="1" t="str">
        <f>IFERROR(__xludf.DUMMYFUNCTION("CONCATENATE(GOOGLETRANSLATE(B1389, ""en"", ""zh-cn""))"),"向下滚动该页面，您将看到“白名单域名”")</f>
        <v>向下滚动该页面，您将看到“白名单域名”</v>
      </c>
      <c r="D1389" s="1" t="str">
        <f>IFERROR(__xludf.DUMMYFUNCTION("CONCATENATE(GOOGLETRANSLATE(B1389, ""en"", ""ko""))"),"해당 페이지를 아래로 스크롤하면 ""화이트리스트 도메인""이 표시됩니다.")</f>
        <v>해당 페이지를 아래로 스크롤하면 "화이트리스트 도메인"이 표시됩니다.</v>
      </c>
      <c r="E1389" s="2" t="str">
        <f>IFERROR(__xludf.DUMMYFUNCTION("CONCATENATE(GOOGLETRANSLATE(B1389, ""en"", ""ja""))"),"そのページを下にスクロールすると、「ホワイトリストに登録されたドメイン」が表示されます。")</f>
        <v>そのページを下にスクロールすると、「ホワイトリストに登録されたドメイン」が表示されます。</v>
      </c>
    </row>
    <row r="1390" ht="15.75" customHeight="1">
      <c r="A1390" s="1" t="s">
        <v>2703</v>
      </c>
      <c r="B1390" s="1" t="s">
        <v>2704</v>
      </c>
      <c r="C1390" s="1" t="str">
        <f>IFERROR(__xludf.DUMMYFUNCTION("CONCATENATE(GOOGLETRANSLATE(B1390, ""en"", ""zh-cn""))"),"付款货币代码")</f>
        <v>付款货币代码</v>
      </c>
      <c r="D1390" s="1" t="str">
        <f>IFERROR(__xludf.DUMMYFUNCTION("CONCATENATE(GOOGLETRANSLATE(B1390, ""en"", ""ko""))"),"급여 통화 코드")</f>
        <v>급여 통화 코드</v>
      </c>
      <c r="E1390" s="2" t="str">
        <f>IFERROR(__xludf.DUMMYFUNCTION("CONCATENATE(GOOGLETRANSLATE(B1390, ""en"", ""ja""))"),"給与の通貨コード")</f>
        <v>給与の通貨コード</v>
      </c>
    </row>
    <row r="1391" ht="15.75" customHeight="1">
      <c r="A1391" s="1" t="s">
        <v>2705</v>
      </c>
      <c r="B1391" s="1" t="s">
        <v>2706</v>
      </c>
      <c r="C1391" s="1" t="str">
        <f>IFERROR(__xludf.DUMMYFUNCTION("CONCATENATE(GOOGLETRANSLATE(B1391, ""en"", ""zh-cn""))"),"MPesa 激活")</f>
        <v>MPesa 激活</v>
      </c>
      <c r="D1391" s="1" t="str">
        <f>IFERROR(__xludf.DUMMYFUNCTION("CONCATENATE(GOOGLETRANSLATE(B1391, ""en"", ""ko""))"),"MPesa 활성화")</f>
        <v>MPesa 활성화</v>
      </c>
      <c r="E1391" s="2" t="str">
        <f>IFERROR(__xludf.DUMMYFUNCTION("CONCATENATE(GOOGLETRANSLATE(B1391, ""en"", ""ja""))"),"MPesa のアクティベーション")</f>
        <v>MPesa のアクティベーション</v>
      </c>
    </row>
    <row r="1392" ht="15.75" customHeight="1">
      <c r="A1392" s="1" t="s">
        <v>2707</v>
      </c>
      <c r="B1392" s="1" t="s">
        <v>2708</v>
      </c>
      <c r="C1392" s="1" t="str">
        <f>IFERROR(__xludf.DUMMYFUNCTION("CONCATENATE(GOOGLETRANSLATE(B1392, ""en"", ""zh-cn""))"),"您需要正确配置 Mpesa 才能启用此功能")</f>
        <v>您需要正确配置 Mpesa 才能启用此功能</v>
      </c>
      <c r="D1392" s="1" t="str">
        <f>IFERROR(__xludf.DUMMYFUNCTION("CONCATENATE(GOOGLETRANSLATE(B1392, ""en"", ""ko""))"),"이 기능을 활성화하려면 Mpesa를 올바르게 구성해야 합니다.")</f>
        <v>이 기능을 활성화하려면 Mpesa를 올바르게 구성해야 합니다.</v>
      </c>
      <c r="E1392" s="2" t="str">
        <f>IFERROR(__xludf.DUMMYFUNCTION("CONCATENATE(GOOGLETRANSLATE(B1392, ""en"", ""ja""))"),"この機能を有効にするには、Mpesa を正しく設定する必要があります")</f>
        <v>この機能を有効にするには、Mpesa を正しく設定する必要があります</v>
      </c>
    </row>
    <row r="1393" ht="15.75" customHeight="1">
      <c r="A1393" s="1" t="s">
        <v>2709</v>
      </c>
      <c r="B1393" s="1" t="s">
        <v>2710</v>
      </c>
      <c r="C1393" s="1" t="str">
        <f>IFERROR(__xludf.DUMMYFUNCTION("CONCATENATE(GOOGLETRANSLATE(B1393, ""en"", ""zh-cn""))"),"颤动波激活")</f>
        <v>颤动波激活</v>
      </c>
      <c r="D1393" s="1" t="str">
        <f>IFERROR(__xludf.DUMMYFUNCTION("CONCATENATE(GOOGLETRANSLATE(B1393, ""en"", ""ko""))"),"flutterwave 활성화")</f>
        <v>flutterwave 활성화</v>
      </c>
      <c r="E1393" s="2" t="str">
        <f>IFERROR(__xludf.DUMMYFUNCTION("CONCATENATE(GOOGLETRANSLATE(B1393, ""en"", ""ja""))"),"フラッターウェーブのアクティベーション")</f>
        <v>フラッターウェーブのアクティベーション</v>
      </c>
    </row>
    <row r="1394" ht="15.75" customHeight="1">
      <c r="A1394" s="1" t="s">
        <v>2711</v>
      </c>
      <c r="B1394" s="1" t="s">
        <v>2712</v>
      </c>
      <c r="C1394" s="1" t="str">
        <f>IFERROR(__xludf.DUMMYFUNCTION("CONCATENATE(GOOGLETRANSLATE(B1394, ""en"", ""zh-cn""))"),"您需要正确配置 flutterwave 才能启用此功能")</f>
        <v>您需要正确配置 flutterwave 才能启用此功能</v>
      </c>
      <c r="D1394" s="1" t="str">
        <f>IFERROR(__xludf.DUMMYFUNCTION("CONCATENATE(GOOGLETRANSLATE(B1394, ""en"", ""ko""))"),"이 기능을 활성화하려면 flutterwave를 올바르게 구성해야 합니다.")</f>
        <v>이 기능을 활성화하려면 flutterwave를 올바르게 구성해야 합니다.</v>
      </c>
      <c r="E1394" s="2" t="str">
        <f>IFERROR(__xludf.DUMMYFUNCTION("CONCATENATE(GOOGLETRANSLATE(B1394, ""en"", ""ja""))"),"この機能を有効にするには、flutterwave を正しく設定する必要があります")</f>
        <v>この機能を有効にするには、flutterwave を正しく設定する必要があります</v>
      </c>
    </row>
    <row r="1395" ht="15.75" customHeight="1">
      <c r="A1395" s="1" t="s">
        <v>2713</v>
      </c>
      <c r="B1395" s="1" t="s">
        <v>2714</v>
      </c>
      <c r="C1395" s="1" t="str">
        <f>IFERROR(__xludf.DUMMYFUNCTION("CONCATENATE(GOOGLETRANSLATE(B1395, ""en"", ""zh-cn""))"),"快速付款激活")</f>
        <v>快速付款激活</v>
      </c>
      <c r="D1395" s="1" t="str">
        <f>IFERROR(__xludf.DUMMYFUNCTION("CONCATENATE(GOOGLETRANSLATE(B1395, ""en"", ""ko""))"),"Payfast 활성화")</f>
        <v>Payfast 활성화</v>
      </c>
      <c r="E1395" s="2" t="str">
        <f>IFERROR(__xludf.DUMMYFUNCTION("CONCATENATE(GOOGLETRANSLATE(B1395, ""en"", ""ja""))"),"ペイファストアクティベーション")</f>
        <v>ペイファストアクティベーション</v>
      </c>
    </row>
    <row r="1396" ht="15.75" customHeight="1">
      <c r="A1396" s="1" t="s">
        <v>2715</v>
      </c>
      <c r="B1396" s="1" t="s">
        <v>2716</v>
      </c>
      <c r="C1396" s="1" t="str">
        <f>IFERROR(__xludf.DUMMYFUNCTION("CONCATENATE(GOOGLETRANSLATE(B1396, ""en"", ""zh-cn""))"),"您需要正确配置 payfast 才能启用此功能")</f>
        <v>您需要正确配置 payfast 才能启用此功能</v>
      </c>
      <c r="D1396" s="1" t="str">
        <f>IFERROR(__xludf.DUMMYFUNCTION("CONCATENATE(GOOGLETRANSLATE(B1396, ""en"", ""ko""))"),"이 기능을 활성화하려면 payfast를 올바르게 구성해야 합니다.")</f>
        <v>이 기능을 활성화하려면 payfast를 올바르게 구성해야 합니다.</v>
      </c>
      <c r="E1396" s="2" t="str">
        <f>IFERROR(__xludf.DUMMYFUNCTION("CONCATENATE(GOOGLETRANSLATE(B1396, ""en"", ""ja""))"),"この機能を有効にするには、ペイファストを正しく設定する必要があります")</f>
        <v>この機能を有効にするには、ペイファストを正しく設定する必要があります</v>
      </c>
    </row>
    <row r="1397" ht="15.75" customHeight="1">
      <c r="A1397" s="1" t="s">
        <v>2717</v>
      </c>
      <c r="B1397" s="1" t="s">
        <v>2718</v>
      </c>
      <c r="C1397" s="1" t="str">
        <f>IFERROR(__xludf.DUMMYFUNCTION("CONCATENATE(GOOGLETRANSLATE(B1397, ""en"", ""zh-cn""))"),"MPESA 用户名")</f>
        <v>MPESA 用户名</v>
      </c>
      <c r="D1397" s="1" t="str">
        <f>IFERROR(__xludf.DUMMYFUNCTION("CONCATENATE(GOOGLETRANSLATE(B1397, ""en"", ""ko""))"),"MPESA 사용자 이름")</f>
        <v>MPESA 사용자 이름</v>
      </c>
      <c r="E1397" s="2" t="str">
        <f>IFERROR(__xludf.DUMMYFUNCTION("CONCATENATE(GOOGLETRANSLATE(B1397, ""en"", ""ja""))"),"MPESA ユーザー名")</f>
        <v>MPESA ユーザー名</v>
      </c>
    </row>
    <row r="1398" ht="15.75" customHeight="1">
      <c r="A1398" s="1" t="s">
        <v>2717</v>
      </c>
      <c r="B1398" s="1" t="s">
        <v>2719</v>
      </c>
      <c r="C1398" s="1" t="str">
        <f>IFERROR(__xludf.DUMMYFUNCTION("CONCATENATE(GOOGLETRANSLATE(B1398, ""en"", ""zh-cn""))"),"MPESA_用户名")</f>
        <v>MPESA_用户名</v>
      </c>
      <c r="D1398" s="1" t="str">
        <f>IFERROR(__xludf.DUMMYFUNCTION("CONCATENATE(GOOGLETRANSLATE(B1398, ""en"", ""ko""))"),"MPESA_USERNAME")</f>
        <v>MPESA_USERNAME</v>
      </c>
      <c r="E1398" s="2" t="str">
        <f>IFERROR(__xludf.DUMMYFUNCTION("CONCATENATE(GOOGLETRANSLATE(B1398, ""en"", ""ja""))"),"MPESA_USERNAME")</f>
        <v>MPESA_USERNAME</v>
      </c>
    </row>
    <row r="1399" ht="15.75" customHeight="1">
      <c r="A1399" s="1" t="s">
        <v>2720</v>
      </c>
      <c r="B1399" s="1" t="s">
        <v>2721</v>
      </c>
      <c r="C1399" s="1" t="str">
        <f>IFERROR(__xludf.DUMMYFUNCTION("CONCATENATE(GOOGLETRANSLATE(B1399, ""en"", ""zh-cn""))"),"MPESA 密码")</f>
        <v>MPESA 密码</v>
      </c>
      <c r="D1399" s="1" t="str">
        <f>IFERROR(__xludf.DUMMYFUNCTION("CONCATENATE(GOOGLETRANSLATE(B1399, ""en"", ""ko""))"),"MPESA 비밀번호")</f>
        <v>MPESA 비밀번호</v>
      </c>
      <c r="E1399" s="2" t="str">
        <f>IFERROR(__xludf.DUMMYFUNCTION("CONCATENATE(GOOGLETRANSLATE(B1399, ""en"", ""ja""))"),"MPESA パスワード")</f>
        <v>MPESA パスワード</v>
      </c>
    </row>
    <row r="1400" ht="15.75" customHeight="1">
      <c r="A1400" s="1" t="s">
        <v>2720</v>
      </c>
      <c r="B1400" s="1" t="s">
        <v>2722</v>
      </c>
      <c r="C1400" s="1" t="str">
        <f>IFERROR(__xludf.DUMMYFUNCTION("CONCATENATE(GOOGLETRANSLATE(B1400, ""en"", ""zh-cn""))"),"MPESA_PASSWORD")</f>
        <v>MPESA_PASSWORD</v>
      </c>
      <c r="D1400" s="1" t="str">
        <f>IFERROR(__xludf.DUMMYFUNCTION("CONCATENATE(GOOGLETRANSLATE(B1400, ""en"", ""ko""))"),"MPESA_PASSWORD")</f>
        <v>MPESA_PASSWORD</v>
      </c>
      <c r="E1400" s="2" t="str">
        <f>IFERROR(__xludf.DUMMYFUNCTION("CONCATENATE(GOOGLETRANSLATE(B1400, ""en"", ""ja""))"),"MPESA_パスワード")</f>
        <v>MPESA_パスワード</v>
      </c>
    </row>
    <row r="1401" ht="15.75" customHeight="1">
      <c r="A1401" s="1" t="s">
        <v>2723</v>
      </c>
      <c r="B1401" s="1" t="s">
        <v>2724</v>
      </c>
      <c r="C1401" s="1" t="str">
        <f>IFERROR(__xludf.DUMMYFUNCTION("CONCATENATE(GOOGLETRANSLATE(B1401, ""en"", ""zh-cn""))"),"MPESA 密码")</f>
        <v>MPESA 密码</v>
      </c>
      <c r="D1401" s="1" t="str">
        <f>IFERROR(__xludf.DUMMYFUNCTION("CONCATENATE(GOOGLETRANSLATE(B1401, ""en"", ""ko""))"),"MPESA 패스키")</f>
        <v>MPESA 패스키</v>
      </c>
      <c r="E1401" s="2" t="str">
        <f>IFERROR(__xludf.DUMMYFUNCTION("CONCATENATE(GOOGLETRANSLATE(B1401, ""en"", ""ja""))"),"ムペサ パスキー")</f>
        <v>ムペサ パスキー</v>
      </c>
    </row>
    <row r="1402" ht="15.75" customHeight="1">
      <c r="A1402" s="1" t="s">
        <v>2723</v>
      </c>
      <c r="B1402" s="1" t="s">
        <v>2725</v>
      </c>
      <c r="C1402" s="1" t="str">
        <f>IFERROR(__xludf.DUMMYFUNCTION("CONCATENATE(GOOGLETRANSLATE(B1402, ""en"", ""zh-cn""))"),"MPESA_PASSKEY")</f>
        <v>MPESA_PASSKEY</v>
      </c>
      <c r="D1402" s="1" t="str">
        <f>IFERROR(__xludf.DUMMYFUNCTION("CONCATENATE(GOOGLETRANSLATE(B1402, ""en"", ""ko""))"),"MPESA_PASSKEY")</f>
        <v>MPESA_PASSKEY</v>
      </c>
      <c r="E1402" s="2" t="str">
        <f>IFERROR(__xludf.DUMMYFUNCTION("CONCATENATE(GOOGLETRANSLATE(B1402, ""en"", ""ja""))"),"MPESA_PASSKEY")</f>
        <v>MPESA_PASSKEY</v>
      </c>
    </row>
    <row r="1403" ht="15.75" customHeight="1">
      <c r="A1403" s="1" t="s">
        <v>2726</v>
      </c>
      <c r="B1403" s="1" t="s">
        <v>2727</v>
      </c>
      <c r="C1403" s="1" t="str">
        <f>IFERROR(__xludf.DUMMYFUNCTION("CONCATENATE(GOOGLETRANSLATE(B1403, ""en"", ""zh-cn""))"),"快速付款凭证")</f>
        <v>快速付款凭证</v>
      </c>
      <c r="D1403" s="1" t="str">
        <f>IFERROR(__xludf.DUMMYFUNCTION("CONCATENATE(GOOGLETRANSLATE(B1403, ""en"", ""ko""))"),"PAYFAST 자격 증명")</f>
        <v>PAYFAST 자격 증명</v>
      </c>
      <c r="E1403" s="2" t="str">
        <f>IFERROR(__xludf.DUMMYFUNCTION("CONCATENATE(GOOGLETRANSLATE(B1403, ""en"", ""ja""))"),"PAYFAST 認証情報")</f>
        <v>PAYFAST 認証情報</v>
      </c>
    </row>
    <row r="1404" ht="15.75" customHeight="1">
      <c r="A1404" s="1" t="s">
        <v>2728</v>
      </c>
      <c r="B1404" s="1" t="s">
        <v>2729</v>
      </c>
      <c r="C1404" s="1" t="str">
        <f>IFERROR(__xludf.DUMMYFUNCTION("CONCATENATE(GOOGLETRANSLATE(B1404, ""en"", ""zh-cn""))"),"PAYFAST_MERCHANT_ID")</f>
        <v>PAYFAST_MERCHANT_ID</v>
      </c>
      <c r="D1404" s="1" t="str">
        <f>IFERROR(__xludf.DUMMYFUNCTION("CONCATENATE(GOOGLETRANSLATE(B1404, ""en"", ""ko""))"),"PAYFAST_MERCHANT_ID")</f>
        <v>PAYFAST_MERCHANT_ID</v>
      </c>
      <c r="E1404" s="2" t="str">
        <f>IFERROR(__xludf.DUMMYFUNCTION("CONCATENATE(GOOGLETRANSLATE(B1404, ""en"", ""ja""))"),"PAYFAST_MERCHANT_ID")</f>
        <v>PAYFAST_MERCHANT_ID</v>
      </c>
    </row>
    <row r="1405" ht="15.75" customHeight="1">
      <c r="A1405" s="1" t="s">
        <v>2730</v>
      </c>
      <c r="B1405" s="1" t="s">
        <v>2731</v>
      </c>
      <c r="C1405" s="1" t="str">
        <f>IFERROR(__xludf.DUMMYFUNCTION("CONCATENATE(GOOGLETRANSLATE(B1405, ""en"", ""zh-cn""))"),"PAYFAST_MERCHANT_KEY")</f>
        <v>PAYFAST_MERCHANT_KEY</v>
      </c>
      <c r="D1405" s="1" t="str">
        <f>IFERROR(__xludf.DUMMYFUNCTION("CONCATENATE(GOOGLETRANSLATE(B1405, ""en"", ""ko""))"),"PAYFAST_MERCHANT_KEY")</f>
        <v>PAYFAST_MERCHANT_KEY</v>
      </c>
      <c r="E1405" s="2" t="str">
        <f>IFERROR(__xludf.DUMMYFUNCTION("CONCATENATE(GOOGLETRANSLATE(B1405, ""en"", ""ja""))"),"PAYFAST_MERCHANT_KEY")</f>
        <v>PAYFAST_MERCHANT_KEY</v>
      </c>
    </row>
    <row r="1406" ht="15.75" customHeight="1">
      <c r="A1406" s="1" t="s">
        <v>2732</v>
      </c>
      <c r="B1406" s="1" t="s">
        <v>2733</v>
      </c>
      <c r="C1406" s="1" t="str">
        <f>IFERROR(__xludf.DUMMYFUNCTION("CONCATENATE(GOOGLETRANSLATE(B1406, ""en"", ""zh-cn""))"),"PAYFAST沙盒模式")</f>
        <v>PAYFAST沙盒模式</v>
      </c>
      <c r="D1406" s="1" t="str">
        <f>IFERROR(__xludf.DUMMYFUNCTION("CONCATENATE(GOOGLETRANSLATE(B1406, ""en"", ""ko""))"),"PAYFAST 샌드박스 모드")</f>
        <v>PAYFAST 샌드박스 모드</v>
      </c>
      <c r="E1406" s="2" t="str">
        <f>IFERROR(__xludf.DUMMYFUNCTION("CONCATENATE(GOOGLETRANSLATE(B1406, ""en"", ""ja""))"),"PAYFAST サンドボックス モード")</f>
        <v>PAYFAST サンドボックス モード</v>
      </c>
    </row>
    <row r="1407" ht="15.75" customHeight="1">
      <c r="A1407" s="1" t="s">
        <v>2734</v>
      </c>
      <c r="B1407" s="1" t="s">
        <v>2735</v>
      </c>
      <c r="C1407" s="1" t="str">
        <f>IFERROR(__xludf.DUMMYFUNCTION("CONCATENATE(GOOGLETRANSLATE(B1407, ""en"", ""zh-cn""))"),"谷歌登录凭证")</f>
        <v>谷歌登录凭证</v>
      </c>
      <c r="D1407" s="1" t="str">
        <f>IFERROR(__xludf.DUMMYFUNCTION("CONCATENATE(GOOGLETRANSLATE(B1407, ""en"", ""ko""))"),"Google 로그인 자격 증명")</f>
        <v>Google 로그인 자격 증명</v>
      </c>
      <c r="E1407" s="2" t="str">
        <f>IFERROR(__xludf.DUMMYFUNCTION("CONCATENATE(GOOGLETRANSLATE(B1407, ""en"", ""ja""))"),"Google ログイン認証情報")</f>
        <v>Google ログイン認証情報</v>
      </c>
    </row>
    <row r="1408" ht="15.75" customHeight="1">
      <c r="A1408" s="1" t="s">
        <v>2736</v>
      </c>
      <c r="B1408" s="1" t="s">
        <v>2737</v>
      </c>
      <c r="C1408" s="1" t="str">
        <f>IFERROR(__xludf.DUMMYFUNCTION("CONCATENATE(GOOGLETRANSLATE(B1408, ""en"", ""zh-cn""))"),"客户ID")</f>
        <v>客户ID</v>
      </c>
      <c r="D1408" s="1" t="str">
        <f>IFERROR(__xludf.DUMMYFUNCTION("CONCATENATE(GOOGLETRANSLATE(B1408, ""en"", ""ko""))"),"클라이언트 ID")</f>
        <v>클라이언트 ID</v>
      </c>
      <c r="E1408" s="2" t="str">
        <f>IFERROR(__xludf.DUMMYFUNCTION("CONCATENATE(GOOGLETRANSLATE(B1408, ""en"", ""ja""))"),"クライアントID")</f>
        <v>クライアントID</v>
      </c>
    </row>
    <row r="1409" ht="15.75" customHeight="1">
      <c r="A1409" s="1" t="s">
        <v>2738</v>
      </c>
      <c r="B1409" s="1" t="s">
        <v>2739</v>
      </c>
      <c r="C1409" s="1" t="str">
        <f>IFERROR(__xludf.DUMMYFUNCTION("CONCATENATE(GOOGLETRANSLATE(B1409, ""en"", ""zh-cn""))"),"谷歌客户端 ID")</f>
        <v>谷歌客户端 ID</v>
      </c>
      <c r="D1409" s="1" t="str">
        <f>IFERROR(__xludf.DUMMYFUNCTION("CONCATENATE(GOOGLETRANSLATE(B1409, ""en"", ""ko""))"),"Google 클라이언트 ID")</f>
        <v>Google 클라이언트 ID</v>
      </c>
      <c r="E1409" s="2" t="str">
        <f>IFERROR(__xludf.DUMMYFUNCTION("CONCATENATE(GOOGLETRANSLATE(B1409, ""en"", ""ja""))"),"Google クライアント ID")</f>
        <v>Google クライアント ID</v>
      </c>
    </row>
    <row r="1410" ht="15.75" customHeight="1">
      <c r="A1410" s="1" t="s">
        <v>2740</v>
      </c>
      <c r="B1410" s="1" t="s">
        <v>2741</v>
      </c>
      <c r="C1410" s="1" t="str">
        <f>IFERROR(__xludf.DUMMYFUNCTION("CONCATENATE(GOOGLETRANSLATE(B1410, ""en"", ""zh-cn""))"),"客户秘密")</f>
        <v>客户秘密</v>
      </c>
      <c r="D1410" s="1" t="str">
        <f>IFERROR(__xludf.DUMMYFUNCTION("CONCATENATE(GOOGLETRANSLATE(B1410, ""en"", ""ko""))"),"클라이언트 비밀번호")</f>
        <v>클라이언트 비밀번호</v>
      </c>
      <c r="E1410" s="2" t="str">
        <f>IFERROR(__xludf.DUMMYFUNCTION("CONCATENATE(GOOGLETRANSLATE(B1410, ""en"", ""ja""))"),"クライアントシークレット")</f>
        <v>クライアントシークレット</v>
      </c>
    </row>
    <row r="1411" ht="15.75" customHeight="1">
      <c r="A1411" s="1" t="s">
        <v>2742</v>
      </c>
      <c r="B1411" s="1" t="s">
        <v>2743</v>
      </c>
      <c r="C1411" s="1" t="str">
        <f>IFERROR(__xludf.DUMMYFUNCTION("CONCATENATE(GOOGLETRANSLATE(B1411, ""en"", ""zh-cn""))"),"谷歌客户端秘密")</f>
        <v>谷歌客户端秘密</v>
      </c>
      <c r="D1411" s="1" t="str">
        <f>IFERROR(__xludf.DUMMYFUNCTION("CONCATENATE(GOOGLETRANSLATE(B1411, ""en"", ""ko""))"),"Google 클라이언트 비밀번호")</f>
        <v>Google 클라이언트 비밀번호</v>
      </c>
      <c r="E1411" s="2" t="str">
        <f>IFERROR(__xludf.DUMMYFUNCTION("CONCATENATE(GOOGLETRANSLATE(B1411, ""en"", ""ja""))"),"Google クライアント シークレット")</f>
        <v>Google クライアント シークレット</v>
      </c>
    </row>
    <row r="1412" ht="15.75" customHeight="1">
      <c r="A1412" s="1" t="s">
        <v>2744</v>
      </c>
      <c r="B1412" s="1" t="s">
        <v>2745</v>
      </c>
      <c r="C1412" s="1" t="str">
        <f>IFERROR(__xludf.DUMMYFUNCTION("CONCATENATE(GOOGLETRANSLATE(B1412, ""en"", ""zh-cn""))"),"Facebook 登录凭证")</f>
        <v>Facebook 登录凭证</v>
      </c>
      <c r="D1412" s="1" t="str">
        <f>IFERROR(__xludf.DUMMYFUNCTION("CONCATENATE(GOOGLETRANSLATE(B1412, ""en"", ""ko""))"),"Facebook 로그인 자격 증명")</f>
        <v>Facebook 로그인 자격 증명</v>
      </c>
      <c r="E1412" s="2" t="str">
        <f>IFERROR(__xludf.DUMMYFUNCTION("CONCATENATE(GOOGLETRANSLATE(B1412, ""en"", ""ja""))"),"Facebook ログイン認証情報")</f>
        <v>Facebook ログイン認証情報</v>
      </c>
    </row>
    <row r="1413" ht="15.75" customHeight="1">
      <c r="A1413" s="1" t="s">
        <v>2746</v>
      </c>
      <c r="B1413" s="1" t="s">
        <v>2747</v>
      </c>
      <c r="C1413" s="1" t="str">
        <f>IFERROR(__xludf.DUMMYFUNCTION("CONCATENATE(GOOGLETRANSLATE(B1413, ""en"", ""zh-cn""))"),"应用程序ID")</f>
        <v>应用程序ID</v>
      </c>
      <c r="D1413" s="1" t="str">
        <f>IFERROR(__xludf.DUMMYFUNCTION("CONCATENATE(GOOGLETRANSLATE(B1413, ""en"", ""ko""))"),"앱 ID")</f>
        <v>앱 ID</v>
      </c>
      <c r="E1413" s="2" t="str">
        <f>IFERROR(__xludf.DUMMYFUNCTION("CONCATENATE(GOOGLETRANSLATE(B1413, ""en"", ""ja""))"),"アプリID")</f>
        <v>アプリID</v>
      </c>
    </row>
    <row r="1414" ht="15.75" customHeight="1">
      <c r="A1414" s="1" t="s">
        <v>2748</v>
      </c>
      <c r="B1414" s="1" t="s">
        <v>2749</v>
      </c>
      <c r="C1414" s="1" t="str">
        <f>IFERROR(__xludf.DUMMYFUNCTION("CONCATENATE(GOOGLETRANSLATE(B1414, ""en"", ""zh-cn""))"),"Facebook 客户端 ID")</f>
        <v>Facebook 客户端 ID</v>
      </c>
      <c r="D1414" s="1" t="str">
        <f>IFERROR(__xludf.DUMMYFUNCTION("CONCATENATE(GOOGLETRANSLATE(B1414, ""en"", ""ko""))"),"페이스북 클라이언트 ID")</f>
        <v>페이스북 클라이언트 ID</v>
      </c>
      <c r="E1414" s="2" t="str">
        <f>IFERROR(__xludf.DUMMYFUNCTION("CONCATENATE(GOOGLETRANSLATE(B1414, ""en"", ""ja""))"),"Facebook クライアント ID")</f>
        <v>Facebook クライアント ID</v>
      </c>
    </row>
    <row r="1415" ht="15.75" customHeight="1">
      <c r="A1415" s="1" t="s">
        <v>2750</v>
      </c>
      <c r="B1415" s="1" t="s">
        <v>2751</v>
      </c>
      <c r="C1415" s="1" t="str">
        <f>IFERROR(__xludf.DUMMYFUNCTION("CONCATENATE(GOOGLETRANSLATE(B1415, ""en"", ""zh-cn""))"),"应用秘密")</f>
        <v>应用秘密</v>
      </c>
      <c r="D1415" s="1" t="str">
        <f>IFERROR(__xludf.DUMMYFUNCTION("CONCATENATE(GOOGLETRANSLATE(B1415, ""en"", ""ko""))"),"앱 비밀")</f>
        <v>앱 비밀</v>
      </c>
      <c r="E1415" s="2" t="str">
        <f>IFERROR(__xludf.DUMMYFUNCTION("CONCATENATE(GOOGLETRANSLATE(B1415, ""en"", ""ja""))"),"アプリの秘密")</f>
        <v>アプリの秘密</v>
      </c>
    </row>
    <row r="1416" ht="15.75" customHeight="1">
      <c r="A1416" s="1" t="s">
        <v>2752</v>
      </c>
      <c r="B1416" s="1" t="s">
        <v>2753</v>
      </c>
      <c r="C1416" s="1" t="str">
        <f>IFERROR(__xludf.DUMMYFUNCTION("CONCATENATE(GOOGLETRANSLATE(B1416, ""en"", ""zh-cn""))"),"Facebook 客户端秘密")</f>
        <v>Facebook 客户端秘密</v>
      </c>
      <c r="D1416" s="1" t="str">
        <f>IFERROR(__xludf.DUMMYFUNCTION("CONCATENATE(GOOGLETRANSLATE(B1416, ""en"", ""ko""))"),"Facebook 클라이언트 비밀번호")</f>
        <v>Facebook 클라이언트 비밀번호</v>
      </c>
      <c r="E1416" s="2" t="str">
        <f>IFERROR(__xludf.DUMMYFUNCTION("CONCATENATE(GOOGLETRANSLATE(B1416, ""en"", ""ja""))"),"Facebook クライアント シークレット")</f>
        <v>Facebook クライアント シークレット</v>
      </c>
    </row>
    <row r="1417" ht="15.75" customHeight="1">
      <c r="A1417" s="1" t="s">
        <v>2754</v>
      </c>
      <c r="B1417" s="1" t="s">
        <v>2755</v>
      </c>
      <c r="C1417" s="1" t="str">
        <f>IFERROR(__xludf.DUMMYFUNCTION("CONCATENATE(GOOGLETRANSLATE(B1417, ""en"", ""zh-cn""))"),"Twitter 登录凭据")</f>
        <v>Twitter 登录凭据</v>
      </c>
      <c r="D1417" s="1" t="str">
        <f>IFERROR(__xludf.DUMMYFUNCTION("CONCATENATE(GOOGLETRANSLATE(B1417, ""en"", ""ko""))"),"트위터 로그인 자격 증명")</f>
        <v>트위터 로그인 자격 증명</v>
      </c>
      <c r="E1417" s="2" t="str">
        <f>IFERROR(__xludf.DUMMYFUNCTION("CONCATENATE(GOOGLETRANSLATE(B1417, ""en"", ""ja""))"),"Twitter ログイン資格情報")</f>
        <v>Twitter ログイン資格情報</v>
      </c>
    </row>
    <row r="1418" ht="15.75" customHeight="1">
      <c r="A1418" s="1" t="s">
        <v>2756</v>
      </c>
      <c r="B1418" s="1" t="s">
        <v>2757</v>
      </c>
      <c r="C1418" s="1" t="str">
        <f>IFERROR(__xludf.DUMMYFUNCTION("CONCATENATE(GOOGLETRANSLATE(B1418, ""en"", ""zh-cn""))"),"Twitter 客户端 ID")</f>
        <v>Twitter 客户端 ID</v>
      </c>
      <c r="D1418" s="1" t="str">
        <f>IFERROR(__xludf.DUMMYFUNCTION("CONCATENATE(GOOGLETRANSLATE(B1418, ""en"", ""ko""))"),"트위터 클라이언트 ID")</f>
        <v>트위터 클라이언트 ID</v>
      </c>
      <c r="E1418" s="2" t="str">
        <f>IFERROR(__xludf.DUMMYFUNCTION("CONCATENATE(GOOGLETRANSLATE(B1418, ""en"", ""ja""))"),"TwitterクライアントID")</f>
        <v>TwitterクライアントID</v>
      </c>
    </row>
    <row r="1419" ht="15.75" customHeight="1">
      <c r="A1419" s="1" t="s">
        <v>2758</v>
      </c>
      <c r="B1419" s="1" t="s">
        <v>2759</v>
      </c>
      <c r="C1419" s="1" t="str">
        <f>IFERROR(__xludf.DUMMYFUNCTION("CONCATENATE(GOOGLETRANSLATE(B1419, ""en"", ""zh-cn""))"),"Twitter 客户端秘密")</f>
        <v>Twitter 客户端秘密</v>
      </c>
      <c r="D1419" s="1" t="str">
        <f>IFERROR(__xludf.DUMMYFUNCTION("CONCATENATE(GOOGLETRANSLATE(B1419, ""en"", ""ko""))"),"트위터 클라이언트 비밀번호")</f>
        <v>트위터 클라이언트 비밀번호</v>
      </c>
      <c r="E1419" s="2" t="str">
        <f>IFERROR(__xludf.DUMMYFUNCTION("CONCATENATE(GOOGLETRANSLATE(B1419, ""en"", ""ja""))"),"Twitter クライアント シークレット")</f>
        <v>Twitter クライアント シークレット</v>
      </c>
    </row>
    <row r="1420" ht="15.75" customHeight="1">
      <c r="A1420" s="1" t="s">
        <v>2760</v>
      </c>
      <c r="B1420" s="1" t="s">
        <v>2761</v>
      </c>
      <c r="C1420" s="1" t="str">
        <f>IFERROR(__xludf.DUMMYFUNCTION("CONCATENATE(GOOGLETRANSLATE(B1420, ""en"", ""zh-cn""))"),"积分兑换率已成功更新")</f>
        <v>积分兑换率已成功更新</v>
      </c>
      <c r="D1420" s="1" t="str">
        <f>IFERROR(__xludf.DUMMYFUNCTION("CONCATENATE(GOOGLETRANSLATE(B1420, ""en"", ""ko""))"),"포인트 전환율이 성공적으로 업데이트되었습니다.")</f>
        <v>포인트 전환율이 성공적으로 업데이트되었습니다.</v>
      </c>
      <c r="E1420" s="2" t="str">
        <f>IFERROR(__xludf.DUMMYFUNCTION("CONCATENATE(GOOGLETRANSLATE(B1420, ""en"", ""ja""))"),"ポイント換算率が正常に更新されました")</f>
        <v>ポイント換算率が正常に更新されました</v>
      </c>
    </row>
    <row r="1421" ht="15.75" customHeight="1">
      <c r="A1421" s="1" t="s">
        <v>2762</v>
      </c>
      <c r="B1421" s="1" t="s">
        <v>2763</v>
      </c>
      <c r="C1421" s="1" t="str">
        <f>IFERROR(__xludf.DUMMYFUNCTION("CONCATENATE(GOOGLETRANSLATE(B1421, ""en"", ""zh-cn""))"),"所有者")</f>
        <v>所有者</v>
      </c>
      <c r="D1421" s="1" t="str">
        <f>IFERROR(__xludf.DUMMYFUNCTION("CONCATENATE(GOOGLETRANSLATE(B1421, ""en"", ""ko""))"),"소유자")</f>
        <v>소유자</v>
      </c>
      <c r="E1421" s="2" t="str">
        <f>IFERROR(__xludf.DUMMYFUNCTION("CONCATENATE(GOOGLETRANSLATE(B1421, ""en"", ""ja""))"),"所有者")</f>
        <v>所有者</v>
      </c>
    </row>
    <row r="1422" ht="15.75" customHeight="1">
      <c r="A1422" s="1" t="s">
        <v>2764</v>
      </c>
      <c r="B1422" s="1" t="s">
        <v>2765</v>
      </c>
      <c r="C1422" s="1" t="str">
        <f>IFERROR(__xludf.DUMMYFUNCTION("CONCATENATE(GOOGLETRANSLATE(B1422, ""en"", ""zh-cn""))"),"为这些产品设置最低价格和最高价格之间的任何特定点。最低价格应低于最高价格")</f>
        <v>为这些产品设置最低价格和最高价格之间的任何特定点。最低价格应低于最高价格</v>
      </c>
      <c r="D1422" s="1" t="str">
        <f>IFERROR(__xludf.DUMMYFUNCTION("CONCATENATE(GOOGLETRANSLATE(B1422, ""en"", ""ko""))"),"최소 가격과 최대 가격 사이에 해당 제품에 대한 특정 지점을 설정합니다. 최소 가격은 최대 가격보다 낮아야 합니다.")</f>
        <v>최소 가격과 최대 가격 사이에 해당 제품에 대한 특정 지점을 설정합니다. 최소 가격은 최대 가격보다 낮아야 합니다.</v>
      </c>
      <c r="E1422" s="2" t="str">
        <f>IFERROR(__xludf.DUMMYFUNCTION("CONCATENATE(GOOGLETRANSLATE(B1422, ""en"", ""ja""))"),"これらの製品に対して、最小価格と最大価格の間の特定のポイントを設定します。最小価格は最大価格よりも低くなければなりません")</f>
        <v>これらの製品に対して、最小価格と最大価格の間の特定のポイントを設定します。最小価格は最大価格よりも低くなければなりません</v>
      </c>
    </row>
    <row r="1423" ht="15.75" customHeight="1">
      <c r="A1423" s="1" t="s">
        <v>2766</v>
      </c>
      <c r="B1423" s="1" t="s">
        <v>2767</v>
      </c>
      <c r="C1423" s="1" t="str">
        <f>IFERROR(__xludf.DUMMYFUNCTION("CONCATENATE(GOOGLETRANSLATE(B1423, ""en"", ""zh-cn""))"),"产品设定点")</f>
        <v>产品设定点</v>
      </c>
      <c r="D1423" s="1" t="str">
        <f>IFERROR(__xludf.DUMMYFUNCTION("CONCATENATE(GOOGLETRANSLATE(B1423, ""en"", ""ko""))"),"제품에 대한 설정값")</f>
        <v>제품에 대한 설정값</v>
      </c>
      <c r="E1423" s="2" t="str">
        <f>IFERROR(__xludf.DUMMYFUNCTION("CONCATENATE(GOOGLETRANSLATE(B1423, ""en"", ""ja""))"),"製品の設定点")</f>
        <v>製品の設定点</v>
      </c>
    </row>
    <row r="1424" ht="15.75" customHeight="1">
      <c r="A1424" s="1" t="s">
        <v>2768</v>
      </c>
      <c r="B1424" s="1" t="s">
        <v>2769</v>
      </c>
      <c r="C1424" s="1" t="str">
        <f>IFERROR(__xludf.DUMMYFUNCTION("CONCATENATE(GOOGLETRANSLATE(B1424, ""en"", ""zh-cn""))"),"设定点")</f>
        <v>设定点</v>
      </c>
      <c r="D1424" s="1" t="str">
        <f>IFERROR(__xludf.DUMMYFUNCTION("CONCATENATE(GOOGLETRANSLATE(B1424, ""en"", ""ko""))"),"세트 포인트")</f>
        <v>세트 포인트</v>
      </c>
      <c r="E1424" s="2" t="str">
        <f>IFERROR(__xludf.DUMMYFUNCTION("CONCATENATE(GOOGLETRANSLATE(B1424, ""en"", ""ja""))"),"設定点")</f>
        <v>設定点</v>
      </c>
    </row>
    <row r="1425" ht="15.75" customHeight="1">
      <c r="A1425" s="1" t="s">
        <v>2770</v>
      </c>
      <c r="B1425" s="1" t="s">
        <v>2771</v>
      </c>
      <c r="C1425" s="1" t="str">
        <f>IFERROR(__xludf.DUMMYFUNCTION("CONCATENATE(GOOGLETRANSLATE(B1425, ""en"", ""zh-cn""))"),"积分已成功更新")</f>
        <v>积分已成功更新</v>
      </c>
      <c r="D1425" s="1" t="str">
        <f>IFERROR(__xludf.DUMMYFUNCTION("CONCATENATE(GOOGLETRANSLATE(B1425, ""en"", ""ko""))"),"포인트가 성공적으로 업데이트되었습니다")</f>
        <v>포인트가 성공적으로 업데이트되었습니다</v>
      </c>
      <c r="E1425" s="2" t="str">
        <f>IFERROR(__xludf.DUMMYFUNCTION("CONCATENATE(GOOGLETRANSLATE(B1425, ""en"", ""ja""))"),"ポイントが正常に更新されました")</f>
        <v>ポイントが正常に更新されました</v>
      </c>
    </row>
    <row r="1426" ht="15.75" customHeight="1">
      <c r="A1426" s="1" t="s">
        <v>2772</v>
      </c>
      <c r="B1426" s="1" t="s">
        <v>2773</v>
      </c>
      <c r="C1426" s="1" t="str">
        <f>IFERROR(__xludf.DUMMYFUNCTION("CONCATENATE(GOOGLETRANSLATE(B1426, ""en"", ""zh-cn""))"),"点已成功插入 ")</f>
        <v>点已成功插入 </v>
      </c>
      <c r="D1426" s="1" t="str">
        <f>IFERROR(__xludf.DUMMYFUNCTION("CONCATENATE(GOOGLETRANSLATE(B1426, ""en"", ""ko""))"),"다음에 대한 포인트가 성공적으로 삽입되었습니다. ")</f>
        <v>다음에 대한 포인트가 성공적으로 삽입되었습니다. </v>
      </c>
      <c r="E1426" s="2" t="str">
        <f>IFERROR(__xludf.DUMMYFUNCTION("CONCATENATE(GOOGLETRANSLATE(B1426, ""en"", ""ja""))"),"ポイントは正常に挿入されました ")</f>
        <v>ポイントは正常に挿入されました </v>
      </c>
    </row>
    <row r="1427" ht="15.75" customHeight="1">
      <c r="A1427" s="1" t="s">
        <v>2774</v>
      </c>
      <c r="B1427" s="1" t="s">
        <v>2775</v>
      </c>
      <c r="C1427" s="1" t="str">
        <f>IFERROR(__xludf.DUMMYFUNCTION("CONCATENATE(GOOGLETRANSLATE(B1427, ""en"", ""zh-cn""))")," 产品")</f>
        <v> 产品</v>
      </c>
      <c r="D1427" s="1" t="str">
        <f>IFERROR(__xludf.DUMMYFUNCTION("CONCATENATE(GOOGLETRANSLATE(B1427, ""en"", ""ko""))")," 제품")</f>
        <v> 제품</v>
      </c>
      <c r="E1427" s="2" t="str">
        <f>IFERROR(__xludf.DUMMYFUNCTION("CONCATENATE(GOOGLETRANSLATE(B1427, ""en"", ""ja""))")," 製品")</f>
        <v> 製品</v>
      </c>
    </row>
    <row r="1428" ht="15.75" customHeight="1">
      <c r="A1428" s="1" t="s">
        <v>2776</v>
      </c>
      <c r="B1428" s="1" t="s">
        <v>2777</v>
      </c>
      <c r="C1428" s="1" t="str">
        <f>IFERROR(__xludf.DUMMYFUNCTION("CONCATENATE(GOOGLETRANSLATE(B1428, ""en"", ""zh-cn""))"),"客户名称")</f>
        <v>客户名称</v>
      </c>
      <c r="D1428" s="1" t="str">
        <f>IFERROR(__xludf.DUMMYFUNCTION("CONCATENATE(GOOGLETRANSLATE(B1428, ""en"", ""ko""))"),"고객 이름")</f>
        <v>고객 이름</v>
      </c>
      <c r="E1428" s="2" t="str">
        <f>IFERROR(__xludf.DUMMYFUNCTION("CONCATENATE(GOOGLETRANSLATE(B1428, ""en"", ""ja""))"),"顧客名")</f>
        <v>顧客名</v>
      </c>
    </row>
    <row r="1429" ht="15.75" customHeight="1">
      <c r="A1429" s="1" t="s">
        <v>2778</v>
      </c>
      <c r="B1429" s="1" t="s">
        <v>2779</v>
      </c>
      <c r="C1429" s="1" t="str">
        <f>IFERROR(__xludf.DUMMYFUNCTION("CONCATENATE(GOOGLETRANSLATE(B1429, ""en"", ""zh-cn""))"),"多输入多输出一次性密码")</f>
        <v>多输入多输出一次性密码</v>
      </c>
      <c r="D1429" s="1" t="str">
        <f>IFERROR(__xludf.DUMMYFUNCTION("CONCATENATE(GOOGLETRANSLATE(B1429, ""en"", ""ko""))"),"MIMO OTP")</f>
        <v>MIMO OTP</v>
      </c>
      <c r="E1429" s="2" t="str">
        <f>IFERROR(__xludf.DUMMYFUNCTION("CONCATENATE(GOOGLETRANSLATE(B1429, ""en"", ""ja""))"),"MIMO OTP")</f>
        <v>MIMO OTP</v>
      </c>
    </row>
    <row r="1430" ht="15.75" customHeight="1">
      <c r="A1430" s="1" t="s">
        <v>2780</v>
      </c>
      <c r="B1430" s="1" t="s">
        <v>2781</v>
      </c>
      <c r="C1430" s="1" t="str">
        <f>IFERROR(__xludf.DUMMYFUNCTION("CONCATENATE(GOOGLETRANSLATE(B1430, ""en"", ""zh-cn""))"),"MIMO 凭证")</f>
        <v>MIMO 凭证</v>
      </c>
      <c r="D1430" s="1" t="str">
        <f>IFERROR(__xludf.DUMMYFUNCTION("CONCATENATE(GOOGLETRANSLATE(B1430, ""en"", ""ko""))"),"MIMO 자격 증명")</f>
        <v>MIMO 자격 증명</v>
      </c>
      <c r="E1430" s="2" t="str">
        <f>IFERROR(__xludf.DUMMYFUNCTION("CONCATENATE(GOOGLETRANSLATE(B1430, ""en"", ""ja""))"),"MIMO認証情報")</f>
        <v>MIMO認証情報</v>
      </c>
    </row>
    <row r="1431" ht="15.75" customHeight="1">
      <c r="A1431" s="1" t="s">
        <v>2782</v>
      </c>
      <c r="B1431" s="1" t="s">
        <v>2783</v>
      </c>
      <c r="C1431" s="1" t="str">
        <f>IFERROR(__xludf.DUMMYFUNCTION("CONCATENATE(GOOGLETRANSLATE(B1431, ""en"", ""zh-cn""))"),"MIMO_用户名")</f>
        <v>MIMO_用户名</v>
      </c>
      <c r="D1431" s="1" t="str">
        <f>IFERROR(__xludf.DUMMYFUNCTION("CONCATENATE(GOOGLETRANSLATE(B1431, ""en"", ""ko""))"),"MIMO_USERNAME")</f>
        <v>MIMO_USERNAME</v>
      </c>
      <c r="E1431" s="2" t="str">
        <f>IFERROR(__xludf.DUMMYFUNCTION("CONCATENATE(GOOGLETRANSLATE(B1431, ""en"", ""ja""))"),"MIMO_USERNAME")</f>
        <v>MIMO_USERNAME</v>
      </c>
    </row>
    <row r="1432" ht="15.75" customHeight="1">
      <c r="A1432" s="1" t="s">
        <v>2784</v>
      </c>
      <c r="B1432" s="1" t="s">
        <v>2785</v>
      </c>
      <c r="C1432" s="1" t="str">
        <f>IFERROR(__xludf.DUMMYFUNCTION("CONCATENATE(GOOGLETRANSLATE(B1432, ""en"", ""zh-cn""))"),"MIMO_密码")</f>
        <v>MIMO_密码</v>
      </c>
      <c r="D1432" s="1" t="str">
        <f>IFERROR(__xludf.DUMMYFUNCTION("CONCATENATE(GOOGLETRANSLATE(B1432, ""en"", ""ko""))"),"MIMO_PASSWORD")</f>
        <v>MIMO_PASSWORD</v>
      </c>
      <c r="E1432" s="2" t="str">
        <f>IFERROR(__xludf.DUMMYFUNCTION("CONCATENATE(GOOGLETRANSLATE(B1432, ""en"", ""ja""))"),"MIMO_パスワード")</f>
        <v>MIMO_パスワード</v>
      </c>
    </row>
    <row r="1433" ht="15.75" customHeight="1">
      <c r="A1433" s="1" t="s">
        <v>2786</v>
      </c>
      <c r="B1433" s="1" t="s">
        <v>2787</v>
      </c>
      <c r="C1433" s="1" t="str">
        <f>IFERROR(__xludf.DUMMYFUNCTION("CONCATENATE(GOOGLETRANSLATE(B1433, ""en"", ""zh-cn""))"),"MIMO_SENDER_ID")</f>
        <v>MIMO_SENDER_ID</v>
      </c>
      <c r="D1433" s="1" t="str">
        <f>IFERROR(__xludf.DUMMYFUNCTION("CONCATENATE(GOOGLETRANSLATE(B1433, ""en"", ""ko""))"),"MIMO_SENDER_ID")</f>
        <v>MIMO_SENDER_ID</v>
      </c>
      <c r="E1433" s="2" t="str">
        <f>IFERROR(__xludf.DUMMYFUNCTION("CONCATENATE(GOOGLETRANSLATE(B1433, ""en"", ""ja""))"),"MIMO_SENDER_ID")</f>
        <v>MIMO_SENDER_ID</v>
      </c>
    </row>
    <row r="1434" ht="15.75" customHeight="1">
      <c r="A1434" s="1" t="s">
        <v>2788</v>
      </c>
      <c r="B1434" s="1" t="s">
        <v>2789</v>
      </c>
      <c r="C1434" s="1" t="str">
        <f>IFERROR(__xludf.DUMMYFUNCTION("CONCATENATE(GOOGLETRANSLATE(B1434, ""en"", ""zh-cn""))"),"拒绝退款请求！")</f>
        <v>拒绝退款请求！</v>
      </c>
      <c r="D1434" s="1" t="str">
        <f>IFERROR(__xludf.DUMMYFUNCTION("CONCATENATE(GOOGLETRANSLATE(B1434, ""en"", ""ko""))"),"환불 요청을 거부하세요!")</f>
        <v>환불 요청을 거부하세요!</v>
      </c>
      <c r="E1434" s="2" t="str">
        <f>IFERROR(__xludf.DUMMYFUNCTION("CONCATENATE(GOOGLETRANSLATE(B1434, ""en"", ""ja""))"),"返金リクエストを拒否してください!")</f>
        <v>返金リクエストを拒否してください!</v>
      </c>
    </row>
    <row r="1435" ht="15.75" customHeight="1">
      <c r="A1435" s="1" t="s">
        <v>2790</v>
      </c>
      <c r="B1435" s="1" t="s">
        <v>2791</v>
      </c>
      <c r="C1435" s="1" t="str">
        <f>IFERROR(__xludf.DUMMYFUNCTION("CONCATENATE(GOOGLETRANSLATE(B1435, ""en"", ""zh-cn""))"),"拒绝原因")</f>
        <v>拒绝原因</v>
      </c>
      <c r="D1435" s="1" t="str">
        <f>IFERROR(__xludf.DUMMYFUNCTION("CONCATENATE(GOOGLETRANSLATE(B1435, ""en"", ""ko""))"),"거부 이유")</f>
        <v>거부 이유</v>
      </c>
      <c r="E1435" s="2" t="str">
        <f>IFERROR(__xludf.DUMMYFUNCTION("CONCATENATE(GOOGLETRANSLATE(B1435, ""en"", ""ja""))"),"拒否理由")</f>
        <v>拒否理由</v>
      </c>
    </row>
    <row r="1436" ht="15.75" customHeight="1">
      <c r="A1436" s="1" t="s">
        <v>2792</v>
      </c>
      <c r="B1436" s="1" t="s">
        <v>2793</v>
      </c>
      <c r="C1436" s="1" t="str">
        <f>IFERROR(__xludf.DUMMYFUNCTION("CONCATENATE(GOOGLETRANSLATE(B1436, ""en"", ""zh-cn""))"),"提交")</f>
        <v>提交</v>
      </c>
      <c r="D1436" s="1" t="str">
        <f>IFERROR(__xludf.DUMMYFUNCTION("CONCATENATE(GOOGLETRANSLATE(B1436, ""en"", ""ko""))"),"제출하다")</f>
        <v>제출하다</v>
      </c>
      <c r="E1436" s="2" t="str">
        <f>IFERROR(__xludf.DUMMYFUNCTION("CONCATENATE(GOOGLETRANSLATE(B1436, ""en"", ""ja""))"),"提出する")</f>
        <v>提出する</v>
      </c>
    </row>
    <row r="1437" ht="15.75" customHeight="1">
      <c r="A1437" s="1" t="s">
        <v>2794</v>
      </c>
      <c r="B1437" s="1" t="s">
        <v>2795</v>
      </c>
      <c r="C1437" s="1" t="str">
        <f>IFERROR(__xludf.DUMMYFUNCTION("CONCATENATE(GOOGLETRANSLATE(B1437, ""en"", ""zh-cn""))"),"审批已成功完成")</f>
        <v>审批已成功完成</v>
      </c>
      <c r="D1437" s="1" t="str">
        <f>IFERROR(__xludf.DUMMYFUNCTION("CONCATENATE(GOOGLETRANSLATE(B1437, ""en"", ""ko""))"),"승인이 성공적으로 완료되었습니다")</f>
        <v>승인이 성공적으로 완료되었습니다</v>
      </c>
      <c r="E1437" s="2" t="str">
        <f>IFERROR(__xludf.DUMMYFUNCTION("CONCATENATE(GOOGLETRANSLATE(B1437, ""en"", ""ja""))"),"承認は正常に完了しました")</f>
        <v>承認は正常に完了しました</v>
      </c>
    </row>
    <row r="1438" ht="15.75" customHeight="1">
      <c r="A1438" s="1" t="s">
        <v>2796</v>
      </c>
      <c r="B1438" s="1" t="s">
        <v>2797</v>
      </c>
      <c r="C1438" s="1" t="str">
        <f>IFERROR(__xludf.DUMMYFUNCTION("CONCATENATE(GOOGLETRANSLATE(B1438, ""en"", ""zh-cn""))"),"退款已成功发送")</f>
        <v>退款已成功发送</v>
      </c>
      <c r="D1438" s="1" t="str">
        <f>IFERROR(__xludf.DUMMYFUNCTION("CONCATENATE(GOOGLETRANSLATE(B1438, ""en"", ""ko""))"),"환불이 성공적으로 전송되었습니다.")</f>
        <v>환불이 성공적으로 전송되었습니다.</v>
      </c>
      <c r="E1438" s="2" t="str">
        <f>IFERROR(__xludf.DUMMYFUNCTION("CONCATENATE(GOOGLETRANSLATE(B1438, ""en"", ""ja""))"),"返金は正常に送金されました")</f>
        <v>返金は正常に送金されました</v>
      </c>
    </row>
    <row r="1439" ht="15.75" customHeight="1">
      <c r="A1439" s="1" t="s">
        <v>2798</v>
      </c>
      <c r="B1439" s="1" t="s">
        <v>2799</v>
      </c>
      <c r="C1439" s="1" t="str">
        <f>IFERROR(__xludf.DUMMYFUNCTION("CONCATENATE(GOOGLETRANSLATE(B1439, ""en"", ""zh-cn""))"),"拒绝请求")</f>
        <v>拒绝请求</v>
      </c>
      <c r="D1439" s="1" t="str">
        <f>IFERROR(__xludf.DUMMYFUNCTION("CONCATENATE(GOOGLETRANSLATE(B1439, ""en"", ""ko""))"),"거부된 요청")</f>
        <v>거부된 요청</v>
      </c>
      <c r="E1439" s="2" t="str">
        <f>IFERROR(__xludf.DUMMYFUNCTION("CONCATENATE(GOOGLETRANSLATE(B1439, ""en"", ""ja""))"),"拒否されたリクエスト")</f>
        <v>拒否されたリクエスト</v>
      </c>
    </row>
    <row r="1440" ht="15.75" customHeight="1">
      <c r="A1440" s="1" t="s">
        <v>2800</v>
      </c>
      <c r="B1440" s="1" t="s">
        <v>2801</v>
      </c>
      <c r="C1440" s="1" t="str">
        <f>IFERROR(__xludf.DUMMYFUNCTION("CONCATENATE(GOOGLETRANSLATE(B1440, ""en"", ""zh-cn""))"),"退款请求拒绝原因")</f>
        <v>退款请求拒绝原因</v>
      </c>
      <c r="D1440" s="1" t="str">
        <f>IFERROR(__xludf.DUMMYFUNCTION("CONCATENATE(GOOGLETRANSLATE(B1440, ""en"", ""ko""))"),"환불 요청 거부 사유")</f>
        <v>환불 요청 거부 사유</v>
      </c>
      <c r="E1440" s="2" t="str">
        <f>IFERROR(__xludf.DUMMYFUNCTION("CONCATENATE(GOOGLETRANSLATE(B1440, ""en"", ""ja""))"),"返金リクエストの拒否理由")</f>
        <v>返金リクエストの拒否理由</v>
      </c>
    </row>
    <row r="1441" ht="15.75" customHeight="1">
      <c r="A1441" s="1" t="s">
        <v>2802</v>
      </c>
      <c r="B1441" s="1" t="s">
        <v>2803</v>
      </c>
      <c r="C1441" s="1" t="str">
        <f>IFERROR(__xludf.DUMMYFUNCTION("CONCATENATE(GOOGLETRANSLATE(B1441, ""en"", ""zh-cn""))"),"批准的请求")</f>
        <v>批准的请求</v>
      </c>
      <c r="D1441" s="1" t="str">
        <f>IFERROR(__xludf.DUMMYFUNCTION("CONCATENATE(GOOGLETRANSLATE(B1441, ""en"", ""ko""))"),"승인된 요청")</f>
        <v>승인된 요청</v>
      </c>
      <c r="E1441" s="2" t="str">
        <f>IFERROR(__xludf.DUMMYFUNCTION("CONCATENATE(GOOGLETRANSLATE(B1441, ""en"", ""ja""))"),"承認されたリクエスト")</f>
        <v>承認されたリクエスト</v>
      </c>
    </row>
    <row r="1442" ht="15.75" customHeight="1">
      <c r="A1442" s="1" t="s">
        <v>2804</v>
      </c>
      <c r="B1442" s="1" t="s">
        <v>2804</v>
      </c>
      <c r="C1442" s="1" t="str">
        <f>IFERROR(__xludf.DUMMYFUNCTION("CONCATENATE(GOOGLETRANSLATE(B1442, ""en"", ""zh-cn""))"),"姆佩萨")</f>
        <v>姆佩萨</v>
      </c>
      <c r="D1442" s="1" t="str">
        <f>IFERROR(__xludf.DUMMYFUNCTION("CONCATENATE(GOOGLETRANSLATE(B1442, ""en"", ""ko""))"),"엠페사")</f>
        <v>엠페사</v>
      </c>
      <c r="E1442" s="2" t="str">
        <f>IFERROR(__xludf.DUMMYFUNCTION("CONCATENATE(GOOGLETRANSLATE(B1442, ""en"", ""ja""))"),"ムペサ")</f>
        <v>ムペサ</v>
      </c>
    </row>
    <row r="1443" ht="15.75" customHeight="1">
      <c r="A1443" s="1" t="s">
        <v>2805</v>
      </c>
      <c r="B1443" s="1" t="s">
        <v>2805</v>
      </c>
      <c r="C1443" s="1" t="str">
        <f>IFERROR(__xludf.DUMMYFUNCTION("CONCATENATE(GOOGLETRANSLATE(B1443, ""en"", ""zh-cn""))"),"颤动波")</f>
        <v>颤动波</v>
      </c>
      <c r="D1443" s="1" t="str">
        <f>IFERROR(__xludf.DUMMYFUNCTION("CONCATENATE(GOOGLETRANSLATE(B1443, ""en"", ""ko""))"),"플러터웨이브")</f>
        <v>플러터웨이브</v>
      </c>
      <c r="E1443" s="2" t="str">
        <f>IFERROR(__xludf.DUMMYFUNCTION("CONCATENATE(GOOGLETRANSLATE(B1443, ""en"", ""ja""))"),"フラッターウェーブ")</f>
        <v>フラッターウェーブ</v>
      </c>
    </row>
    <row r="1444" ht="15.75" customHeight="1">
      <c r="A1444" s="1" t="s">
        <v>2806</v>
      </c>
      <c r="B1444" s="1" t="s">
        <v>2806</v>
      </c>
      <c r="C1444" s="1" t="str">
        <f>IFERROR(__xludf.DUMMYFUNCTION("CONCATENATE(GOOGLETRANSLATE(B1444, ""en"", ""zh-cn""))"),"快速付款")</f>
        <v>快速付款</v>
      </c>
      <c r="D1444" s="1" t="str">
        <f>IFERROR(__xludf.DUMMYFUNCTION("CONCATENATE(GOOGLETRANSLATE(B1444, ""en"", ""ko""))"),"지불금")</f>
        <v>지불금</v>
      </c>
      <c r="E1444" s="2" t="str">
        <f>IFERROR(__xludf.DUMMYFUNCTION("CONCATENATE(GOOGLETRANSLATE(B1444, ""en"", ""ja""))"),"ペイファスト")</f>
        <v>ペイファスト</v>
      </c>
    </row>
    <row r="1445" ht="15.75" customHeight="1">
      <c r="A1445" s="1" t="s">
        <v>2807</v>
      </c>
      <c r="B1445" s="1" t="s">
        <v>2808</v>
      </c>
      <c r="C1445" s="1" t="str">
        <f>IFERROR(__xludf.DUMMYFUNCTION("CONCATENATE(GOOGLETRANSLATE(B1445, ""en"", ""zh-cn""))"),"此插件已成功更新")</f>
        <v>此插件已成功更新</v>
      </c>
      <c r="D1445" s="1" t="str">
        <f>IFERROR(__xludf.DUMMYFUNCTION("CONCATENATE(GOOGLETRANSLATE(B1445, ""en"", ""ko""))"),"이 애드온이 성공적으로 업데이트되었습니다.")</f>
        <v>이 애드온이 성공적으로 업데이트되었습니다.</v>
      </c>
      <c r="E1445" s="2" t="str">
        <f>IFERROR(__xludf.DUMMYFUNCTION("CONCATENATE(GOOGLETRANSLATE(B1445, ""en"", ""ja""))"),"このアドオンは正常に更新されました")</f>
        <v>このアドオンは正常に更新されました</v>
      </c>
    </row>
    <row r="1446" ht="15.75" customHeight="1">
      <c r="A1446" s="1" t="s">
        <v>2809</v>
      </c>
      <c r="B1446" s="1" t="s">
        <v>2810</v>
      </c>
      <c r="C1446" s="1" t="str">
        <f>IFERROR(__xludf.DUMMYFUNCTION("CONCATENATE(GOOGLETRANSLATE(B1446, ""en"", ""zh-cn""))"),"不退还")</f>
        <v>不退还</v>
      </c>
      <c r="D1446" s="1" t="str">
        <f>IFERROR(__xludf.DUMMYFUNCTION("CONCATENATE(GOOGLETRANSLATE(B1446, ""en"", ""ko""))"),"환불 불가")</f>
        <v>환불 불가</v>
      </c>
      <c r="E1446" s="2" t="str">
        <f>IFERROR(__xludf.DUMMYFUNCTION("CONCATENATE(GOOGLETRANSLATE(B1446, ""en"", ""ja""))"),"返金不可")</f>
        <v>返金不可</v>
      </c>
    </row>
    <row r="1447" ht="15.75" customHeight="1">
      <c r="A1447" s="1" t="s">
        <v>2811</v>
      </c>
      <c r="B1447" s="1" t="s">
        <v>2812</v>
      </c>
      <c r="C1447" s="1" t="str">
        <f>IFERROR(__xludf.DUMMYFUNCTION("CONCATENATE(GOOGLETRANSLATE(B1447, ""en"", ""zh-cn""))"),"已完成离线充值。请等待回复。")</f>
        <v>已完成离线充值。请等待回复。</v>
      </c>
      <c r="D1447" s="1" t="str">
        <f>IFERROR(__xludf.DUMMYFUNCTION("CONCATENATE(GOOGLETRANSLATE(B1447, ""en"", ""ko""))"),"오프라인 충전이 완료되었습니다. 응답을 기다려 주십시오.")</f>
        <v>오프라인 충전이 완료되었습니다. 응답을 기다려 주십시오.</v>
      </c>
      <c r="E1447" s="2" t="str">
        <f>IFERROR(__xludf.DUMMYFUNCTION("CONCATENATE(GOOGLETRANSLATE(B1447, ""en"", ""ja""))"),"オフラインリチャージが完了しました。返答をお待ちください。")</f>
        <v>オフラインリチャージが完了しました。返答をお待ちください。</v>
      </c>
    </row>
    <row r="1448" ht="15.75" customHeight="1">
      <c r="A1448" s="1" t="s">
        <v>2813</v>
      </c>
      <c r="B1448" s="1" t="s">
        <v>2814</v>
      </c>
      <c r="C1448" s="1" t="str">
        <f>IFERROR(__xludf.DUMMYFUNCTION("CONCATENATE(GOOGLETRANSLATE(B1448, ""en"", ""zh-cn""))"),"使用电话代替")</f>
        <v>使用电话代替</v>
      </c>
      <c r="D1448" s="1" t="str">
        <f>IFERROR(__xludf.DUMMYFUNCTION("CONCATENATE(GOOGLETRANSLATE(B1448, ""en"", ""ko""))"),"대신 전화를 사용하세요")</f>
        <v>대신 전화를 사용하세요</v>
      </c>
      <c r="E1448" s="2" t="str">
        <f>IFERROR(__xludf.DUMMYFUNCTION("CONCATENATE(GOOGLETRANSLATE(B1448, ""en"", ""ja""))"),"代わりに電話を使用する")</f>
        <v>代わりに電話を使用する</v>
      </c>
    </row>
    <row r="1449" ht="15.75" customHeight="1">
      <c r="A1449" s="1" t="s">
        <v>2815</v>
      </c>
      <c r="B1449" s="1" t="s">
        <v>2816</v>
      </c>
      <c r="C1449" s="1" t="str">
        <f>IFERROR(__xludf.DUMMYFUNCTION("CONCATENATE(GOOGLETRANSLATE(B1449, ""en"", ""zh-cn""))"),"电话验证")</f>
        <v>电话验证</v>
      </c>
      <c r="D1449" s="1" t="str">
        <f>IFERROR(__xludf.DUMMYFUNCTION("CONCATENATE(GOOGLETRANSLATE(B1449, ""en"", ""ko""))"),"전화인증")</f>
        <v>전화인증</v>
      </c>
      <c r="E1449" s="2" t="str">
        <f>IFERROR(__xludf.DUMMYFUNCTION("CONCATENATE(GOOGLETRANSLATE(B1449, ""en"", ""ja""))"),"電話認証")</f>
        <v>電話認証</v>
      </c>
    </row>
    <row r="1450" ht="15.75" customHeight="1">
      <c r="A1450" s="1" t="s">
        <v>2817</v>
      </c>
      <c r="B1450" s="1" t="s">
        <v>2818</v>
      </c>
      <c r="C1450" s="1" t="str">
        <f>IFERROR(__xludf.DUMMYFUNCTION("CONCATENATE(GOOGLETRANSLATE(B1450, ""en"", ""zh-cn""))"),"重新发送代码")</f>
        <v>重新发送代码</v>
      </c>
      <c r="D1450" s="1" t="str">
        <f>IFERROR(__xludf.DUMMYFUNCTION("CONCATENATE(GOOGLETRANSLATE(B1450, ""en"", ""ko""))"),"코드 재전송")</f>
        <v>코드 재전송</v>
      </c>
      <c r="E1450" s="2" t="str">
        <f>IFERROR(__xludf.DUMMYFUNCTION("CONCATENATE(GOOGLETRANSLATE(B1450, ""en"", ""ja""))"),"コードを再送信する")</f>
        <v>コードを再送信する</v>
      </c>
    </row>
    <row r="1451" ht="15.75" customHeight="1">
      <c r="A1451" s="1" t="s">
        <v>2819</v>
      </c>
      <c r="B1451" s="1" t="s">
        <v>2820</v>
      </c>
      <c r="C1451" s="1" t="str">
        <f>IFERROR(__xludf.DUMMYFUNCTION("CONCATENATE(GOOGLETRANSLATE(B1451, ""en"", ""zh-cn""))"),"员工信息")</f>
        <v>员工信息</v>
      </c>
      <c r="D1451" s="1" t="str">
        <f>IFERROR(__xludf.DUMMYFUNCTION("CONCATENATE(GOOGLETRANSLATE(B1451, ""en"", ""ko""))"),"직원 정보")</f>
        <v>직원 정보</v>
      </c>
      <c r="E1451" s="2" t="str">
        <f>IFERROR(__xludf.DUMMYFUNCTION("CONCATENATE(GOOGLETRANSLATE(B1451, ""en"", ""ja""))"),"スタッフ紹介")</f>
        <v>スタッフ紹介</v>
      </c>
    </row>
    <row r="1452" ht="15.75" customHeight="1">
      <c r="A1452" s="1" t="s">
        <v>2821</v>
      </c>
      <c r="B1452" s="1" t="s">
        <v>2822</v>
      </c>
      <c r="C1452" s="1" t="str">
        <f>IFERROR(__xludf.DUMMYFUNCTION("CONCATENATE(GOOGLETRANSLATE(B1452, ""en"", ""zh-cn""))"),"人员已成功插入")</f>
        <v>人员已成功插入</v>
      </c>
      <c r="D1452" s="1" t="str">
        <f>IFERROR(__xludf.DUMMYFUNCTION("CONCATENATE(GOOGLETRANSLATE(B1452, ""en"", ""ko""))"),"직원이 성공적으로 삽입되었습니다.")</f>
        <v>직원이 성공적으로 삽입되었습니다.</v>
      </c>
      <c r="E1452" s="2" t="str">
        <f>IFERROR(__xludf.DUMMYFUNCTION("CONCATENATE(GOOGLETRANSLATE(B1452, ""en"", ""ja""))"),"譜表が正常に挿入されました")</f>
        <v>譜表が正常に挿入されました</v>
      </c>
    </row>
    <row r="1453" ht="15.75" customHeight="1">
      <c r="A1453" s="1" t="s">
        <v>2823</v>
      </c>
      <c r="B1453" s="1" t="s">
        <v>2824</v>
      </c>
      <c r="C1453" s="1" t="str">
        <f>IFERROR(__xludf.DUMMYFUNCTION("CONCATENATE(GOOGLETRANSLATE(B1453, ""en"", ""zh-cn""))"),"角色信息")</f>
        <v>角色信息</v>
      </c>
      <c r="D1453" s="1" t="str">
        <f>IFERROR(__xludf.DUMMYFUNCTION("CONCATENATE(GOOGLETRANSLATE(B1453, ""en"", ""ko""))"),"역할 정보")</f>
        <v>역할 정보</v>
      </c>
      <c r="E1453" s="2" t="str">
        <f>IFERROR(__xludf.DUMMYFUNCTION("CONCATENATE(GOOGLETRANSLATE(B1453, ""en"", ""ja""))"),"役割情報")</f>
        <v>役割情報</v>
      </c>
    </row>
    <row r="1454" ht="15.75" customHeight="1">
      <c r="A1454" s="1" t="s">
        <v>2825</v>
      </c>
      <c r="B1454" s="1" t="s">
        <v>2826</v>
      </c>
      <c r="C1454" s="1" t="str">
        <f>IFERROR(__xludf.DUMMYFUNCTION("CONCATENATE(GOOGLETRANSLATE(B1454, ""en"", ""zh-cn""))"),"权限")</f>
        <v>权限</v>
      </c>
      <c r="D1454" s="1" t="str">
        <f>IFERROR(__xludf.DUMMYFUNCTION("CONCATENATE(GOOGLETRANSLATE(B1454, ""en"", ""ko""))"),"권한")</f>
        <v>권한</v>
      </c>
      <c r="E1454" s="2" t="str">
        <f>IFERROR(__xludf.DUMMYFUNCTION("CONCATENATE(GOOGLETRANSLATE(B1454, ""en"", ""ja""))"),"権限")</f>
        <v>権限</v>
      </c>
    </row>
    <row r="1455" ht="15.75" customHeight="1">
      <c r="A1455" s="1" t="s">
        <v>2827</v>
      </c>
      <c r="B1455" s="1" t="s">
        <v>2828</v>
      </c>
      <c r="C1455" s="1" t="str">
        <f>IFERROR(__xludf.DUMMYFUNCTION("CONCATENATE(GOOGLETRANSLATE(B1455, ""en"", ""zh-cn""))"),"角色已成功更新")</f>
        <v>角色已成功更新</v>
      </c>
      <c r="D1455" s="1" t="str">
        <f>IFERROR(__xludf.DUMMYFUNCTION("CONCATENATE(GOOGLETRANSLATE(B1455, ""en"", ""ko""))"),"역할이 성공적으로 업데이트되었습니다.")</f>
        <v>역할이 성공적으로 업데이트되었습니다.</v>
      </c>
      <c r="E1455" s="2" t="str">
        <f>IFERROR(__xludf.DUMMYFUNCTION("CONCATENATE(GOOGLETRANSLATE(B1455, ""en"", ""ja""))"),"役割が正常に更新されました")</f>
        <v>役割が正常に更新されました</v>
      </c>
    </row>
    <row r="1456" ht="15.75" customHeight="1">
      <c r="A1456" s="1" t="s">
        <v>2829</v>
      </c>
      <c r="B1456" s="1" t="s">
        <v>2830</v>
      </c>
      <c r="C1456" s="1" t="str">
        <f>IFERROR(__xludf.DUMMYFUNCTION("CONCATENATE(GOOGLETRANSLATE(B1456, ""en"", ""zh-cn""))"),"更新您的系统")</f>
        <v>更新您的系统</v>
      </c>
      <c r="D1456" s="1" t="str">
        <f>IFERROR(__xludf.DUMMYFUNCTION("CONCATENATE(GOOGLETRANSLATE(B1456, ""en"", ""ko""))"),"시스템 업데이트")</f>
        <v>시스템 업데이트</v>
      </c>
      <c r="E1456" s="2" t="str">
        <f>IFERROR(__xludf.DUMMYFUNCTION("CONCATENATE(GOOGLETRANSLATE(B1456, ""en"", ""ja""))"),"システムをアップデートしてください")</f>
        <v>システムをアップデートしてください</v>
      </c>
    </row>
    <row r="1457" ht="15.75" customHeight="1">
      <c r="A1457" s="1" t="s">
        <v>2831</v>
      </c>
      <c r="B1457" s="1" t="s">
        <v>2832</v>
      </c>
      <c r="C1457" s="1" t="str">
        <f>IFERROR(__xludf.DUMMYFUNCTION("CONCATENATE(GOOGLETRANSLATE(B1457, ""en"", ""zh-cn""))"),"当前版本")</f>
        <v>当前版本</v>
      </c>
      <c r="D1457" s="1" t="str">
        <f>IFERROR(__xludf.DUMMYFUNCTION("CONCATENATE(GOOGLETRANSLATE(B1457, ""en"", ""ko""))"),"현재 버전")</f>
        <v>현재 버전</v>
      </c>
      <c r="E1457" s="2" t="str">
        <f>IFERROR(__xludf.DUMMYFUNCTION("CONCATENATE(GOOGLETRANSLATE(B1457, ""en"", ""ja""))"),"現在のバージョン")</f>
        <v>現在のバージョン</v>
      </c>
    </row>
    <row r="1458" ht="15.75" customHeight="1">
      <c r="A1458" s="1" t="s">
        <v>2833</v>
      </c>
      <c r="B1458" s="1" t="s">
        <v>2834</v>
      </c>
      <c r="C1458" s="1" t="str">
        <f>IFERROR(__xludf.DUMMYFUNCTION("CONCATENATE(GOOGLETRANSLATE(B1458, ""en"", ""zh-cn""))"),"确保您的服务器符合所有要求。")</f>
        <v>确保您的服务器符合所有要求。</v>
      </c>
      <c r="D1458" s="1" t="str">
        <f>IFERROR(__xludf.DUMMYFUNCTION("CONCATENATE(GOOGLETRANSLATE(B1458, ""en"", ""ko""))"),"서버가 모든 요구 사항과 일치하는지 확인하십시오.")</f>
        <v>서버가 모든 요구 사항과 일치하는지 확인하십시오.</v>
      </c>
      <c r="E1458" s="2" t="str">
        <f>IFERROR(__xludf.DUMMYFUNCTION("CONCATENATE(GOOGLETRANSLATE(B1458, ""en"", ""ja""))"),"サーバーがすべての要件を満たしていることを確認してください。")</f>
        <v>サーバーがすべての要件を満たしていることを確認してください。</v>
      </c>
    </row>
    <row r="1459" ht="15.75" customHeight="1">
      <c r="A1459" s="1" t="s">
        <v>2835</v>
      </c>
      <c r="B1459" s="1" t="s">
        <v>2836</v>
      </c>
      <c r="C1459" s="1" t="str">
        <f>IFERROR(__xludf.DUMMYFUNCTION("CONCATENATE(GOOGLETRANSLATE(B1459, ""en"", ""zh-cn""))"),"检查这里")</f>
        <v>检查这里</v>
      </c>
      <c r="D1459" s="1" t="str">
        <f>IFERROR(__xludf.DUMMYFUNCTION("CONCATENATE(GOOGLETRANSLATE(B1459, ""en"", ""ko""))"),"여기에서 확인하세요")</f>
        <v>여기에서 확인하세요</v>
      </c>
      <c r="E1459" s="2" t="str">
        <f>IFERROR(__xludf.DUMMYFUNCTION("CONCATENATE(GOOGLETRANSLATE(B1459, ""en"", ""ja""))"),"ここをチェックしてください")</f>
        <v>ここをチェックしてください</v>
      </c>
    </row>
    <row r="1460" ht="15.75" customHeight="1">
      <c r="A1460" s="1" t="s">
        <v>2837</v>
      </c>
      <c r="B1460" s="1" t="s">
        <v>2838</v>
      </c>
      <c r="C1460" s="1" t="str">
        <f>IFERROR(__xludf.DUMMYFUNCTION("CONCATENATE(GOOGLETRANSLATE(B1460, ""en"", ""zh-cn""))"),"从 codecanyon 下载最新版本。")</f>
        <v>从 codecanyon 下载最新版本。</v>
      </c>
      <c r="D1460" s="1" t="str">
        <f>IFERROR(__xludf.DUMMYFUNCTION("CONCATENATE(GOOGLETRANSLATE(B1460, ""en"", ""ko""))"),"Codecanyon에서 최신 버전을 다운로드하세요.")</f>
        <v>Codecanyon에서 최신 버전을 다운로드하세요.</v>
      </c>
      <c r="E1460" s="2" t="str">
        <f>IFERROR(__xludf.DUMMYFUNCTION("CONCATENATE(GOOGLETRANSLATE(B1460, ""en"", ""ja""))"),"codecanyon から最新バージョンをダウンロードします。")</f>
        <v>codecanyon から最新バージョンをダウンロードします。</v>
      </c>
    </row>
    <row r="1461" ht="15.75" customHeight="1">
      <c r="A1461" s="1" t="s">
        <v>2839</v>
      </c>
      <c r="B1461" s="1" t="s">
        <v>2840</v>
      </c>
      <c r="C1461" s="1" t="str">
        <f>IFERROR(__xludf.DUMMYFUNCTION("CONCATENATE(GOOGLETRANSLATE(B1461, ""en"", ""zh-cn""))"),"解压下载的 zip 文件。您将在这些提取的文件中找到updates.zip 文件。")</f>
        <v>解压下载的 zip 文件。您将在这些提取的文件中找到updates.zip 文件。</v>
      </c>
      <c r="D1461" s="1" t="str">
        <f>IFERROR(__xludf.DUMMYFUNCTION("CONCATENATE(GOOGLETRANSLATE(B1461, ""en"", ""ko""))"),"다운로드한 zip을 추출합니다. 추출된 파일에서 presents.zip 파일을 찾을 수 있습니다.")</f>
        <v>다운로드한 zip을 추출합니다. 추출된 파일에서 presents.zip 파일을 찾을 수 있습니다.</v>
      </c>
      <c r="E1461" s="2" t="str">
        <f>IFERROR(__xludf.DUMMYFUNCTION("CONCATENATE(GOOGLETRANSLATE(B1461, ""en"", ""ja""))"),"ダウンロードしたzipを解凍します。抽出されたファイルの中に、updates.zip ファイルがあります。")</f>
        <v>ダウンロードしたzipを解凍します。抽出されたファイルの中に、updates.zip ファイルがあります。</v>
      </c>
    </row>
    <row r="1462" ht="15.75" customHeight="1">
      <c r="A1462" s="1" t="s">
        <v>2841</v>
      </c>
      <c r="B1462" s="1" t="s">
        <v>2842</v>
      </c>
      <c r="C1462" s="1" t="str">
        <f>IFERROR(__xludf.DUMMYFUNCTION("CONCATENATE(GOOGLETRANSLATE(B1462, ""en"", ""zh-cn""))"),"在此处上传该 zip 文件并单击立即更新。")</f>
        <v>在此处上传该 zip 文件并单击立即更新。</v>
      </c>
      <c r="D1462" s="1" t="str">
        <f>IFERROR(__xludf.DUMMYFUNCTION("CONCATENATE(GOOGLETRANSLATE(B1462, ""en"", ""ko""))"),"여기에 해당 zip 파일을 업로드하고 지금 업데이트를 클릭하세요.")</f>
        <v>여기에 해당 zip 파일을 업로드하고 지금 업데이트를 클릭하세요.</v>
      </c>
      <c r="E1462" s="2" t="str">
        <f>IFERROR(__xludf.DUMMYFUNCTION("CONCATENATE(GOOGLETRANSLATE(B1462, ""en"", ""ja""))"),"その zip ファイルをここにアップロードし、今すぐ更新をクリックします。")</f>
        <v>その zip ファイルをここにアップロードし、今すぐ更新をクリックします。</v>
      </c>
    </row>
    <row r="1463" ht="15.75" customHeight="1">
      <c r="A1463" s="1" t="s">
        <v>2843</v>
      </c>
      <c r="B1463" s="1" t="s">
        <v>2844</v>
      </c>
      <c r="C1463" s="1" t="str">
        <f>IFERROR(__xludf.DUMMYFUNCTION("CONCATENATE(GOOGLETRANSLATE(B1463, ""en"", ""zh-cn""))"),"如果您正在使用任何插件，请确保在更新后更新这些插件。")</f>
        <v>如果您正在使用任何插件，请确保在更新后更新这些插件。</v>
      </c>
      <c r="D1463" s="1" t="str">
        <f>IFERROR(__xludf.DUMMYFUNCTION("CONCATENATE(GOOGLETRANSLATE(B1463, ""en"", ""ko""))"),"애드온을 사용하는 경우 업데이트 후에 해당 애드온을 업데이트하세요.")</f>
        <v>애드온을 사용하는 경우 업데이트 후에 해당 애드온을 업데이트하세요.</v>
      </c>
      <c r="E1463" s="2" t="str">
        <f>IFERROR(__xludf.DUMMYFUNCTION("CONCATENATE(GOOGLETRANSLATE(B1463, ""en"", ""ja""))"),"アドオンを使用している場合は、更新後に必ずそれらのアドオンを更新してください。")</f>
        <v>アドオンを使用している場合は、更新後に必ずそれらのアドオンを更新してください。</v>
      </c>
    </row>
    <row r="1464" ht="15.75" customHeight="1">
      <c r="A1464" s="1" t="s">
        <v>2845</v>
      </c>
      <c r="B1464" s="1" t="s">
        <v>2846</v>
      </c>
      <c r="C1464" s="1" t="str">
        <f>IFERROR(__xludf.DUMMYFUNCTION("CONCATENATE(GOOGLETRANSLATE(B1464, ""en"", ""zh-cn""))"),"套餐期限")</f>
        <v>套餐期限</v>
      </c>
      <c r="D1464" s="1" t="str">
        <f>IFERROR(__xludf.DUMMYFUNCTION("CONCATENATE(GOOGLETRANSLATE(B1464, ""en"", ""ko""))"),"패키지 기간")</f>
        <v>패키지 기간</v>
      </c>
      <c r="E1464" s="2" t="str">
        <f>IFERROR(__xludf.DUMMYFUNCTION("CONCATENATE(GOOGLETRANSLATE(B1464, ""en"", ""ja""))"),"パッケージ期間")</f>
        <v>パッケージ期間</v>
      </c>
    </row>
    <row r="1465" ht="15.75" customHeight="1">
      <c r="A1465" s="1" t="s">
        <v>2847</v>
      </c>
      <c r="B1465" s="1" t="s">
        <v>2848</v>
      </c>
      <c r="C1465" s="1" t="str">
        <f>IFERROR(__xludf.DUMMYFUNCTION("CONCATENATE(GOOGLETRANSLATE(B1465, ""en"", ""zh-cn""))"),"数字产品上传剩余")</f>
        <v>数字产品上传剩余</v>
      </c>
      <c r="D1465" s="1" t="str">
        <f>IFERROR(__xludf.DUMMYFUNCTION("CONCATENATE(GOOGLETRANSLATE(B1465, ""en"", ""ko""))"),"디지털 제품 업로드 남음")</f>
        <v>디지털 제품 업로드 남음</v>
      </c>
      <c r="E1465" s="2" t="str">
        <f>IFERROR(__xludf.DUMMYFUNCTION("CONCATENATE(GOOGLETRANSLATE(B1465, ""en"", ""ja""))"),"デジタル製品のアップロードが残っています")</f>
        <v>デジタル製品のアップロードが残っています</v>
      </c>
    </row>
    <row r="1466" ht="15.75" customHeight="1">
      <c r="A1466" s="1" t="s">
        <v>2849</v>
      </c>
      <c r="B1466" s="1" t="s">
        <v>2850</v>
      </c>
      <c r="C1466" s="1" t="str">
        <f>IFERROR(__xludf.DUMMYFUNCTION("CONCATENATE(GOOGLETRANSLATE(B1466, ""en"", ""zh-cn""))"),"包裹到期时间")</f>
        <v>包裹到期时间</v>
      </c>
      <c r="D1466" s="1" t="str">
        <f>IFERROR(__xludf.DUMMYFUNCTION("CONCATENATE(GOOGLETRANSLATE(B1466, ""en"", ""ko""))"),"패키지 만료 시간:")</f>
        <v>패키지 만료 시간:</v>
      </c>
      <c r="E1466" s="2" t="str">
        <f>IFERROR(__xludf.DUMMYFUNCTION("CONCATENATE(GOOGLETRANSLATE(B1466, ""en"", ""ja""))"),"パッケージの有効期限は次のとおりです")</f>
        <v>パッケージの有効期限は次のとおりです</v>
      </c>
    </row>
    <row r="1467" ht="15.75" customHeight="1">
      <c r="A1467" s="1" t="s">
        <v>2851</v>
      </c>
      <c r="B1467" s="1" t="s">
        <v>2852</v>
      </c>
      <c r="C1467" s="1" t="str">
        <f>IFERROR(__xludf.DUMMYFUNCTION("CONCATENATE(GOOGLETRANSLATE(B1467, ""en"", ""zh-cn""))"),"好的。我明白了")</f>
        <v>好的。我明白了</v>
      </c>
      <c r="D1467" s="1" t="str">
        <f>IFERROR(__xludf.DUMMYFUNCTION("CONCATENATE(GOOGLETRANSLATE(B1467, ""en"", ""ko""))"),"좋아요. 나는 이해했다")</f>
        <v>좋아요. 나는 이해했다</v>
      </c>
      <c r="E1467" s="2" t="str">
        <f>IFERROR(__xludf.DUMMYFUNCTION("CONCATENATE(GOOGLETRANSLATE(B1467, ""en"", ""ja""))"),"わかりました。分かりました")</f>
        <v>わかりました。分かりました</v>
      </c>
    </row>
    <row r="1468" ht="15.75" customHeight="1">
      <c r="A1468" s="1" t="s">
        <v>2853</v>
      </c>
      <c r="B1468" s="1" t="s">
        <v>2854</v>
      </c>
      <c r="C1468" s="1" t="str">
        <f>IFERROR(__xludf.DUMMYFUNCTION("CONCATENATE(GOOGLETRANSLATE(B1468, ""en"", ""zh-cn""))"),"佣金历史")</f>
        <v>佣金历史</v>
      </c>
      <c r="D1468" s="1" t="str">
        <f>IFERROR(__xludf.DUMMYFUNCTION("CONCATENATE(GOOGLETRANSLATE(B1468, ""en"", ""ko""))"),"커미션 내역")</f>
        <v>커미션 내역</v>
      </c>
      <c r="E1468" s="2" t="str">
        <f>IFERROR(__xludf.DUMMYFUNCTION("CONCATENATE(GOOGLETRANSLATE(B1468, ""en"", ""ja""))"),"委員会の歴史")</f>
        <v>委員会の歴史</v>
      </c>
    </row>
    <row r="1469" ht="15.75" customHeight="1">
      <c r="A1469" s="1" t="s">
        <v>2855</v>
      </c>
      <c r="B1469" s="1" t="s">
        <v>2856</v>
      </c>
      <c r="C1469" s="1" t="str">
        <f>IFERROR(__xludf.DUMMYFUNCTION("CONCATENATE(GOOGLETRANSLATE(B1469, ""en"", ""zh-cn""))"),"增值税和税费")</f>
        <v>增值税和税费</v>
      </c>
      <c r="D1469" s="1" t="str">
        <f>IFERROR(__xludf.DUMMYFUNCTION("CONCATENATE(GOOGLETRANSLATE(B1469, ""en"", ""ko""))"),"부가세 및 세금")</f>
        <v>부가세 및 세금</v>
      </c>
      <c r="E1469" s="2" t="str">
        <f>IFERROR(__xludf.DUMMYFUNCTION("CONCATENATE(GOOGLETRANSLATE(B1469, ""en"", ""ja""))"),"付加価値税と税金")</f>
        <v>付加価値税と税金</v>
      </c>
    </row>
    <row r="1470" ht="15.75" customHeight="1">
      <c r="A1470" s="1" t="s">
        <v>2857</v>
      </c>
      <c r="B1470" s="1" t="s">
        <v>2858</v>
      </c>
      <c r="C1470" s="1" t="str">
        <f>IFERROR(__xludf.DUMMYFUNCTION("CONCATENATE(GOOGLETRANSLATE(B1470, ""en"", ""zh-cn""))"),"信息")</f>
        <v>信息</v>
      </c>
      <c r="D1470" s="1" t="str">
        <f>IFERROR(__xludf.DUMMYFUNCTION("CONCATENATE(GOOGLETRANSLATE(B1470, ""en"", ""ko""))"),"정보")</f>
        <v>정보</v>
      </c>
      <c r="E1470" s="2" t="str">
        <f>IFERROR(__xludf.DUMMYFUNCTION("CONCATENATE(GOOGLETRANSLATE(B1470, ""en"", ""ja""))"),"情報")</f>
        <v>情報</v>
      </c>
    </row>
    <row r="1471" ht="15.75" customHeight="1">
      <c r="A1471" s="1" t="s">
        <v>2859</v>
      </c>
      <c r="B1471" s="1" t="s">
        <v>2860</v>
      </c>
      <c r="C1471" s="1" t="str">
        <f>IFERROR(__xludf.DUMMYFUNCTION("CONCATENATE(GOOGLETRANSLATE(B1471, ""en"", ""zh-cn""))"),"产品明智运输")</f>
        <v>产品明智运输</v>
      </c>
      <c r="D1471" s="1" t="str">
        <f>IFERROR(__xludf.DUMMYFUNCTION("CONCATENATE(GOOGLETRANSLATE(B1471, ""en"", ""ko""))"),"제품 현명한 배송")</f>
        <v>제품 현명한 배송</v>
      </c>
      <c r="E1471" s="2" t="str">
        <f>IFERROR(__xludf.DUMMYFUNCTION("CONCATENATE(GOOGLETRANSLATE(B1471, ""en"", ""ja""))"),"製品ごとの配送")</f>
        <v>製品ごとの配送</v>
      </c>
    </row>
    <row r="1472" ht="15.75" customHeight="1">
      <c r="A1472" s="1" t="s">
        <v>2861</v>
      </c>
      <c r="B1472" s="1" t="s">
        <v>2862</v>
      </c>
      <c r="C1472" s="1" t="str">
        <f>IFERROR(__xludf.DUMMYFUNCTION("CONCATENATE(GOOGLETRANSLATE(B1472, ""en"", ""zh-cn""))"),"库存不足警告")</f>
        <v>库存不足警告</v>
      </c>
      <c r="D1472" s="1" t="str">
        <f>IFERROR(__xludf.DUMMYFUNCTION("CONCATENATE(GOOGLETRANSLATE(B1472, ""en"", ""ko""))"),"재고 수량 부족 경고")</f>
        <v>재고 수량 부족 경고</v>
      </c>
      <c r="E1472" s="2" t="str">
        <f>IFERROR(__xludf.DUMMYFUNCTION("CONCATENATE(GOOGLETRANSLATE(B1472, ""en"", ""ja""))"),"在庫数量不足の警告")</f>
        <v>在庫数量不足の警告</v>
      </c>
    </row>
    <row r="1473" ht="15.75" customHeight="1">
      <c r="A1473" s="1" t="s">
        <v>2863</v>
      </c>
      <c r="B1473" s="1" t="s">
        <v>2864</v>
      </c>
      <c r="C1473" s="1" t="str">
        <f>IFERROR(__xludf.DUMMYFUNCTION("CONCATENATE(GOOGLETRANSLATE(B1473, ""en"", ""zh-cn""))"),"库存可见性状态")</f>
        <v>库存可见性状态</v>
      </c>
      <c r="D1473" s="1" t="str">
        <f>IFERROR(__xludf.DUMMYFUNCTION("CONCATENATE(GOOGLETRANSLATE(B1473, ""en"", ""ko""))"),"재고 가시성 상태")</f>
        <v>재고 가시성 상태</v>
      </c>
      <c r="E1473" s="2" t="str">
        <f>IFERROR(__xludf.DUMMYFUNCTION("CONCATENATE(GOOGLETRANSLATE(B1473, ""en"", ""ja""))"),"在庫の可視性の状態")</f>
        <v>在庫の可視性の状態</v>
      </c>
    </row>
    <row r="1474" ht="15.75" customHeight="1">
      <c r="A1474" s="1" t="s">
        <v>2865</v>
      </c>
      <c r="B1474" s="1" t="s">
        <v>2866</v>
      </c>
      <c r="C1474" s="1" t="str">
        <f>IFERROR(__xludf.DUMMYFUNCTION("CONCATENATE(GOOGLETRANSLATE(B1474, ""en"", ""zh-cn""))"),"显示库存数量")</f>
        <v>显示库存数量</v>
      </c>
      <c r="D1474" s="1" t="str">
        <f>IFERROR(__xludf.DUMMYFUNCTION("CONCATENATE(GOOGLETRANSLATE(B1474, ""en"", ""ko""))"),"재고 수량 표시")</f>
        <v>재고 수량 표시</v>
      </c>
      <c r="E1474" s="2" t="str">
        <f>IFERROR(__xludf.DUMMYFUNCTION("CONCATENATE(GOOGLETRANSLATE(B1474, ""en"", ""ja""))"),"在庫数を表示する")</f>
        <v>在庫数を表示する</v>
      </c>
    </row>
    <row r="1475" ht="15.75" customHeight="1">
      <c r="A1475" s="1" t="s">
        <v>2867</v>
      </c>
      <c r="B1475" s="1" t="s">
        <v>2868</v>
      </c>
      <c r="C1475" s="1" t="str">
        <f>IFERROR(__xludf.DUMMYFUNCTION("CONCATENATE(GOOGLETRANSLATE(B1475, ""en"", ""zh-cn""))"),"仅显示带有文本的库存")</f>
        <v>仅显示带有文本的库存</v>
      </c>
      <c r="D1475" s="1" t="str">
        <f>IFERROR(__xludf.DUMMYFUNCTION("CONCATENATE(GOOGLETRANSLATE(B1475, ""en"", ""ko""))"),"텍스트로만 주식 표시")</f>
        <v>텍스트로만 주식 표시</v>
      </c>
      <c r="E1475" s="2" t="str">
        <f>IFERROR(__xludf.DUMMYFUNCTION("CONCATENATE(GOOGLETRANSLATE(B1475, ""en"", ""ja""))"),"在庫をテキストのみで表示")</f>
        <v>在庫をテキストのみで表示</v>
      </c>
    </row>
    <row r="1476" ht="15.75" customHeight="1">
      <c r="A1476" s="1" t="s">
        <v>2869</v>
      </c>
      <c r="B1476" s="1" t="s">
        <v>2870</v>
      </c>
      <c r="C1476" s="1" t="str">
        <f>IFERROR(__xludf.DUMMYFUNCTION("CONCATENATE(GOOGLETRANSLATE(B1476, ""en"", ""zh-cn""))"),"隐藏库存")</f>
        <v>隐藏库存</v>
      </c>
      <c r="D1476" s="1" t="str">
        <f>IFERROR(__xludf.DUMMYFUNCTION("CONCATENATE(GOOGLETRANSLATE(B1476, ""en"", ""ko""))"),"재고 숨기기")</f>
        <v>재고 숨기기</v>
      </c>
      <c r="E1476" s="2" t="str">
        <f>IFERROR(__xludf.DUMMYFUNCTION("CONCATENATE(GOOGLETRANSLATE(B1476, ""en"", ""ja""))"),"在庫を隠す")</f>
        <v>在庫を隠す</v>
      </c>
    </row>
    <row r="1477" ht="15.75" customHeight="1">
      <c r="A1477" s="1" t="s">
        <v>2871</v>
      </c>
      <c r="B1477" s="1" t="s">
        <v>2872</v>
      </c>
      <c r="C1477" s="1" t="str">
        <f>IFERROR(__xludf.DUMMYFUNCTION("CONCATENATE(GOOGLETRANSLATE(B1477, ""en"", ""zh-cn""))"),"闪购")</f>
        <v>闪购</v>
      </c>
      <c r="D1477" s="1" t="str">
        <f>IFERROR(__xludf.DUMMYFUNCTION("CONCATENATE(GOOGLETRANSLATE(B1477, ""en"", ""ko""))"),"플래시 딜")</f>
        <v>플래시 딜</v>
      </c>
      <c r="E1477" s="2" t="str">
        <f>IFERROR(__xludf.DUMMYFUNCTION("CONCATENATE(GOOGLETRANSLATE(B1477, ""en"", ""ja""))"),"フラッシュディール")</f>
        <v>フラッシュディール</v>
      </c>
    </row>
    <row r="1478" ht="15.75" customHeight="1">
      <c r="A1478" s="1" t="s">
        <v>2873</v>
      </c>
      <c r="B1478" s="1" t="s">
        <v>2874</v>
      </c>
      <c r="C1478" s="1" t="str">
        <f>IFERROR(__xludf.DUMMYFUNCTION("CONCATENATE(GOOGLETRANSLATE(B1478, ""en"", ""zh-cn""))"),"添加到闪存")</f>
        <v>添加到闪存</v>
      </c>
      <c r="D1478" s="1" t="str">
        <f>IFERROR(__xludf.DUMMYFUNCTION("CONCATENATE(GOOGLETRANSLATE(B1478, ""en"", ""ko""))"),"플래시에 추가")</f>
        <v>플래시에 추가</v>
      </c>
      <c r="E1478" s="2" t="str">
        <f>IFERROR(__xludf.DUMMYFUNCTION("CONCATENATE(GOOGLETRANSLATE(B1478, ""en"", ""ja""))"),"フラッシュに追加")</f>
        <v>フラッシュに追加</v>
      </c>
    </row>
    <row r="1479" ht="15.75" customHeight="1">
      <c r="A1479" s="1" t="s">
        <v>2875</v>
      </c>
      <c r="B1479" s="1" t="s">
        <v>2876</v>
      </c>
      <c r="C1479" s="1" t="str">
        <f>IFERROR(__xludf.DUMMYFUNCTION("CONCATENATE(GOOGLETRANSLATE(B1479, ""en"", ""zh-cn""))"),"预计运送时间")</f>
        <v>预计运送时间</v>
      </c>
      <c r="D1479" s="1" t="str">
        <f>IFERROR(__xludf.DUMMYFUNCTION("CONCATENATE(GOOGLETRANSLATE(B1479, ""en"", ""ko""))"),"예상 배송 시간")</f>
        <v>예상 배송 시간</v>
      </c>
      <c r="E1479" s="2" t="str">
        <f>IFERROR(__xludf.DUMMYFUNCTION("CONCATENATE(GOOGLETRANSLATE(B1479, ""en"", ""ja""))"),"配送時間の見積もり")</f>
        <v>配送時間の見積もり</v>
      </c>
    </row>
    <row r="1480" ht="15.75" customHeight="1">
      <c r="A1480" s="1" t="s">
        <v>2877</v>
      </c>
      <c r="B1480" s="1" t="s">
        <v>2878</v>
      </c>
      <c r="C1480" s="1" t="str">
        <f>IFERROR(__xludf.DUMMYFUNCTION("CONCATENATE(GOOGLETRANSLATE(B1480, ""en"", ""zh-cn""))"),"运送天数")</f>
        <v>运送天数</v>
      </c>
      <c r="D1480" s="1" t="str">
        <f>IFERROR(__xludf.DUMMYFUNCTION("CONCATENATE(GOOGLETRANSLATE(B1480, ""en"", ""ko""))"),"배송일")</f>
        <v>배송일</v>
      </c>
      <c r="E1480" s="2" t="str">
        <f>IFERROR(__xludf.DUMMYFUNCTION("CONCATENATE(GOOGLETRANSLATE(B1480, ""en"", ""ja""))"),"出荷日数")</f>
        <v>出荷日数</v>
      </c>
    </row>
    <row r="1481" ht="15.75" customHeight="1">
      <c r="A1481" s="1" t="s">
        <v>2879</v>
      </c>
      <c r="B1481" s="1" t="s">
        <v>2880</v>
      </c>
      <c r="C1481" s="1" t="str">
        <f>IFERROR(__xludf.DUMMYFUNCTION("CONCATENATE(GOOGLETRANSLATE(B1481, ""en"", ""zh-cn""))"),"另存为草稿")</f>
        <v>另存为草稿</v>
      </c>
      <c r="D1481" s="1" t="str">
        <f>IFERROR(__xludf.DUMMYFUNCTION("CONCATENATE(GOOGLETRANSLATE(B1481, ""en"", ""ko""))"),"초안으로 저장")</f>
        <v>초안으로 저장</v>
      </c>
      <c r="E1481" s="2" t="str">
        <f>IFERROR(__xludf.DUMMYFUNCTION("CONCATENATE(GOOGLETRANSLATE(B1481, ""en"", ""ja""))"),"ドラフトとして保存")</f>
        <v>ドラフトとして保存</v>
      </c>
    </row>
    <row r="1482" ht="15.75" customHeight="1">
      <c r="A1482" s="1" t="s">
        <v>2881</v>
      </c>
      <c r="B1482" s="1" t="s">
        <v>2882</v>
      </c>
      <c r="C1482" s="1" t="str">
        <f>IFERROR(__xludf.DUMMYFUNCTION("CONCATENATE(GOOGLETRANSLATE(B1482, ""en"", ""zh-cn""))"),"保存并取消发布")</f>
        <v>保存并取消发布</v>
      </c>
      <c r="D1482" s="1" t="str">
        <f>IFERROR(__xludf.DUMMYFUNCTION("CONCATENATE(GOOGLETRANSLATE(B1482, ""en"", ""ko""))"),"저장 및 게시 취소")</f>
        <v>저장 및 게시 취소</v>
      </c>
      <c r="E1482" s="2" t="str">
        <f>IFERROR(__xludf.DUMMYFUNCTION("CONCATENATE(GOOGLETRANSLATE(B1482, ""en"", ""ja""))"),"保存して非公開にする")</f>
        <v>保存して非公開にする</v>
      </c>
    </row>
    <row r="1483" ht="15.75" customHeight="1">
      <c r="A1483" s="1" t="s">
        <v>2883</v>
      </c>
      <c r="B1483" s="1" t="s">
        <v>2884</v>
      </c>
      <c r="C1483" s="1" t="str">
        <f>IFERROR(__xludf.DUMMYFUNCTION("CONCATENATE(GOOGLETRANSLATE(B1483, ""en"", ""zh-cn""))"),"保存并发布")</f>
        <v>保存并发布</v>
      </c>
      <c r="D1483" s="1" t="str">
        <f>IFERROR(__xludf.DUMMYFUNCTION("CONCATENATE(GOOGLETRANSLATE(B1483, ""en"", ""ko""))"),"저장 및 게시")</f>
        <v>저장 및 게시</v>
      </c>
      <c r="E1483" s="2" t="str">
        <f>IFERROR(__xludf.DUMMYFUNCTION("CONCATENATE(GOOGLETRANSLATE(B1483, ""en"", ""ja""))"),"保存して公開")</f>
        <v>保存して公開</v>
      </c>
    </row>
    <row r="1484" ht="15.75" customHeight="1">
      <c r="A1484" s="1" t="s">
        <v>2885</v>
      </c>
      <c r="B1484" s="1" t="s">
        <v>2886</v>
      </c>
      <c r="C1484" s="1" t="str">
        <f>IFERROR(__xludf.DUMMYFUNCTION("CONCATENATE(GOOGLETRANSLATE(B1484, ""en"", ""zh-cn""))"),"所有城市")</f>
        <v>所有城市</v>
      </c>
      <c r="D1484" s="1" t="str">
        <f>IFERROR(__xludf.DUMMYFUNCTION("CONCATENATE(GOOGLETRANSLATE(B1484, ""en"", ""ko""))"),"모든 도시")</f>
        <v>모든 도시</v>
      </c>
      <c r="E1484" s="2" t="str">
        <f>IFERROR(__xludf.DUMMYFUNCTION("CONCATENATE(GOOGLETRANSLATE(B1484, ""en"", ""ja""))"),"すべての都市")</f>
        <v>すべての都市</v>
      </c>
    </row>
    <row r="1485" ht="15.75" customHeight="1">
      <c r="A1485" s="1" t="s">
        <v>2887</v>
      </c>
      <c r="B1485" s="1" t="s">
        <v>2888</v>
      </c>
      <c r="C1485" s="1" t="str">
        <f>IFERROR(__xludf.DUMMYFUNCTION("CONCATENATE(GOOGLETRANSLATE(B1485, ""en"", ""zh-cn""))"),"城市")</f>
        <v>城市</v>
      </c>
      <c r="D1485" s="1" t="str">
        <f>IFERROR(__xludf.DUMMYFUNCTION("CONCATENATE(GOOGLETRANSLATE(B1485, ""en"", ""ko""))"),"도시")</f>
        <v>도시</v>
      </c>
      <c r="E1485" s="2" t="str">
        <f>IFERROR(__xludf.DUMMYFUNCTION("CONCATENATE(GOOGLETRANSLATE(B1485, ""en"", ""ja""))"),"都市")</f>
        <v>都市</v>
      </c>
    </row>
    <row r="1486" ht="15.75" customHeight="1">
      <c r="A1486" s="1" t="s">
        <v>2889</v>
      </c>
      <c r="B1486" s="1" t="s">
        <v>2890</v>
      </c>
      <c r="C1486" s="1" t="str">
        <f>IFERROR(__xludf.DUMMYFUNCTION("CONCATENATE(GOOGLETRANSLATE(B1486, ""en"", ""zh-cn""))"),"成本")</f>
        <v>成本</v>
      </c>
      <c r="D1486" s="1" t="str">
        <f>IFERROR(__xludf.DUMMYFUNCTION("CONCATENATE(GOOGLETRANSLATE(B1486, ""en"", ""ko""))"),"비용")</f>
        <v>비용</v>
      </c>
      <c r="E1486" s="2" t="str">
        <f>IFERROR(__xludf.DUMMYFUNCTION("CONCATENATE(GOOGLETRANSLATE(B1486, ""en"", ""ja""))"),"料金")</f>
        <v>料金</v>
      </c>
    </row>
    <row r="1487" ht="15.75" customHeight="1">
      <c r="A1487" s="1" t="s">
        <v>2891</v>
      </c>
      <c r="B1487" s="1" t="s">
        <v>2892</v>
      </c>
      <c r="C1487" s="1" t="str">
        <f>IFERROR(__xludf.DUMMYFUNCTION("CONCATENATE(GOOGLETRANSLATE(B1487, ""en"", ""zh-cn""))"),"添加新城市")</f>
        <v>添加新城市</v>
      </c>
      <c r="D1487" s="1" t="str">
        <f>IFERROR(__xludf.DUMMYFUNCTION("CONCATENATE(GOOGLETRANSLATE(B1487, ""en"", ""ko""))"),"새로운 도시 추가")</f>
        <v>새로운 도시 추가</v>
      </c>
      <c r="E1487" s="2" t="str">
        <f>IFERROR(__xludf.DUMMYFUNCTION("CONCATENATE(GOOGLETRANSLATE(B1487, ""en"", ""ja""))"),"新しい都市を追加")</f>
        <v>新しい都市を追加</v>
      </c>
    </row>
    <row r="1488" ht="15.75" customHeight="1">
      <c r="A1488" s="1" t="s">
        <v>2893</v>
      </c>
      <c r="B1488" s="1" t="s">
        <v>2894</v>
      </c>
      <c r="C1488" s="1" t="str">
        <f>IFERROR(__xludf.DUMMYFUNCTION("CONCATENATE(GOOGLETRANSLATE(B1488, ""en"", ""zh-cn""))")," 分")</f>
        <v> 分</v>
      </c>
      <c r="D1488" s="1" t="str">
        <f>IFERROR(__xludf.DUMMYFUNCTION("CONCATENATE(GOOGLETRANSLATE(B1488, ""en"", ""ko""))")," 포인트")</f>
        <v> 포인트</v>
      </c>
      <c r="E1488" s="2" t="str">
        <f>IFERROR(__xludf.DUMMYFUNCTION("CONCATENATE(GOOGLETRANSLATE(B1488, ""en"", ""ja""))")," ポイント")</f>
        <v> ポイント</v>
      </c>
    </row>
    <row r="1489" ht="15.75" customHeight="1">
      <c r="A1489" s="1" t="s">
        <v>2895</v>
      </c>
      <c r="B1489" s="1" t="s">
        <v>2896</v>
      </c>
      <c r="C1489" s="1" t="str">
        <f>IFERROR(__xludf.DUMMYFUNCTION("CONCATENATE(GOOGLETRANSLATE(B1489, ""en"", ""zh-cn""))"),"不")</f>
        <v>不</v>
      </c>
      <c r="D1489" s="1" t="str">
        <f>IFERROR(__xludf.DUMMYFUNCTION("CONCATENATE(GOOGLETRANSLATE(B1489, ""en"", ""ko""))"),"아니요")</f>
        <v>아니요</v>
      </c>
      <c r="E1489" s="2" t="str">
        <f>IFERROR(__xludf.DUMMYFUNCTION("CONCATENATE(GOOGLETRANSLATE(B1489, ""en"", ""ja""))"),"いいえ")</f>
        <v>いいえ</v>
      </c>
    </row>
    <row r="1490" ht="15.75" customHeight="1">
      <c r="A1490" s="1" t="s">
        <v>2897</v>
      </c>
      <c r="B1490" s="1" t="s">
        <v>2898</v>
      </c>
      <c r="C1490" s="1" t="str">
        <f>IFERROR(__xludf.DUMMYFUNCTION("CONCATENATE(GOOGLETRANSLATE(B1490, ""en"", ""zh-cn""))"),"立即转换")</f>
        <v>立即转换</v>
      </c>
      <c r="D1490" s="1" t="str">
        <f>IFERROR(__xludf.DUMMYFUNCTION("CONCATENATE(GOOGLETRANSLATE(B1490, ""en"", ""ko""))"),"지금 변환")</f>
        <v>지금 변환</v>
      </c>
      <c r="E1490" s="2" t="str">
        <f>IFERROR(__xludf.DUMMYFUNCTION("CONCATENATE(GOOGLETRANSLATE(B1490, ""en"", ""ja""))"),"今すぐ変換")</f>
        <v>今すぐ変換</v>
      </c>
    </row>
    <row r="1491" ht="15.75" customHeight="1">
      <c r="A1491" s="1" t="s">
        <v>2899</v>
      </c>
      <c r="B1491" s="1" t="s">
        <v>2900</v>
      </c>
      <c r="C1491" s="1" t="str">
        <f>IFERROR(__xludf.DUMMYFUNCTION("CONCATENATE(GOOGLETRANSLATE(B1491, ""en"", ""zh-cn""))"),"联盟余额")</f>
        <v>联盟余额</v>
      </c>
      <c r="D1491" s="1" t="str">
        <f>IFERROR(__xludf.DUMMYFUNCTION("CONCATENATE(GOOGLETRANSLATE(B1491, ""en"", ""ko""))"),"제휴 잔액")</f>
        <v>제휴 잔액</v>
      </c>
      <c r="E1491" s="2" t="str">
        <f>IFERROR(__xludf.DUMMYFUNCTION("CONCATENATE(GOOGLETRANSLATE(B1491, ""en"", ""ja""))"),"アフィリエイトバランス")</f>
        <v>アフィリエイトバランス</v>
      </c>
    </row>
    <row r="1492" ht="15.75" customHeight="1">
      <c r="A1492" s="1" t="s">
        <v>2901</v>
      </c>
      <c r="B1492" s="1" t="s">
        <v>2902</v>
      </c>
      <c r="C1492" s="1" t="str">
        <f>IFERROR(__xludf.DUMMYFUNCTION("CONCATENATE(GOOGLETRANSLATE(B1492, ""en"", ""zh-cn""))"),"配置支付")</f>
        <v>配置支付</v>
      </c>
      <c r="D1492" s="1" t="str">
        <f>IFERROR(__xludf.DUMMYFUNCTION("CONCATENATE(GOOGLETRANSLATE(B1492, ""en"", ""ko""))"),"지급 구성")</f>
        <v>지급 구성</v>
      </c>
      <c r="E1492" s="2" t="str">
        <f>IFERROR(__xludf.DUMMYFUNCTION("CONCATENATE(GOOGLETRANSLATE(B1492, ""en"", ""ja""))"),"支払いの構成")</f>
        <v>支払いの構成</v>
      </c>
    </row>
    <row r="1493" ht="15.75" customHeight="1">
      <c r="A1493" s="1" t="s">
        <v>2903</v>
      </c>
      <c r="B1493" s="1" t="s">
        <v>2904</v>
      </c>
      <c r="C1493" s="1" t="str">
        <f>IFERROR(__xludf.DUMMYFUNCTION("CONCATENATE(GOOGLETRANSLATE(B1493, ""en"", ""zh-cn""))"),"联属网络营销提款请求")</f>
        <v>联属网络营销提款请求</v>
      </c>
      <c r="D1493" s="1" t="str">
        <f>IFERROR(__xludf.DUMMYFUNCTION("CONCATENATE(GOOGLETRANSLATE(B1493, ""en"", ""ko""))"),"제휴 탈퇴 요청")</f>
        <v>제휴 탈퇴 요청</v>
      </c>
      <c r="E1493" s="2" t="str">
        <f>IFERROR(__xludf.DUMMYFUNCTION("CONCATENATE(GOOGLETRANSLATE(B1493, ""en"", ""ja""))"),"アフィリエイトの撤退リクエスト")</f>
        <v>アフィリエイトの撤退リクエスト</v>
      </c>
    </row>
    <row r="1494" ht="15.75" customHeight="1">
      <c r="A1494" s="1" t="s">
        <v>2905</v>
      </c>
      <c r="B1494" s="1" t="s">
        <v>2906</v>
      </c>
      <c r="C1494" s="1" t="str">
        <f>IFERROR(__xludf.DUMMYFUNCTION("CONCATENATE(GOOGLETRANSLATE(B1494, ""en"", ""zh-cn""))"),"复制网址")</f>
        <v>复制网址</v>
      </c>
      <c r="D1494" s="1" t="str">
        <f>IFERROR(__xludf.DUMMYFUNCTION("CONCATENATE(GOOGLETRANSLATE(B1494, ""en"", ""ko""))"),"URL 복사")</f>
        <v>URL 복사</v>
      </c>
      <c r="E1494" s="2" t="str">
        <f>IFERROR(__xludf.DUMMYFUNCTION("CONCATENATE(GOOGLETRANSLATE(B1494, ""en"", ""ja""))"),"URLをコピー")</f>
        <v>URLをコピー</v>
      </c>
    </row>
    <row r="1495" ht="15.75" customHeight="1">
      <c r="A1495" s="1" t="s">
        <v>2907</v>
      </c>
      <c r="B1495" s="1" t="s">
        <v>2908</v>
      </c>
      <c r="C1495" s="1" t="str">
        <f>IFERROR(__xludf.DUMMYFUNCTION("CONCATENATE(GOOGLETRANSLATE(B1495, ""en"", ""zh-cn""))"),"会员收入历史")</f>
        <v>会员收入历史</v>
      </c>
      <c r="D1495" s="1" t="str">
        <f>IFERROR(__xludf.DUMMYFUNCTION("CONCATENATE(GOOGLETRANSLATE(B1495, ""en"", ""ko""))"),"제휴 수익 내역")</f>
        <v>제휴 수익 내역</v>
      </c>
      <c r="E1495" s="2" t="str">
        <f>IFERROR(__xludf.DUMMYFUNCTION("CONCATENATE(GOOGLETRANSLATE(B1495, ""en"", ""ja""))"),"アフィリエイトの収益履歴")</f>
        <v>アフィリエイトの収益履歴</v>
      </c>
    </row>
    <row r="1496" ht="15.75" customHeight="1">
      <c r="A1496" s="1" t="s">
        <v>2909</v>
      </c>
      <c r="B1496" s="1" t="s">
        <v>2910</v>
      </c>
      <c r="C1496" s="1" t="str">
        <f>IFERROR(__xludf.DUMMYFUNCTION("CONCATENATE(GOOGLETRANSLATE(B1496, ""en"", ""zh-cn""))"),"推荐用户")</f>
        <v>推荐用户</v>
      </c>
      <c r="D1496" s="1" t="str">
        <f>IFERROR(__xludf.DUMMYFUNCTION("CONCATENATE(GOOGLETRANSLATE(B1496, ""en"", ""ko""))"),"추천 사용자")</f>
        <v>추천 사용자</v>
      </c>
      <c r="E1496" s="2" t="str">
        <f>IFERROR(__xludf.DUMMYFUNCTION("CONCATENATE(GOOGLETRANSLATE(B1496, ""en"", ""ja""))"),"紹介ユーザー")</f>
        <v>紹介ユーザー</v>
      </c>
    </row>
    <row r="1497" ht="15.75" customHeight="1">
      <c r="A1497" s="1" t="s">
        <v>2911</v>
      </c>
      <c r="B1497" s="1" t="s">
        <v>2912</v>
      </c>
      <c r="C1497" s="1" t="str">
        <f>IFERROR(__xludf.DUMMYFUNCTION("CONCATENATE(GOOGLETRANSLATE(B1497, ""en"", ""zh-cn""))"),"推荐类型")</f>
        <v>推荐类型</v>
      </c>
      <c r="D1497" s="1" t="str">
        <f>IFERROR(__xludf.DUMMYFUNCTION("CONCATENATE(GOOGLETRANSLATE(B1497, ""en"", ""ko""))"),"추천 유형")</f>
        <v>추천 유형</v>
      </c>
      <c r="E1497" s="2" t="str">
        <f>IFERROR(__xludf.DUMMYFUNCTION("CONCATENATE(GOOGLETRANSLATE(B1497, ""en"", ""ja""))"),"紹介タイプ")</f>
        <v>紹介タイプ</v>
      </c>
    </row>
    <row r="1498" ht="15.75" customHeight="1">
      <c r="A1498" s="1" t="s">
        <v>2913</v>
      </c>
      <c r="B1498" s="1" t="s">
        <v>2914</v>
      </c>
      <c r="C1498" s="1" t="str">
        <f>IFERROR(__xludf.DUMMYFUNCTION("CONCATENATE(GOOGLETRANSLATE(B1498, ""en"", ""zh-cn""))"),"付款设置")</f>
        <v>付款设置</v>
      </c>
      <c r="D1498" s="1" t="str">
        <f>IFERROR(__xludf.DUMMYFUNCTION("CONCATENATE(GOOGLETRANSLATE(B1498, ""en"", ""ko""))"),"결제 설정")</f>
        <v>결제 설정</v>
      </c>
      <c r="E1498" s="2" t="str">
        <f>IFERROR(__xludf.DUMMYFUNCTION("CONCATENATE(GOOGLETRANSLATE(B1498, ""en"", ""ja""))"),"支払い設定")</f>
        <v>支払い設定</v>
      </c>
    </row>
    <row r="1499" ht="15.75" customHeight="1">
      <c r="A1499" s="1" t="s">
        <v>2915</v>
      </c>
      <c r="B1499" s="1" t="s">
        <v>2916</v>
      </c>
      <c r="C1499" s="1" t="str">
        <f>IFERROR(__xludf.DUMMYFUNCTION("CONCATENATE(GOOGLETRANSLATE(B1499, ""en"", ""zh-cn""))"),"贝宝电子邮件")</f>
        <v>贝宝电子邮件</v>
      </c>
      <c r="D1499" s="1" t="str">
        <f>IFERROR(__xludf.DUMMYFUNCTION("CONCATENATE(GOOGLETRANSLATE(B1499, ""en"", ""ko""))"),"페이팔 이메일")</f>
        <v>페이팔 이메일</v>
      </c>
      <c r="E1499" s="2" t="str">
        <f>IFERROR(__xludf.DUMMYFUNCTION("CONCATENATE(GOOGLETRANSLATE(B1499, ""en"", ""ja""))"),"ペイパルメール")</f>
        <v>ペイパルメール</v>
      </c>
    </row>
    <row r="1500" ht="15.75" customHeight="1">
      <c r="A1500" s="1" t="s">
        <v>2917</v>
      </c>
      <c r="B1500" s="1" t="s">
        <v>2918</v>
      </c>
      <c r="C1500" s="1" t="str">
        <f>IFERROR(__xludf.DUMMYFUNCTION("CONCATENATE(GOOGLETRANSLATE(B1500, ""en"", ""zh-cn""))"),"银行信息")</f>
        <v>银行信息</v>
      </c>
      <c r="D1500" s="1" t="str">
        <f>IFERROR(__xludf.DUMMYFUNCTION("CONCATENATE(GOOGLETRANSLATE(B1500, ""en"", ""ko""))"),"은행 정보")</f>
        <v>은행 정보</v>
      </c>
      <c r="E1500" s="2" t="str">
        <f>IFERROR(__xludf.DUMMYFUNCTION("CONCATENATE(GOOGLETRANSLATE(B1500, ""en"", ""ja""))"),"銀行情報")</f>
        <v>銀行情報</v>
      </c>
    </row>
    <row r="1501" ht="15.75" customHeight="1">
      <c r="A1501" s="1" t="s">
        <v>2919</v>
      </c>
      <c r="B1501" s="1" t="s">
        <v>2920</v>
      </c>
      <c r="C1501" s="1" t="str">
        <f>IFERROR(__xludf.DUMMYFUNCTION("CONCATENATE(GOOGLETRANSLATE(B1501, ""en"", ""zh-cn""))"),"附件。否，银行名称等")</f>
        <v>附件。否，银行名称等</v>
      </c>
      <c r="D1501" s="1" t="str">
        <f>IFERROR(__xludf.DUMMYFUNCTION("CONCATENATE(GOOGLETRANSLATE(B1501, ""en"", ""ko""))"),"Acc. 아니요, 은행 이름 등")</f>
        <v>Acc. 아니요, 은행 이름 등</v>
      </c>
      <c r="E1501" s="2" t="str">
        <f>IFERROR(__xludf.DUMMYFUNCTION("CONCATENATE(GOOGLETRANSLATE(B1501, ""en"", ""ja""))"),"準拠いいえ、銀行名など")</f>
        <v>準拠いいえ、銀行名など</v>
      </c>
    </row>
    <row r="1502" ht="15.75" customHeight="1">
      <c r="A1502" s="1" t="s">
        <v>2921</v>
      </c>
      <c r="B1502" s="1" t="s">
        <v>2922</v>
      </c>
      <c r="C1502" s="1" t="str">
        <f>IFERROR(__xludf.DUMMYFUNCTION("CONCATENATE(GOOGLETRANSLATE(B1502, ""en"", ""zh-cn""))"),"更新付款设置")</f>
        <v>更新付款设置</v>
      </c>
      <c r="D1502" s="1" t="str">
        <f>IFERROR(__xludf.DUMMYFUNCTION("CONCATENATE(GOOGLETRANSLATE(B1502, ""en"", ""ko""))"),"결제 설정 업데이트")</f>
        <v>결제 설정 업데이트</v>
      </c>
      <c r="E1502" s="2" t="str">
        <f>IFERROR(__xludf.DUMMYFUNCTION("CONCATENATE(GOOGLETRANSLATE(B1502, ""en"", ""ja""))"),"支払い設定を更新する")</f>
        <v>支払い設定を更新する</v>
      </c>
    </row>
    <row r="1503" ht="15.75" customHeight="1">
      <c r="A1503" s="1" t="s">
        <v>2923</v>
      </c>
      <c r="B1503" s="1" t="s">
        <v>2924</v>
      </c>
      <c r="C1503" s="1" t="str">
        <f>IFERROR(__xludf.DUMMYFUNCTION("CONCATENATE(GOOGLETRANSLATE(B1503, ""en"", ""zh-cn""))"),"联盟付款设置已成功更新")</f>
        <v>联盟付款设置已成功更新</v>
      </c>
      <c r="D1503" s="1" t="str">
        <f>IFERROR(__xludf.DUMMYFUNCTION("CONCATENATE(GOOGLETRANSLATE(B1503, ""en"", ""ko""))"),"제휴 결제 설정이 성공적으로 업데이트되었습니다.")</f>
        <v>제휴 결제 설정이 성공적으로 업데이트되었습니다.</v>
      </c>
      <c r="E1503" s="2" t="str">
        <f>IFERROR(__xludf.DUMMYFUNCTION("CONCATENATE(GOOGLETRANSLATE(B1503, ""en"", ""ja""))"),"アフィリエイト支払い設定が正常に更新されました")</f>
        <v>アフィリエイト支払い設定が正常に更新されました</v>
      </c>
    </row>
    <row r="1504" ht="15.75" customHeight="1">
      <c r="A1504" s="1" t="s">
        <v>2925</v>
      </c>
      <c r="B1504" s="1" t="s">
        <v>2926</v>
      </c>
      <c r="C1504" s="1" t="str">
        <f>IFERROR(__xludf.DUMMYFUNCTION("CONCATENATE(GOOGLETRANSLATE(B1504, ""en"", ""zh-cn""))"),"新提款请求创建成功")</f>
        <v>新提款请求创建成功</v>
      </c>
      <c r="D1504" s="1" t="str">
        <f>IFERROR(__xludf.DUMMYFUNCTION("CONCATENATE(GOOGLETRANSLATE(B1504, ""en"", ""ko""))"),"새로운 출금 요청이 성공적으로 생성되었습니다.")</f>
        <v>새로운 출금 요청이 성공적으로 생성되었습니다.</v>
      </c>
      <c r="E1504" s="2" t="str">
        <f>IFERROR(__xludf.DUMMYFUNCTION("CONCATENATE(GOOGLETRANSLATE(B1504, ""en"", ""ja""))"),"新しい出金リクエストが正常に作成されました")</f>
        <v>新しい出金リクエストが正常に作成されました</v>
      </c>
    </row>
    <row r="1505" ht="15.75" customHeight="1">
      <c r="A1505" s="1" t="s">
        <v>2927</v>
      </c>
      <c r="B1505" s="1" t="s">
        <v>2928</v>
      </c>
      <c r="C1505" s="1" t="str">
        <f>IFERROR(__xludf.DUMMYFUNCTION("CONCATENATE(GOOGLETRANSLATE(B1505, ""en"", ""zh-cn""))"),"会员提款请求历史记录")</f>
        <v>会员提款请求历史记录</v>
      </c>
      <c r="D1505" s="1" t="str">
        <f>IFERROR(__xludf.DUMMYFUNCTION("CONCATENATE(GOOGLETRANSLATE(B1505, ""en"", ""ko""))"),"가맹 탈퇴 요청 내역")</f>
        <v>가맹 탈퇴 요청 내역</v>
      </c>
      <c r="E1505" s="2" t="str">
        <f>IFERROR(__xludf.DUMMYFUNCTION("CONCATENATE(GOOGLETRANSLATE(B1505, ""en"", ""ja""))"),"アフィリエイトの撤退リクエスト履歴")</f>
        <v>アフィリエイトの撤退リクエスト履歴</v>
      </c>
    </row>
    <row r="1506" ht="15.75" customHeight="1">
      <c r="A1506" s="1" t="s">
        <v>2929</v>
      </c>
      <c r="B1506" s="1" t="s">
        <v>2930</v>
      </c>
      <c r="C1506" s="1" t="str">
        <f>IFERROR(__xludf.DUMMYFUNCTION("CONCATENATE(GOOGLETRANSLATE(B1506, ""en"", ""zh-cn""))"),"会员付款历史记录")</f>
        <v>会员付款历史记录</v>
      </c>
      <c r="D1506" s="1" t="str">
        <f>IFERROR(__xludf.DUMMYFUNCTION("CONCATENATE(GOOGLETRANSLATE(B1506, ""en"", ""ko""))"),"가맹점 결제 내역")</f>
        <v>가맹점 결제 내역</v>
      </c>
      <c r="E1506" s="2" t="str">
        <f>IFERROR(__xludf.DUMMYFUNCTION("CONCATENATE(GOOGLETRANSLATE(B1506, ""en"", ""ja""))"),"アフィリエイトの支払い履歴")</f>
        <v>アフィリエイトの支払い履歴</v>
      </c>
    </row>
    <row r="1507" ht="15.75" customHeight="1">
      <c r="A1507" s="1" t="s">
        <v>2931</v>
      </c>
      <c r="B1507" s="1" t="s">
        <v>2932</v>
      </c>
      <c r="C1507" s="1" t="str">
        <f>IFERROR(__xludf.DUMMYFUNCTION("CONCATENATE(GOOGLETRANSLATE(B1507, ""en"", ""zh-cn""))"),"默认")</f>
        <v>默认</v>
      </c>
      <c r="D1507" s="1" t="str">
        <f>IFERROR(__xludf.DUMMYFUNCTION("CONCATENATE(GOOGLETRANSLATE(B1507, ""en"", ""ko""))"),"기본")</f>
        <v>기본</v>
      </c>
      <c r="E1507" s="2" t="str">
        <f>IFERROR(__xludf.DUMMYFUNCTION("CONCATENATE(GOOGLETRANSLATE(B1507, ""en"", ""ja""))"),"デフォルト")</f>
        <v>デフォルト</v>
      </c>
    </row>
    <row r="1508" ht="15.75" customHeight="1">
      <c r="A1508" s="1" t="s">
        <v>2933</v>
      </c>
      <c r="B1508" s="1" t="s">
        <v>2934</v>
      </c>
      <c r="C1508" s="1" t="str">
        <f>IFERROR(__xludf.DUMMYFUNCTION("CONCATENATE(GOOGLETRANSLATE(B1508, ""en"", ""zh-cn""))"),"区域统一运输成本")</f>
        <v>区域统一运输成本</v>
      </c>
      <c r="D1508" s="1" t="str">
        <f>IFERROR(__xludf.DUMMYFUNCTION("CONCATENATE(GOOGLETRANSLATE(B1508, ""en"", ""ko""))"),"지역별 균일 배송비")</f>
        <v>지역별 균일 배송비</v>
      </c>
      <c r="E1508" s="2" t="str">
        <f>IFERROR(__xludf.DUMMYFUNCTION("CONCATENATE(GOOGLETRANSLATE(B1508, ""en"", ""ja""))"),"エリア別一律送料")</f>
        <v>エリア別一律送料</v>
      </c>
    </row>
    <row r="1509" ht="15.75" customHeight="1">
      <c r="A1509" s="1" t="s">
        <v>2935</v>
      </c>
      <c r="B1509" s="1" t="s">
        <v>2936</v>
      </c>
      <c r="C1509" s="1" t="str">
        <f>IFERROR(__xludf.DUMMYFUNCTION("CONCATENATE(GOOGLETRANSLATE(B1509, ""en"", ""zh-cn""))"),"卖家明智的统一运输成本计算：每个卖家的固定费率。如果客户从两个卖家购买 2 个产品，则运费是通过添加每个卖家的固定运费来计算的")</f>
        <v>卖家明智的统一运输成本计算：每个卖家的固定费率。如果客户从两个卖家购买 2 个产品，则运费是通过添加每个卖家的固定运费来计算的</v>
      </c>
      <c r="D1509" s="1" t="str">
        <f>IFERROR(__xludf.DUMMYFUNCTION("CONCATENATE(GOOGLETRANSLATE(B1509, ""en"", ""ko""))"),"판매자 현명한 균일 배송비 계산: 각 판매자에 대한 고정 요금. 고객이 두 판매자로부터 2개의 제품을 구매하는 경우 배송비는 각 판매자의 균일 배송비를 합산하여 계산됩니다.")</f>
        <v>판매자 현명한 균일 배송비 계산: 각 판매자에 대한 고정 요금. 고객이 두 판매자로부터 2개의 제품을 구매하는 경우 배송비는 각 판매자의 균일 배송비를 합산하여 계산됩니다.</v>
      </c>
      <c r="E1509" s="2" t="str">
        <f>IFERROR(__xludf.DUMMYFUNCTION("CONCATENATE(GOOGLETRANSLATE(B1509, ""en"", ""ja""))"),"セラーワイズフラット送料計算: 各セラーの固定料金。顧客が 2 つの販売者から 2 つの製品を購入した場合、送料は各販売者の一律送料を加算して計算されます。")</f>
        <v>セラーワイズフラット送料計算: 各セラーの固定料金。顧客が 2 つの販売者から 2 つの製品を購入した場合、送料は各販売者の一律送料を加算して計算されます。</v>
      </c>
    </row>
    <row r="1510" ht="15.75" customHeight="1">
      <c r="A1510" s="1" t="s">
        <v>2937</v>
      </c>
      <c r="B1510" s="1" t="s">
        <v>2938</v>
      </c>
      <c r="C1510" s="1" t="str">
        <f>IFERROR(__xludf.DUMMYFUNCTION("CONCATENATE(GOOGLETRANSLATE(B1510, ""en"", ""zh-cn""))"),"区域明智的统一运输成本计算：每个区域的固定费率。如果客户从一位卖家购买多件产品，运费将按客户送货区域计算。要配置区域明智的运输成本，请转到 ")</f>
        <v>区域明智的统一运输成本计算：每个区域的固定费率。如果客户从一位卖家购买多件产品，运费将按客户送货区域计算。要配置区域明智的运输成本，请转到 </v>
      </c>
      <c r="D1510" s="1" t="str">
        <f>IFERROR(__xludf.DUMMYFUNCTION("CONCATENATE(GOOGLETRANSLATE(B1510, ""en"", ""ko""))"),"지역별 균일 배송비 계산: 각 지역에 대한 고정 요금. 고객이 하나의 판매자로부터 여러 상품을 구매하는 경우 배송비는 고객 배송 지역을 기준으로 계산됩니다. 지역별 배송비를 구성하려면 다음으로 이동하세요. ")</f>
        <v>지역별 균일 배송비 계산: 각 지역에 대한 고정 요금. 고객이 하나의 판매자로부터 여러 상품을 구매하는 경우 배송비는 고객 배송 지역을 기준으로 계산됩니다. 지역별 배송비를 구성하려면 다음으로 이동하세요. </v>
      </c>
      <c r="E1510" s="2" t="str">
        <f>IFERROR(__xludf.DUMMYFUNCTION("CONCATENATE(GOOGLETRANSLATE(B1510, ""en"", ""ja""))"),"エリア別一律送料計算：エリアごとに定額料金となります。お客様が 1 つの販売者から複数の商品を購入した場合、送料はお客様の配送地域によって計算されます。地域ごとの配送料を設定するには、次の場所にアクセスしてください。 ")</f>
        <v>エリア別一律送料計算：エリアごとに定額料金となります。お客様が 1 つの販売者から複数の商品を購入した場合、送料はお客様の配送地域によって計算されます。地域ごとの配送料を設定するには、次の場所にアクセスしてください。 </v>
      </c>
    </row>
    <row r="1511" ht="15.75" customHeight="1">
      <c r="A1511" s="1" t="s">
        <v>2939</v>
      </c>
      <c r="B1511" s="1" t="s">
        <v>2940</v>
      </c>
      <c r="C1511" s="1" t="str">
        <f>IFERROR(__xludf.DUMMYFUNCTION("CONCATENATE(GOOGLETRANSLATE(B1511, ""en"", ""zh-cn""))"),"1. 如果启用统一运费，则适用统一运费。")</f>
        <v>1. 如果启用统一运费，则适用统一运费。</v>
      </c>
      <c r="D1511" s="1" t="str">
        <f>IFERROR(__xludf.DUMMYFUNCTION("CONCATENATE(GOOGLETRANSLATE(B1511, ""en"", ""ko""))"),"1. 정액 배송이 활성화된 경우 정액 배송 비용이 적용됩니다.")</f>
        <v>1. 정액 배송이 활성화된 경우 정액 배송 비용이 적용됩니다.</v>
      </c>
      <c r="E1511" s="2" t="str">
        <f>IFERROR(__xludf.DUMMYFUNCTION("CONCATENATE(GOOGLETRANSLATE(B1511, ""en"", ""ja""))"),"1. 定額配送料が適用されるのは、定額配送が有効になっている場合です。")</f>
        <v>1. 定額配送料が適用されるのは、定額配送が有効になっている場合です。</v>
      </c>
    </row>
    <row r="1512" ht="15.75" customHeight="1">
      <c r="A1512" s="1" t="s">
        <v>2941</v>
      </c>
      <c r="B1512" s="1" t="s">
        <v>2942</v>
      </c>
      <c r="C1512" s="1" t="str">
        <f>IFERROR(__xludf.DUMMYFUNCTION("CONCATENATE(GOOGLETRANSLATE(B1512, ""en"", ""zh-cn""))"),"1. 如果启用了卖家明智的运费，则适用管理员的运费。")</f>
        <v>1. 如果启用了卖家明智的运费，则适用管理员的运费。</v>
      </c>
      <c r="D1512" s="1" t="str">
        <f>IFERROR(__xludf.DUMMYFUNCTION("CONCATENATE(GOOGLETRANSLATE(B1512, ""en"", ""ko""))"),"1. 판매자 현명한 배송비가 활성화된 경우 관리자의 배송비가 적용됩니다.")</f>
        <v>1. 판매자 현명한 배송비가 활성화된 경우 관리자의 배송비가 적용됩니다.</v>
      </c>
      <c r="E1512" s="2" t="str">
        <f>IFERROR(__xludf.DUMMYFUNCTION("CONCATENATE(GOOGLETRANSLATE(B1512, ""en"", ""ja""))"),"1. 販売者ごとの送料が有効になっている場合、管理者の送料が適用されます。")</f>
        <v>1. 販売者ごとの送料が有効になっている場合、管理者の送料が適用されます。</v>
      </c>
    </row>
    <row r="1513" ht="15.75" customHeight="1">
      <c r="A1513" s="1" t="s">
        <v>2943</v>
      </c>
      <c r="B1513" s="1" t="s">
        <v>2944</v>
      </c>
      <c r="C1513" s="1" t="str">
        <f>IFERROR(__xludf.DUMMYFUNCTION("CONCATENATE(GOOGLETRANSLATE(B1513, ""en"", ""zh-cn""))"),"所请求的数量无法用于 ")</f>
        <v>所请求的数量无法用于 </v>
      </c>
      <c r="D1513" s="1" t="str">
        <f>IFERROR(__xludf.DUMMYFUNCTION("CONCATENATE(GOOGLETRANSLATE(B1513, ""en"", ""ko""))"),"요청한 수량은 다음에 사용할 수 없습니다. ")</f>
        <v>요청한 수량은 다음에 사용할 수 없습니다. </v>
      </c>
      <c r="E1513" s="2" t="str">
        <f>IFERROR(__xludf.DUMMYFUNCTION("CONCATENATE(GOOGLETRANSLATE(B1513, ""en"", ""ja""))"),"要求された数量は利用できません ")</f>
        <v>要求された数量は利用できません </v>
      </c>
    </row>
    <row r="1514" ht="15.75" customHeight="1">
      <c r="A1514" s="1" t="s">
        <v>2945</v>
      </c>
      <c r="B1514" s="1" t="s">
        <v>2946</v>
      </c>
      <c r="C1514" s="1" t="str">
        <f>IFERROR(__xludf.DUMMYFUNCTION("CONCATENATE(GOOGLETRANSLATE(B1514, ""en"", ""zh-cn""))"),"城市已成功插入")</f>
        <v>城市已成功插入</v>
      </c>
      <c r="D1514" s="1" t="str">
        <f>IFERROR(__xludf.DUMMYFUNCTION("CONCATENATE(GOOGLETRANSLATE(B1514, ""en"", ""ko""))"),"도시가 성공적으로 삽입되었습니다.")</f>
        <v>도시가 성공적으로 삽입되었습니다.</v>
      </c>
      <c r="E1514" s="2" t="str">
        <f>IFERROR(__xludf.DUMMYFUNCTION("CONCATENATE(GOOGLETRANSLATE(B1514, ""en"", ""ja""))"),"都市が正常に挿入されました")</f>
        <v>都市が正常に挿入されました</v>
      </c>
    </row>
    <row r="1515" ht="15.75" customHeight="1">
      <c r="A1515" s="1" t="s">
        <v>2947</v>
      </c>
      <c r="B1515" s="1" t="s">
        <v>2948</v>
      </c>
      <c r="C1515" s="1" t="str">
        <f>IFERROR(__xludf.DUMMYFUNCTION("CONCATENATE(GOOGLETRANSLATE(B1515, ""en"", ""zh-cn""))"),"纳米比亚")</f>
        <v>纳米比亚</v>
      </c>
      <c r="D1515" s="1" t="str">
        <f>IFERROR(__xludf.DUMMYFUNCTION("CONCATENATE(GOOGLETRANSLATE(B1515, ""en"", ""ko""))"),"나미비아")</f>
        <v>나미비아</v>
      </c>
      <c r="E1515" s="2" t="str">
        <f>IFERROR(__xludf.DUMMYFUNCTION("CONCATENATE(GOOGLETRANSLATE(B1515, ""en"", ""ja""))"),"ナミビア")</f>
        <v>ナミビア</v>
      </c>
    </row>
    <row r="1516" ht="15.75" customHeight="1">
      <c r="A1516" s="1" t="s">
        <v>2949</v>
      </c>
      <c r="B1516" s="1" t="s">
        <v>2950</v>
      </c>
      <c r="C1516" s="1" t="str">
        <f>IFERROR(__xludf.DUMMYFUNCTION("CONCATENATE(GOOGLETRANSLATE(B1516, ""en"", ""zh-cn""))"),"城市信息")</f>
        <v>城市信息</v>
      </c>
      <c r="D1516" s="1" t="str">
        <f>IFERROR(__xludf.DUMMYFUNCTION("CONCATENATE(GOOGLETRANSLATE(B1516, ""en"", ""ko""))"),"도시정보")</f>
        <v>도시정보</v>
      </c>
      <c r="E1516" s="2" t="str">
        <f>IFERROR(__xludf.DUMMYFUNCTION("CONCATENATE(GOOGLETRANSLATE(B1516, ""en"", ""ja""))"),"市の情報")</f>
        <v>市の情報</v>
      </c>
    </row>
    <row r="1517" ht="15.75" customHeight="1">
      <c r="A1517" s="1" t="s">
        <v>2951</v>
      </c>
      <c r="B1517" s="1" t="s">
        <v>2952</v>
      </c>
      <c r="C1517" s="1" t="str">
        <f>IFERROR(__xludf.DUMMYFUNCTION("CONCATENATE(GOOGLETRANSLATE(B1517, ""en"", ""zh-cn""))"),"城市已成功更新")</f>
        <v>城市已成功更新</v>
      </c>
      <c r="D1517" s="1" t="str">
        <f>IFERROR(__xludf.DUMMYFUNCTION("CONCATENATE(GOOGLETRANSLATE(B1517, ""en"", ""ko""))"),"도시가 성공적으로 업데이트되었습니다.")</f>
        <v>도시가 성공적으로 업데이트되었습니다.</v>
      </c>
      <c r="E1517" s="2" t="str">
        <f>IFERROR(__xludf.DUMMYFUNCTION("CONCATENATE(GOOGLETRANSLATE(B1517, ""en"", ""ja""))"),"都市が正常に更新されました")</f>
        <v>都市が正常に更新されました</v>
      </c>
    </row>
    <row r="1518" ht="15.75" customHeight="1">
      <c r="A1518" s="1" t="s">
        <v>2953</v>
      </c>
      <c r="B1518" s="1" t="s">
        <v>2954</v>
      </c>
      <c r="C1518" s="1" t="str">
        <f>IFERROR(__xludf.DUMMYFUNCTION("CONCATENATE(GOOGLETRANSLATE(B1518, ""en"", ""zh-cn""))"),"苦木")</f>
        <v>苦木</v>
      </c>
      <c r="D1518" s="1" t="str">
        <f>IFERROR(__xludf.DUMMYFUNCTION("CONCATENATE(GOOGLETRANSLATE(B1518, ""en"", ""ko""))"),"Sed ea dolore offici")</f>
        <v>Sed ea dolore offici</v>
      </c>
      <c r="E1518" s="2" t="str">
        <f>IFERROR(__xludf.DUMMYFUNCTION("CONCATENATE(GOOGLETRANSLATE(B1518, ""en"", ""ja""))"),"セド・エア・ドロレ・オフィス")</f>
        <v>セド・エア・ドロレ・オフィス</v>
      </c>
    </row>
    <row r="1519" ht="15.75" customHeight="1">
      <c r="A1519" s="1" t="s">
        <v>2955</v>
      </c>
      <c r="B1519" s="1" t="s">
        <v>2956</v>
      </c>
      <c r="C1519" s="1" t="str">
        <f>IFERROR(__xludf.DUMMYFUNCTION("CONCATENATE(GOOGLETRANSLATE(B1519, ""en"", ""zh-cn""))"),"取货点信息")</f>
        <v>取货点信息</v>
      </c>
      <c r="D1519" s="1" t="str">
        <f>IFERROR(__xludf.DUMMYFUNCTION("CONCATENATE(GOOGLETRANSLATE(B1519, ""en"", ""ko""))"),"픽업 장소 정보")</f>
        <v>픽업 장소 정보</v>
      </c>
      <c r="E1519" s="2" t="str">
        <f>IFERROR(__xludf.DUMMYFUNCTION("CONCATENATE(GOOGLETRANSLATE(B1519, ""en"", ""ja""))"),"受取場所のご案内")</f>
        <v>受取場所のご案内</v>
      </c>
    </row>
    <row r="1520" ht="15.75" customHeight="1">
      <c r="A1520" s="1" t="s">
        <v>2957</v>
      </c>
      <c r="B1520" s="1" t="s">
        <v>2958</v>
      </c>
      <c r="C1520" s="1" t="str">
        <f>IFERROR(__xludf.DUMMYFUNCTION("CONCATENATE(GOOGLETRANSLATE(B1520, ""en"", ""zh-cn""))"),"取货点状态")</f>
        <v>取货点状态</v>
      </c>
      <c r="D1520" s="1" t="str">
        <f>IFERROR(__xludf.DUMMYFUNCTION("CONCATENATE(GOOGLETRANSLATE(B1520, ""en"", ""ko""))"),"픽업 지점 현황")</f>
        <v>픽업 지점 현황</v>
      </c>
      <c r="E1520" s="2" t="str">
        <f>IFERROR(__xludf.DUMMYFUNCTION("CONCATENATE(GOOGLETRANSLATE(B1520, ""en"", ""ja""))"),"ピックアップポイントのステータス")</f>
        <v>ピックアップポイントのステータス</v>
      </c>
    </row>
    <row r="1521" ht="15.75" customHeight="1">
      <c r="A1521" s="1" t="s">
        <v>2959</v>
      </c>
      <c r="B1521" s="1" t="s">
        <v>2960</v>
      </c>
      <c r="C1521" s="1" t="str">
        <f>IFERROR(__xludf.DUMMYFUNCTION("CONCATENATE(GOOGLETRANSLATE(B1521, ""en"", ""zh-cn""))"),"接送点经理")</f>
        <v>接送点经理</v>
      </c>
      <c r="D1521" s="1" t="str">
        <f>IFERROR(__xludf.DUMMYFUNCTION("CONCATENATE(GOOGLETRANSLATE(B1521, ""en"", ""ko""))"),"픽업 포인트 매니저")</f>
        <v>픽업 포인트 매니저</v>
      </c>
      <c r="E1521" s="2" t="str">
        <f>IFERROR(__xludf.DUMMYFUNCTION("CONCATENATE(GOOGLETRANSLATE(B1521, ""en"", ""ja""))"),"ピックアップポイントマネージャー")</f>
        <v>ピックアップポイントマネージャー</v>
      </c>
    </row>
    <row r="1522" ht="15.75" customHeight="1">
      <c r="A1522" s="1" t="s">
        <v>2961</v>
      </c>
      <c r="B1522" s="1" t="s">
        <v>2962</v>
      </c>
      <c r="C1522" s="1" t="str">
        <f>IFERROR(__xludf.DUMMYFUNCTION("CONCATENATE(GOOGLETRANSLATE(B1522, ""en"", ""zh-cn""))"),"PicupPoint已成功插入")</f>
        <v>PicupPoint已成功插入</v>
      </c>
      <c r="D1522" s="1" t="str">
        <f>IFERROR(__xludf.DUMMYFUNCTION("CONCATENATE(GOOGLETRANSLATE(B1522, ""en"", ""ko""))"),"PicupPoint가 성공적으로 삽입되었습니다.")</f>
        <v>PicupPoint가 성공적으로 삽입되었습니다.</v>
      </c>
      <c r="E1522" s="2" t="str">
        <f>IFERROR(__xludf.DUMMYFUNCTION("CONCATENATE(GOOGLETRANSLATE(B1522, ""en"", ""ja""))"),"PicupPoint が正常に挿入されました")</f>
        <v>PicupPoint が正常に挿入されました</v>
      </c>
    </row>
    <row r="1523" ht="15.75" customHeight="1">
      <c r="A1523" s="1" t="s">
        <v>2963</v>
      </c>
      <c r="B1523" s="1" t="s">
        <v>2964</v>
      </c>
      <c r="C1523" s="1" t="str">
        <f>IFERROR(__xludf.DUMMYFUNCTION("CONCATENATE(GOOGLETRANSLATE(B1523, ""en"", ""zh-cn""))"),"更新取货点信息")</f>
        <v>更新取货点信息</v>
      </c>
      <c r="D1523" s="1" t="str">
        <f>IFERROR(__xludf.DUMMYFUNCTION("CONCATENATE(GOOGLETRANSLATE(B1523, ""en"", ""ko""))"),"픽업 지점 정보 업데이트")</f>
        <v>픽업 지점 정보 업데이트</v>
      </c>
      <c r="E1523" s="2" t="str">
        <f>IFERROR(__xludf.DUMMYFUNCTION("CONCATENATE(GOOGLETRANSLATE(B1523, ""en"", ""ja""))"),"受取場所情報を更新")</f>
        <v>受取場所情報を更新</v>
      </c>
    </row>
    <row r="1524" ht="15.75" customHeight="1">
      <c r="A1524" s="1" t="s">
        <v>2965</v>
      </c>
      <c r="B1524" s="1" t="s">
        <v>2966</v>
      </c>
      <c r="C1524" s="1" t="str">
        <f>IFERROR(__xludf.DUMMYFUNCTION("CONCATENATE(GOOGLETRANSLATE(B1524, ""en"", ""zh-cn""))"),"PicupPoint已成功更新")</f>
        <v>PicupPoint已成功更新</v>
      </c>
      <c r="D1524" s="1" t="str">
        <f>IFERROR(__xludf.DUMMYFUNCTION("CONCATENATE(GOOGLETRANSLATE(B1524, ""en"", ""ko""))"),"PicupPoint가 성공적으로 업데이트되었습니다.")</f>
        <v>PicupPoint가 성공적으로 업데이트되었습니다.</v>
      </c>
      <c r="E1524" s="2" t="str">
        <f>IFERROR(__xludf.DUMMYFUNCTION("CONCATENATE(GOOGLETRANSLATE(B1524, ""en"", ""ja""))"),"PicupPoint が正常に更新されました")</f>
        <v>PicupPoint が正常に更新されました</v>
      </c>
    </row>
    <row r="1525" ht="15.75" customHeight="1">
      <c r="A1525" s="1" t="s">
        <v>2967</v>
      </c>
      <c r="B1525" s="1" t="s">
        <v>2968</v>
      </c>
      <c r="C1525" s="1" t="str">
        <f>IFERROR(__xludf.DUMMYFUNCTION("CONCATENATE(GOOGLETRANSLATE(B1525, ""en"", ""zh-cn""))"),"提货点")</f>
        <v>提货点</v>
      </c>
      <c r="D1525" s="1" t="str">
        <f>IFERROR(__xludf.DUMMYFUNCTION("CONCATENATE(GOOGLETRANSLATE(B1525, ""en"", ""ko""))"),"픽업 포인트")</f>
        <v>픽업 포인트</v>
      </c>
      <c r="E1525" s="2" t="str">
        <f>IFERROR(__xludf.DUMMYFUNCTION("CONCATENATE(GOOGLETRANSLATE(B1525, ""en"", ""ja""))"),"ピックアップポイント")</f>
        <v>ピックアップポイント</v>
      </c>
    </row>
    <row r="1526" ht="15.75" customHeight="1">
      <c r="A1526" s="1" t="s">
        <v>2969</v>
      </c>
      <c r="B1526" s="1" t="s">
        <v>2970</v>
      </c>
      <c r="C1526" s="1" t="str">
        <f>IFERROR(__xludf.DUMMYFUNCTION("CONCATENATE(GOOGLETRANSLATE(B1526, ""en"", ""zh-cn""))"),"是的")</f>
        <v>是的</v>
      </c>
      <c r="D1526" s="1" t="str">
        <f>IFERROR(__xludf.DUMMYFUNCTION("CONCATENATE(GOOGLETRANSLATE(B1526, ""en"", ""ko""))"),"예")</f>
        <v>예</v>
      </c>
      <c r="E1526" s="2" t="str">
        <f>IFERROR(__xludf.DUMMYFUNCTION("CONCATENATE(GOOGLETRANSLATE(B1526, ""en"", ""ja""))"),"はい")</f>
        <v>はい</v>
      </c>
    </row>
    <row r="1527" ht="15.75" customHeight="1">
      <c r="A1527" s="1" t="s">
        <v>2971</v>
      </c>
      <c r="B1527" s="1" t="s">
        <v>2972</v>
      </c>
      <c r="C1527" s="1" t="str">
        <f>IFERROR(__xludf.DUMMYFUNCTION("CONCATENATE(GOOGLETRANSLATE(B1527, ""en"", ""zh-cn""))"),"完毕")</f>
        <v>完毕</v>
      </c>
      <c r="D1527" s="1" t="str">
        <f>IFERROR(__xludf.DUMMYFUNCTION("CONCATENATE(GOOGLETRANSLATE(B1527, ""en"", ""ko""))"),"완료")</f>
        <v>완료</v>
      </c>
      <c r="E1527" s="2" t="str">
        <f>IFERROR(__xludf.DUMMYFUNCTION("CONCATENATE(GOOGLETRANSLATE(B1527, ""en"", ""ja""))"),"終わり")</f>
        <v>終わり</v>
      </c>
    </row>
    <row r="1528" ht="15.75" customHeight="1">
      <c r="A1528" s="1" t="s">
        <v>2973</v>
      </c>
      <c r="B1528" s="1" t="s">
        <v>2974</v>
      </c>
      <c r="C1528" s="1" t="str">
        <f>IFERROR(__xludf.DUMMYFUNCTION("CONCATENATE(GOOGLETRANSLATE(B1528, ""en"", ""zh-cn""))"),"对话 ")</f>
        <v>对话 </v>
      </c>
      <c r="D1528" s="1" t="str">
        <f>IFERROR(__xludf.DUMMYFUNCTION("CONCATENATE(GOOGLETRANSLATE(B1528, ""en"", ""ko""))"),"다음과의 대화 ")</f>
        <v>다음과의 대화 </v>
      </c>
      <c r="E1528" s="2" t="str">
        <f>IFERROR(__xludf.DUMMYFUNCTION("CONCATENATE(GOOGLETRANSLATE(B1528, ""en"", ""ja""))"),"との会話 ")</f>
        <v>との会話 </v>
      </c>
    </row>
    <row r="1529" ht="15.75" customHeight="1">
      <c r="A1529" s="1" t="s">
        <v>2975</v>
      </c>
      <c r="B1529" s="1" t="s">
        <v>2976</v>
      </c>
      <c r="C1529" s="1" t="str">
        <f>IFERROR(__xludf.DUMMYFUNCTION("CONCATENATE(GOOGLETRANSLATE(B1529, ""en"", ""zh-cn""))"),"你和之间")</f>
        <v>你和之间</v>
      </c>
      <c r="D1529" s="1" t="str">
        <f>IFERROR(__xludf.DUMMYFUNCTION("CONCATENATE(GOOGLETRANSLATE(B1529, ""en"", ""ko""))"),"당신과")</f>
        <v>당신과</v>
      </c>
      <c r="E1529" s="2" t="str">
        <f>IFERROR(__xludf.DUMMYFUNCTION("CONCATENATE(GOOGLETRANSLATE(B1529, ""en"", ""ja""))"),"あなたとの間で")</f>
        <v>あなたとの間で</v>
      </c>
    </row>
    <row r="1530" ht="15.75" customHeight="1">
      <c r="A1530" s="1" t="s">
        <v>2977</v>
      </c>
      <c r="B1530" s="1" t="s">
        <v>2978</v>
      </c>
      <c r="C1530" s="1" t="str">
        <f>IFERROR(__xludf.DUMMYFUNCTION("CONCATENATE(GOOGLETRANSLATE(B1530, ""en"", ""zh-cn""))"),"卖家产品由管理员管理")</f>
        <v>卖家产品由管理员管理</v>
      </c>
      <c r="D1530" s="1" t="str">
        <f>IFERROR(__xludf.DUMMYFUNCTION("CONCATENATE(GOOGLETRANSLATE(B1530, ""en"", ""ko""))"),"관리자가 판매자 제품 관리")</f>
        <v>관리자가 판매자 제품 관리</v>
      </c>
      <c r="E1530" s="2" t="str">
        <f>IFERROR(__xludf.DUMMYFUNCTION("CONCATENATE(GOOGLETRANSLATE(B1530, ""en"", ""ja""))"),"管理者による販売者の製品管理")</f>
        <v>管理者による販売者の製品管理</v>
      </c>
    </row>
    <row r="1531" ht="15.75" customHeight="1">
      <c r="A1531" s="1" t="s">
        <v>2979</v>
      </c>
      <c r="B1531" s="1" t="s">
        <v>2980</v>
      </c>
      <c r="C1531" s="1" t="str">
        <f>IFERROR(__xludf.DUMMYFUNCTION("CONCATENATE(GOOGLETRANSLATE(B1531, ""en"", ""zh-cn""))"),"激活此选项后，卖家产品的货到付款将由管理员管理")</f>
        <v>激活此选项后，卖家产品的货到付款将由管理员管理</v>
      </c>
      <c r="D1531" s="1" t="str">
        <f>IFERROR(__xludf.DUMMYFUNCTION("CONCATENATE(GOOGLETRANSLATE(B1531, ""en"", ""ko""))"),"이 옵션을 활성화하면 판매자 제품의 배송 시 현금 지급이 관리자에 의해 관리됩니다.")</f>
        <v>이 옵션을 활성화하면 판매자 제품의 배송 시 현금 지급이 관리자에 의해 관리됩니다.</v>
      </c>
      <c r="E1531" s="2" t="str">
        <f>IFERROR(__xludf.DUMMYFUNCTION("CONCATENATE(GOOGLETRANSLATE(B1531, ""en"", ""ja""))"),"このオプションを有効にすると、販売者の商品の代金引換が管理者によって管理されます。")</f>
        <v>このオプションを有効にすると、販売者の商品の代金引換が管理者によって管理されます。</v>
      </c>
    </row>
    <row r="1532" ht="15.75" customHeight="1">
      <c r="A1532" s="1" t="s">
        <v>2981</v>
      </c>
      <c r="B1532" s="1" t="s">
        <v>2982</v>
      </c>
      <c r="C1532" s="1" t="str">
        <f>IFERROR(__xludf.DUMMYFUNCTION("CONCATENATE(GOOGLETRANSLATE(B1532, ""en"", ""zh-cn""))"),"所有税费")</f>
        <v>所有税费</v>
      </c>
      <c r="D1532" s="1" t="str">
        <f>IFERROR(__xludf.DUMMYFUNCTION("CONCATENATE(GOOGLETRANSLATE(B1532, ""en"", ""ko""))"),"모든 세금")</f>
        <v>모든 세금</v>
      </c>
      <c r="E1532" s="2" t="str">
        <f>IFERROR(__xludf.DUMMYFUNCTION("CONCATENATE(GOOGLETRANSLATE(B1532, ""en"", ""ja""))"),"すべての税金")</f>
        <v>すべての税金</v>
      </c>
    </row>
    <row r="1533" ht="15.75" customHeight="1">
      <c r="A1533" s="1" t="s">
        <v>2983</v>
      </c>
      <c r="B1533" s="1" t="s">
        <v>2984</v>
      </c>
      <c r="C1533" s="1" t="str">
        <f>IFERROR(__xludf.DUMMYFUNCTION("CONCATENATE(GOOGLETRANSLATE(B1533, ""en"", ""zh-cn""))"),"添加新税")</f>
        <v>添加新税</v>
      </c>
      <c r="D1533" s="1" t="str">
        <f>IFERROR(__xludf.DUMMYFUNCTION("CONCATENATE(GOOGLETRANSLATE(B1533, ""en"", ""ko""))"),"새 세금 추가")</f>
        <v>새 세금 추가</v>
      </c>
      <c r="E1533" s="2" t="str">
        <f>IFERROR(__xludf.DUMMYFUNCTION("CONCATENATE(GOOGLETRANSLATE(B1533, ""en"", ""ja""))"),"新しい税金を追加する")</f>
        <v>新しい税金を追加する</v>
      </c>
    </row>
    <row r="1534" ht="15.75" customHeight="1">
      <c r="A1534" s="1" t="s">
        <v>2985</v>
      </c>
      <c r="B1534" s="1" t="s">
        <v>2986</v>
      </c>
      <c r="C1534" s="1" t="str">
        <f>IFERROR(__xludf.DUMMYFUNCTION("CONCATENATE(GOOGLETRANSLATE(B1534, ""en"", ""zh-cn""))"),"税种")</f>
        <v>税种</v>
      </c>
      <c r="D1534" s="1" t="str">
        <f>IFERROR(__xludf.DUMMYFUNCTION("CONCATENATE(GOOGLETRANSLATE(B1534, ""en"", ""ko""))"),"세금 유형")</f>
        <v>세금 유형</v>
      </c>
      <c r="E1534" s="2" t="str">
        <f>IFERROR(__xludf.DUMMYFUNCTION("CONCATENATE(GOOGLETRANSLATE(B1534, ""en"", ""ja""))"),"税の種類")</f>
        <v>税の種類</v>
      </c>
    </row>
    <row r="1535" ht="15.75" customHeight="1">
      <c r="A1535" s="1" t="s">
        <v>2987</v>
      </c>
      <c r="B1535" s="1" t="s">
        <v>2988</v>
      </c>
      <c r="C1535" s="1" t="str">
        <f>IFERROR(__xludf.DUMMYFUNCTION("CONCATENATE(GOOGLETRANSLATE(B1535, ""en"", ""zh-cn""))"),"税名")</f>
        <v>税名</v>
      </c>
      <c r="D1535" s="1" t="str">
        <f>IFERROR(__xludf.DUMMYFUNCTION("CONCATENATE(GOOGLETRANSLATE(B1535, ""en"", ""ko""))"),"세금 이름")</f>
        <v>세금 이름</v>
      </c>
      <c r="E1535" s="2" t="str">
        <f>IFERROR(__xludf.DUMMYFUNCTION("CONCATENATE(GOOGLETRANSLATE(B1535, ""en"", ""ja""))"),"税名")</f>
        <v>税名</v>
      </c>
    </row>
    <row r="1536" ht="15.75" customHeight="1">
      <c r="A1536" s="1" t="s">
        <v>2989</v>
      </c>
      <c r="B1536" s="1" t="s">
        <v>2990</v>
      </c>
      <c r="C1536" s="1" t="str">
        <f>IFERROR(__xludf.DUMMYFUNCTION("CONCATENATE(GOOGLETRANSLATE(B1536, ""en"", ""zh-cn""))"),"税务状态更新成功")</f>
        <v>税务状态更新成功</v>
      </c>
      <c r="D1536" s="1" t="str">
        <f>IFERROR(__xludf.DUMMYFUNCTION("CONCATENATE(GOOGLETRANSLATE(B1536, ""en"", ""ko""))"),"세금 상태가 업데이트되었습니다.")</f>
        <v>세금 상태가 업데이트되었습니다.</v>
      </c>
      <c r="E1536" s="2" t="str">
        <f>IFERROR(__xludf.DUMMYFUNCTION("CONCATENATE(GOOGLETRANSLATE(B1536, ""en"", ""ja""))"),"税務ステータスが正常に更新されました")</f>
        <v>税務ステータスが正常に更新されました</v>
      </c>
    </row>
    <row r="1537" ht="15.75" customHeight="1">
      <c r="A1537" s="1" t="s">
        <v>2991</v>
      </c>
      <c r="B1537" s="1" t="s">
        <v>2992</v>
      </c>
      <c r="C1537" s="1" t="str">
        <f>IFERROR(__xludf.DUMMYFUNCTION("CONCATENATE(GOOGLETRANSLATE(B1537, ""en"", ""zh-cn""))"),"博客")</f>
        <v>博客</v>
      </c>
      <c r="D1537" s="1" t="str">
        <f>IFERROR(__xludf.DUMMYFUNCTION("CONCATENATE(GOOGLETRANSLATE(B1537, ""en"", ""ko""))"),"블로그")</f>
        <v>블로그</v>
      </c>
      <c r="E1537" s="2" t="str">
        <f>IFERROR(__xludf.DUMMYFUNCTION("CONCATENATE(GOOGLETRANSLATE(B1537, ""en"", ""ja""))"),"ブログ")</f>
        <v>ブログ</v>
      </c>
    </row>
    <row r="1538" ht="15.75" customHeight="1">
      <c r="A1538" s="1" t="s">
        <v>2991</v>
      </c>
      <c r="B1538" s="1" t="s">
        <v>2992</v>
      </c>
      <c r="C1538" s="1" t="str">
        <f>IFERROR(__xludf.DUMMYFUNCTION("CONCATENATE(GOOGLETRANSLATE(B1538, ""en"", ""zh-cn""))"),"博客")</f>
        <v>博客</v>
      </c>
      <c r="D1538" s="1" t="str">
        <f>IFERROR(__xludf.DUMMYFUNCTION("CONCATENATE(GOOGLETRANSLATE(B1538, ""en"", ""ko""))"),"블로그")</f>
        <v>블로그</v>
      </c>
      <c r="E1538" s="2" t="str">
        <f>IFERROR(__xludf.DUMMYFUNCTION("CONCATENATE(GOOGLETRANSLATE(B1538, ""en"", ""ja""))"),"ブログ")</f>
        <v>ブログ</v>
      </c>
    </row>
    <row r="1539" ht="15.75" customHeight="1">
      <c r="A1539" s="1" t="s">
        <v>2993</v>
      </c>
      <c r="B1539" s="1" t="s">
        <v>2994</v>
      </c>
      <c r="C1539" s="1" t="str">
        <f>IFERROR(__xludf.DUMMYFUNCTION("CONCATENATE(GOOGLETRANSLATE(B1539, ""en"", ""zh-cn""))"),"查看所有卖家")</f>
        <v>查看所有卖家</v>
      </c>
      <c r="D1539" s="1" t="str">
        <f>IFERROR(__xludf.DUMMYFUNCTION("CONCATENATE(GOOGLETRANSLATE(B1539, ""en"", ""ko""))"),"모든 판매자 보기")</f>
        <v>모든 판매자 보기</v>
      </c>
      <c r="E1539" s="2" t="str">
        <f>IFERROR(__xludf.DUMMYFUNCTION("CONCATENATE(GOOGLETRANSLATE(B1539, ""en"", ""ja""))"),"すべての販売者を表示")</f>
        <v>すべての販売者を表示</v>
      </c>
    </row>
    <row r="1540" ht="15.75" customHeight="1">
      <c r="A1540" s="1" t="s">
        <v>2995</v>
      </c>
      <c r="B1540" s="1" t="s">
        <v>2996</v>
      </c>
      <c r="C1540" s="1" t="str">
        <f>IFERROR(__xludf.DUMMYFUNCTION("CONCATENATE(GOOGLETRANSLATE(B1540, ""en"", ""zh-cn""))"),"已选择文件")</f>
        <v>已选择文件</v>
      </c>
      <c r="D1540" s="1" t="str">
        <f>IFERROR(__xludf.DUMMYFUNCTION("CONCATENATE(GOOGLETRANSLATE(B1540, ""en"", ""ko""))"),"선택한 파일")</f>
        <v>선택한 파일</v>
      </c>
      <c r="E1540" s="2" t="str">
        <f>IFERROR(__xludf.DUMMYFUNCTION("CONCATENATE(GOOGLETRANSLATE(B1540, ""en"", ""ja""))"),"選択されたファイル")</f>
        <v>選択されたファイル</v>
      </c>
    </row>
    <row r="1541" ht="15.75" customHeight="1">
      <c r="A1541" s="1" t="s">
        <v>2997</v>
      </c>
      <c r="B1541" s="1" t="s">
        <v>2998</v>
      </c>
      <c r="C1541" s="1" t="str">
        <f>IFERROR(__xludf.DUMMYFUNCTION("CONCATENATE(GOOGLETRANSLATE(B1541, ""en"", ""zh-cn""))"),"选定的文件")</f>
        <v>选定的文件</v>
      </c>
      <c r="D1541" s="1" t="str">
        <f>IFERROR(__xludf.DUMMYFUNCTION("CONCATENATE(GOOGLETRANSLATE(B1541, ""en"", ""ko""))"),"선택한 파일")</f>
        <v>선택한 파일</v>
      </c>
      <c r="E1541" s="2" t="str">
        <f>IFERROR(__xludf.DUMMYFUNCTION("CONCATENATE(GOOGLETRANSLATE(B1541, ""en"", ""ja""))"),"選択されたファイル")</f>
        <v>選択されたファイル</v>
      </c>
    </row>
    <row r="1542" ht="15.75" customHeight="1">
      <c r="A1542" s="1" t="s">
        <v>2999</v>
      </c>
      <c r="B1542" s="1" t="s">
        <v>3000</v>
      </c>
      <c r="C1542" s="1" t="str">
        <f>IFERROR(__xludf.DUMMYFUNCTION("CONCATENATE(GOOGLETRANSLATE(B1542, ""en"", ""zh-cn""))"),"添加更多文件")</f>
        <v>添加更多文件</v>
      </c>
      <c r="D1542" s="1" t="str">
        <f>IFERROR(__xludf.DUMMYFUNCTION("CONCATENATE(GOOGLETRANSLATE(B1542, ""en"", ""ko""))"),"더 많은 파일 추가")</f>
        <v>더 많은 파일 추가</v>
      </c>
      <c r="E1542" s="2" t="str">
        <f>IFERROR(__xludf.DUMMYFUNCTION("CONCATENATE(GOOGLETRANSLATE(B1542, ""en"", ""ja""))"),"さらにファイルを追加する")</f>
        <v>さらにファイルを追加する</v>
      </c>
    </row>
    <row r="1543" ht="15.75" customHeight="1">
      <c r="A1543" s="1" t="s">
        <v>3001</v>
      </c>
      <c r="B1543" s="1" t="s">
        <v>3002</v>
      </c>
      <c r="C1543" s="1" t="str">
        <f>IFERROR(__xludf.DUMMYFUNCTION("CONCATENATE(GOOGLETRANSLATE(B1543, ""en"", ""zh-cn""))"),"添加更多文件")</f>
        <v>添加更多文件</v>
      </c>
      <c r="D1543" s="1" t="str">
        <f>IFERROR(__xludf.DUMMYFUNCTION("CONCATENATE(GOOGLETRANSLATE(B1543, ""en"", ""ko""))"),"더 많은 파일 추가")</f>
        <v>더 많은 파일 추가</v>
      </c>
      <c r="E1543" s="2" t="str">
        <f>IFERROR(__xludf.DUMMYFUNCTION("CONCATENATE(GOOGLETRANSLATE(B1543, ""en"", ""ja""))"),"さらにファイルを追加する")</f>
        <v>さらにファイルを追加する</v>
      </c>
    </row>
    <row r="1544" ht="15.75" customHeight="1">
      <c r="A1544" s="1" t="s">
        <v>3003</v>
      </c>
      <c r="B1544" s="1" t="s">
        <v>3004</v>
      </c>
      <c r="C1544" s="1" t="str">
        <f>IFERROR(__xludf.DUMMYFUNCTION("CONCATENATE(GOOGLETRANSLATE(B1544, ""en"", ""zh-cn""))"),"将文件拖放到此处、粘贴或")</f>
        <v>将文件拖放到此处、粘贴或</v>
      </c>
      <c r="D1544" s="1" t="str">
        <f>IFERROR(__xludf.DUMMYFUNCTION("CONCATENATE(GOOGLETRANSLATE(B1544, ""en"", ""ko""))"),"여기에 파일을 끌어다 놓거나 붙여넣거나")</f>
        <v>여기에 파일을 끌어다 놓거나 붙여넣거나</v>
      </c>
      <c r="E1544" s="2" t="str">
        <f>IFERROR(__xludf.DUMMYFUNCTION("CONCATENATE(GOOGLETRANSLATE(B1544, ""en"", ""ja""))"),"ここにファイルをドロップするか、貼り付けるか、")</f>
        <v>ここにファイルをドロップするか、貼り付けるか、</v>
      </c>
    </row>
    <row r="1545" ht="15.75" customHeight="1">
      <c r="A1545" s="1" t="s">
        <v>3005</v>
      </c>
      <c r="B1545" s="1" t="s">
        <v>3006</v>
      </c>
      <c r="C1545" s="1" t="str">
        <f>IFERROR(__xludf.DUMMYFUNCTION("CONCATENATE(GOOGLETRANSLATE(B1545, ""en"", ""zh-cn""))"),"上传完成")</f>
        <v>上传完成</v>
      </c>
      <c r="D1545" s="1" t="str">
        <f>IFERROR(__xludf.DUMMYFUNCTION("CONCATENATE(GOOGLETRANSLATE(B1545, ""en"", ""ko""))"),"업로드 완료")</f>
        <v>업로드 완료</v>
      </c>
      <c r="E1545" s="2" t="str">
        <f>IFERROR(__xludf.DUMMYFUNCTION("CONCATENATE(GOOGLETRANSLATE(B1545, ""en"", ""ja""))"),"アップロード完了")</f>
        <v>アップロード完了</v>
      </c>
    </row>
    <row r="1546" ht="15.75" customHeight="1">
      <c r="A1546" s="1" t="s">
        <v>3007</v>
      </c>
      <c r="B1546" s="1" t="s">
        <v>3008</v>
      </c>
      <c r="C1546" s="1" t="str">
        <f>IFERROR(__xludf.DUMMYFUNCTION("CONCATENATE(GOOGLETRANSLATE(B1546, ""en"", ""zh-cn""))"),"上传已暂停")</f>
        <v>上传已暂停</v>
      </c>
      <c r="D1546" s="1" t="str">
        <f>IFERROR(__xludf.DUMMYFUNCTION("CONCATENATE(GOOGLETRANSLATE(B1546, ""en"", ""ko""))"),"업로드가 일시중지되었습니다.")</f>
        <v>업로드가 일시중지되었습니다.</v>
      </c>
      <c r="E1546" s="2" t="str">
        <f>IFERROR(__xludf.DUMMYFUNCTION("CONCATENATE(GOOGLETRANSLATE(B1546, ""en"", ""ja""))"),"アップロードが一時停止されました")</f>
        <v>アップロードが一時停止されました</v>
      </c>
    </row>
    <row r="1547" ht="15.75" customHeight="1">
      <c r="A1547" s="1" t="s">
        <v>3009</v>
      </c>
      <c r="B1547" s="1" t="s">
        <v>3010</v>
      </c>
      <c r="C1547" s="1" t="str">
        <f>IFERROR(__xludf.DUMMYFUNCTION("CONCATENATE(GOOGLETRANSLATE(B1547, ""en"", ""zh-cn""))"),"继续上传")</f>
        <v>继续上传</v>
      </c>
      <c r="D1547" s="1" t="str">
        <f>IFERROR(__xludf.DUMMYFUNCTION("CONCATENATE(GOOGLETRANSLATE(B1547, ""en"", ""ko""))"),"업로드 재개")</f>
        <v>업로드 재개</v>
      </c>
      <c r="E1547" s="2" t="str">
        <f>IFERROR(__xludf.DUMMYFUNCTION("CONCATENATE(GOOGLETRANSLATE(B1547, ""en"", ""ja""))"),"アップロードを再開する")</f>
        <v>アップロードを再開する</v>
      </c>
    </row>
    <row r="1548" ht="15.75" customHeight="1">
      <c r="A1548" s="1" t="s">
        <v>3011</v>
      </c>
      <c r="B1548" s="1" t="s">
        <v>3012</v>
      </c>
      <c r="C1548" s="1" t="str">
        <f>IFERROR(__xludf.DUMMYFUNCTION("CONCATENATE(GOOGLETRANSLATE(B1548, ""en"", ""zh-cn""))"),"暂停上传")</f>
        <v>暂停上传</v>
      </c>
      <c r="D1548" s="1" t="str">
        <f>IFERROR(__xludf.DUMMYFUNCTION("CONCATENATE(GOOGLETRANSLATE(B1548, ""en"", ""ko""))"),"업로드 일시중지")</f>
        <v>업로드 일시중지</v>
      </c>
      <c r="E1548" s="2" t="str">
        <f>IFERROR(__xludf.DUMMYFUNCTION("CONCATENATE(GOOGLETRANSLATE(B1548, ""en"", ""ja""))"),"アップロードを一時停止する")</f>
        <v>アップロードを一時停止する</v>
      </c>
    </row>
    <row r="1549" ht="15.75" customHeight="1">
      <c r="A1549" s="1" t="s">
        <v>3013</v>
      </c>
      <c r="B1549" s="1" t="s">
        <v>3014</v>
      </c>
      <c r="C1549" s="1" t="str">
        <f>IFERROR(__xludf.DUMMYFUNCTION("CONCATENATE(GOOGLETRANSLATE(B1549, ""en"", ""zh-cn""))"),"重试上传")</f>
        <v>重试上传</v>
      </c>
      <c r="D1549" s="1" t="str">
        <f>IFERROR(__xludf.DUMMYFUNCTION("CONCATENATE(GOOGLETRANSLATE(B1549, ""en"", ""ko""))"),"업로드 재시도")</f>
        <v>업로드 재시도</v>
      </c>
      <c r="E1549" s="2" t="str">
        <f>IFERROR(__xludf.DUMMYFUNCTION("CONCATENATE(GOOGLETRANSLATE(B1549, ""en"", ""ja""))"),"アップロードを再試行します")</f>
        <v>アップロードを再試行します</v>
      </c>
    </row>
    <row r="1550" ht="15.75" customHeight="1">
      <c r="A1550" s="1" t="s">
        <v>3015</v>
      </c>
      <c r="B1550" s="1" t="s">
        <v>3016</v>
      </c>
      <c r="C1550" s="1" t="str">
        <f>IFERROR(__xludf.DUMMYFUNCTION("CONCATENATE(GOOGLETRANSLATE(B1550, ""en"", ""zh-cn""))"),"取消上传")</f>
        <v>取消上传</v>
      </c>
      <c r="D1550" s="1" t="str">
        <f>IFERROR(__xludf.DUMMYFUNCTION("CONCATENATE(GOOGLETRANSLATE(B1550, ""en"", ""ko""))"),"업로드 취소")</f>
        <v>업로드 취소</v>
      </c>
      <c r="E1550" s="2" t="str">
        <f>IFERROR(__xludf.DUMMYFUNCTION("CONCATENATE(GOOGLETRANSLATE(B1550, ""en"", ""ja""))"),"アップロードをキャンセルする")</f>
        <v>アップロードをキャンセルする</v>
      </c>
    </row>
    <row r="1551" ht="15.75" customHeight="1">
      <c r="A1551" s="1" t="s">
        <v>3017</v>
      </c>
      <c r="B1551" s="1" t="s">
        <v>3018</v>
      </c>
      <c r="C1551" s="1" t="str">
        <f>IFERROR(__xludf.DUMMYFUNCTION("CONCATENATE(GOOGLETRANSLATE(B1551, ""en"", ""zh-cn""))"),"上传中")</f>
        <v>上传中</v>
      </c>
      <c r="D1551" s="1" t="str">
        <f>IFERROR(__xludf.DUMMYFUNCTION("CONCATENATE(GOOGLETRANSLATE(B1551, ""en"", ""ko""))"),"업로드 중")</f>
        <v>업로드 중</v>
      </c>
      <c r="E1551" s="2" t="str">
        <f>IFERROR(__xludf.DUMMYFUNCTION("CONCATENATE(GOOGLETRANSLATE(B1551, ""en"", ""ja""))"),"アップロード中")</f>
        <v>アップロード中</v>
      </c>
    </row>
    <row r="1552" ht="15.75" customHeight="1">
      <c r="A1552" s="1" t="s">
        <v>3019</v>
      </c>
      <c r="B1552" s="1" t="s">
        <v>3020</v>
      </c>
      <c r="C1552" s="1" t="str">
        <f>IFERROR(__xludf.DUMMYFUNCTION("CONCATENATE(GOOGLETRANSLATE(B1552, ""en"", ""zh-cn""))"),"加工")</f>
        <v>加工</v>
      </c>
      <c r="D1552" s="1" t="str">
        <f>IFERROR(__xludf.DUMMYFUNCTION("CONCATENATE(GOOGLETRANSLATE(B1552, ""en"", ""ko""))"),"처리")</f>
        <v>처리</v>
      </c>
      <c r="E1552" s="2" t="str">
        <f>IFERROR(__xludf.DUMMYFUNCTION("CONCATENATE(GOOGLETRANSLATE(B1552, ""en"", ""ja""))"),"処理")</f>
        <v>処理</v>
      </c>
    </row>
    <row r="1553" ht="15.75" customHeight="1">
      <c r="A1553" s="1" t="s">
        <v>3021</v>
      </c>
      <c r="B1553" s="1" t="s">
        <v>3022</v>
      </c>
      <c r="C1553" s="1" t="str">
        <f>IFERROR(__xludf.DUMMYFUNCTION("CONCATENATE(GOOGLETRANSLATE(B1553, ""en"", ""zh-cn""))"),"完全的")</f>
        <v>完全的</v>
      </c>
      <c r="D1553" s="1" t="str">
        <f>IFERROR(__xludf.DUMMYFUNCTION("CONCATENATE(GOOGLETRANSLATE(B1553, ""en"", ""ko""))"),"완벽한")</f>
        <v>완벽한</v>
      </c>
      <c r="E1553" s="2" t="str">
        <f>IFERROR(__xludf.DUMMYFUNCTION("CONCATENATE(GOOGLETRANSLATE(B1553, ""en"", ""ja""))"),"完了")</f>
        <v>完了</v>
      </c>
    </row>
    <row r="1554" ht="15.75" customHeight="1">
      <c r="A1554" s="1" t="s">
        <v>3023</v>
      </c>
      <c r="B1554" s="1" t="s">
        <v>3024</v>
      </c>
      <c r="C1554" s="1" t="str">
        <f>IFERROR(__xludf.DUMMYFUNCTION("CONCATENATE(GOOGLETRANSLATE(B1554, ""en"", ""zh-cn""))"),"文件")</f>
        <v>文件</v>
      </c>
      <c r="D1554" s="1" t="str">
        <f>IFERROR(__xludf.DUMMYFUNCTION("CONCATENATE(GOOGLETRANSLATE(B1554, ""en"", ""ko""))"),"파일")</f>
        <v>파일</v>
      </c>
      <c r="E1554" s="2" t="str">
        <f>IFERROR(__xludf.DUMMYFUNCTION("CONCATENATE(GOOGLETRANSLATE(B1554, ""en"", ""ja""))"),"ファイル")</f>
        <v>ファイル</v>
      </c>
    </row>
    <row r="1555" ht="15.75" customHeight="1">
      <c r="A1555" s="1" t="s">
        <v>3025</v>
      </c>
      <c r="B1555" s="1" t="s">
        <v>3026</v>
      </c>
      <c r="C1555" s="1" t="str">
        <f>IFERROR(__xludf.DUMMYFUNCTION("CONCATENATE(GOOGLETRANSLATE(B1555, ""en"", ""zh-cn""))"),"此操作在演示模式下被禁用")</f>
        <v>此操作在演示模式下被禁用</v>
      </c>
      <c r="D1555" s="1" t="str">
        <f>IFERROR(__xludf.DUMMYFUNCTION("CONCATENATE(GOOGLETRANSLATE(B1555, ""en"", ""ko""))"),"데모 모드에서는 이 작업이 비활성화됩니다.")</f>
        <v>데모 모드에서는 이 작업이 비활성화됩니다.</v>
      </c>
      <c r="E1555" s="2" t="str">
        <f>IFERROR(__xludf.DUMMYFUNCTION("CONCATENATE(GOOGLETRANSLATE(B1555, ""en"", ""ja""))"),"このアクションはデモモードでは無効になっています")</f>
        <v>このアクションはデモモードでは無効になっています</v>
      </c>
    </row>
    <row r="1556" ht="15.75" customHeight="1">
      <c r="A1556" s="1" t="s">
        <v>3027</v>
      </c>
      <c r="B1556" s="1" t="s">
        <v>3028</v>
      </c>
      <c r="C1556" s="1" t="str">
        <f>IFERROR(__xludf.DUMMYFUNCTION("CONCATENATE(GOOGLETRANSLATE(B1556, ""en"", ""zh-cn""))"),"未选择任何内容")</f>
        <v>未选择任何内容</v>
      </c>
      <c r="D1556" s="1" t="str">
        <f>IFERROR(__xludf.DUMMYFUNCTION("CONCATENATE(GOOGLETRANSLATE(B1556, ""en"", ""ko""))"),"선택된 것이 없습니다")</f>
        <v>선택된 것이 없습니다</v>
      </c>
      <c r="E1556" s="2" t="str">
        <f>IFERROR(__xludf.DUMMYFUNCTION("CONCATENATE(GOOGLETRANSLATE(B1556, ""en"", ""ja""))"),"何も選択されていません")</f>
        <v>何も選択されていません</v>
      </c>
    </row>
    <row r="1557" ht="15.75" customHeight="1">
      <c r="A1557" s="1" t="s">
        <v>3027</v>
      </c>
      <c r="B1557" s="1" t="s">
        <v>3028</v>
      </c>
      <c r="C1557" s="1" t="str">
        <f>IFERROR(__xludf.DUMMYFUNCTION("CONCATENATE(GOOGLETRANSLATE(B1557, ""en"", ""zh-cn""))"),"未选择任何内容")</f>
        <v>未选择任何内容</v>
      </c>
      <c r="D1557" s="1" t="str">
        <f>IFERROR(__xludf.DUMMYFUNCTION("CONCATENATE(GOOGLETRANSLATE(B1557, ""en"", ""ko""))"),"선택된 것이 없습니다")</f>
        <v>선택된 것이 없습니다</v>
      </c>
      <c r="E1557" s="2" t="str">
        <f>IFERROR(__xludf.DUMMYFUNCTION("CONCATENATE(GOOGLETRANSLATE(B1557, ""en"", ""ja""))"),"何も選択されていません")</f>
        <v>何も選択されていません</v>
      </c>
    </row>
    <row r="1558" ht="15.75" customHeight="1">
      <c r="A1558" s="1" t="s">
        <v>3029</v>
      </c>
      <c r="B1558" s="1" t="s">
        <v>3030</v>
      </c>
      <c r="C1558" s="1" t="str">
        <f>IFERROR(__xludf.DUMMYFUNCTION("CONCATENATE(GOOGLETRANSLATE(B1558, ""en"", ""zh-cn""))"),"送货员")</f>
        <v>送货员</v>
      </c>
      <c r="D1558" s="1" t="str">
        <f>IFERROR(__xludf.DUMMYFUNCTION("CONCATENATE(GOOGLETRANSLATE(B1558, ""en"", ""ko""))"),"배달원")</f>
        <v>배달원</v>
      </c>
      <c r="E1558" s="2" t="str">
        <f>IFERROR(__xludf.DUMMYFUNCTION("CONCATENATE(GOOGLETRANSLATE(B1558, ""en"", ""ja""))"),"配達員")</f>
        <v>配達員</v>
      </c>
    </row>
    <row r="1559" ht="15.75" customHeight="1">
      <c r="A1559" s="1" t="s">
        <v>3031</v>
      </c>
      <c r="B1559" s="1" t="s">
        <v>3032</v>
      </c>
      <c r="C1559" s="1" t="str">
        <f>IFERROR(__xludf.DUMMYFUNCTION("CONCATENATE(GOOGLETRANSLATE(B1559, ""en"", ""zh-cn""))"),"所有送货员")</f>
        <v>所有送货员</v>
      </c>
      <c r="D1559" s="1" t="str">
        <f>IFERROR(__xludf.DUMMYFUNCTION("CONCATENATE(GOOGLETRANSLATE(B1559, ""en"", ""ko""))"),"모든 배달원")</f>
        <v>모든 배달원</v>
      </c>
      <c r="E1559" s="2" t="str">
        <f>IFERROR(__xludf.DUMMYFUNCTION("CONCATENATE(GOOGLETRANSLATE(B1559, ""en"", ""ja""))"),"配達員全員")</f>
        <v>配達員全員</v>
      </c>
    </row>
    <row r="1560" ht="15.75" customHeight="1">
      <c r="A1560" s="1" t="s">
        <v>3033</v>
      </c>
      <c r="B1560" s="1" t="s">
        <v>3034</v>
      </c>
      <c r="C1560" s="1" t="str">
        <f>IFERROR(__xludf.DUMMYFUNCTION("CONCATENATE(GOOGLETRANSLATE(B1560, ""en"", ""zh-cn""))"),"添加送货员")</f>
        <v>添加送货员</v>
      </c>
      <c r="D1560" s="1" t="str">
        <f>IFERROR(__xludf.DUMMYFUNCTION("CONCATENATE(GOOGLETRANSLATE(B1560, ""en"", ""ko""))"),"배달원 추가")</f>
        <v>배달원 추가</v>
      </c>
      <c r="E1560" s="2" t="str">
        <f>IFERROR(__xludf.DUMMYFUNCTION("CONCATENATE(GOOGLETRANSLATE(B1560, ""en"", ""ja""))"),"配達員を追加")</f>
        <v>配達員を追加</v>
      </c>
    </row>
    <row r="1561" ht="15.75" customHeight="1">
      <c r="A1561" s="1" t="s">
        <v>3035</v>
      </c>
      <c r="B1561" s="1" t="s">
        <v>3036</v>
      </c>
      <c r="C1561" s="1" t="str">
        <f>IFERROR(__xludf.DUMMYFUNCTION("CONCATENATE(GOOGLETRANSLATE(B1561, ""en"", ""zh-cn""))"),"取消请求")</f>
        <v>取消请求</v>
      </c>
      <c r="D1561" s="1" t="str">
        <f>IFERROR(__xludf.DUMMYFUNCTION("CONCATENATE(GOOGLETRANSLATE(B1561, ""en"", ""ko""))"),"요청 취소")</f>
        <v>요청 취소</v>
      </c>
      <c r="E1561" s="2" t="str">
        <f>IFERROR(__xludf.DUMMYFUNCTION("CONCATENATE(GOOGLETRANSLATE(B1561, ""en"", ""ja""))"),"キャンセルリクエスト")</f>
        <v>キャンセルリクエスト</v>
      </c>
    </row>
    <row r="1562" ht="15.75" customHeight="1">
      <c r="A1562" s="1" t="s">
        <v>3037</v>
      </c>
      <c r="B1562" s="1" t="s">
        <v>3038</v>
      </c>
      <c r="C1562" s="1" t="str">
        <f>IFERROR(__xludf.DUMMYFUNCTION("CONCATENATE(GOOGLETRANSLATE(B1562, ""en"", ""zh-cn""))"),"配置")</f>
        <v>配置</v>
      </c>
      <c r="D1562" s="1" t="str">
        <f>IFERROR(__xludf.DUMMYFUNCTION("CONCATENATE(GOOGLETRANSLATE(B1562, ""en"", ""ko""))"),"구성")</f>
        <v>구성</v>
      </c>
      <c r="E1562" s="2" t="str">
        <f>IFERROR(__xludf.DUMMYFUNCTION("CONCATENATE(GOOGLETRANSLATE(B1562, ""en"", ""ja""))"),"構成")</f>
        <v>構成</v>
      </c>
    </row>
    <row r="1563" ht="15.75" customHeight="1">
      <c r="A1563" s="1" t="s">
        <v>3039</v>
      </c>
      <c r="B1563" s="1" t="s">
        <v>3040</v>
      </c>
      <c r="C1563" s="1" t="str">
        <f>IFERROR(__xludf.DUMMYFUNCTION("CONCATENATE(GOOGLETRANSLATE(B1563, ""en"", ""zh-cn""))"),"所有送货员")</f>
        <v>所有送货员</v>
      </c>
      <c r="D1563" s="1" t="str">
        <f>IFERROR(__xludf.DUMMYFUNCTION("CONCATENATE(GOOGLETRANSLATE(B1563, ""en"", ""ko""))"),"배달원 전체")</f>
        <v>배달원 전체</v>
      </c>
      <c r="E1563" s="2" t="str">
        <f>IFERROR(__xludf.DUMMYFUNCTION("CONCATENATE(GOOGLETRANSLATE(B1563, ""en"", ""ja""))"),"すべての配達員")</f>
        <v>すべての配達員</v>
      </c>
    </row>
    <row r="1564" ht="15.75" customHeight="1">
      <c r="A1564" s="1" t="s">
        <v>3041</v>
      </c>
      <c r="B1564" s="1" t="s">
        <v>3042</v>
      </c>
      <c r="C1564" s="1" t="str">
        <f>IFERROR(__xludf.DUMMYFUNCTION("CONCATENATE(GOOGLETRANSLATE(B1564, ""en"", ""zh-cn""))"),"添加新送货员")</f>
        <v>添加新送货员</v>
      </c>
      <c r="D1564" s="1" t="str">
        <f>IFERROR(__xludf.DUMMYFUNCTION("CONCATENATE(GOOGLETRANSLATE(B1564, ""en"", ""ko""))"),"새 배달원 추가")</f>
        <v>새 배달원 추가</v>
      </c>
      <c r="E1564" s="2" t="str">
        <f>IFERROR(__xludf.DUMMYFUNCTION("CONCATENATE(GOOGLETRANSLATE(B1564, ""en"", ""ja""))"),"新しい配達員を追加")</f>
        <v>新しい配達員を追加</v>
      </c>
    </row>
    <row r="1565" ht="15.75" customHeight="1">
      <c r="A1565" s="1" t="s">
        <v>3043</v>
      </c>
      <c r="B1565" s="1" t="s">
        <v>3044</v>
      </c>
      <c r="C1565" s="1" t="str">
        <f>IFERROR(__xludf.DUMMYFUNCTION("CONCATENATE(GOOGLETRANSLATE(B1565, ""en"", ""zh-cn""))"),"送货员")</f>
        <v>送货员</v>
      </c>
      <c r="D1565" s="1" t="str">
        <f>IFERROR(__xludf.DUMMYFUNCTION("CONCATENATE(GOOGLETRANSLATE(B1565, ""en"", ""ko""))"),"배달 소년")</f>
        <v>배달 소년</v>
      </c>
      <c r="E1565" s="2" t="str">
        <f>IFERROR(__xludf.DUMMYFUNCTION("CONCATENATE(GOOGLETRANSLATE(B1565, ""en"", ""ja""))"),"デリバリーボーイズ")</f>
        <v>デリバリーボーイズ</v>
      </c>
    </row>
    <row r="1566" ht="15.75" customHeight="1">
      <c r="A1566" s="1" t="s">
        <v>3045</v>
      </c>
      <c r="B1566" s="1" t="s">
        <v>3046</v>
      </c>
      <c r="C1566" s="1" t="str">
        <f>IFERROR(__xludf.DUMMYFUNCTION("CONCATENATE(GOOGLETRANSLATE(B1566, ""en"", ""zh-cn""))"),"收藏")</f>
        <v>收藏</v>
      </c>
      <c r="D1566" s="1" t="str">
        <f>IFERROR(__xludf.DUMMYFUNCTION("CONCATENATE(GOOGLETRANSLATE(B1566, ""en"", ""ko""))"),"수집")</f>
        <v>수집</v>
      </c>
      <c r="E1566" s="2" t="str">
        <f>IFERROR(__xludf.DUMMYFUNCTION("CONCATENATE(GOOGLETRANSLATE(B1566, ""en"", ""ja""))"),"コレクション")</f>
        <v>コレクション</v>
      </c>
    </row>
    <row r="1567" ht="15.75" customHeight="1">
      <c r="A1567" s="1" t="s">
        <v>3047</v>
      </c>
      <c r="B1567" s="1" t="s">
        <v>3048</v>
      </c>
      <c r="C1567" s="1" t="str">
        <f>IFERROR(__xludf.DUMMYFUNCTION("CONCATENATE(GOOGLETRANSLATE(B1567, ""en"", ""zh-cn""))"),"您真的要禁止这个送货男孩吗？")</f>
        <v>您真的要禁止这个送货男孩吗？</v>
      </c>
      <c r="D1567" s="1" t="str">
        <f>IFERROR(__xludf.DUMMYFUNCTION("CONCATENATE(GOOGLETRANSLATE(B1567, ""en"", ""ko""))"),"정말로 이 배달원을 금지하시겠습니까?")</f>
        <v>정말로 이 배달원을 금지하시겠습니까?</v>
      </c>
      <c r="E1567" s="2" t="str">
        <f>IFERROR(__xludf.DUMMYFUNCTION("CONCATENATE(GOOGLETRANSLATE(B1567, ""en"", ""ja""))"),"本当にこの配達員を禁止しますか?")</f>
        <v>本当にこの配達員を禁止しますか?</v>
      </c>
    </row>
    <row r="1568" ht="15.75" customHeight="1">
      <c r="A1568" s="1" t="s">
        <v>3049</v>
      </c>
      <c r="B1568" s="1" t="s">
        <v>3050</v>
      </c>
      <c r="C1568" s="1" t="str">
        <f>IFERROR(__xludf.DUMMYFUNCTION("CONCATENATE(GOOGLETRANSLATE(B1568, ""en"", ""zh-cn""))"),"您真的要解封这个送货男孩吗？")</f>
        <v>您真的要解封这个送货男孩吗？</v>
      </c>
      <c r="D1568" s="1" t="str">
        <f>IFERROR(__xludf.DUMMYFUNCTION("CONCATENATE(GOOGLETRANSLATE(B1568, ""en"", ""ko""))"),"정말로 이 배달원의 금지를 해제하시겠습니까?")</f>
        <v>정말로 이 배달원의 금지를 해제하시겠습니까?</v>
      </c>
      <c r="E1568" s="2" t="str">
        <f>IFERROR(__xludf.DUMMYFUNCTION("CONCATENATE(GOOGLETRANSLATE(B1568, ""en"", ""ja""))"),"本当にこの配達員の禁止を解除したいですか?")</f>
        <v>本当にこの配達員の禁止を解除したいですか?</v>
      </c>
    </row>
    <row r="1569" ht="15.75" customHeight="1">
      <c r="A1569" s="1" t="s">
        <v>3051</v>
      </c>
      <c r="B1569" s="1" t="s">
        <v>3052</v>
      </c>
      <c r="C1569" s="1" t="str">
        <f>IFERROR(__xludf.DUMMYFUNCTION("CONCATENATE(GOOGLETRANSLATE(B1569, ""en"", ""zh-cn""))"),"送货员信息")</f>
        <v>送货员信息</v>
      </c>
      <c r="D1569" s="1" t="str">
        <f>IFERROR(__xludf.DUMMYFUNCTION("CONCATENATE(GOOGLETRANSLATE(B1569, ""en"", ""ko""))"),"배달원 정보")</f>
        <v>배달원 정보</v>
      </c>
      <c r="E1569" s="2" t="str">
        <f>IFERROR(__xludf.DUMMYFUNCTION("CONCATENATE(GOOGLETRANSLATE(B1569, ""en"", ""ja""))"),"配達員情報")</f>
        <v>配達員情報</v>
      </c>
    </row>
    <row r="1570" ht="15.75" customHeight="1">
      <c r="A1570" s="1" t="s">
        <v>3053</v>
      </c>
      <c r="B1570" s="1" t="s">
        <v>3054</v>
      </c>
      <c r="C1570" s="1" t="str">
        <f>IFERROR(__xludf.DUMMYFUNCTION("CONCATENATE(GOOGLETRANSLATE(B1570, ""en"", ""zh-cn""))"),"选择城市")</f>
        <v>选择城市</v>
      </c>
      <c r="D1570" s="1" t="str">
        <f>IFERROR(__xludf.DUMMYFUNCTION("CONCATENATE(GOOGLETRANSLATE(B1570, ""en"", ""ko""))"),"도시 선택")</f>
        <v>도시 선택</v>
      </c>
      <c r="E1570" s="2" t="str">
        <f>IFERROR(__xludf.DUMMYFUNCTION("CONCATENATE(GOOGLETRANSLATE(B1570, ""en"", ""ja""))"),"都市を選択してください")</f>
        <v>都市を選択してください</v>
      </c>
    </row>
    <row r="1571" ht="15.75" customHeight="1">
      <c r="A1571" s="1" t="s">
        <v>3055</v>
      </c>
      <c r="B1571" s="1" t="s">
        <v>3056</v>
      </c>
      <c r="C1571" s="1" t="str">
        <f>IFERROR(__xludf.DUMMYFUNCTION("CONCATENATE(GOOGLETRANSLATE(B1571, ""en"", ""zh-cn""))"),"外卖小哥创建成功")</f>
        <v>外卖小哥创建成功</v>
      </c>
      <c r="D1571" s="1" t="str">
        <f>IFERROR(__xludf.DUMMYFUNCTION("CONCATENATE(GOOGLETRANSLATE(B1571, ""en"", ""ko""))"),"배달원이 성공적으로 생성되었습니다")</f>
        <v>배달원이 성공적으로 생성되었습니다</v>
      </c>
      <c r="E1571" s="2" t="str">
        <f>IFERROR(__xludf.DUMMYFUNCTION("CONCATENATE(GOOGLETRANSLATE(B1571, ""en"", ""ja""))"),"Delivery Boy が正常に作成されました")</f>
        <v>Delivery Boy が正常に作成されました</v>
      </c>
    </row>
    <row r="1572" ht="15.75" customHeight="1">
      <c r="A1572" s="1" t="s">
        <v>3057</v>
      </c>
      <c r="B1572" s="1" t="s">
        <v>3058</v>
      </c>
      <c r="C1572" s="1" t="str">
        <f>IFERROR(__xludf.DUMMYFUNCTION("CONCATENATE(GOOGLETRANSLATE(B1572, ""en"", ""zh-cn""))"),"封杀这个外卖小哥")</f>
        <v>封杀这个外卖小哥</v>
      </c>
      <c r="D1572" s="1" t="str">
        <f>IFERROR(__xludf.DUMMYFUNCTION("CONCATENATE(GOOGLETRANSLATE(B1572, ""en"", ""ko""))"),"이 배달원을 금지하세요")</f>
        <v>이 배달원을 금지하세요</v>
      </c>
      <c r="E1572" s="2" t="str">
        <f>IFERROR(__xludf.DUMMYFUNCTION("CONCATENATE(GOOGLETRANSLATE(B1572, ""en"", ""ja""))"),"この配達員を出禁にする")</f>
        <v>この配達員を出禁にする</v>
      </c>
    </row>
    <row r="1573" ht="15.75" customHeight="1">
      <c r="A1573" s="1" t="s">
        <v>3059</v>
      </c>
      <c r="B1573" s="1" t="s">
        <v>3060</v>
      </c>
      <c r="C1573" s="1" t="str">
        <f>IFERROR(__xludf.DUMMYFUNCTION("CONCATENATE(GOOGLETRANSLATE(B1573, ""en"", ""zh-cn""))"),"支付配置")</f>
        <v>支付配置</v>
      </c>
      <c r="D1573" s="1" t="str">
        <f>IFERROR(__xludf.DUMMYFUNCTION("CONCATENATE(GOOGLETRANSLATE(B1573, ""en"", ""ko""))"),"결제 구성")</f>
        <v>결제 구성</v>
      </c>
      <c r="E1573" s="2" t="str">
        <f>IFERROR(__xludf.DUMMYFUNCTION("CONCATENATE(GOOGLETRANSLATE(B1573, ""en"", ""ja""))"),"支払い設定")</f>
        <v>支払い設定</v>
      </c>
    </row>
    <row r="1574" ht="15.75" customHeight="1">
      <c r="A1574" s="1" t="s">
        <v>3061</v>
      </c>
      <c r="B1574" s="1" t="s">
        <v>3062</v>
      </c>
      <c r="C1574" s="1" t="str">
        <f>IFERROR(__xludf.DUMMYFUNCTION("CONCATENATE(GOOGLETRANSLATE(B1574, ""en"", ""zh-cn""))"),"月薪")</f>
        <v>月薪</v>
      </c>
      <c r="D1574" s="1" t="str">
        <f>IFERROR(__xludf.DUMMYFUNCTION("CONCATENATE(GOOGLETRANSLATE(B1574, ""en"", ""ko""))"),"월급")</f>
        <v>월급</v>
      </c>
      <c r="E1574" s="2" t="str">
        <f>IFERROR(__xludf.DUMMYFUNCTION("CONCATENATE(GOOGLETRANSLATE(B1574, ""en"", ""ja""))"),"月給")</f>
        <v>月給</v>
      </c>
    </row>
    <row r="1575" ht="15.75" customHeight="1">
      <c r="A1575" s="1" t="s">
        <v>3063</v>
      </c>
      <c r="B1575" s="1" t="s">
        <v>3064</v>
      </c>
      <c r="C1575" s="1" t="str">
        <f>IFERROR(__xludf.DUMMYFUNCTION("CONCATENATE(GOOGLETRANSLATE(B1575, ""en"", ""zh-cn""))"),"工资金额")</f>
        <v>工资金额</v>
      </c>
      <c r="D1575" s="1" t="str">
        <f>IFERROR(__xludf.DUMMYFUNCTION("CONCATENATE(GOOGLETRANSLATE(B1575, ""en"", ""ko""))"),"급여 금액")</f>
        <v>급여 금액</v>
      </c>
      <c r="E1575" s="2" t="str">
        <f>IFERROR(__xludf.DUMMYFUNCTION("CONCATENATE(GOOGLETRANSLATE(B1575, ""en"", ""ja""))"),"給与額")</f>
        <v>給与額</v>
      </c>
    </row>
    <row r="1576" ht="15.75" customHeight="1">
      <c r="A1576" s="1" t="s">
        <v>3065</v>
      </c>
      <c r="B1576" s="1" t="s">
        <v>3066</v>
      </c>
      <c r="C1576" s="1" t="str">
        <f>IFERROR(__xludf.DUMMYFUNCTION("CONCATENATE(GOOGLETRANSLATE(B1576, ""en"", ""zh-cn""))"),"每笔订单佣金")</f>
        <v>每笔订单佣金</v>
      </c>
      <c r="D1576" s="1" t="str">
        <f>IFERROR(__xludf.DUMMYFUNCTION("CONCATENATE(GOOGLETRANSLATE(B1576, ""en"", ""ko""))"),"주문당 수수료")</f>
        <v>주문당 수수료</v>
      </c>
      <c r="E1576" s="2" t="str">
        <f>IFERROR(__xludf.DUMMYFUNCTION("CONCATENATE(GOOGLETRANSLATE(B1576, ""en"", ""ja""))"),"注文ごとのコミッション")</f>
        <v>注文ごとのコミッション</v>
      </c>
    </row>
    <row r="1577" ht="15.75" customHeight="1">
      <c r="A1577" s="1" t="s">
        <v>3067</v>
      </c>
      <c r="B1577" s="1" t="s">
        <v>3068</v>
      </c>
      <c r="C1577" s="1" t="str">
        <f>IFERROR(__xludf.DUMMYFUNCTION("CONCATENATE(GOOGLETRANSLATE(B1577, ""en"", ""zh-cn""))"),"佣金率")</f>
        <v>佣金率</v>
      </c>
      <c r="D1577" s="1" t="str">
        <f>IFERROR(__xludf.DUMMYFUNCTION("CONCATENATE(GOOGLETRANSLATE(B1577, ""en"", ""ko""))"),"수수료율")</f>
        <v>수수료율</v>
      </c>
      <c r="E1577" s="2" t="str">
        <f>IFERROR(__xludf.DUMMYFUNCTION("CONCATENATE(GOOGLETRANSLATE(B1577, ""en"", ""ja""))"),"手数料率")</f>
        <v>手数料率</v>
      </c>
    </row>
    <row r="1578" ht="15.75" customHeight="1">
      <c r="A1578" s="1" t="s">
        <v>3069</v>
      </c>
      <c r="B1578" s="1" t="s">
        <v>3070</v>
      </c>
      <c r="C1578" s="1" t="str">
        <f>IFERROR(__xludf.DUMMYFUNCTION("CONCATENATE(GOOGLETRANSLATE(B1578, ""en"", ""zh-cn""))"),"通知配置")</f>
        <v>通知配置</v>
      </c>
      <c r="D1578" s="1" t="str">
        <f>IFERROR(__xludf.DUMMYFUNCTION("CONCATENATE(GOOGLETRANSLATE(B1578, ""en"", ""ko""))"),"알림 구성")</f>
        <v>알림 구성</v>
      </c>
      <c r="E1578" s="2" t="str">
        <f>IFERROR(__xludf.DUMMYFUNCTION("CONCATENATE(GOOGLETRANSLATE(B1578, ""en"", ""ja""))"),"通知設定")</f>
        <v>通知設定</v>
      </c>
    </row>
    <row r="1579" ht="15.75" customHeight="1">
      <c r="A1579" s="1" t="s">
        <v>3071</v>
      </c>
      <c r="B1579" s="1" t="s">
        <v>3072</v>
      </c>
      <c r="C1579" s="1" t="str">
        <f>IFERROR(__xludf.DUMMYFUNCTION("CONCATENATE(GOOGLETRANSLATE(B1579, ""en"", ""zh-cn""))"),"发送邮件")</f>
        <v>发送邮件</v>
      </c>
      <c r="D1579" s="1" t="str">
        <f>IFERROR(__xludf.DUMMYFUNCTION("CONCATENATE(GOOGLETRANSLATE(B1579, ""en"", ""ko""))"),"메일 보내기")</f>
        <v>메일 보내기</v>
      </c>
      <c r="E1579" s="2" t="str">
        <f>IFERROR(__xludf.DUMMYFUNCTION("CONCATENATE(GOOGLETRANSLATE(B1579, ""en"", ""ja""))"),"メールを送信する")</f>
        <v>メールを送信する</v>
      </c>
    </row>
    <row r="1580" ht="15.75" customHeight="1">
      <c r="A1580" s="1" t="s">
        <v>3073</v>
      </c>
      <c r="B1580" s="1" t="s">
        <v>3074</v>
      </c>
      <c r="C1580" s="1" t="str">
        <f>IFERROR(__xludf.DUMMYFUNCTION("CONCATENATE(GOOGLETRANSLATE(B1580, ""en"", ""zh-cn""))"),"发送一次性密码")</f>
        <v>发送一次性密码</v>
      </c>
      <c r="D1580" s="1" t="str">
        <f>IFERROR(__xludf.DUMMYFUNCTION("CONCATENATE(GOOGLETRANSLATE(B1580, ""en"", ""ko""))"),"OTP 보내기")</f>
        <v>OTP 보내기</v>
      </c>
      <c r="E1580" s="2" t="str">
        <f>IFERROR(__xludf.DUMMYFUNCTION("CONCATENATE(GOOGLETRANSLATE(B1580, ""en"", ""ja""))"),"OTPを送信する")</f>
        <v>OTPを送信する</v>
      </c>
    </row>
    <row r="1581" ht="15.75" customHeight="1">
      <c r="A1581" s="1" t="s">
        <v>3075</v>
      </c>
      <c r="B1581" s="1" t="s">
        <v>3076</v>
      </c>
      <c r="C1581" s="1" t="str">
        <f>IFERROR(__xludf.DUMMYFUNCTION("CONCATENATE(GOOGLETRANSLATE(B1581, ""en"", ""zh-cn""))"),"全部取消请求")</f>
        <v>全部取消请求</v>
      </c>
      <c r="D1581" s="1" t="str">
        <f>IFERROR(__xludf.DUMMYFUNCTION("CONCATENATE(GOOGLETRANSLATE(B1581, ""en"", ""ko""))"),"모두 취소 요청")</f>
        <v>모두 취소 요청</v>
      </c>
      <c r="E1581" s="2" t="str">
        <f>IFERROR(__xludf.DUMMYFUNCTION("CONCATENATE(GOOGLETRANSLATE(B1581, ""en"", ""ja""))"),"全てのキャンセルリクエスト")</f>
        <v>全てのキャンセルリクエスト</v>
      </c>
    </row>
    <row r="1582" ht="15.75" customHeight="1">
      <c r="A1582" s="1" t="s">
        <v>3077</v>
      </c>
      <c r="B1582" s="1" t="s">
        <v>3078</v>
      </c>
      <c r="C1582" s="1" t="str">
        <f>IFERROR(__xludf.DUMMYFUNCTION("CONCATENATE(GOOGLETRANSLATE(B1582, ""en"", ""zh-cn""))"),"取消请求")</f>
        <v>取消请求</v>
      </c>
      <c r="D1582" s="1" t="str">
        <f>IFERROR(__xludf.DUMMYFUNCTION("CONCATENATE(GOOGLETRANSLATE(B1582, ""en"", ""ko""))"),"요청 취소")</f>
        <v>요청 취소</v>
      </c>
      <c r="E1582" s="2" t="str">
        <f>IFERROR(__xludf.DUMMYFUNCTION("CONCATENATE(GOOGLETRANSLATE(B1582, ""en"", ""ja""))"),"リクエストのキャンセル")</f>
        <v>リクエストのキャンセル</v>
      </c>
    </row>
    <row r="1583" ht="15.75" customHeight="1">
      <c r="A1583" s="1" t="s">
        <v>3079</v>
      </c>
      <c r="B1583" s="1" t="s">
        <v>3080</v>
      </c>
      <c r="C1583" s="1" t="str">
        <f>IFERROR(__xludf.DUMMYFUNCTION("CONCATENATE(GOOGLETRANSLATE(B1583, ""en"", ""zh-cn""))"),"请求者")</f>
        <v>请求者</v>
      </c>
      <c r="D1583" s="1" t="str">
        <f>IFERROR(__xludf.DUMMYFUNCTION("CONCATENATE(GOOGLETRANSLATE(B1583, ""en"", ""ko""))"),"요청자")</f>
        <v>요청자</v>
      </c>
      <c r="E1583" s="2" t="str">
        <f>IFERROR(__xludf.DUMMYFUNCTION("CONCATENATE(GOOGLETRANSLATE(B1583, ""en"", ""ja""))"),"リクエスト者")</f>
        <v>リクエスト者</v>
      </c>
    </row>
    <row r="1584" ht="15.75" customHeight="1">
      <c r="A1584" s="1" t="s">
        <v>3081</v>
      </c>
      <c r="B1584" s="1" t="s">
        <v>3082</v>
      </c>
      <c r="C1584" s="1" t="str">
        <f>IFERROR(__xludf.DUMMYFUNCTION("CONCATENATE(GOOGLETRANSLATE(B1584, ""en"", ""zh-cn""))"),"请求于")</f>
        <v>请求于</v>
      </c>
      <c r="D1584" s="1" t="str">
        <f>IFERROR(__xludf.DUMMYFUNCTION("CONCATENATE(GOOGLETRANSLATE(B1584, ""en"", ""ko""))"),"요청 장소")</f>
        <v>요청 장소</v>
      </c>
      <c r="E1584" s="2" t="str">
        <f>IFERROR(__xludf.DUMMYFUNCTION("CONCATENATE(GOOGLETRANSLATE(B1584, ""en"", ""ja""))"),"リクエスト先")</f>
        <v>リクエスト先</v>
      </c>
    </row>
    <row r="1585" ht="15.75" customHeight="1">
      <c r="A1585" s="1" t="s">
        <v>3083</v>
      </c>
      <c r="B1585" s="1" t="s">
        <v>3084</v>
      </c>
      <c r="C1585" s="1" t="str">
        <f>IFERROR(__xludf.DUMMYFUNCTION("CONCATENATE(GOOGLETRANSLATE(B1585, ""en"", ""zh-cn""))"),"线下客户套餐付款请求")</f>
        <v>线下客户套餐付款请求</v>
      </c>
      <c r="D1585" s="1" t="str">
        <f>IFERROR(__xludf.DUMMYFUNCTION("CONCATENATE(GOOGLETRANSLATE(B1585, ""en"", ""ko""))"),"오프라인 고객 패키지 결제 요청")</f>
        <v>오프라인 고객 패키지 결제 요청</v>
      </c>
      <c r="E1585" s="2" t="str">
        <f>IFERROR(__xludf.DUMMYFUNCTION("CONCATENATE(GOOGLETRANSLATE(B1585, ""en"", ""ja""))"),"オフライン顧客パッケージの支払いリクエスト")</f>
        <v>オフライン顧客パッケージの支払いリクエスト</v>
      </c>
    </row>
    <row r="1586" ht="15.75" customHeight="1">
      <c r="A1586" s="1" t="s">
        <v>3085</v>
      </c>
      <c r="B1586" s="1" t="s">
        <v>3086</v>
      </c>
      <c r="C1586" s="1" t="str">
        <f>IFERROR(__xludf.DUMMYFUNCTION("CONCATENATE(GOOGLETRANSLATE(B1586, ""en"", ""zh-cn""))"),"方法")</f>
        <v>方法</v>
      </c>
      <c r="D1586" s="1" t="str">
        <f>IFERROR(__xludf.DUMMYFUNCTION("CONCATENATE(GOOGLETRANSLATE(B1586, ""en"", ""ko""))"),"방법")</f>
        <v>방법</v>
      </c>
      <c r="E1586" s="2" t="str">
        <f>IFERROR(__xludf.DUMMYFUNCTION("CONCATENATE(GOOGLETRANSLATE(B1586, ""en"", ""ja""))"),"方法")</f>
        <v>方法</v>
      </c>
    </row>
    <row r="1587" ht="15.75" customHeight="1">
      <c r="A1587" s="1" t="s">
        <v>3087</v>
      </c>
      <c r="B1587" s="1" t="s">
        <v>3088</v>
      </c>
      <c r="C1587" s="1" t="str">
        <f>IFERROR(__xludf.DUMMYFUNCTION("CONCATENATE(GOOGLETRANSLATE(B1587, ""en"", ""zh-cn""))"),"TXN ID")</f>
        <v>TXN ID</v>
      </c>
      <c r="D1587" s="1" t="str">
        <f>IFERROR(__xludf.DUMMYFUNCTION("CONCATENATE(GOOGLETRANSLATE(B1587, ""en"", ""ko""))"),"TXN ID")</f>
        <v>TXN ID</v>
      </c>
      <c r="E1587" s="2" t="str">
        <f>IFERROR(__xludf.DUMMYFUNCTION("CONCATENATE(GOOGLETRANSLATE(B1587, ""en"", ""ja""))"),"TXN ID")</f>
        <v>TXN ID</v>
      </c>
    </row>
    <row r="1588" ht="15.75" customHeight="1">
      <c r="A1588" s="1" t="s">
        <v>3089</v>
      </c>
      <c r="B1588" s="1" t="s">
        <v>3090</v>
      </c>
      <c r="C1588" s="1" t="str">
        <f>IFERROR(__xludf.DUMMYFUNCTION("CONCATENATE(GOOGLETRANSLATE(B1588, ""en"", ""zh-cn""))"),"收据")</f>
        <v>收据</v>
      </c>
      <c r="D1588" s="1" t="str">
        <f>IFERROR(__xludf.DUMMYFUNCTION("CONCATENATE(GOOGLETRANSLATE(B1588, ""en"", ""ko""))"),"영수증")</f>
        <v>영수증</v>
      </c>
      <c r="E1588" s="2" t="str">
        <f>IFERROR(__xludf.DUMMYFUNCTION("CONCATENATE(GOOGLETRANSLATE(B1588, ""en"", ""ja""))"),"領収書")</f>
        <v>領収書</v>
      </c>
    </row>
    <row r="1589" ht="15.75" customHeight="1">
      <c r="A1589" s="1" t="s">
        <v>3091</v>
      </c>
      <c r="B1589" s="1" t="s">
        <v>3092</v>
      </c>
      <c r="C1589" s="1" t="str">
        <f>IFERROR(__xludf.DUMMYFUNCTION("CONCATENATE(GOOGLETRANSLATE(B1589, ""en"", ""zh-cn""))"),"线下客户套餐付款审核成功")</f>
        <v>线下客户套餐付款审核成功</v>
      </c>
      <c r="D1589" s="1" t="str">
        <f>IFERROR(__xludf.DUMMYFUNCTION("CONCATENATE(GOOGLETRANSLATE(B1589, ""en"", ""ko""))"),"오프라인 고객 패키지 결제가 성공적으로 승인되었습니다.")</f>
        <v>오프라인 고객 패키지 결제가 성공적으로 승인되었습니다.</v>
      </c>
      <c r="E1589" s="2" t="str">
        <f>IFERROR(__xludf.DUMMYFUNCTION("CONCATENATE(GOOGLETRANSLATE(B1589, ""en"", ""ja""))"),"オフライン顧客パッケージ支払いが正常に承認されました")</f>
        <v>オフライン顧客パッケージ支払いが正常に承認されました</v>
      </c>
    </row>
    <row r="1590" ht="15.75" customHeight="1">
      <c r="A1590" s="1" t="s">
        <v>3093</v>
      </c>
      <c r="B1590" s="1" t="s">
        <v>3094</v>
      </c>
      <c r="C1590" s="1" t="str">
        <f>IFERROR(__xludf.DUMMYFUNCTION("CONCATENATE(GOOGLETRANSLATE(B1590, ""en"", ""zh-cn""))"),"推荐用户")</f>
        <v>推荐用户</v>
      </c>
      <c r="D1590" s="1" t="str">
        <f>IFERROR(__xludf.DUMMYFUNCTION("CONCATENATE(GOOGLETRANSLATE(B1590, ""en"", ""ko""))"),"추천 사용자")</f>
        <v>추천 사용자</v>
      </c>
      <c r="E1590" s="2" t="str">
        <f>IFERROR(__xludf.DUMMYFUNCTION("CONCATENATE(GOOGLETRANSLATE(B1590, ""en"", ""ja""))"),"紹介ユーザー")</f>
        <v>紹介ユーザー</v>
      </c>
    </row>
    <row r="1591" ht="15.75" customHeight="1">
      <c r="A1591" s="1" t="s">
        <v>3095</v>
      </c>
      <c r="B1591" s="1" t="s">
        <v>3096</v>
      </c>
      <c r="C1591" s="1" t="str">
        <f>IFERROR(__xludf.DUMMYFUNCTION("CONCATENATE(GOOGLETRANSLATE(B1591, ""en"", ""zh-cn""))"),"推荐人")</f>
        <v>推荐人</v>
      </c>
      <c r="D1591" s="1" t="str">
        <f>IFERROR(__xludf.DUMMYFUNCTION("CONCATENATE(GOOGLETRANSLATE(B1591, ""en"", ""ko""))"),"추천자")</f>
        <v>추천자</v>
      </c>
      <c r="E1591" s="2" t="str">
        <f>IFERROR(__xludf.DUMMYFUNCTION("CONCATENATE(GOOGLETRANSLATE(B1591, ""en"", ""ja""))"),"紹介者")</f>
        <v>紹介者</v>
      </c>
    </row>
    <row r="1592" ht="15.75" customHeight="1">
      <c r="A1592" s="1" t="s">
        <v>3097</v>
      </c>
      <c r="B1592" s="1" t="s">
        <v>3098</v>
      </c>
      <c r="C1592" s="1" t="str">
        <f>IFERROR(__xludf.DUMMYFUNCTION("CONCATENATE(GOOGLETRANSLATE(B1592, ""en"", ""zh-cn""))"),"联属网络营销提款请求被拒绝")</f>
        <v>联属网络营销提款请求被拒绝</v>
      </c>
      <c r="D1592" s="1" t="str">
        <f>IFERROR(__xludf.DUMMYFUNCTION("CONCATENATE(GOOGLETRANSLATE(B1592, ""en"", ""ko""))"),"제휴 탈퇴 요청 거부")</f>
        <v>제휴 탈퇴 요청 거부</v>
      </c>
      <c r="E1592" s="2" t="str">
        <f>IFERROR(__xludf.DUMMYFUNCTION("CONCATENATE(GOOGLETRANSLATE(B1592, ""en"", ""ja""))"),"アフィリエイトの撤退リクエストの拒否")</f>
        <v>アフィリエイトの撤退リクエストの拒否</v>
      </c>
    </row>
    <row r="1593" ht="15.75" customHeight="1">
      <c r="A1593" s="1" t="s">
        <v>3099</v>
      </c>
      <c r="B1593" s="1" t="s">
        <v>3100</v>
      </c>
      <c r="C1593" s="1" t="str">
        <f>IFERROR(__xludf.DUMMYFUNCTION("CONCATENATE(GOOGLETRANSLATE(B1593, ""en"", ""zh-cn""))"),"您确定要拒绝吗？")</f>
        <v>您确定要拒绝吗？</v>
      </c>
      <c r="D1593" s="1" t="str">
        <f>IFERROR(__xludf.DUMMYFUNCTION("CONCATENATE(GOOGLETRANSLATE(B1593, ""en"", ""ko""))"),"정말로 거부하시겠습니까?")</f>
        <v>정말로 거부하시겠습니까?</v>
      </c>
      <c r="E1593" s="2" t="str">
        <f>IFERROR(__xludf.DUMMYFUNCTION("CONCATENATE(GOOGLETRANSLATE(B1593, ""en"", ""ja""))"),"よろしいですか、これを拒否しますか?")</f>
        <v>よろしいですか、これを拒否しますか?</v>
      </c>
    </row>
    <row r="1594" ht="15.75" customHeight="1">
      <c r="A1594" s="1" t="s">
        <v>3101</v>
      </c>
      <c r="B1594" s="1" t="s">
        <v>3102</v>
      </c>
      <c r="C1594" s="1" t="str">
        <f>IFERROR(__xludf.DUMMYFUNCTION("CONCATENATE(GOOGLETRANSLATE(B1594, ""en"", ""zh-cn""))"),"服务器信息")</f>
        <v>服务器信息</v>
      </c>
      <c r="D1594" s="1" t="str">
        <f>IFERROR(__xludf.DUMMYFUNCTION("CONCATENATE(GOOGLETRANSLATE(B1594, ""en"", ""ko""))"),"서버정보")</f>
        <v>서버정보</v>
      </c>
      <c r="E1594" s="2" t="str">
        <f>IFERROR(__xludf.DUMMYFUNCTION("CONCATENATE(GOOGLETRANSLATE(B1594, ""en"", ""ja""))"),"サーバー情報")</f>
        <v>サーバー情報</v>
      </c>
    </row>
    <row r="1595" ht="15.75" customHeight="1">
      <c r="A1595" s="1" t="s">
        <v>3103</v>
      </c>
      <c r="B1595" s="1" t="s">
        <v>3104</v>
      </c>
      <c r="C1595" s="1" t="str">
        <f>IFERROR(__xludf.DUMMYFUNCTION("CONCATENATE(GOOGLETRANSLATE(B1595, ""en"", ""zh-cn""))"),"当前版本")</f>
        <v>当前版本</v>
      </c>
      <c r="D1595" s="1" t="str">
        <f>IFERROR(__xludf.DUMMYFUNCTION("CONCATENATE(GOOGLETRANSLATE(B1595, ""en"", ""ko""))"),"현재 버전")</f>
        <v>현재 버전</v>
      </c>
      <c r="E1595" s="2" t="str">
        <f>IFERROR(__xludf.DUMMYFUNCTION("CONCATENATE(GOOGLETRANSLATE(B1595, ""en"", ""ja""))"),"現在のバージョン")</f>
        <v>現在のバージョン</v>
      </c>
    </row>
    <row r="1596" ht="15.75" customHeight="1">
      <c r="A1596" s="1" t="s">
        <v>3105</v>
      </c>
      <c r="B1596" s="1" t="s">
        <v>3106</v>
      </c>
      <c r="C1596" s="1" t="str">
        <f>IFERROR(__xludf.DUMMYFUNCTION("CONCATENATE(GOOGLETRANSLATE(B1596, ""en"", ""zh-cn""))"),"所需版本")</f>
        <v>所需版本</v>
      </c>
      <c r="D1596" s="1" t="str">
        <f>IFERROR(__xludf.DUMMYFUNCTION("CONCATENATE(GOOGLETRANSLATE(B1596, ""en"", ""ko""))"),"필요한 버전")</f>
        <v>필요한 버전</v>
      </c>
      <c r="E1596" s="2" t="str">
        <f>IFERROR(__xludf.DUMMYFUNCTION("CONCATENATE(GOOGLETRANSLATE(B1596, ""en"", ""ja""))"),"必要なバージョン")</f>
        <v>必要なバージョン</v>
      </c>
    </row>
    <row r="1597" ht="15.75" customHeight="1">
      <c r="A1597" s="1" t="s">
        <v>3107</v>
      </c>
      <c r="B1597" s="1" t="s">
        <v>3108</v>
      </c>
      <c r="C1597" s="1" t="str">
        <f>IFERROR(__xludf.DUMMYFUNCTION("CONCATENATE(GOOGLETRANSLATE(B1597, ""en"", ""zh-cn""))"),"php.ini 配置")</f>
        <v>php.ini 配置</v>
      </c>
      <c r="D1597" s="1" t="str">
        <f>IFERROR(__xludf.DUMMYFUNCTION("CONCATENATE(GOOGLETRANSLATE(B1597, ""en"", ""ko""))"),"php.ini 구성")</f>
        <v>php.ini 구성</v>
      </c>
      <c r="E1597" s="2" t="str">
        <f>IFERROR(__xludf.DUMMYFUNCTION("CONCATENATE(GOOGLETRANSLATE(B1597, ""en"", ""ja""))"),"php.ini設定")</f>
        <v>php.ini設定</v>
      </c>
    </row>
    <row r="1598" ht="15.75" customHeight="1">
      <c r="A1598" s="1" t="s">
        <v>3109</v>
      </c>
      <c r="B1598" s="1" t="s">
        <v>3110</v>
      </c>
      <c r="C1598" s="1" t="str">
        <f>IFERROR(__xludf.DUMMYFUNCTION("CONCATENATE(GOOGLETRANSLATE(B1598, ""en"", ""zh-cn""))"),"配置名称")</f>
        <v>配置名称</v>
      </c>
      <c r="D1598" s="1" t="str">
        <f>IFERROR(__xludf.DUMMYFUNCTION("CONCATENATE(GOOGLETRANSLATE(B1598, ""en"", ""ko""))"),"구성 이름")</f>
        <v>구성 이름</v>
      </c>
      <c r="E1598" s="2" t="str">
        <f>IFERROR(__xludf.DUMMYFUNCTION("CONCATENATE(GOOGLETRANSLATE(B1598, ""en"", ""ja""))"),"設定名")</f>
        <v>設定名</v>
      </c>
    </row>
    <row r="1599" ht="15.75" customHeight="1">
      <c r="A1599" s="1" t="s">
        <v>3111</v>
      </c>
      <c r="B1599" s="1" t="s">
        <v>3112</v>
      </c>
      <c r="C1599" s="1" t="str">
        <f>IFERROR(__xludf.DUMMYFUNCTION("CONCATENATE(GOOGLETRANSLATE(B1599, ""en"", ""zh-cn""))"),"当前的")</f>
        <v>当前的</v>
      </c>
      <c r="D1599" s="1" t="str">
        <f>IFERROR(__xludf.DUMMYFUNCTION("CONCATENATE(GOOGLETRANSLATE(B1599, ""en"", ""ko""))"),"현재의")</f>
        <v>현재의</v>
      </c>
      <c r="E1599" s="2" t="str">
        <f>IFERROR(__xludf.DUMMYFUNCTION("CONCATENATE(GOOGLETRANSLATE(B1599, ""en"", ""ja""))"),"現在")</f>
        <v>現在</v>
      </c>
    </row>
    <row r="1600" ht="15.75" customHeight="1">
      <c r="A1600" s="1" t="s">
        <v>3113</v>
      </c>
      <c r="B1600" s="1" t="s">
        <v>3114</v>
      </c>
      <c r="C1600" s="1" t="str">
        <f>IFERROR(__xludf.DUMMYFUNCTION("CONCATENATE(GOOGLETRANSLATE(B1600, ""en"", ""zh-cn""))"),"受到推崇的")</f>
        <v>受到推崇的</v>
      </c>
      <c r="D1600" s="1" t="str">
        <f>IFERROR(__xludf.DUMMYFUNCTION("CONCATENATE(GOOGLETRANSLATE(B1600, ""en"", ""ko""))"),"추천")</f>
        <v>추천</v>
      </c>
      <c r="E1600" s="2" t="str">
        <f>IFERROR(__xludf.DUMMYFUNCTION("CONCATENATE(GOOGLETRANSLATE(B1600, ""en"", ""ja""))"),"推奨")</f>
        <v>推奨</v>
      </c>
    </row>
    <row r="1601" ht="15.75" customHeight="1">
      <c r="A1601" s="1" t="s">
        <v>3115</v>
      </c>
      <c r="B1601" s="1" t="s">
        <v>3116</v>
      </c>
      <c r="C1601" s="1" t="str">
        <f>IFERROR(__xludf.DUMMYFUNCTION("CONCATENATE(GOOGLETRANSLATE(B1601, ""en"", ""zh-cn""))"),"扩展信息")</f>
        <v>扩展信息</v>
      </c>
      <c r="D1601" s="1" t="str">
        <f>IFERROR(__xludf.DUMMYFUNCTION("CONCATENATE(GOOGLETRANSLATE(B1601, ""en"", ""ko""))"),"확장 정보")</f>
        <v>확장 정보</v>
      </c>
      <c r="E1601" s="2" t="str">
        <f>IFERROR(__xludf.DUMMYFUNCTION("CONCATENATE(GOOGLETRANSLATE(B1601, ""en"", ""ja""))"),"拡張機能情報")</f>
        <v>拡張機能情報</v>
      </c>
    </row>
    <row r="1602" ht="15.75" customHeight="1">
      <c r="A1602" s="1" t="s">
        <v>3117</v>
      </c>
      <c r="B1602" s="1" t="s">
        <v>3118</v>
      </c>
      <c r="C1602" s="1" t="str">
        <f>IFERROR(__xludf.DUMMYFUNCTION("CONCATENATE(GOOGLETRANSLATE(B1602, ""en"", ""zh-cn""))"),"分机名称")</f>
        <v>分机名称</v>
      </c>
      <c r="D1602" s="1" t="str">
        <f>IFERROR(__xludf.DUMMYFUNCTION("CONCATENATE(GOOGLETRANSLATE(B1602, ""en"", ""ko""))"),"확장자 이름")</f>
        <v>확장자 이름</v>
      </c>
      <c r="E1602" s="2" t="str">
        <f>IFERROR(__xludf.DUMMYFUNCTION("CONCATENATE(GOOGLETRANSLATE(B1602, ""en"", ""ja""))"),"拡張機能名")</f>
        <v>拡張機能名</v>
      </c>
    </row>
    <row r="1603" ht="15.75" customHeight="1">
      <c r="A1603" s="1" t="s">
        <v>3119</v>
      </c>
      <c r="B1603" s="1" t="s">
        <v>3120</v>
      </c>
      <c r="C1603" s="1" t="str">
        <f>IFERROR(__xludf.DUMMYFUNCTION("CONCATENATE(GOOGLETRANSLATE(B1603, ""en"", ""zh-cn""))"),"文件系统权限")</f>
        <v>文件系统权限</v>
      </c>
      <c r="D1603" s="1" t="str">
        <f>IFERROR(__xludf.DUMMYFUNCTION("CONCATENATE(GOOGLETRANSLATE(B1603, ""en"", ""ko""))"),"파일 시스템 권한")</f>
        <v>파일 시스템 권한</v>
      </c>
      <c r="E1603" s="2" t="str">
        <f>IFERROR(__xludf.DUMMYFUNCTION("CONCATENATE(GOOGLETRANSLATE(B1603, ""en"", ""ja""))"),"ファイルシステムのアクセス許可")</f>
        <v>ファイルシステムのアクセス許可</v>
      </c>
    </row>
    <row r="1604" ht="15.75" customHeight="1">
      <c r="A1604" s="1" t="s">
        <v>3121</v>
      </c>
      <c r="B1604" s="1" t="s">
        <v>3122</v>
      </c>
      <c r="C1604" s="1" t="str">
        <f>IFERROR(__xludf.DUMMYFUNCTION("CONCATENATE(GOOGLETRANSLATE(B1604, ""en"", ""zh-cn""))"),"文件或文件夹")</f>
        <v>文件或文件夹</v>
      </c>
      <c r="D1604" s="1" t="str">
        <f>IFERROR(__xludf.DUMMYFUNCTION("CONCATENATE(GOOGLETRANSLATE(B1604, ""en"", ""ko""))"),"파일 또는 폴더")</f>
        <v>파일 또는 폴더</v>
      </c>
      <c r="E1604" s="2" t="str">
        <f>IFERROR(__xludf.DUMMYFUNCTION("CONCATENATE(GOOGLETRANSLATE(B1604, ""en"", ""ja""))"),"ファイルまたはフォルダー")</f>
        <v>ファイルまたはフォルダー</v>
      </c>
    </row>
    <row r="1605" ht="15.75" customHeight="1">
      <c r="A1605" s="1" t="s">
        <v>3123</v>
      </c>
      <c r="B1605" s="1" t="s">
        <v>3124</v>
      </c>
      <c r="C1605" s="1" t="str">
        <f>IFERROR(__xludf.DUMMYFUNCTION("CONCATENATE(GOOGLETRANSLATE(B1605, ""en"", ""zh-cn""))"),"分配送货员")</f>
        <v>分配送货员</v>
      </c>
      <c r="D1605" s="1" t="str">
        <f>IFERROR(__xludf.DUMMYFUNCTION("CONCATENATE(GOOGLETRANSLATE(B1605, ""en"", ""ko""))"),"배달 소년 할당")</f>
        <v>배달 소년 할당</v>
      </c>
      <c r="E1605" s="2" t="str">
        <f>IFERROR(__xludf.DUMMYFUNCTION("CONCATENATE(GOOGLETRANSLATE(B1605, ""en"", ""ja""))"),"配達員を割り当てる")</f>
        <v>配達員を割り当てる</v>
      </c>
    </row>
    <row r="1606" ht="15.75" customHeight="1">
      <c r="A1606" s="1" t="s">
        <v>3125</v>
      </c>
      <c r="B1606" s="1" t="s">
        <v>3126</v>
      </c>
      <c r="C1606" s="1" t="str">
        <f>IFERROR(__xludf.DUMMYFUNCTION("CONCATENATE(GOOGLETRANSLATE(B1606, ""en"", ""zh-cn""))"),"选择送货员")</f>
        <v>选择送货员</v>
      </c>
      <c r="D1606" s="1" t="str">
        <f>IFERROR(__xludf.DUMMYFUNCTION("CONCATENATE(GOOGLETRANSLATE(B1606, ""en"", ""ko""))"),"배달원 선택")</f>
        <v>배달원 선택</v>
      </c>
      <c r="E1606" s="2" t="str">
        <f>IFERROR(__xludf.DUMMYFUNCTION("CONCATENATE(GOOGLETRANSLATE(B1606, ""en"", ""ja""))"),"配達員を選択してください")</f>
        <v>配達員を選択してください</v>
      </c>
    </row>
    <row r="1607" ht="15.75" customHeight="1">
      <c r="A1607" s="1" t="s">
        <v>3127</v>
      </c>
      <c r="B1607" s="1" t="s">
        <v>3128</v>
      </c>
      <c r="C1607" s="1" t="str">
        <f>IFERROR(__xludf.DUMMYFUNCTION("CONCATENATE(GOOGLETRANSLATE(B1607, ""en"", ""zh-cn""))"),"已接")</f>
        <v>已接</v>
      </c>
      <c r="D1607" s="1" t="str">
        <f>IFERROR(__xludf.DUMMYFUNCTION("CONCATENATE(GOOGLETRANSLATE(B1607, ""en"", ""ko""))"),"픽업")</f>
        <v>픽업</v>
      </c>
      <c r="E1607" s="2" t="str">
        <f>IFERROR(__xludf.DUMMYFUNCTION("CONCATENATE(GOOGLETRANSLATE(B1607, ""en"", ""ja""))"),"拾った")</f>
        <v>拾った</v>
      </c>
    </row>
    <row r="1608" ht="15.75" customHeight="1">
      <c r="A1608" s="1" t="s">
        <v>3129</v>
      </c>
      <c r="B1608" s="1" t="s">
        <v>3130</v>
      </c>
      <c r="C1608" s="1" t="str">
        <f>IFERROR(__xludf.DUMMYFUNCTION("CONCATENATE(GOOGLETRANSLATE(B1608, ""en"", ""zh-cn""))"),"在路上")</f>
        <v>在路上</v>
      </c>
      <c r="D1608" s="1" t="str">
        <f>IFERROR(__xludf.DUMMYFUNCTION("CONCATENATE(GOOGLETRANSLATE(B1608, ""en"", ""ko""))"),"도중에")</f>
        <v>도중에</v>
      </c>
      <c r="E1608" s="2" t="str">
        <f>IFERROR(__xludf.DUMMYFUNCTION("CONCATENATE(GOOGLETRANSLATE(B1608, ""en"", ""ja""))"),"途中で")</f>
        <v>途中で</v>
      </c>
    </row>
    <row r="1609" ht="15.75" customHeight="1">
      <c r="A1609" s="1" t="s">
        <v>3131</v>
      </c>
      <c r="B1609" s="1" t="s">
        <v>3132</v>
      </c>
      <c r="C1609" s="1" t="str">
        <f>IFERROR(__xludf.DUMMYFUNCTION("CONCATENATE(GOOGLETRANSLATE(B1609, ""en"", ""zh-cn""))"),"送货员已被指派")</f>
        <v>送货员已被指派</v>
      </c>
      <c r="D1609" s="1" t="str">
        <f>IFERROR(__xludf.DUMMYFUNCTION("CONCATENATE(GOOGLETRANSLATE(B1609, ""en"", ""ko""))"),"배달원이 배정되었습니다")</f>
        <v>배달원이 배정되었습니다</v>
      </c>
      <c r="E1609" s="2" t="str">
        <f>IFERROR(__xludf.DUMMYFUNCTION("CONCATENATE(GOOGLETRANSLATE(B1609, ""en"", ""ja""))"),"配達員が割り当てられました")</f>
        <v>配達員が割り当てられました</v>
      </c>
    </row>
    <row r="1610" ht="15.75" customHeight="1">
      <c r="A1610" s="1" t="s">
        <v>3133</v>
      </c>
      <c r="B1610" s="1" t="s">
        <v>3134</v>
      </c>
      <c r="C1610" s="1" t="str">
        <f>IFERROR(__xludf.DUMMYFUNCTION("CONCATENATE(GOOGLETRANSLATE(B1610, ""en"", ""zh-cn""))"),"卖家账户")</f>
        <v>卖家账户</v>
      </c>
      <c r="D1610" s="1" t="str">
        <f>IFERROR(__xludf.DUMMYFUNCTION("CONCATENATE(GOOGLETRANSLATE(B1610, ""en"", ""ko""))"),"판매자 계정")</f>
        <v>판매자 계정</v>
      </c>
      <c r="E1610" s="2" t="str">
        <f>IFERROR(__xludf.DUMMYFUNCTION("CONCATENATE(GOOGLETRANSLATE(B1610, ""en"", ""ja""))"),"販売者アカウント")</f>
        <v>販売者アカウント</v>
      </c>
    </row>
    <row r="1611" ht="15.75" customHeight="1">
      <c r="A1611" s="1" t="s">
        <v>3135</v>
      </c>
      <c r="B1611" s="1" t="s">
        <v>3136</v>
      </c>
      <c r="C1611" s="1" t="str">
        <f>IFERROR(__xludf.DUMMYFUNCTION("CONCATENATE(GOOGLETRANSLATE(B1611, ""en"", ""zh-cn""))"),"复制凭证")</f>
        <v>复制凭证</v>
      </c>
      <c r="D1611" s="1" t="str">
        <f>IFERROR(__xludf.DUMMYFUNCTION("CONCATENATE(GOOGLETRANSLATE(B1611, ""en"", ""ko""))"),"자격 증명 복사")</f>
        <v>자격 증명 복사</v>
      </c>
      <c r="E1611" s="2" t="str">
        <f>IFERROR(__xludf.DUMMYFUNCTION("CONCATENATE(GOOGLETRANSLATE(B1611, ""en"", ""ja""))"),"資格情報をコピーする")</f>
        <v>資格情報をコピーする</v>
      </c>
    </row>
    <row r="1612" ht="15.75" customHeight="1">
      <c r="A1612" s="1" t="s">
        <v>3137</v>
      </c>
      <c r="B1612" s="1" t="s">
        <v>3138</v>
      </c>
      <c r="C1612" s="1" t="str">
        <f>IFERROR(__xludf.DUMMYFUNCTION("CONCATENATE(GOOGLETRANSLATE(B1612, ""en"", ""zh-cn""))"),"客户账户")</f>
        <v>客户账户</v>
      </c>
      <c r="D1612" s="1" t="str">
        <f>IFERROR(__xludf.DUMMYFUNCTION("CONCATENATE(GOOGLETRANSLATE(B1612, ""en"", ""ko""))"),"고객 계정")</f>
        <v>고객 계정</v>
      </c>
      <c r="E1612" s="2" t="str">
        <f>IFERROR(__xludf.DUMMYFUNCTION("CONCATENATE(GOOGLETRANSLATE(B1612, ""en"", ""ja""))"),"顧客アカウント")</f>
        <v>顧客アカウント</v>
      </c>
    </row>
    <row r="1613" ht="15.75" customHeight="1">
      <c r="A1613" s="1" t="s">
        <v>3139</v>
      </c>
      <c r="B1613" s="1" t="s">
        <v>3140</v>
      </c>
      <c r="C1613" s="1" t="str">
        <f>IFERROR(__xludf.DUMMYFUNCTION("CONCATENATE(GOOGLETRANSLATE(B1613, ""en"", ""zh-cn""))"),"送货员账户")</f>
        <v>送货员账户</v>
      </c>
      <c r="D1613" s="1" t="str">
        <f>IFERROR(__xludf.DUMMYFUNCTION("CONCATENATE(GOOGLETRANSLATE(B1613, ""en"", ""ko""))"),"배달원 계정")</f>
        <v>배달원 계정</v>
      </c>
      <c r="E1613" s="2" t="str">
        <f>IFERROR(__xludf.DUMMYFUNCTION("CONCATENATE(GOOGLETRANSLATE(B1613, ""en"", ""ja""))"),"配達員アカウント")</f>
        <v>配達員アカウント</v>
      </c>
    </row>
    <row r="1614" ht="15.75" customHeight="1">
      <c r="A1614" s="1" t="s">
        <v>3141</v>
      </c>
      <c r="B1614" s="1" t="s">
        <v>3142</v>
      </c>
      <c r="C1614" s="1" t="str">
        <f>IFERROR(__xludf.DUMMYFUNCTION("CONCATENATE(GOOGLETRANSLATE(B1614, ""en"", ""zh-cn""))"),"优惠券无效！")</f>
        <v>优惠券无效！</v>
      </c>
      <c r="D1614" s="1" t="str">
        <f>IFERROR(__xludf.DUMMYFUNCTION("CONCATENATE(GOOGLETRANSLATE(B1614, ""en"", ""ko""))"),"유효하지 않은 쿠폰입니다!")</f>
        <v>유효하지 않은 쿠폰입니다!</v>
      </c>
      <c r="E1614" s="2" t="str">
        <f>IFERROR(__xludf.DUMMYFUNCTION("CONCATENATE(GOOGLETRANSLATE(B1614, ""en"", ""ja""))"),"無効なクーポンです！")</f>
        <v>無効なクーポンです！</v>
      </c>
    </row>
    <row r="1615" ht="15.75" customHeight="1">
      <c r="A1615" s="1" t="s">
        <v>3143</v>
      </c>
      <c r="B1615" s="1" t="s">
        <v>3144</v>
      </c>
      <c r="C1615" s="1" t="str">
        <f>IFERROR(__xludf.DUMMYFUNCTION("CONCATENATE(GOOGLETRANSLATE(B1615, ""en"", ""zh-cn""))"),"指定交付")</f>
        <v>指定交付</v>
      </c>
      <c r="D1615" s="1" t="str">
        <f>IFERROR(__xludf.DUMMYFUNCTION("CONCATENATE(GOOGLETRANSLATE(B1615, ""en"", ""ko""))"),"지정된 배송")</f>
        <v>지정된 배송</v>
      </c>
      <c r="E1615" s="2" t="str">
        <f>IFERROR(__xludf.DUMMYFUNCTION("CONCATENATE(GOOGLETRANSLATE(B1615, ""en"", ""ja""))"),"指定された配達")</f>
        <v>指定された配達</v>
      </c>
    </row>
    <row r="1616" ht="15.75" customHeight="1">
      <c r="A1616" s="1" t="s">
        <v>3145</v>
      </c>
      <c r="B1616" s="1" t="s">
        <v>3146</v>
      </c>
      <c r="C1616" s="1" t="str">
        <f>IFERROR(__xludf.DUMMYFUNCTION("CONCATENATE(GOOGLETRANSLATE(B1616, ""en"", ""zh-cn""))"),"送货上门")</f>
        <v>送货上门</v>
      </c>
      <c r="D1616" s="1" t="str">
        <f>IFERROR(__xludf.DUMMYFUNCTION("CONCATENATE(GOOGLETRANSLATE(B1616, ""en"", ""ko""))"),"픽업 배송")</f>
        <v>픽업 배송</v>
      </c>
      <c r="E1616" s="2" t="str">
        <f>IFERROR(__xludf.DUMMYFUNCTION("CONCATENATE(GOOGLETRANSLATE(B1616, ""en"", ""ja""))"),"引き取り配送")</f>
        <v>引き取り配送</v>
      </c>
    </row>
    <row r="1617" ht="15.75" customHeight="1">
      <c r="A1617" s="1" t="s">
        <v>3147</v>
      </c>
      <c r="B1617" s="1" t="s">
        <v>3148</v>
      </c>
      <c r="C1617" s="1" t="str">
        <f>IFERROR(__xludf.DUMMYFUNCTION("CONCATENATE(GOOGLETRANSLATE(B1617, ""en"", ""zh-cn""))"),"途中交货")</f>
        <v>途中交货</v>
      </c>
      <c r="D1617" s="1" t="str">
        <f>IFERROR(__xludf.DUMMYFUNCTION("CONCATENATE(GOOGLETRANSLATE(B1617, ""en"", ""ko""))"),"도중 배달")</f>
        <v>도중 배달</v>
      </c>
      <c r="E1617" s="2" t="str">
        <f>IFERROR(__xludf.DUMMYFUNCTION("CONCATENATE(GOOGLETRANSLATE(B1617, ""en"", ""ja""))"),"配達途中")</f>
        <v>配達途中</v>
      </c>
    </row>
    <row r="1618" ht="15.75" customHeight="1">
      <c r="A1618" s="1" t="s">
        <v>3149</v>
      </c>
      <c r="B1618" s="1" t="s">
        <v>3150</v>
      </c>
      <c r="C1618" s="1" t="str">
        <f>IFERROR(__xludf.DUMMYFUNCTION("CONCATENATE(GOOGLETRANSLATE(B1618, ""en"", ""zh-cn""))"),"已完成交付")</f>
        <v>已完成交付</v>
      </c>
      <c r="D1618" s="1" t="str">
        <f>IFERROR(__xludf.DUMMYFUNCTION("CONCATENATE(GOOGLETRANSLATE(B1618, ""en"", ""ko""))"),"배송완료")</f>
        <v>배송완료</v>
      </c>
      <c r="E1618" s="2" t="str">
        <f>IFERROR(__xludf.DUMMYFUNCTION("CONCATENATE(GOOGLETRANSLATE(B1618, ""en"", ""ja""))"),"納品完了")</f>
        <v>納品完了</v>
      </c>
    </row>
    <row r="1619" ht="15.75" customHeight="1">
      <c r="A1619" s="1" t="s">
        <v>3151</v>
      </c>
      <c r="B1619" s="1" t="s">
        <v>3152</v>
      </c>
      <c r="C1619" s="1" t="str">
        <f>IFERROR(__xludf.DUMMYFUNCTION("CONCATENATE(GOOGLETRANSLATE(B1619, ""en"", ""zh-cn""))"),"待发货")</f>
        <v>待发货</v>
      </c>
      <c r="D1619" s="1" t="str">
        <f>IFERROR(__xludf.DUMMYFUNCTION("CONCATENATE(GOOGLETRANSLATE(B1619, ""en"", ""ko""))"),"배달 대기 중")</f>
        <v>배달 대기 중</v>
      </c>
      <c r="E1619" s="2" t="str">
        <f>IFERROR(__xludf.DUMMYFUNCTION("CONCATENATE(GOOGLETRANSLATE(B1619, ""en"", ""ja""))"),"配送保留中")</f>
        <v>配送保留中</v>
      </c>
    </row>
    <row r="1620" ht="15.75" customHeight="1">
      <c r="A1620" s="1" t="s">
        <v>3153</v>
      </c>
      <c r="B1620" s="1" t="s">
        <v>3154</v>
      </c>
      <c r="C1620" s="1" t="str">
        <f>IFERROR(__xludf.DUMMYFUNCTION("CONCATENATE(GOOGLETRANSLATE(B1620, ""en"", ""zh-cn""))"),"取消交货")</f>
        <v>取消交货</v>
      </c>
      <c r="D1620" s="1" t="str">
        <f>IFERROR(__xludf.DUMMYFUNCTION("CONCATENATE(GOOGLETRANSLATE(B1620, ""en"", ""ko""))"),"취소된 배송")</f>
        <v>취소된 배송</v>
      </c>
      <c r="E1620" s="2" t="str">
        <f>IFERROR(__xludf.DUMMYFUNCTION("CONCATENATE(GOOGLETRANSLATE(B1620, ""en"", ""ja""))"),"キャンセルされた配送")</f>
        <v>キャンセルされた配送</v>
      </c>
    </row>
    <row r="1621" ht="15.75" customHeight="1">
      <c r="A1621" s="1" t="s">
        <v>3155</v>
      </c>
      <c r="B1621" s="1" t="s">
        <v>3156</v>
      </c>
      <c r="C1621" s="1" t="str">
        <f>IFERROR(__xludf.DUMMYFUNCTION("CONCATENATE(GOOGLETRANSLATE(B1621, ""en"", ""zh-cn""))"),"请求取消递送")</f>
        <v>请求取消递送</v>
      </c>
      <c r="D1621" s="1" t="str">
        <f>IFERROR(__xludf.DUMMYFUNCTION("CONCATENATE(GOOGLETRANSLATE(B1621, ""en"", ""ko""))"),"취소된 배송 요청")</f>
        <v>취소된 배송 요청</v>
      </c>
      <c r="E1621" s="2" t="str">
        <f>IFERROR(__xludf.DUMMYFUNCTION("CONCATENATE(GOOGLETRANSLATE(B1621, ""en"", ""ja""))"),"キャンセルされた配送をリクエストする")</f>
        <v>キャンセルされた配送をリクエストする</v>
      </c>
    </row>
    <row r="1622" ht="15.75" customHeight="1">
      <c r="A1622" s="1" t="s">
        <v>3157</v>
      </c>
      <c r="B1622" s="1" t="s">
        <v>3158</v>
      </c>
      <c r="C1622" s="1" t="str">
        <f>IFERROR(__xludf.DUMMYFUNCTION("CONCATENATE(GOOGLETRANSLATE(B1622, ""en"", ""zh-cn""))"),"总收藏量")</f>
        <v>总收藏量</v>
      </c>
      <c r="D1622" s="1" t="str">
        <f>IFERROR(__xludf.DUMMYFUNCTION("CONCATENATE(GOOGLETRANSLATE(B1622, ""en"", ""ko""))"),"총 컬렉션")</f>
        <v>총 컬렉션</v>
      </c>
      <c r="E1622" s="2" t="str">
        <f>IFERROR(__xludf.DUMMYFUNCTION("CONCATENATE(GOOGLETRANSLATE(B1622, ""en"", ""ja""))"),"総コレクション数")</f>
        <v>総コレクション数</v>
      </c>
    </row>
    <row r="1623" ht="15.75" customHeight="1">
      <c r="A1623" s="1" t="s">
        <v>3159</v>
      </c>
      <c r="B1623" s="1" t="s">
        <v>3160</v>
      </c>
      <c r="C1623" s="1" t="str">
        <f>IFERROR(__xludf.DUMMYFUNCTION("CONCATENATE(GOOGLETRANSLATE(B1623, ""en"", ""zh-cn""))"),"分配的交付历史记录")</f>
        <v>分配的交付历史记录</v>
      </c>
      <c r="D1623" s="1" t="str">
        <f>IFERROR(__xludf.DUMMYFUNCTION("CONCATENATE(GOOGLETRANSLATE(B1623, ""en"", ""ko""))"),"할당된 배송 내역")</f>
        <v>할당된 배송 내역</v>
      </c>
      <c r="E1623" s="2" t="str">
        <f>IFERROR(__xludf.DUMMYFUNCTION("CONCATENATE(GOOGLETRANSLATE(B1623, ""en"", ""ja""))"),"割り当てられた配信履歴")</f>
        <v>割り当てられた配信履歴</v>
      </c>
    </row>
    <row r="1624" ht="15.75" customHeight="1">
      <c r="A1624" s="1" t="s">
        <v>3161</v>
      </c>
      <c r="B1624" s="1" t="s">
        <v>3162</v>
      </c>
      <c r="C1624" s="1" t="str">
        <f>IFERROR(__xludf.DUMMYFUNCTION("CONCATENATE(GOOGLETRANSLATE(B1624, ""en"", ""zh-cn""))"),"标记为取件")</f>
        <v>标记为取件</v>
      </c>
      <c r="D1624" s="1" t="str">
        <f>IFERROR(__xludf.DUMMYFUNCTION("CONCATENATE(GOOGLETRANSLATE(B1624, ""en"", ""ko""))"),"픽업으로 표시")</f>
        <v>픽업으로 표시</v>
      </c>
      <c r="E1624" s="2" t="str">
        <f>IFERROR(__xludf.DUMMYFUNCTION("CONCATENATE(GOOGLETRANSLATE(B1624, ""en"", ""ja""))"),"ピックアップとしてマーク")</f>
        <v>ピックアップとしてマーク</v>
      </c>
    </row>
    <row r="1625" ht="15.75" customHeight="1">
      <c r="A1625" s="1" t="s">
        <v>3163</v>
      </c>
      <c r="B1625" s="1" t="s">
        <v>3164</v>
      </c>
      <c r="C1625" s="1" t="str">
        <f>IFERROR(__xludf.DUMMYFUNCTION("CONCATENATE(GOOGLETRANSLATE(B1625, ""en"", ""zh-cn""))"),"您确实要发送取消请求吗？")</f>
        <v>您确实要发送取消请求吗？</v>
      </c>
      <c r="D1625" s="1" t="str">
        <f>IFERROR(__xludf.DUMMYFUNCTION("CONCATENATE(GOOGLETRANSLATE(B1625, ""en"", ""ko""))"),"취소 요청을 보내시겠습니까?")</f>
        <v>취소 요청을 보내시겠습니까?</v>
      </c>
      <c r="E1625" s="2" t="str">
        <f>IFERROR(__xludf.DUMMYFUNCTION("CONCATENATE(GOOGLETRANSLATE(B1625, ""en"", ""ja""))"),"本当にキャンセルリクエストを送信しますか?")</f>
        <v>本当にキャンセルリクエストを送信しますか?</v>
      </c>
    </row>
    <row r="1626" ht="15.75" customHeight="1">
      <c r="A1626" s="1" t="s">
        <v>3165</v>
      </c>
      <c r="B1626" s="1" t="s">
        <v>3166</v>
      </c>
      <c r="C1626" s="1" t="str">
        <f>IFERROR(__xludf.DUMMYFUNCTION("CONCATENATE(GOOGLETRANSLATE(B1626, ""en"", ""zh-cn""))"),"请求 取消")</f>
        <v>请求 取消</v>
      </c>
      <c r="D1626" s="1" t="str">
        <f>IFERROR(__xludf.DUMMYFUNCTION("CONCATENATE(GOOGLETRANSLATE(B1626, ""en"", ""ko""))"),"요청 취소")</f>
        <v>요청 취소</v>
      </c>
      <c r="E1626" s="2" t="str">
        <f>IFERROR(__xludf.DUMMYFUNCTION("CONCATENATE(GOOGLETRANSLATE(B1626, ""en"", ""ja""))"),"キャンセルのリクエスト")</f>
        <v>キャンセルのリクエスト</v>
      </c>
    </row>
    <row r="1627" ht="15.75" customHeight="1">
      <c r="A1627" s="1" t="s">
        <v>3167</v>
      </c>
      <c r="B1627" s="1" t="s">
        <v>3168</v>
      </c>
      <c r="C1627" s="1" t="str">
        <f>IFERROR(__xludf.DUMMYFUNCTION("CONCATENATE(GOOGLETRANSLATE(B1627, ""en"", ""zh-cn""))"),"总收藏历史")</f>
        <v>总收藏历史</v>
      </c>
      <c r="D1627" s="1" t="str">
        <f>IFERROR(__xludf.DUMMYFUNCTION("CONCATENATE(GOOGLETRANSLATE(B1627, ""en"", ""ko""))"),"총 수집 내역")</f>
        <v>총 수집 내역</v>
      </c>
      <c r="E1627" s="2" t="str">
        <f>IFERROR(__xludf.DUMMYFUNCTION("CONCATENATE(GOOGLETRANSLATE(B1627, ""en"", ""ja""))"),"総コレクション履歴")</f>
        <v>総コレクション履歴</v>
      </c>
    </row>
    <row r="1628" ht="15.75" customHeight="1">
      <c r="A1628" s="1" t="s">
        <v>3169</v>
      </c>
      <c r="B1628" s="1" t="s">
        <v>3170</v>
      </c>
      <c r="C1628" s="1" t="str">
        <f>IFERROR(__xludf.DUMMYFUNCTION("CONCATENATE(GOOGLETRANSLATE(B1628, ""en"", ""zh-cn""))"),"取消配送历史记录")</f>
        <v>取消配送历史记录</v>
      </c>
      <c r="D1628" s="1" t="str">
        <f>IFERROR(__xludf.DUMMYFUNCTION("CONCATENATE(GOOGLETRANSLATE(B1628, ""en"", ""ko""))"),"배송 취소 내역")</f>
        <v>배송 취소 내역</v>
      </c>
      <c r="E1628" s="2" t="str">
        <f>IFERROR(__xludf.DUMMYFUNCTION("CONCATENATE(GOOGLETRANSLATE(B1628, ""en"", ""ja""))"),"キャンセルされた配送履歴")</f>
        <v>キャンセルされた配送履歴</v>
      </c>
    </row>
    <row r="1629" ht="15.75" customHeight="1">
      <c r="A1629" s="1" t="s">
        <v>3171</v>
      </c>
      <c r="B1629" s="1" t="s">
        <v>3172</v>
      </c>
      <c r="C1629" s="1" t="str">
        <f>IFERROR(__xludf.DUMMYFUNCTION("CONCATENATE(GOOGLETRANSLATE(B1629, ""en"", ""zh-cn""))"),"已完成的交付历史记录")</f>
        <v>已完成的交付历史记录</v>
      </c>
      <c r="D1629" s="1" t="str">
        <f>IFERROR(__xludf.DUMMYFUNCTION("CONCATENATE(GOOGLETRANSLATE(B1629, ""en"", ""ko""))"),"배송 완료 내역")</f>
        <v>배송 완료 내역</v>
      </c>
      <c r="E1629" s="2" t="str">
        <f>IFERROR(__xludf.DUMMYFUNCTION("CONCATENATE(GOOGLETRANSLATE(B1629, ""en"", ""ja""))"),"完了した配信履歴")</f>
        <v>完了した配信履歴</v>
      </c>
    </row>
    <row r="1630" ht="15.75" customHeight="1">
      <c r="A1630" s="1" t="s">
        <v>3173</v>
      </c>
      <c r="B1630" s="1" t="s">
        <v>3174</v>
      </c>
      <c r="C1630" s="1" t="str">
        <f>IFERROR(__xludf.DUMMYFUNCTION("CONCATENATE(GOOGLETRANSLATE(B1630, ""en"", ""zh-cn""))"),"途中交付历史记录")</f>
        <v>途中交付历史记录</v>
      </c>
      <c r="D1630" s="1" t="str">
        <f>IFERROR(__xludf.DUMMYFUNCTION("CONCATENATE(GOOGLETRANSLATE(B1630, ""en"", ""ko""))"),"이동 중 배송 내역")</f>
        <v>이동 중 배송 내역</v>
      </c>
      <c r="E1630" s="2" t="str">
        <f>IFERROR(__xludf.DUMMYFUNCTION("CONCATENATE(GOOGLETRANSLATE(B1630, ""en"", ""ja""))"),"配達中の配達履歴")</f>
        <v>配達中の配達履歴</v>
      </c>
    </row>
    <row r="1631" ht="15.75" customHeight="1">
      <c r="A1631" s="1" t="s">
        <v>3175</v>
      </c>
      <c r="B1631" s="1" t="s">
        <v>3176</v>
      </c>
      <c r="C1631" s="1" t="str">
        <f>IFERROR(__xludf.DUMMYFUNCTION("CONCATENATE(GOOGLETRANSLATE(B1631, ""en"", ""zh-cn""))"),"取件递送历史记录")</f>
        <v>取件递送历史记录</v>
      </c>
      <c r="D1631" s="1" t="str">
        <f>IFERROR(__xludf.DUMMYFUNCTION("CONCATENATE(GOOGLETRANSLATE(B1631, ""en"", ""ko""))"),"픽업 배송 내역")</f>
        <v>픽업 배송 내역</v>
      </c>
      <c r="E1631" s="2" t="str">
        <f>IFERROR(__xludf.DUMMYFUNCTION("CONCATENATE(GOOGLETRANSLATE(B1631, ""en"", ""ja""))"),"集荷配達履歴")</f>
        <v>集荷配達履歴</v>
      </c>
    </row>
    <row r="1632" ht="15.75" customHeight="1">
      <c r="A1632" s="1" t="s">
        <v>3177</v>
      </c>
      <c r="B1632" s="1" t="s">
        <v>3178</v>
      </c>
      <c r="C1632" s="1" t="str">
        <f>IFERROR(__xludf.DUMMYFUNCTION("CONCATENATE(GOOGLETRANSLATE(B1632, ""en"", ""zh-cn""))"),"网站弹出窗口")</f>
        <v>网站弹出窗口</v>
      </c>
      <c r="D1632" s="1" t="str">
        <f>IFERROR(__xludf.DUMMYFUNCTION("CONCATENATE(GOOGLETRANSLATE(B1632, ""en"", ""ko""))"),"웹사이트 팝업")</f>
        <v>웹사이트 팝업</v>
      </c>
      <c r="E1632" s="2" t="str">
        <f>IFERROR(__xludf.DUMMYFUNCTION("CONCATENATE(GOOGLETRANSLATE(B1632, ""en"", ""ja""))"),"ウェブサイトのポップアップ")</f>
        <v>ウェブサイトのポップアップ</v>
      </c>
    </row>
    <row r="1633" ht="15.75" customHeight="1">
      <c r="A1633" s="1" t="s">
        <v>3179</v>
      </c>
      <c r="B1633" s="1" t="s">
        <v>3180</v>
      </c>
      <c r="C1633" s="1" t="str">
        <f>IFERROR(__xludf.DUMMYFUNCTION("CONCATENATE(GOOGLETRANSLATE(B1633, ""en"", ""zh-cn""))"),"显示网站弹出窗口？")</f>
        <v>显示网站弹出窗口？</v>
      </c>
      <c r="D1633" s="1" t="str">
        <f>IFERROR(__xludf.DUMMYFUNCTION("CONCATENATE(GOOGLETRANSLATE(B1633, ""en"", ""ko""))"),"웹사이트 팝업을 표시하시겠습니까?")</f>
        <v>웹사이트 팝업을 표시하시겠습니까?</v>
      </c>
      <c r="E1633" s="2" t="str">
        <f>IFERROR(__xludf.DUMMYFUNCTION("CONCATENATE(GOOGLETRANSLATE(B1633, ""en"", ""ja""))"),"Web サイトのポップアップを表示しますか?")</f>
        <v>Web サイトのポップアップを表示しますか?</v>
      </c>
    </row>
    <row r="1634" ht="15.75" customHeight="1">
      <c r="A1634" s="1" t="s">
        <v>3181</v>
      </c>
      <c r="B1634" s="1" t="s">
        <v>3182</v>
      </c>
      <c r="C1634" s="1" t="str">
        <f>IFERROR(__xludf.DUMMYFUNCTION("CONCATENATE(GOOGLETRANSLATE(B1634, ""en"", ""zh-cn""))"),"弹出内容")</f>
        <v>弹出内容</v>
      </c>
      <c r="D1634" s="1" t="str">
        <f>IFERROR(__xludf.DUMMYFUNCTION("CONCATENATE(GOOGLETRANSLATE(B1634, ""en"", ""ko""))"),"팝업 내용")</f>
        <v>팝업 내용</v>
      </c>
      <c r="E1634" s="2" t="str">
        <f>IFERROR(__xludf.DUMMYFUNCTION("CONCATENATE(GOOGLETRANSLATE(B1634, ""en"", ""ja""))"),"ポップアップコンテンツ")</f>
        <v>ポップアップコンテンツ</v>
      </c>
    </row>
    <row r="1635" ht="15.75" customHeight="1">
      <c r="A1635" s="1" t="s">
        <v>3183</v>
      </c>
      <c r="B1635" s="1" t="s">
        <v>3184</v>
      </c>
      <c r="C1635" s="1" t="str">
        <f>IFERROR(__xludf.DUMMYFUNCTION("CONCATENATE(GOOGLETRANSLATE(B1635, ""en"", ""zh-cn""))"),"显示订阅者表格？")</f>
        <v>显示订阅者表格？</v>
      </c>
      <c r="D1635" s="1" t="str">
        <f>IFERROR(__xludf.DUMMYFUNCTION("CONCATENATE(GOOGLETRANSLATE(B1635, ""en"", ""ko""))"),"구독자 양식을 표시하시겠습니까?")</f>
        <v>구독자 양식을 표시하시겠습니까?</v>
      </c>
      <c r="E1635" s="2" t="str">
        <f>IFERROR(__xludf.DUMMYFUNCTION("CONCATENATE(GOOGLETRANSLATE(B1635, ""en"", ""ja""))"),"購読者フォームを表示しますか?")</f>
        <v>購読者フォームを表示しますか?</v>
      </c>
    </row>
    <row r="1636" ht="15.75" customHeight="1">
      <c r="A1636" s="1" t="s">
        <v>3185</v>
      </c>
      <c r="B1636" s="1" t="s">
        <v>3186</v>
      </c>
      <c r="C1636" s="1" t="str">
        <f>IFERROR(__xludf.DUMMYFUNCTION("CONCATENATE(GOOGLETRANSLATE(B1636, ""en"", ""zh-cn""))"),"顶栏横幅")</f>
        <v>顶栏横幅</v>
      </c>
      <c r="D1636" s="1" t="str">
        <f>IFERROR(__xludf.DUMMYFUNCTION("CONCATENATE(GOOGLETRANSLATE(B1636, ""en"", ""ko""))"),"상단바 배너")</f>
        <v>상단바 배너</v>
      </c>
      <c r="E1636" s="2" t="str">
        <f>IFERROR(__xludf.DUMMYFUNCTION("CONCATENATE(GOOGLETRANSLATE(B1636, ""en"", ""ja""))"),"トップバーバナー")</f>
        <v>トップバーバナー</v>
      </c>
    </row>
    <row r="1637" ht="15.75" customHeight="1">
      <c r="A1637" s="1" t="s">
        <v>3187</v>
      </c>
      <c r="B1637" s="1" t="s">
        <v>3188</v>
      </c>
      <c r="C1637" s="1" t="str">
        <f>IFERROR(__xludf.DUMMYFUNCTION("CONCATENATE(GOOGLETRANSLATE(B1637, ""en"", ""zh-cn""))"),"顶栏横幅链接")</f>
        <v>顶栏横幅链接</v>
      </c>
      <c r="D1637" s="1" t="str">
        <f>IFERROR(__xludf.DUMMYFUNCTION("CONCATENATE(GOOGLETRANSLATE(B1637, ""en"", ""ko""))"),"상단바 배너 링크")</f>
        <v>상단바 배너 링크</v>
      </c>
      <c r="E1637" s="2" t="str">
        <f>IFERROR(__xludf.DUMMYFUNCTION("CONCATENATE(GOOGLETRANSLATE(B1637, ""en"", ""ja""))"),"トップバーのバナーリンク")</f>
        <v>トップバーのバナーリンク</v>
      </c>
    </row>
    <row r="1638" ht="15.75" customHeight="1">
      <c r="A1638" s="1" t="s">
        <v>3189</v>
      </c>
      <c r="B1638" s="1" t="s">
        <v>3190</v>
      </c>
      <c r="C1638" s="1" t="str">
        <f>IFERROR(__xludf.DUMMYFUNCTION("CONCATENATE(GOOGLETRANSLATE(B1638, ""en"", ""zh-cn""))"),"禁用图像优化？")</f>
        <v>禁用图像优化？</v>
      </c>
      <c r="D1638" s="1" t="str">
        <f>IFERROR(__xludf.DUMMYFUNCTION("CONCATENATE(GOOGLETRANSLATE(B1638, ""en"", ""ko""))"),"이미지 최적화를 비활성화하시겠습니까?")</f>
        <v>이미지 최적화를 비활성화하시겠습니까?</v>
      </c>
      <c r="E1638" s="2" t="str">
        <f>IFERROR(__xludf.DUMMYFUNCTION("CONCATENATE(GOOGLETRANSLATE(B1638, ""en"", ""ja""))"),"画像の最適化を無効にしますか?")</f>
        <v>画像の最適化を無効にしますか?</v>
      </c>
    </row>
    <row r="1639" ht="15.75" customHeight="1">
      <c r="A1639" s="1" t="s">
        <v>3191</v>
      </c>
      <c r="B1639" s="1" t="s">
        <v>3192</v>
      </c>
      <c r="C1639" s="1" t="str">
        <f>IFERROR(__xludf.DUMMYFUNCTION("CONCATENATE(GOOGLETRANSLATE(B1639, ""en"", ""zh-cn""))"),"返回上传的文件")</f>
        <v>返回上传的文件</v>
      </c>
      <c r="D1639" s="1" t="str">
        <f>IFERROR(__xludf.DUMMYFUNCTION("CONCATENATE(GOOGLETRANSLATE(B1639, ""en"", ""ko""))"),"업로드된 파일로 돌아가기")</f>
        <v>업로드된 파일로 돌아가기</v>
      </c>
      <c r="E1639" s="2" t="str">
        <f>IFERROR(__xludf.DUMMYFUNCTION("CONCATENATE(GOOGLETRANSLATE(B1639, ""en"", ""ja""))"),"アップロードされたファイルに戻る")</f>
        <v>アップロードされたファイルに戻る</v>
      </c>
    </row>
    <row r="1640" ht="15.75" customHeight="1">
      <c r="A1640" s="1" t="s">
        <v>3193</v>
      </c>
      <c r="B1640" s="1" t="s">
        <v>3194</v>
      </c>
      <c r="C1640" s="1" t="str">
        <f>IFERROR(__xludf.DUMMYFUNCTION("CONCATENATE(GOOGLETRANSLATE(B1640, ""en"", ""zh-cn""))"),"拖放您的文件")</f>
        <v>拖放您的文件</v>
      </c>
      <c r="D1640" s="1" t="str">
        <f>IFERROR(__xludf.DUMMYFUNCTION("CONCATENATE(GOOGLETRANSLATE(B1640, ""en"", ""ko""))"),"파일을 드래그 앤 드롭하세요")</f>
        <v>파일을 드래그 앤 드롭하세요</v>
      </c>
      <c r="E1640" s="2" t="str">
        <f>IFERROR(__xludf.DUMMYFUNCTION("CONCATENATE(GOOGLETRANSLATE(B1640, ""en"", ""ja""))"),"ファイルをドラッグ＆ドロップします")</f>
        <v>ファイルをドラッグ＆ドロップします</v>
      </c>
    </row>
    <row r="1641" ht="15.75" customHeight="1">
      <c r="A1641" s="1" t="s">
        <v>3195</v>
      </c>
      <c r="B1641" s="1" t="s">
        <v>3196</v>
      </c>
      <c r="C1641" s="1" t="str">
        <f>IFERROR(__xludf.DUMMYFUNCTION("CONCATENATE(GOOGLETRANSLATE(B1641, ""en"", ""zh-cn""))"),"立即订阅")</f>
        <v>立即订阅</v>
      </c>
      <c r="D1641" s="1" t="str">
        <f>IFERROR(__xludf.DUMMYFUNCTION("CONCATENATE(GOOGLETRANSLATE(B1641, ""en"", ""ko""))"),"지금 구독하세요")</f>
        <v>지금 구독하세요</v>
      </c>
      <c r="E1641" s="2" t="str">
        <f>IFERROR(__xludf.DUMMYFUNCTION("CONCATENATE(GOOGLETRANSLATE(B1641, ""en"", ""ja""))"),"今すぐ購読する")</f>
        <v>今すぐ購読する</v>
      </c>
    </row>
    <row r="1642" ht="15.75" customHeight="1">
      <c r="A1642" s="1" t="s">
        <v>3197</v>
      </c>
      <c r="B1642" s="1" t="s">
        <v>3198</v>
      </c>
      <c r="C1642" s="1" t="str">
        <f>IFERROR(__xludf.DUMMYFUNCTION("CONCATENATE(GOOGLETRANSLATE(B1642, ""en"", ""zh-cn""))"),"Play 商店链接")</f>
        <v>Play 商店链接</v>
      </c>
      <c r="D1642" s="1" t="str">
        <f>IFERROR(__xludf.DUMMYFUNCTION("CONCATENATE(GOOGLETRANSLATE(B1642, ""en"", ""ko""))"),"플레이 스토어 링크")</f>
        <v>플레이 스토어 링크</v>
      </c>
      <c r="E1642" s="2" t="str">
        <f>IFERROR(__xludf.DUMMYFUNCTION("CONCATENATE(GOOGLETRANSLATE(B1642, ""en"", ""ja""))"),"Playストアリンク")</f>
        <v>Playストアリンク</v>
      </c>
    </row>
    <row r="1643" ht="15.75" customHeight="1">
      <c r="A1643" s="1" t="s">
        <v>3199</v>
      </c>
      <c r="B1643" s="1" t="s">
        <v>3200</v>
      </c>
      <c r="C1643" s="1" t="str">
        <f>IFERROR(__xludf.DUMMYFUNCTION("CONCATENATE(GOOGLETRANSLATE(B1643, ""en"", ""zh-cn""))"),"应用商店链接")</f>
        <v>应用商店链接</v>
      </c>
      <c r="D1643" s="1" t="str">
        <f>IFERROR(__xludf.DUMMYFUNCTION("CONCATENATE(GOOGLETRANSLATE(B1643, ""en"", ""ko""))"),"앱스토어 링크")</f>
        <v>앱스토어 링크</v>
      </c>
      <c r="E1643" s="2" t="str">
        <f>IFERROR(__xludf.DUMMYFUNCTION("CONCATENATE(GOOGLETRANSLATE(B1643, ""en"", ""ja""))"),"アプリストアへのリンク")</f>
        <v>アプリストアへのリンク</v>
      </c>
    </row>
    <row r="1644" ht="15.75" customHeight="1">
      <c r="A1644" s="1" t="s">
        <v>3201</v>
      </c>
      <c r="B1644" s="1" t="s">
        <v>3202</v>
      </c>
      <c r="C1644" s="1" t="str">
        <f>IFERROR(__xludf.DUMMYFUNCTION("CONCATENATE(GOOGLETRANSLATE(B1644, ""en"", ""zh-cn""))"),"你好")</f>
        <v>你好</v>
      </c>
      <c r="D1644" s="1" t="str">
        <f>IFERROR(__xludf.DUMMYFUNCTION("CONCATENATE(GOOGLETRANSLATE(B1644, ""en"", ""ko""))"),"안녕하세요")</f>
        <v>안녕하세요</v>
      </c>
      <c r="E1644" s="2" t="str">
        <f>IFERROR(__xludf.DUMMYFUNCTION("CONCATENATE(GOOGLETRANSLATE(B1644, ""en"", ""ja""))"),"こんにちは")</f>
        <v>こんにちは</v>
      </c>
    </row>
    <row r="1645" ht="15.75" customHeight="1">
      <c r="A1645" s="1" t="s">
        <v>3203</v>
      </c>
      <c r="B1645" s="1" t="s">
        <v>3204</v>
      </c>
      <c r="C1645" s="1" t="str">
        <f>IFERROR(__xludf.DUMMYFUNCTION("CONCATENATE(GOOGLETRANSLATE(B1645, ""en"", ""zh-cn""))"),"按部门选购")</f>
        <v>按部门选购</v>
      </c>
      <c r="D1645" s="1" t="str">
        <f>IFERROR(__xludf.DUMMYFUNCTION("CONCATENATE(GOOGLETRANSLATE(B1645, ""en"", ""ko""))"),"부서별 쇼핑")</f>
        <v>부서별 쇼핑</v>
      </c>
      <c r="E1645" s="2" t="str">
        <f>IFERROR(__xludf.DUMMYFUNCTION("CONCATENATE(GOOGLETRANSLATE(B1645, ""en"", ""ja""))"),"部門別に購入")</f>
        <v>部門別に購入</v>
      </c>
    </row>
    <row r="1646" ht="15.75" customHeight="1">
      <c r="A1646" s="1" t="s">
        <v>3205</v>
      </c>
      <c r="B1646" s="1" t="s">
        <v>3206</v>
      </c>
      <c r="C1646" s="1" t="str">
        <f>IFERROR(__xludf.DUMMYFUNCTION("CONCATENATE(GOOGLETRANSLATE(B1646, ""en"", ""zh-cn""))"),"退出")</f>
        <v>退出</v>
      </c>
      <c r="D1646" s="1" t="str">
        <f>IFERROR(__xludf.DUMMYFUNCTION("CONCATENATE(GOOGLETRANSLATE(B1646, ""en"", ""ko""))"),"로그아웃")</f>
        <v>로그아웃</v>
      </c>
      <c r="E1646" s="2" t="str">
        <f>IFERROR(__xludf.DUMMYFUNCTION("CONCATENATE(GOOGLETRANSLATE(B1646, ""en"", ""ja""))"),"ログアウト")</f>
        <v>ログアウト</v>
      </c>
    </row>
    <row r="1647" ht="15.75" customHeight="1">
      <c r="A1647" s="1" t="s">
        <v>3207</v>
      </c>
      <c r="B1647" s="1" t="s">
        <v>3208</v>
      </c>
      <c r="C1647" s="1" t="str">
        <f>IFERROR(__xludf.DUMMYFUNCTION("CONCATENATE(GOOGLETRANSLATE(B1647, ""en"", ""zh-cn""))"),"短信模板")</f>
        <v>短信模板</v>
      </c>
      <c r="D1647" s="1" t="str">
        <f>IFERROR(__xludf.DUMMYFUNCTION("CONCATENATE(GOOGLETRANSLATE(B1647, ""en"", ""ko""))"),"SMS 템플릿")</f>
        <v>SMS 템플릿</v>
      </c>
      <c r="E1647" s="2" t="str">
        <f>IFERROR(__xludf.DUMMYFUNCTION("CONCATENATE(GOOGLETRANSLATE(B1647, ""en"", ""ja""))"),"SMS テンプレート")</f>
        <v>SMS テンプレート</v>
      </c>
    </row>
    <row r="1648" ht="15.75" customHeight="1">
      <c r="A1648" s="1" t="s">
        <v>3209</v>
      </c>
      <c r="B1648" s="1" t="s">
        <v>3210</v>
      </c>
      <c r="C1648" s="1" t="str">
        <f>IFERROR(__xludf.DUMMYFUNCTION("CONCATENATE(GOOGLETRANSLATE(B1648, ""en"", ""zh-cn""))"),"加载中..")</f>
        <v>加载中..</v>
      </c>
      <c r="D1648" s="1" t="str">
        <f>IFERROR(__xludf.DUMMYFUNCTION("CONCATENATE(GOOGLETRANSLATE(B1648, ""en"", ""ko""))"),"로드 중..")</f>
        <v>로드 중..</v>
      </c>
      <c r="E1648" s="2" t="str">
        <f>IFERROR(__xludf.DUMMYFUNCTION("CONCATENATE(GOOGLETRANSLATE(B1648, ""en"", ""ja""))"),"読み込み中..")</f>
        <v>読み込み中..</v>
      </c>
    </row>
    <row r="1649" ht="15.75" customHeight="1">
      <c r="A1649" s="1" t="s">
        <v>3211</v>
      </c>
      <c r="B1649" s="1" t="s">
        <v>3212</v>
      </c>
      <c r="C1649" s="1" t="str">
        <f>IFERROR(__xludf.DUMMYFUNCTION("CONCATENATE(GOOGLETRANSLATE(B1649, ""en"", ""zh-cn""))"),"下订单")</f>
        <v>下订单</v>
      </c>
      <c r="D1649" s="1" t="str">
        <f>IFERROR(__xludf.DUMMYFUNCTION("CONCATENATE(GOOGLETRANSLATE(B1649, ""en"", ""ko""))"),"주문하기")</f>
        <v>주문하기</v>
      </c>
      <c r="E1649" s="2" t="str">
        <f>IFERROR(__xludf.DUMMYFUNCTION("CONCATENATE(GOOGLETRANSLATE(B1649, ""en"", ""ja""))"),"注文する")</f>
        <v>注文する</v>
      </c>
    </row>
    <row r="1650" ht="15.75" customHeight="1">
      <c r="A1650" s="1" t="s">
        <v>1433</v>
      </c>
      <c r="B1650" s="1" t="s">
        <v>3213</v>
      </c>
      <c r="C1650" s="1" t="str">
        <f>IFERROR(__xludf.DUMMYFUNCTION("CONCATENATE(GOOGLETRANSLATE(B1650, ""en"", ""zh-cn""))"),"加载更多。")</f>
        <v>加载更多。</v>
      </c>
      <c r="D1650" s="1" t="str">
        <f>IFERROR(__xludf.DUMMYFUNCTION("CONCATENATE(GOOGLETRANSLATE(B1650, ""en"", ""ko""))"),"더 많이 로드하세요.")</f>
        <v>더 많이 로드하세요.</v>
      </c>
      <c r="E1650" s="2" t="str">
        <f>IFERROR(__xludf.DUMMYFUNCTION("CONCATENATE(GOOGLETRANSLATE(B1650, ""en"", ""ja""))"),"さらにロードします。")</f>
        <v>さらにロードします。</v>
      </c>
    </row>
    <row r="1651" ht="15.75" customHeight="1">
      <c r="A1651" s="1" t="s">
        <v>3214</v>
      </c>
      <c r="B1651" s="1" t="s">
        <v>3215</v>
      </c>
      <c r="C1651" s="1" t="str">
        <f>IFERROR(__xludf.DUMMYFUNCTION("CONCATENATE(GOOGLETRANSLATE(B1651, ""en"", ""zh-cn""))"),"没有更多发现。")</f>
        <v>没有更多发现。</v>
      </c>
      <c r="D1651" s="1" t="str">
        <f>IFERROR(__xludf.DUMMYFUNCTION("CONCATENATE(GOOGLETRANSLATE(B1651, ""en"", ""ko""))"),"더 이상 발견된 것이 없습니다.")</f>
        <v>더 이상 발견된 것이 없습니다.</v>
      </c>
      <c r="E1651" s="2" t="str">
        <f>IFERROR(__xludf.DUMMYFUNCTION("CONCATENATE(GOOGLETRANSLATE(B1651, ""en"", ""ja""))"),"それ以上は何も見つかりませんでした。")</f>
        <v>それ以上は何も見つかりませんでした。</v>
      </c>
    </row>
    <row r="1652" ht="15.75" customHeight="1">
      <c r="A1652" s="1" t="s">
        <v>3216</v>
      </c>
      <c r="B1652" s="1" t="s">
        <v>3217</v>
      </c>
      <c r="C1652" s="1" t="str">
        <f>IFERROR(__xludf.DUMMYFUNCTION("CONCATENATE(GOOGLETRANSLATE(B1652, ""en"", ""zh-cn""))"),"电话号码验证")</f>
        <v>电话号码验证</v>
      </c>
      <c r="D1652" s="1" t="str">
        <f>IFERROR(__xludf.DUMMYFUNCTION("CONCATENATE(GOOGLETRANSLATE(B1652, ""en"", ""ko""))"),"전화번호 확인")</f>
        <v>전화번호 확인</v>
      </c>
      <c r="E1652" s="2" t="str">
        <f>IFERROR(__xludf.DUMMYFUNCTION("CONCATENATE(GOOGLETRANSLATE(B1652, ""en"", ""ja""))"),"電話番号認証")</f>
        <v>電話番号認証</v>
      </c>
    </row>
    <row r="1653" ht="15.75" customHeight="1">
      <c r="A1653" s="1" t="s">
        <v>3218</v>
      </c>
      <c r="B1653" s="1" t="s">
        <v>3219</v>
      </c>
      <c r="C1653" s="1" t="str">
        <f>IFERROR(__xludf.DUMMYFUNCTION("CONCATENATE(GOOGLETRANSLATE(B1653, ""en"", ""zh-cn""))"),"密码重置")</f>
        <v>密码重置</v>
      </c>
      <c r="D1653" s="1" t="str">
        <f>IFERROR(__xludf.DUMMYFUNCTION("CONCATENATE(GOOGLETRANSLATE(B1653, ""en"", ""ko""))"),"비밀번호 재설정")</f>
        <v>비밀번호 재설정</v>
      </c>
      <c r="E1653" s="2" t="str">
        <f>IFERROR(__xludf.DUMMYFUNCTION("CONCATENATE(GOOGLETRANSLATE(B1653, ""en"", ""ja""))"),"パスワードのリセット")</f>
        <v>パスワードのリセット</v>
      </c>
    </row>
    <row r="1654" ht="15.75" customHeight="1">
      <c r="A1654" s="1" t="s">
        <v>3220</v>
      </c>
      <c r="B1654" s="1" t="s">
        <v>3221</v>
      </c>
      <c r="C1654" s="1" t="str">
        <f>IFERROR(__xludf.DUMMYFUNCTION("CONCATENATE(GOOGLETRANSLATE(B1654, ""en"", ""zh-cn""))"),"交货状态变更")</f>
        <v>交货状态变更</v>
      </c>
      <c r="D1654" s="1" t="str">
        <f>IFERROR(__xludf.DUMMYFUNCTION("CONCATENATE(GOOGLETRANSLATE(B1654, ""en"", ""ko""))"),"배송상태 변경")</f>
        <v>배송상태 변경</v>
      </c>
      <c r="E1654" s="2" t="str">
        <f>IFERROR(__xludf.DUMMYFUNCTION("CONCATENATE(GOOGLETRANSLATE(B1654, ""en"", ""ja""))"),"配送状況の変更")</f>
        <v>配送状況の変更</v>
      </c>
    </row>
    <row r="1655" ht="15.75" customHeight="1">
      <c r="A1655" s="1" t="s">
        <v>3222</v>
      </c>
      <c r="B1655" s="1" t="s">
        <v>3223</v>
      </c>
      <c r="C1655" s="1" t="str">
        <f>IFERROR(__xludf.DUMMYFUNCTION("CONCATENATE(GOOGLETRANSLATE(B1655, ""en"", ""zh-cn""))"),"付款状态变更")</f>
        <v>付款状态变更</v>
      </c>
      <c r="D1655" s="1" t="str">
        <f>IFERROR(__xludf.DUMMYFUNCTION("CONCATENATE(GOOGLETRANSLATE(B1655, ""en"", ""ko""))"),"결제 상태 변경")</f>
        <v>결제 상태 변경</v>
      </c>
      <c r="E1655" s="2" t="str">
        <f>IFERROR(__xludf.DUMMYFUNCTION("CONCATENATE(GOOGLETRANSLATE(B1655, ""en"", ""ja""))"),"支払いステータスの変更")</f>
        <v>支払いステータスの変更</v>
      </c>
    </row>
    <row r="1656" ht="15.75" customHeight="1">
      <c r="A1656" s="1" t="s">
        <v>3224</v>
      </c>
      <c r="B1656" s="1" t="s">
        <v>3225</v>
      </c>
      <c r="C1656" s="1" t="str">
        <f>IFERROR(__xludf.DUMMYFUNCTION("CONCATENATE(GOOGLETRANSLATE(B1656, ""en"", ""zh-cn""))"),"指定送货员")</f>
        <v>指定送货员</v>
      </c>
      <c r="D1656" s="1" t="str">
        <f>IFERROR(__xludf.DUMMYFUNCTION("CONCATENATE(GOOGLETRANSLATE(B1656, ""en"", ""ko""))"),"배달원 지정")</f>
        <v>배달원 지정</v>
      </c>
      <c r="E1656" s="2" t="str">
        <f>IFERROR(__xludf.DUMMYFUNCTION("CONCATENATE(GOOGLETRANSLATE(B1656, ""en"", ""ja""))"),"配達員の割り当て")</f>
        <v>配達員の割り当て</v>
      </c>
    </row>
    <row r="1657" ht="15.75" customHeight="1">
      <c r="A1657" s="1" t="s">
        <v>3226</v>
      </c>
      <c r="B1657" s="1" t="s">
        <v>3227</v>
      </c>
      <c r="C1657" s="1" t="str">
        <f>IFERROR(__xludf.DUMMYFUNCTION("CONCATENATE(GOOGLETRANSLATE(B1657, ""en"", ""zh-cn""))"),"短信正文")</f>
        <v>短信正文</v>
      </c>
      <c r="D1657" s="1" t="str">
        <f>IFERROR(__xludf.DUMMYFUNCTION("CONCATENATE(GOOGLETRANSLATE(B1657, ""en"", ""ko""))"),"SMS 본문")</f>
        <v>SMS 본문</v>
      </c>
      <c r="E1657" s="2" t="str">
        <f>IFERROR(__xludf.DUMMYFUNCTION("CONCATENATE(GOOGLETRANSLATE(B1657, ""en"", ""ja""))"),"SMS本文")</f>
        <v>SMS本文</v>
      </c>
    </row>
    <row r="1658" ht="15.75" customHeight="1">
      <c r="A1658" s="1" t="s">
        <v>3228</v>
      </c>
      <c r="B1658" s="1" t="s">
        <v>3229</v>
      </c>
      <c r="C1658" s="1" t="str">
        <f>IFERROR(__xludf.DUMMYFUNCTION("CONCATENATE(GOOGLETRANSLATE(B1658, ""en"", ""zh-cn""))"),"模板ID")</f>
        <v>模板ID</v>
      </c>
      <c r="D1658" s="1" t="str">
        <f>IFERROR(__xludf.DUMMYFUNCTION("CONCATENATE(GOOGLETRANSLATE(B1658, ""en"", ""ko""))"),"템플릿 ID")</f>
        <v>템플릿 ID</v>
      </c>
      <c r="E1658" s="2" t="str">
        <f>IFERROR(__xludf.DUMMYFUNCTION("CONCATENATE(GOOGLETRANSLATE(B1658, ""en"", ""ja""))"),"テンプレートID")</f>
        <v>テンプレートID</v>
      </c>
    </row>
    <row r="1659" ht="15.75" customHeight="1">
      <c r="A1659" s="1" t="s">
        <v>3230</v>
      </c>
      <c r="B1659" s="1" t="s">
        <v>3231</v>
      </c>
      <c r="C1659" s="1" t="str">
        <f>IFERROR(__xludf.DUMMYFUNCTION("CONCATENATE(GOOGLETRANSLATE(B1659, ""en"", ""zh-cn""))"),"更新设置")</f>
        <v>更新设置</v>
      </c>
      <c r="D1659" s="1" t="str">
        <f>IFERROR(__xludf.DUMMYFUNCTION("CONCATENATE(GOOGLETRANSLATE(B1659, ""en"", ""ko""))"),"업데이트 설정")</f>
        <v>업데이트 설정</v>
      </c>
      <c r="E1659" s="2" t="str">
        <f>IFERROR(__xludf.DUMMYFUNCTION("CONCATENATE(GOOGLETRANSLATE(B1659, ""en"", ""ja""))"),"設定を更新する")</f>
        <v>設定を更新する</v>
      </c>
    </row>
    <row r="1660" ht="15.75" customHeight="1">
      <c r="A1660" s="1" t="s">
        <v>3232</v>
      </c>
      <c r="B1660" s="1" t="s">
        <v>3233</v>
      </c>
      <c r="C1660" s="1" t="str">
        <f>IFERROR(__xludf.DUMMYFUNCTION("CONCATENATE(GOOGLETRANSLATE(B1660, ""en"", ""zh-cn""))"),"更新前请关闭维护模式。")</f>
        <v>更新前请关闭维护模式。</v>
      </c>
      <c r="D1660" s="1" t="str">
        <f>IFERROR(__xludf.DUMMYFUNCTION("CONCATENATE(GOOGLETRANSLATE(B1660, ""en"", ""ko""))"),"업데이트하기 전에 유지 관리 모드를 끄십시오.")</f>
        <v>업데이트하기 전에 유지 관리 모드를 끄십시오.</v>
      </c>
      <c r="E1660" s="2" t="str">
        <f>IFERROR(__xludf.DUMMYFUNCTION("CONCATENATE(GOOGLETRANSLATE(B1660, ""en"", ""ja""))"),"アップデートする前にメンテナンスモードをオフにしてください。")</f>
        <v>アップデートする前にメンテナンスモードをオフにしてください。</v>
      </c>
    </row>
    <row r="1661" ht="15.75" customHeight="1">
      <c r="A1661" s="1" t="s">
        <v>3234</v>
      </c>
      <c r="B1661" s="1" t="s">
        <v>3235</v>
      </c>
      <c r="C1661" s="1" t="str">
        <f>IFERROR(__xludf.DUMMYFUNCTION("CONCATENATE(GOOGLETRANSLATE(B1661, ""en"", ""zh-cn""))"),"文件系统和缓存配置")</f>
        <v>文件系统和缓存配置</v>
      </c>
      <c r="D1661" s="1" t="str">
        <f>IFERROR(__xludf.DUMMYFUNCTION("CONCATENATE(GOOGLETRANSLATE(B1661, ""en"", ""ko""))"),"파일 시스템 및 캐시 구성")</f>
        <v>파일 시스템 및 캐시 구성</v>
      </c>
      <c r="E1661" s="2" t="str">
        <f>IFERROR(__xludf.DUMMYFUNCTION("CONCATENATE(GOOGLETRANSLATE(B1661, ""en"", ""ja""))"),"ファイルシステムとキャッシュの構成")</f>
        <v>ファイルシステムとキャッシュの構成</v>
      </c>
    </row>
    <row r="1662" ht="15.75" customHeight="1">
      <c r="A1662" s="1" t="s">
        <v>3236</v>
      </c>
      <c r="B1662" s="1" t="s">
        <v>3237</v>
      </c>
      <c r="C1662" s="1" t="str">
        <f>IFERROR(__xludf.DUMMYFUNCTION("CONCATENATE(GOOGLETRANSLATE(B1662, ""en"", ""zh-cn""))"),"谷歌地图")</f>
        <v>谷歌地图</v>
      </c>
      <c r="D1662" s="1" t="str">
        <f>IFERROR(__xludf.DUMMYFUNCTION("CONCATENATE(GOOGLETRANSLATE(B1662, ""en"", ""ko""))"),"구글 지도")</f>
        <v>구글 지도</v>
      </c>
      <c r="E1662" s="2" t="str">
        <f>IFERROR(__xludf.DUMMYFUNCTION("CONCATENATE(GOOGLETRANSLATE(B1662, ""en"", ""ja""))"),"Googleマップ")</f>
        <v>Googleマップ</v>
      </c>
    </row>
    <row r="1663" ht="15.75" customHeight="1">
      <c r="A1663" s="1" t="s">
        <v>3238</v>
      </c>
      <c r="B1663" s="1" t="s">
        <v>3239</v>
      </c>
      <c r="C1663" s="1" t="str">
        <f>IFERROR(__xludf.DUMMYFUNCTION("CONCATENATE(GOOGLETRANSLATE(B1663, ""en"", ""zh-cn""))"),"谷歌Firebase")</f>
        <v>谷歌Firebase</v>
      </c>
      <c r="D1663" s="1" t="str">
        <f>IFERROR(__xludf.DUMMYFUNCTION("CONCATENATE(GOOGLETRANSLATE(B1663, ""en"", ""ko""))"),"구글 파이어베이스")</f>
        <v>구글 파이어베이스</v>
      </c>
      <c r="E1663" s="2" t="str">
        <f>IFERROR(__xludf.DUMMYFUNCTION("CONCATENATE(GOOGLETRANSLATE(B1663, ""en"", ""ja""))"),"Googleファイアベース")</f>
        <v>Googleファイアベース</v>
      </c>
    </row>
    <row r="1664" ht="15.75" customHeight="1">
      <c r="A1664" s="1" t="s">
        <v>3240</v>
      </c>
      <c r="B1664" s="1" t="s">
        <v>3241</v>
      </c>
      <c r="C1664" s="1" t="str">
        <f>IFERROR(__xludf.DUMMYFUNCTION("CONCATENATE(GOOGLETRANSLATE(B1664, ""en"", ""zh-cn""))"),"没有找到通知")</f>
        <v>没有找到通知</v>
      </c>
      <c r="D1664" s="1" t="str">
        <f>IFERROR(__xludf.DUMMYFUNCTION("CONCATENATE(GOOGLETRANSLATE(B1664, ""en"", ""ko""))"),"알림을 찾을 수 없습니다.")</f>
        <v>알림을 찾을 수 없습니다.</v>
      </c>
      <c r="E1664" s="2" t="str">
        <f>IFERROR(__xludf.DUMMYFUNCTION("CONCATENATE(GOOGLETRANSLATE(B1664, ""en"", ""ja""))"),"通知が見つかりませんでした")</f>
        <v>通知が見つかりませんでした</v>
      </c>
    </row>
    <row r="1665" ht="15.75" customHeight="1">
      <c r="A1665" s="1" t="s">
        <v>3242</v>
      </c>
      <c r="B1665" s="1" t="s">
        <v>3243</v>
      </c>
      <c r="C1665" s="1" t="str">
        <f>IFERROR(__xludf.DUMMYFUNCTION("CONCATENATE(GOOGLETRANSLATE(B1665, ""en"", ""zh-cn""))"),"查看所有通知")</f>
        <v>查看所有通知</v>
      </c>
      <c r="D1665" s="1" t="str">
        <f>IFERROR(__xludf.DUMMYFUNCTION("CONCATENATE(GOOGLETRANSLATE(B1665, ""en"", ""ko""))"),"모든 알림 보기")</f>
        <v>모든 알림 보기</v>
      </c>
      <c r="E1665" s="2" t="str">
        <f>IFERROR(__xludf.DUMMYFUNCTION("CONCATENATE(GOOGLETRANSLATE(B1665, ""en"", ""ja""))"),"すべての通知を表示")</f>
        <v>すべての通知を表示</v>
      </c>
    </row>
    <row r="1666" ht="15.75" customHeight="1">
      <c r="A1666" s="1" t="s">
        <v>3244</v>
      </c>
      <c r="B1666" s="1" t="s">
        <v>3245</v>
      </c>
      <c r="C1666" s="1" t="str">
        <f>IFERROR(__xludf.DUMMYFUNCTION("CONCATENATE(GOOGLETRANSLATE(B1666, ""en"", ""zh-cn""))"),"帐户")</f>
        <v>帐户</v>
      </c>
      <c r="D1666" s="1" t="str">
        <f>IFERROR(__xludf.DUMMYFUNCTION("CONCATENATE(GOOGLETRANSLATE(B1666, ""en"", ""ko""))"),"계정")</f>
        <v>계정</v>
      </c>
      <c r="E1666" s="2" t="str">
        <f>IFERROR(__xludf.DUMMYFUNCTION("CONCATENATE(GOOGLETRANSLATE(B1666, ""en"", ""ja""))"),"アカウント")</f>
        <v>アカウント</v>
      </c>
    </row>
    <row r="1667" ht="15.75" customHeight="1">
      <c r="A1667" s="1" t="s">
        <v>3246</v>
      </c>
      <c r="B1667" s="1" t="s">
        <v>3247</v>
      </c>
      <c r="C1667" s="1" t="str">
        <f>IFERROR(__xludf.DUMMYFUNCTION("CONCATENATE(GOOGLETRANSLATE(B1667, ""en"", ""zh-cn""))"),"商品已从购物车中删除")</f>
        <v>商品已从购物车中删除</v>
      </c>
      <c r="D1667" s="1" t="str">
        <f>IFERROR(__xludf.DUMMYFUNCTION("CONCATENATE(GOOGLETRANSLATE(B1667, ""en"", ""ko""))"),"장바구니에서 상품이 삭제되었습니다.")</f>
        <v>장바구니에서 상품이 삭제되었습니다.</v>
      </c>
      <c r="E1667" s="2" t="str">
        <f>IFERROR(__xludf.DUMMYFUNCTION("CONCATENATE(GOOGLETRANSLATE(B1667, ""en"", ""ja""))"),"商品がカートから削除されました")</f>
        <v>商品がカートから削除されました</v>
      </c>
    </row>
    <row r="1668" ht="15.75" customHeight="1">
      <c r="A1668" s="1" t="s">
        <v>3248</v>
      </c>
      <c r="B1668" s="1" t="s">
        <v>3249</v>
      </c>
      <c r="C1668" s="1" t="str">
        <f>IFERROR(__xludf.DUMMYFUNCTION("CONCATENATE(GOOGLETRANSLATE(B1668, ""en"", ""zh-cn""))"),"请选择所有选项")</f>
        <v>请选择所有选项</v>
      </c>
      <c r="D1668" s="1" t="str">
        <f>IFERROR(__xludf.DUMMYFUNCTION("CONCATENATE(GOOGLETRANSLATE(B1668, ""en"", ""ko""))"),"옵션을 모두 선택해주세요.")</f>
        <v>옵션을 모두 선택해주세요.</v>
      </c>
      <c r="E1668" s="2" t="str">
        <f>IFERROR(__xludf.DUMMYFUNCTION("CONCATENATE(GOOGLETRANSLATE(B1668, ""en"", ""ja""))"),"すべてのオプションを選択してください")</f>
        <v>すべてのオプションを選択してください</v>
      </c>
    </row>
    <row r="1669" ht="15.75" customHeight="1">
      <c r="A1669" s="1" t="s">
        <v>3250</v>
      </c>
      <c r="B1669" s="1" t="s">
        <v>3251</v>
      </c>
      <c r="C1669" s="1" t="str">
        <f>IFERROR(__xludf.DUMMYFUNCTION("CONCATENATE(GOOGLETRANSLATE(B1669, ""en"", ""zh-cn""))"),"拍卖产品")</f>
        <v>拍卖产品</v>
      </c>
      <c r="D1669" s="1" t="str">
        <f>IFERROR(__xludf.DUMMYFUNCTION("CONCATENATE(GOOGLETRANSLATE(B1669, ""en"", ""ko""))"),"경매 제품")</f>
        <v>경매 제품</v>
      </c>
      <c r="E1669" s="2" t="str">
        <f>IFERROR(__xludf.DUMMYFUNCTION("CONCATENATE(GOOGLETRANSLATE(B1669, ""en"", ""ja""))"),"オークション商品")</f>
        <v>オークション商品</v>
      </c>
    </row>
    <row r="1670" ht="15.75" customHeight="1">
      <c r="A1670" s="1" t="s">
        <v>3252</v>
      </c>
      <c r="B1670" s="1" t="s">
        <v>3253</v>
      </c>
      <c r="C1670" s="1" t="str">
        <f>IFERROR(__xludf.DUMMYFUNCTION("CONCATENATE(GOOGLETRANSLATE(B1670, ""en"", ""zh-cn""))"),"添加新拍卖产品")</f>
        <v>添加新拍卖产品</v>
      </c>
      <c r="D1670" s="1" t="str">
        <f>IFERROR(__xludf.DUMMYFUNCTION("CONCATENATE(GOOGLETRANSLATE(B1670, ""en"", ""ko""))"),"새 경매 상품 추가")</f>
        <v>새 경매 상품 추가</v>
      </c>
      <c r="E1670" s="2" t="str">
        <f>IFERROR(__xludf.DUMMYFUNCTION("CONCATENATE(GOOGLETRANSLATE(B1670, ""en"", ""ja""))"),"新しいオークション商品を追加")</f>
        <v>新しいオークション商品を追加</v>
      </c>
    </row>
    <row r="1671" ht="15.75" customHeight="1">
      <c r="A1671" s="1" t="s">
        <v>3254</v>
      </c>
      <c r="B1671" s="1" t="s">
        <v>3255</v>
      </c>
      <c r="C1671" s="1" t="str">
        <f>IFERROR(__xludf.DUMMYFUNCTION("CONCATENATE(GOOGLETRANSLATE(B1671, ""en"", ""zh-cn""))"),"所有拍卖产品")</f>
        <v>所有拍卖产品</v>
      </c>
      <c r="D1671" s="1" t="str">
        <f>IFERROR(__xludf.DUMMYFUNCTION("CONCATENATE(GOOGLETRANSLATE(B1671, ""en"", ""ko""))"),"모든 경매 제품")</f>
        <v>모든 경매 제품</v>
      </c>
      <c r="E1671" s="2" t="str">
        <f>IFERROR(__xludf.DUMMYFUNCTION("CONCATENATE(GOOGLETRANSLATE(B1671, ""en"", ""ja""))"),"すべてのオークション製品")</f>
        <v>すべてのオークション製品</v>
      </c>
    </row>
    <row r="1672" ht="15.75" customHeight="1">
      <c r="A1672" s="1" t="s">
        <v>3256</v>
      </c>
      <c r="B1672" s="1" t="s">
        <v>3257</v>
      </c>
      <c r="C1672" s="1" t="str">
        <f>IFERROR(__xludf.DUMMYFUNCTION("CONCATENATE(GOOGLETRANSLATE(B1672, ""en"", ""zh-cn""))"),"选择品牌")</f>
        <v>选择品牌</v>
      </c>
      <c r="D1672" s="1" t="str">
        <f>IFERROR(__xludf.DUMMYFUNCTION("CONCATENATE(GOOGLETRANSLATE(B1672, ""en"", ""ko""))"),"브랜드 선택")</f>
        <v>브랜드 선택</v>
      </c>
      <c r="E1672" s="2" t="str">
        <f>IFERROR(__xludf.DUMMYFUNCTION("CONCATENATE(GOOGLETRANSLATE(B1672, ""en"", ""ja""))"),"ブランドを選択してください")</f>
        <v>ブランドを選択してください</v>
      </c>
    </row>
    <row r="1673" ht="15.75" customHeight="1">
      <c r="A1673" s="1" t="s">
        <v>3258</v>
      </c>
      <c r="B1673" s="1" t="s">
        <v>3259</v>
      </c>
      <c r="C1673" s="1" t="str">
        <f>IFERROR(__xludf.DUMMYFUNCTION("CONCATENATE(GOOGLETRANSLATE(B1673, ""en"", ""zh-cn""))"),"最低购买数量")</f>
        <v>最低购买数量</v>
      </c>
      <c r="D1673" s="1" t="str">
        <f>IFERROR(__xludf.DUMMYFUNCTION("CONCATENATE(GOOGLETRANSLATE(B1673, ""en"", ""ko""))"),"최소 구매 수량")</f>
        <v>최소 구매 수량</v>
      </c>
      <c r="E1673" s="2" t="str">
        <f>IFERROR(__xludf.DUMMYFUNCTION("CONCATENATE(GOOGLETRANSLATE(B1673, ""en"", ""ja""))"),"最低購入数量")</f>
        <v>最低購入数量</v>
      </c>
    </row>
    <row r="1674" ht="15.75" customHeight="1">
      <c r="A1674" s="1" t="s">
        <v>3260</v>
      </c>
      <c r="B1674" s="1" t="s">
        <v>3261</v>
      </c>
      <c r="C1674" s="1" t="str">
        <f>IFERROR(__xludf.DUMMYFUNCTION("CONCATENATE(GOOGLETRANSLATE(B1674, ""en"", ""zh-cn""))"),"折扣日期范围")</f>
        <v>折扣日期范围</v>
      </c>
      <c r="D1674" s="1" t="str">
        <f>IFERROR(__xludf.DUMMYFUNCTION("CONCATENATE(GOOGLETRANSLATE(B1674, ""en"", ""ko""))"),"할인 기간")</f>
        <v>할인 기간</v>
      </c>
      <c r="E1674" s="2" t="str">
        <f>IFERROR(__xludf.DUMMYFUNCTION("CONCATENATE(GOOGLETRANSLATE(B1674, ""en"", ""ja""))"),"割引期間")</f>
        <v>割引期間</v>
      </c>
    </row>
    <row r="1675" ht="15.75" customHeight="1">
      <c r="A1675" s="1" t="s">
        <v>3262</v>
      </c>
      <c r="B1675" s="1" t="s">
        <v>3263</v>
      </c>
      <c r="C1675" s="1" t="str">
        <f>IFERROR(__xludf.DUMMYFUNCTION("CONCATENATE(GOOGLETRANSLATE(B1675, ""en"", ""zh-cn""))"),"选择日期")</f>
        <v>选择日期</v>
      </c>
      <c r="D1675" s="1" t="str">
        <f>IFERROR(__xludf.DUMMYFUNCTION("CONCATENATE(GOOGLETRANSLATE(B1675, ""en"", ""ko""))"),"날짜 선택")</f>
        <v>날짜 선택</v>
      </c>
      <c r="E1675" s="2" t="str">
        <f>IFERROR(__xludf.DUMMYFUNCTION("CONCATENATE(GOOGLETRANSLATE(B1675, ""en"", ""ja""))"),"日付を選択してください")</f>
        <v>日付を選択してください</v>
      </c>
    </row>
    <row r="1676" ht="15.75" customHeight="1">
      <c r="A1676" s="1" t="s">
        <v>3264</v>
      </c>
      <c r="B1676" s="1" t="s">
        <v>3264</v>
      </c>
      <c r="C1676" s="1" t="str">
        <f>IFERROR(__xludf.DUMMYFUNCTION("CONCATENATE(GOOGLETRANSLATE(B1676, ""en"", ""zh-cn""))"),"1")</f>
        <v>1</v>
      </c>
      <c r="D1676" s="1" t="str">
        <f>IFERROR(__xludf.DUMMYFUNCTION("CONCATENATE(GOOGLETRANSLATE(B1676, ""en"", ""ko""))"),"1")</f>
        <v>1</v>
      </c>
      <c r="E1676" s="2" t="str">
        <f>IFERROR(__xludf.DUMMYFUNCTION("CONCATENATE(GOOGLETRANSLATE(B1676, ""en"", ""ja""))"),"1")</f>
        <v>1</v>
      </c>
    </row>
    <row r="1677" ht="15.75" customHeight="1">
      <c r="A1677" s="1" t="s">
        <v>3265</v>
      </c>
      <c r="B1677" s="1" t="s">
        <v>3266</v>
      </c>
      <c r="C1677" s="1" t="str">
        <f>IFERROR(__xludf.DUMMYFUNCTION("CONCATENATE(GOOGLETRANSLATE(B1677, ""en"", ""zh-cn""))"),"产品明智的运费已禁用。运费从此处配置")</f>
        <v>产品明智的运费已禁用。运费从此处配置</v>
      </c>
      <c r="D1677" s="1" t="str">
        <f>IFERROR(__xludf.DUMMYFUNCTION("CONCATENATE(GOOGLETRANSLATE(B1677, ""en"", ""ko""))"),"제품별 배송비가 비활성화되었습니다. 배송비는 여기에서 구성됩니다")</f>
        <v>제품별 배송비가 비활성화되었습니다. 배송비는 여기에서 구성됩니다</v>
      </c>
      <c r="E1677" s="2" t="str">
        <f>IFERROR(__xludf.DUMMYFUNCTION("CONCATENATE(GOOGLETRANSLATE(B1677, ""en"", ""ja""))"),"商品ごとの送料は無効になります。送料の設定​​はこちらから")</f>
        <v>商品ごとの送料は無効になります。送料の設定​​はこちらから</v>
      </c>
    </row>
    <row r="1678" ht="15.75" customHeight="1">
      <c r="A1678" s="1" t="s">
        <v>3267</v>
      </c>
      <c r="B1678" s="1" t="s">
        <v>3268</v>
      </c>
      <c r="C1678" s="1" t="str">
        <f>IFERROR(__xludf.DUMMYFUNCTION("CONCATENATE(GOOGLETRANSLATE(B1678, ""en"", ""zh-cn""))"),"起拍价")</f>
        <v>起拍价</v>
      </c>
      <c r="D1678" s="1" t="str">
        <f>IFERROR(__xludf.DUMMYFUNCTION("CONCATENATE(GOOGLETRANSLATE(B1678, ""en"", ""ko""))"),"입찰 시작 가격")</f>
        <v>입찰 시작 가격</v>
      </c>
      <c r="E1678" s="2" t="str">
        <f>IFERROR(__xludf.DUMMYFUNCTION("CONCATENATE(GOOGLETRANSLATE(B1678, ""en"", ""ja""))"),"入札開始価格")</f>
        <v>入札開始価格</v>
      </c>
    </row>
    <row r="1679" ht="15.75" customHeight="1">
      <c r="A1679" s="1" t="s">
        <v>3269</v>
      </c>
      <c r="B1679" s="1" t="s">
        <v>3270</v>
      </c>
      <c r="C1679" s="1" t="str">
        <f>IFERROR(__xludf.DUMMYFUNCTION("CONCATENATE(GOOGLETRANSLATE(B1679, ""en"", ""zh-cn""))"),"拍卖日期范围")</f>
        <v>拍卖日期范围</v>
      </c>
      <c r="D1679" s="1" t="str">
        <f>IFERROR(__xludf.DUMMYFUNCTION("CONCATENATE(GOOGLETRANSLATE(B1679, ""en"", ""ko""))"),"경매 기간")</f>
        <v>경매 기간</v>
      </c>
      <c r="E1679" s="2" t="str">
        <f>IFERROR(__xludf.DUMMYFUNCTION("CONCATENATE(GOOGLETRANSLATE(B1679, ""en"", ""ja""))"),"オークション期間")</f>
        <v>オークション期間</v>
      </c>
    </row>
    <row r="1680" ht="15.75" customHeight="1">
      <c r="A1680" s="1" t="s">
        <v>3271</v>
      </c>
      <c r="B1680" s="1" t="s">
        <v>3272</v>
      </c>
      <c r="C1680" s="1" t="str">
        <f>IFERROR(__xludf.DUMMYFUNCTION("CONCATENATE(GOOGLETRANSLATE(B1680, ""en"", ""zh-cn""))"),"拍卖产品订单")</f>
        <v>拍卖产品订单</v>
      </c>
      <c r="D1680" s="1" t="str">
        <f>IFERROR(__xludf.DUMMYFUNCTION("CONCATENATE(GOOGLETRANSLATE(B1680, ""en"", ""ko""))"),"경매 제품 주문")</f>
        <v>경매 제품 주문</v>
      </c>
      <c r="E1680" s="2" t="str">
        <f>IFERROR(__xludf.DUMMYFUNCTION("CONCATENATE(GOOGLETRANSLATE(B1680, ""en"", ""ja""))"),"オークション商品のご注文")</f>
        <v>オークション商品のご注文</v>
      </c>
    </row>
    <row r="1681" ht="15.75" customHeight="1">
      <c r="A1681" s="1" t="s">
        <v>3273</v>
      </c>
      <c r="B1681" s="1" t="s">
        <v>3274</v>
      </c>
      <c r="C1681" s="1" t="str">
        <f>IFERROR(__xludf.DUMMYFUNCTION("CONCATENATE(GOOGLETRANSLATE(B1681, ""en"", ""zh-cn""))"),"Twilio OTP")</f>
        <v>Twilio OTP</v>
      </c>
      <c r="D1681" s="1" t="str">
        <f>IFERROR(__xludf.DUMMYFUNCTION("CONCATENATE(GOOGLETRANSLATE(B1681, ""en"", ""ko""))"),"트윌리오 OTP")</f>
        <v>트윌리오 OTP</v>
      </c>
      <c r="E1681" s="2" t="str">
        <f>IFERROR(__xludf.DUMMYFUNCTION("CONCATENATE(GOOGLETRANSLATE(B1681, ""en"", ""ja""))"),"Twilio OTP")</f>
        <v>Twilio OTP</v>
      </c>
    </row>
    <row r="1682" ht="15.75" customHeight="1">
      <c r="A1682" s="1" t="s">
        <v>3275</v>
      </c>
      <c r="B1682" s="1" t="s">
        <v>3276</v>
      </c>
      <c r="C1682" s="1" t="str">
        <f>IFERROR(__xludf.DUMMYFUNCTION("CONCATENATE(GOOGLETRANSLATE(B1682, ""en"", ""zh-cn""))"),"管理信息管理系统")</f>
        <v>管理信息管理系统</v>
      </c>
      <c r="D1682" s="1" t="str">
        <f>IFERROR(__xludf.DUMMYFUNCTION("CONCATENATE(GOOGLETRANSLATE(B1682, ""en"", ""ko""))"),"MIMSMS")</f>
        <v>MIMSMS</v>
      </c>
      <c r="E1682" s="2" t="str">
        <f>IFERROR(__xludf.DUMMYFUNCTION("CONCATENATE(GOOGLETRANSLATE(B1682, ""en"", ""ja""))"),"ミムSMS")</f>
        <v>ミムSMS</v>
      </c>
    </row>
    <row r="1683" ht="15.75" customHeight="1">
      <c r="A1683" s="1" t="s">
        <v>3277</v>
      </c>
      <c r="B1683" s="1" t="s">
        <v>3278</v>
      </c>
      <c r="C1683" s="1" t="str">
        <f>IFERROR(__xludf.DUMMYFUNCTION("CONCATENATE(GOOGLETRANSLATE(B1683, ""en"", ""zh-cn""))"),"Twilio 凭证")</f>
        <v>Twilio 凭证</v>
      </c>
      <c r="D1683" s="1" t="str">
        <f>IFERROR(__xludf.DUMMYFUNCTION("CONCATENATE(GOOGLETRANSLATE(B1683, ""en"", ""ko""))"),"Twilio 자격 증명")</f>
        <v>Twilio 자격 증명</v>
      </c>
      <c r="E1683" s="2" t="str">
        <f>IFERROR(__xludf.DUMMYFUNCTION("CONCATENATE(GOOGLETRANSLATE(B1683, ""en"", ""ja""))"),"Twilio 資格情報")</f>
        <v>Twilio 資格情報</v>
      </c>
    </row>
    <row r="1684" ht="15.75" customHeight="1">
      <c r="A1684" s="1" t="s">
        <v>3279</v>
      </c>
      <c r="B1684" s="1" t="s">
        <v>3280</v>
      </c>
      <c r="C1684" s="1" t="str">
        <f>IFERROR(__xludf.DUMMYFUNCTION("CONCATENATE(GOOGLETRANSLATE(B1684, ""en"", ""zh-cn""))"),"有效的 TWILO 号码")</f>
        <v>有效的 TWILO 号码</v>
      </c>
      <c r="D1684" s="1" t="str">
        <f>IFERROR(__xludf.DUMMYFUNCTION("CONCATENATE(GOOGLETRANSLATE(B1684, ""en"", ""ko""))"),"유효한 TWILIO 번호")</f>
        <v>유효한 TWILIO 번호</v>
      </c>
      <c r="E1684" s="2" t="str">
        <f>IFERROR(__xludf.DUMMYFUNCTION("CONCATENATE(GOOGLETRANSLATE(B1684, ""en"", ""ja""))"),"有効な TWILIO 番号")</f>
        <v>有効な TWILIO 番号</v>
      </c>
    </row>
    <row r="1685" ht="15.75" customHeight="1">
      <c r="A1685" s="1" t="s">
        <v>3281</v>
      </c>
      <c r="B1685" s="1" t="s">
        <v>3282</v>
      </c>
      <c r="C1685" s="1" t="str">
        <f>IFERROR(__xludf.DUMMYFUNCTION("CONCATENATE(GOOGLETRANSLATE(B1685, ""en"", ""zh-cn""))"),"实体ID")</f>
        <v>实体ID</v>
      </c>
      <c r="D1685" s="1" t="str">
        <f>IFERROR(__xludf.DUMMYFUNCTION("CONCATENATE(GOOGLETRANSLATE(B1685, ""en"", ""ko""))"),"엔터티 ID")</f>
        <v>엔터티 ID</v>
      </c>
      <c r="E1685" s="2" t="str">
        <f>IFERROR(__xludf.DUMMYFUNCTION("CONCATENATE(GOOGLETRANSLATE(B1685, ""en"", ""ja""))"),"エンティティID")</f>
        <v>エンティティID</v>
      </c>
    </row>
    <row r="1686" ht="15.75" customHeight="1">
      <c r="A1686" s="1" t="s">
        <v>3283</v>
      </c>
      <c r="B1686" s="1" t="s">
        <v>3284</v>
      </c>
      <c r="C1686" s="1" t="str">
        <f>IFERROR(__xludf.DUMMYFUNCTION("CONCATENATE(GOOGLETRANSLATE(B1686, ""en"", ""zh-cn""))"),"分布式账本手册")</f>
        <v>分布式账本手册</v>
      </c>
      <c r="D1686" s="1" t="str">
        <f>IFERROR(__xludf.DUMMYFUNCTION("CONCATENATE(GOOGLETRANSLATE(B1686, ""en"", ""ko""))"),"DLT 매뉴얼")</f>
        <v>DLT 매뉴얼</v>
      </c>
      <c r="E1686" s="2" t="str">
        <f>IFERROR(__xludf.DUMMYFUNCTION("CONCATENATE(GOOGLETRANSLATE(B1686, ""en"", ""ja""))"),"DLTマニュアル")</f>
        <v>DLTマニュアル</v>
      </c>
    </row>
    <row r="1687" ht="15.75" customHeight="1">
      <c r="A1687" s="1" t="s">
        <v>3285</v>
      </c>
      <c r="B1687" s="1" t="s">
        <v>3286</v>
      </c>
      <c r="C1687" s="1" t="str">
        <f>IFERROR(__xludf.DUMMYFUNCTION("CONCATENATE(GOOGLETRANSLATE(B1687, ""en"", ""zh-cn""))"),"MIMSMS 凭证")</f>
        <v>MIMSMS 凭证</v>
      </c>
      <c r="D1687" s="1" t="str">
        <f>IFERROR(__xludf.DUMMYFUNCTION("CONCATENATE(GOOGLETRANSLATE(B1687, ""en"", ""ko""))"),"MIMSMS 자격 증명")</f>
        <v>MIMSMS 자격 증명</v>
      </c>
      <c r="E1687" s="2" t="str">
        <f>IFERROR(__xludf.DUMMYFUNCTION("CONCATENATE(GOOGLETRANSLATE(B1687, ""en"", ""ja""))"),"MIMSMS 資格情報")</f>
        <v>MIMSMS 資格情報</v>
      </c>
    </row>
    <row r="1688" ht="15.75" customHeight="1">
      <c r="A1688" s="1" t="s">
        <v>3287</v>
      </c>
      <c r="B1688" s="1" t="s">
        <v>3288</v>
      </c>
      <c r="C1688" s="1" t="str">
        <f>IFERROR(__xludf.DUMMYFUNCTION("CONCATENATE(GOOGLETRANSLATE(B1688, ""en"", ""zh-cn""))"),"MIM_API_KEY")</f>
        <v>MIM_API_KEY</v>
      </c>
      <c r="D1688" s="1" t="str">
        <f>IFERROR(__xludf.DUMMYFUNCTION("CONCATENATE(GOOGLETRANSLATE(B1688, ""en"", ""ko""))"),"MIM_API_KEY")</f>
        <v>MIM_API_KEY</v>
      </c>
      <c r="E1688" s="2" t="str">
        <f>IFERROR(__xludf.DUMMYFUNCTION("CONCATENATE(GOOGLETRANSLATE(B1688, ""en"", ""ja""))"),"MIM_API_KEY")</f>
        <v>MIM_API_KEY</v>
      </c>
    </row>
    <row r="1689" ht="15.75" customHeight="1">
      <c r="A1689" s="1" t="s">
        <v>3289</v>
      </c>
      <c r="B1689" s="1" t="s">
        <v>3290</v>
      </c>
      <c r="C1689" s="1" t="str">
        <f>IFERROR(__xludf.DUMMYFUNCTION("CONCATENATE(GOOGLETRANSLATE(B1689, ""en"", ""zh-cn""))"),"MIM_SENDER_ID")</f>
        <v>MIM_SENDER_ID</v>
      </c>
      <c r="D1689" s="1" t="str">
        <f>IFERROR(__xludf.DUMMYFUNCTION("CONCATENATE(GOOGLETRANSLATE(B1689, ""en"", ""ko""))"),"MIM_SENDER_ID")</f>
        <v>MIM_SENDER_ID</v>
      </c>
      <c r="E1689" s="2" t="str">
        <f>IFERROR(__xludf.DUMMYFUNCTION("CONCATENATE(GOOGLETRANSLATE(B1689, ""en"", ""ja""))"),"MIM_SENDER_ID")</f>
        <v>MIM_SENDER_ID</v>
      </c>
    </row>
    <row r="1690" ht="15.75" customHeight="1">
      <c r="A1690" s="1" t="s">
        <v>3291</v>
      </c>
      <c r="B1690" s="1" t="s">
        <v>3292</v>
      </c>
      <c r="C1690" s="1" t="str">
        <f>IFERROR(__xludf.DUMMYFUNCTION("CONCATENATE(GOOGLETRANSLATE(B1690, ""en"", ""zh-cn""))"),"产品投标价格+日期范围")</f>
        <v>产品投标价格+日期范围</v>
      </c>
      <c r="D1690" s="1" t="str">
        <f>IFERROR(__xludf.DUMMYFUNCTION("CONCATENATE(GOOGLETRANSLATE(B1690, ""en"", ""ko""))"),"제품 입찰 가격 + 기간")</f>
        <v>제품 입찰 가격 + 기간</v>
      </c>
      <c r="E1690" s="2" t="str">
        <f>IFERROR(__xludf.DUMMYFUNCTION("CONCATENATE(GOOGLETRANSLATE(B1690, ""en"", ""ja""))"),"商品の入札価格 + 日付範囲")</f>
        <v>商品の入札価格 + 日付範囲</v>
      </c>
    </row>
    <row r="1691" ht="15.75" customHeight="1">
      <c r="A1691" s="1" t="s">
        <v>3293</v>
      </c>
      <c r="B1691" s="1" t="s">
        <v>3294</v>
      </c>
      <c r="C1691" s="1" t="str">
        <f>IFERROR(__xludf.DUMMYFUNCTION("CONCATENATE(GOOGLETRANSLATE(B1691, ""en"", ""zh-cn""))"),"产品数量是否成倍增加")</f>
        <v>产品数量是否成倍增加</v>
      </c>
      <c r="D1691" s="1" t="str">
        <f>IFERROR(__xludf.DUMMYFUNCTION("CONCATENATE(GOOGLETRANSLATE(B1691, ""en"", ""ko""))"),"제품 수량은 여러 배입니까?")</f>
        <v>제품 수량은 여러 배입니까?</v>
      </c>
      <c r="E1691" s="2" t="str">
        <f>IFERROR(__xludf.DUMMYFUNCTION("CONCATENATE(GOOGLETRANSLATE(B1691, ""en"", ""ja""))"),"製品の数量を倍増します")</f>
        <v>製品の数量を倍増します</v>
      </c>
    </row>
    <row r="1692" ht="15.75" customHeight="1">
      <c r="A1692" s="1" t="s">
        <v>3295</v>
      </c>
      <c r="B1692" s="1" t="s">
        <v>3296</v>
      </c>
      <c r="C1692" s="1" t="str">
        <f>IFERROR(__xludf.DUMMYFUNCTION("CONCATENATE(GOOGLETRANSLATE(B1692, ""en"", ""zh-cn""))"),"拍卖品")</f>
        <v>拍卖品</v>
      </c>
      <c r="D1692" s="1" t="str">
        <f>IFERROR(__xludf.DUMMYFUNCTION("CONCATENATE(GOOGLETRANSLATE(B1692, ""en"", ""ko""))"),"경매상품")</f>
        <v>경매상품</v>
      </c>
      <c r="E1692" s="2" t="str">
        <f>IFERROR(__xludf.DUMMYFUNCTION("CONCATENATE(GOOGLETRANSLATE(B1692, ""en"", ""ja""))"),"オークション商品")</f>
        <v>オークション商品</v>
      </c>
    </row>
    <row r="1693" ht="15.75" customHeight="1">
      <c r="A1693" s="1" t="s">
        <v>3297</v>
      </c>
      <c r="B1693" s="1" t="s">
        <v>3298</v>
      </c>
      <c r="C1693" s="1" t="str">
        <f>IFERROR(__xludf.DUMMYFUNCTION("CONCATENATE(GOOGLETRANSLATE(B1693, ""en"", ""zh-cn""))"),"投标产品")</f>
        <v>投标产品</v>
      </c>
      <c r="D1693" s="1" t="str">
        <f>IFERROR(__xludf.DUMMYFUNCTION("CONCATENATE(GOOGLETRANSLATE(B1693, ""en"", ""ko""))"),"입찰상품")</f>
        <v>입찰상품</v>
      </c>
      <c r="E1693" s="2" t="str">
        <f>IFERROR(__xludf.DUMMYFUNCTION("CONCATENATE(GOOGLETRANSLATE(B1693, ""en"", ""ja""))"),"入札商品")</f>
        <v>入札商品</v>
      </c>
    </row>
    <row r="1694" ht="15.75" customHeight="1">
      <c r="A1694" s="1" t="s">
        <v>3299</v>
      </c>
      <c r="B1694" s="1" t="s">
        <v>3300</v>
      </c>
      <c r="C1694" s="1" t="str">
        <f>IFERROR(__xludf.DUMMYFUNCTION("CONCATENATE(GOOGLETRANSLATE(B1694, ""en"", ""zh-cn""))"),"所有拍卖品")</f>
        <v>所有拍卖品</v>
      </c>
      <c r="D1694" s="1" t="str">
        <f>IFERROR(__xludf.DUMMYFUNCTION("CONCATENATE(GOOGLETRANSLATE(B1694, ""en"", ""ko""))"),"모든 경매 제품")</f>
        <v>모든 경매 제품</v>
      </c>
      <c r="E1694" s="2" t="str">
        <f>IFERROR(__xludf.DUMMYFUNCTION("CONCATENATE(GOOGLETRANSLATE(B1694, ""en"", ""ja""))"),"全てのオークション商品")</f>
        <v>全てのオークション商品</v>
      </c>
    </row>
    <row r="1695" ht="15.75" customHeight="1">
      <c r="A1695" s="1" t="s">
        <v>3301</v>
      </c>
      <c r="B1695" s="1" t="s">
        <v>3302</v>
      </c>
      <c r="C1695" s="1" t="str">
        <f>IFERROR(__xludf.DUMMYFUNCTION("CONCATENATE(GOOGLETRANSLATE(B1695, ""en"", ""zh-cn""))"),"起拍金额")</f>
        <v>起拍金额</v>
      </c>
      <c r="D1695" s="1" t="str">
        <f>IFERROR(__xludf.DUMMYFUNCTION("CONCATENATE(GOOGLETRANSLATE(B1695, ""en"", ""ko""))"),"입찰 시작 금액")</f>
        <v>입찰 시작 금액</v>
      </c>
      <c r="E1695" s="2" t="str">
        <f>IFERROR(__xludf.DUMMYFUNCTION("CONCATENATE(GOOGLETRANSLATE(B1695, ""en"", ""ja""))"),"入札開始額")</f>
        <v>入札開始額</v>
      </c>
    </row>
    <row r="1696" ht="15.75" customHeight="1">
      <c r="A1696" s="1" t="s">
        <v>3303</v>
      </c>
      <c r="B1696" s="1" t="s">
        <v>3304</v>
      </c>
      <c r="C1696" s="1" t="str">
        <f>IFERROR(__xludf.DUMMYFUNCTION("CONCATENATE(GOOGLETRANSLATE(B1696, ""en"", ""zh-cn""))"),"拍卖开始日期")</f>
        <v>拍卖开始日期</v>
      </c>
      <c r="D1696" s="1" t="str">
        <f>IFERROR(__xludf.DUMMYFUNCTION("CONCATENATE(GOOGLETRANSLATE(B1696, ""en"", ""ko""))"),"경매 시작일")</f>
        <v>경매 시작일</v>
      </c>
      <c r="E1696" s="2" t="str">
        <f>IFERROR(__xludf.DUMMYFUNCTION("CONCATENATE(GOOGLETRANSLATE(B1696, ""en"", ""ja""))"),"オークション開始日")</f>
        <v>オークション開始日</v>
      </c>
    </row>
    <row r="1697" ht="15.75" customHeight="1">
      <c r="A1697" s="1" t="s">
        <v>3305</v>
      </c>
      <c r="B1697" s="1" t="s">
        <v>3306</v>
      </c>
      <c r="C1697" s="1" t="str">
        <f>IFERROR(__xludf.DUMMYFUNCTION("CONCATENATE(GOOGLETRANSLATE(B1697, ""en"", ""zh-cn""))"),"拍卖结束日期")</f>
        <v>拍卖结束日期</v>
      </c>
      <c r="D1697" s="1" t="str">
        <f>IFERROR(__xludf.DUMMYFUNCTION("CONCATENATE(GOOGLETRANSLATE(B1697, ""en"", ""ko""))"),"경매 종료일")</f>
        <v>경매 종료일</v>
      </c>
      <c r="E1697" s="2" t="str">
        <f>IFERROR(__xludf.DUMMYFUNCTION("CONCATENATE(GOOGLETRANSLATE(B1697, ""en"", ""ja""))"),"オークション終了日")</f>
        <v>オークション終了日</v>
      </c>
    </row>
    <row r="1698" ht="15.75" customHeight="1">
      <c r="A1698" s="1" t="s">
        <v>3307</v>
      </c>
      <c r="B1698" s="1" t="s">
        <v>3308</v>
      </c>
      <c r="C1698" s="1" t="str">
        <f>IFERROR(__xludf.DUMMYFUNCTION("CONCATENATE(GOOGLETRANSLATE(B1698, ""en"", ""zh-cn""))"),"总出价")</f>
        <v>总出价</v>
      </c>
      <c r="D1698" s="1" t="str">
        <f>IFERROR(__xludf.DUMMYFUNCTION("CONCATENATE(GOOGLETRANSLATE(B1698, ""en"", ""ko""))"),"총 입찰가")</f>
        <v>총 입찰가</v>
      </c>
      <c r="E1698" s="2" t="str">
        <f>IFERROR(__xludf.DUMMYFUNCTION("CONCATENATE(GOOGLETRANSLATE(B1698, ""en"", ""ja""))"),"合計入札額")</f>
        <v>合計入札額</v>
      </c>
    </row>
    <row r="1699" ht="15.75" customHeight="1">
      <c r="A1699" s="1" t="s">
        <v>3309</v>
      </c>
      <c r="B1699" s="1" t="s">
        <v>3310</v>
      </c>
      <c r="C1699" s="1" t="str">
        <f>IFERROR(__xludf.DUMMYFUNCTION("CONCATENATE(GOOGLETRANSLATE(B1699, ""en"", ""zh-cn""))"),"批量操作")</f>
        <v>批量操作</v>
      </c>
      <c r="D1699" s="1" t="str">
        <f>IFERROR(__xludf.DUMMYFUNCTION("CONCATENATE(GOOGLETRANSLATE(B1699, ""en"", ""ko""))"),"대량 작업")</f>
        <v>대량 작업</v>
      </c>
      <c r="E1699" s="2" t="str">
        <f>IFERROR(__xludf.DUMMYFUNCTION("CONCATENATE(GOOGLETRANSLATE(B1699, ""en"", ""ja""))"),"一括アクション")</f>
        <v>一括アクション</v>
      </c>
    </row>
    <row r="1700" ht="15.75" customHeight="1">
      <c r="A1700" s="1" t="s">
        <v>3311</v>
      </c>
      <c r="B1700" s="1" t="s">
        <v>3312</v>
      </c>
      <c r="C1700" s="1" t="str">
        <f>IFERROR(__xludf.DUMMYFUNCTION("CONCATENATE(GOOGLETRANSLATE(B1700, ""en"", ""zh-cn""))"),"删除选择")</f>
        <v>删除选择</v>
      </c>
      <c r="D1700" s="1" t="str">
        <f>IFERROR(__xludf.DUMMYFUNCTION("CONCATENATE(GOOGLETRANSLATE(B1700, ""en"", ""ko""))"),"선택 삭제")</f>
        <v>선택 삭제</v>
      </c>
      <c r="E1700" s="2" t="str">
        <f>IFERROR(__xludf.DUMMYFUNCTION("CONCATENATE(GOOGLETRANSLATE(B1700, ""en"", ""ja""))"),"選択範囲を削除")</f>
        <v>選択範囲を削除</v>
      </c>
    </row>
    <row r="1701" ht="15.75" customHeight="1">
      <c r="A1701" s="1" t="s">
        <v>3313</v>
      </c>
      <c r="B1701" s="1" t="s">
        <v>3314</v>
      </c>
      <c r="C1701" s="1" t="str">
        <f>IFERROR(__xludf.DUMMYFUNCTION("CONCATENATE(GOOGLETRANSLATE(B1701, ""en"", ""zh-cn""))"),"产品审批更新成功")</f>
        <v>产品审批更新成功</v>
      </c>
      <c r="D1701" s="1" t="str">
        <f>IFERROR(__xludf.DUMMYFUNCTION("CONCATENATE(GOOGLETRANSLATE(B1701, ""en"", ""ko""))"),"제품 승인 업데이트가 성공적으로 완료되었습니다.")</f>
        <v>제품 승인 업데이트가 성공적으로 완료되었습니다.</v>
      </c>
      <c r="E1701" s="2" t="str">
        <f>IFERROR(__xludf.DUMMYFUNCTION("CONCATENATE(GOOGLETRANSLATE(B1701, ""en"", ""ja""))"),"製品承認の更新が正常に完了しました")</f>
        <v>製品承認の更新が正常に完了しました</v>
      </c>
    </row>
    <row r="1702" ht="15.75" customHeight="1">
      <c r="A1702" s="1" t="s">
        <v>3315</v>
      </c>
      <c r="B1702" s="1" t="s">
        <v>3316</v>
      </c>
      <c r="C1702" s="1" t="str">
        <f>IFERROR(__xludf.DUMMYFUNCTION("CONCATENATE(GOOGLETRANSLATE(B1702, ""en"", ""zh-cn""))"),"查看产品")</f>
        <v>查看产品</v>
      </c>
      <c r="D1702" s="1" t="str">
        <f>IFERROR(__xludf.DUMMYFUNCTION("CONCATENATE(GOOGLETRANSLATE(B1702, ""en"", ""ko""))"),"제품 보기")</f>
        <v>제품 보기</v>
      </c>
      <c r="E1702" s="2" t="str">
        <f>IFERROR(__xludf.DUMMYFUNCTION("CONCATENATE(GOOGLETRANSLATE(B1702, ""en"", ""ja""))"),"製品を見る")</f>
        <v>製品を見る</v>
      </c>
    </row>
    <row r="1703" ht="15.75" customHeight="1">
      <c r="A1703" s="1" t="s">
        <v>3317</v>
      </c>
      <c r="B1703" s="1" t="s">
        <v>3318</v>
      </c>
      <c r="C1703" s="1" t="str">
        <f>IFERROR(__xludf.DUMMYFUNCTION("CONCATENATE(GOOGLETRANSLATE(B1703, ""en"", ""zh-cn""))"),"查看所有出价")</f>
        <v>查看所有出价</v>
      </c>
      <c r="D1703" s="1" t="str">
        <f>IFERROR(__xludf.DUMMYFUNCTION("CONCATENATE(GOOGLETRANSLATE(B1703, ""en"", ""ko""))"),"모든 입찰 보기")</f>
        <v>모든 입찰 보기</v>
      </c>
      <c r="E1703" s="2" t="str">
        <f>IFERROR(__xludf.DUMMYFUNCTION("CONCATENATE(GOOGLETRANSLATE(B1703, ""en"", ""ja""))"),"すべての入札を見る")</f>
        <v>すべての入札を見る</v>
      </c>
    </row>
    <row r="1704" ht="15.75" customHeight="1">
      <c r="A1704" s="1" t="s">
        <v>3319</v>
      </c>
      <c r="B1704" s="1" t="s">
        <v>3320</v>
      </c>
      <c r="C1704" s="1" t="str">
        <f>IFERROR(__xludf.DUMMYFUNCTION("CONCATENATE(GOOGLETRANSLATE(B1704, ""en"", ""zh-cn""))"),"编辑拍卖产品")</f>
        <v>编辑拍卖产品</v>
      </c>
      <c r="D1704" s="1" t="str">
        <f>IFERROR(__xludf.DUMMYFUNCTION("CONCATENATE(GOOGLETRANSLATE(B1704, ""en"", ""ko""))"),"경매 상품 수정")</f>
        <v>경매 상품 수정</v>
      </c>
      <c r="E1704" s="2" t="str">
        <f>IFERROR(__xludf.DUMMYFUNCTION("CONCATENATE(GOOGLETRANSLATE(B1704, ""en"", ""ja""))"),"オークション商品の編集")</f>
        <v>オークション商品の編集</v>
      </c>
    </row>
    <row r="1705" ht="15.75" customHeight="1">
      <c r="A1705" s="1" t="s">
        <v>3321</v>
      </c>
      <c r="B1705" s="1" t="s">
        <v>3322</v>
      </c>
      <c r="C1705" s="1" t="str">
        <f>IFERROR(__xludf.DUMMYFUNCTION("CONCATENATE(GOOGLETRANSLATE(B1705, ""en"", ""zh-cn""))"),"拍卖将结束")</f>
        <v>拍卖将结束</v>
      </c>
      <c r="D1705" s="1" t="str">
        <f>IFERROR(__xludf.DUMMYFUNCTION("CONCATENATE(GOOGLETRANSLATE(B1705, ""en"", ""ko""))"),"경매가 종료됩니다")</f>
        <v>경매가 종료됩니다</v>
      </c>
      <c r="E1705" s="2" t="str">
        <f>IFERROR(__xludf.DUMMYFUNCTION("CONCATENATE(GOOGLETRANSLATE(B1705, ""en"", ""ja""))"),"オークションは終了します")</f>
        <v>オークションは終了します</v>
      </c>
    </row>
    <row r="1706" ht="15.75" customHeight="1">
      <c r="A1706" s="1" t="s">
        <v>3323</v>
      </c>
      <c r="B1706" s="1" t="s">
        <v>3324</v>
      </c>
      <c r="C1706" s="1" t="str">
        <f>IFERROR(__xludf.DUMMYFUNCTION("CONCATENATE(GOOGLETRANSLATE(B1706, ""en"", ""zh-cn""))"),"起拍价")</f>
        <v>起拍价</v>
      </c>
      <c r="D1706" s="1" t="str">
        <f>IFERROR(__xludf.DUMMYFUNCTION("CONCATENATE(GOOGLETRANSLATE(B1706, ""en"", ""ko""))"),"입찰 시작")</f>
        <v>입찰 시작</v>
      </c>
      <c r="E1706" s="2" t="str">
        <f>IFERROR(__xludf.DUMMYFUNCTION("CONCATENATE(GOOGLETRANSLATE(B1706, ""en"", ""ja""))"),"入札開始")</f>
        <v>入札開始</v>
      </c>
    </row>
    <row r="1707" ht="15.75" customHeight="1">
      <c r="A1707" s="1" t="s">
        <v>3325</v>
      </c>
      <c r="B1707" s="1" t="s">
        <v>3326</v>
      </c>
      <c r="C1707" s="1" t="str">
        <f>IFERROR(__xludf.DUMMYFUNCTION("CONCATENATE(GOOGLETRANSLATE(B1707, ""en"", ""zh-cn""))"),"最高出价")</f>
        <v>最高出价</v>
      </c>
      <c r="D1707" s="1" t="str">
        <f>IFERROR(__xludf.DUMMYFUNCTION("CONCATENATE(GOOGLETRANSLATE(B1707, ""en"", ""ko""))"),"최고 입찰가")</f>
        <v>최고 입찰가</v>
      </c>
      <c r="E1707" s="2" t="str">
        <f>IFERROR(__xludf.DUMMYFUNCTION("CONCATENATE(GOOGLETRANSLATE(B1707, ""en"", ""ja""))"),"最高入札額")</f>
        <v>最高入札額</v>
      </c>
    </row>
    <row r="1708" ht="15.75" customHeight="1">
      <c r="A1708" s="1" t="s">
        <v>3327</v>
      </c>
      <c r="B1708" s="1" t="s">
        <v>3328</v>
      </c>
      <c r="C1708" s="1" t="str">
        <f>IFERROR(__xludf.DUMMYFUNCTION("CONCATENATE(GOOGLETRANSLATE(B1708, ""en"", ""zh-cn""))"),"出价")</f>
        <v>出价</v>
      </c>
      <c r="D1708" s="1" t="str">
        <f>IFERROR(__xludf.DUMMYFUNCTION("CONCATENATE(GOOGLETRANSLATE(B1708, ""en"", ""ko""))"),"입찰하기")</f>
        <v>입찰하기</v>
      </c>
      <c r="E1708" s="2" t="str">
        <f>IFERROR(__xludf.DUMMYFUNCTION("CONCATENATE(GOOGLETRANSLATE(B1708, ""en"", ""ja""))"),"入札する")</f>
        <v>入札する</v>
      </c>
    </row>
    <row r="1709" ht="15.75" customHeight="1">
      <c r="A1709" s="1" t="s">
        <v>3329</v>
      </c>
      <c r="B1709" s="1" t="s">
        <v>3330</v>
      </c>
      <c r="C1709" s="1" t="str">
        <f>IFERROR(__xludf.DUMMYFUNCTION("CONCATENATE(GOOGLETRANSLATE(B1709, ""en"", ""zh-cn""))"),"产品投标")</f>
        <v>产品投标</v>
      </c>
      <c r="D1709" s="1" t="str">
        <f>IFERROR(__xludf.DUMMYFUNCTION("CONCATENATE(GOOGLETRANSLATE(B1709, ""en"", ""ko""))"),"제품에 대한 입찰")</f>
        <v>제품에 대한 입찰</v>
      </c>
      <c r="E1709" s="2" t="str">
        <f>IFERROR(__xludf.DUMMYFUNCTION("CONCATENATE(GOOGLETRANSLATE(B1709, ""en"", ""ja""))"),"製品の入札")</f>
        <v>製品の入札</v>
      </c>
    </row>
    <row r="1710" ht="15.75" customHeight="1">
      <c r="A1710" s="1" t="s">
        <v>3331</v>
      </c>
      <c r="B1710" s="1" t="s">
        <v>3332</v>
      </c>
      <c r="C1710" s="1" t="str">
        <f>IFERROR(__xludf.DUMMYFUNCTION("CONCATENATE(GOOGLETRANSLATE(B1710, ""en"", ""zh-cn""))"),"最低投标金额： ")</f>
        <v>最低投标金额： </v>
      </c>
      <c r="D1710" s="1" t="str">
        <f>IFERROR(__xludf.DUMMYFUNCTION("CONCATENATE(GOOGLETRANSLATE(B1710, ""en"", ""ko""))"),"최소 입찰 금액: ")</f>
        <v>최소 입찰 금액: </v>
      </c>
      <c r="E1710" s="2" t="str">
        <f>IFERROR(__xludf.DUMMYFUNCTION("CONCATENATE(GOOGLETRANSLATE(B1710, ""en"", ""ja""))"),"最低入札額: ")</f>
        <v>最低入札額: </v>
      </c>
    </row>
    <row r="1711" ht="15.75" customHeight="1">
      <c r="A1711" s="1" t="s">
        <v>3333</v>
      </c>
      <c r="B1711" s="1" t="s">
        <v>3334</v>
      </c>
      <c r="C1711" s="1" t="str">
        <f>IFERROR(__xludf.DUMMYFUNCTION("CONCATENATE(GOOGLETRANSLATE(B1711, ""en"", ""zh-cn""))"),"下标价")</f>
        <v>下标价</v>
      </c>
      <c r="D1711" s="1" t="str">
        <f>IFERROR(__xludf.DUMMYFUNCTION("CONCATENATE(GOOGLETRANSLATE(B1711, ""en"", ""ko""))"),"입찰 가격")</f>
        <v>입찰 가격</v>
      </c>
      <c r="E1711" s="2" t="str">
        <f>IFERROR(__xludf.DUMMYFUNCTION("CONCATENATE(GOOGLETRANSLATE(B1711, ""en"", ""ja""))"),"場所の入札価格")</f>
        <v>場所の入札価格</v>
      </c>
    </row>
    <row r="1712" ht="15.75" customHeight="1">
      <c r="A1712" s="1" t="s">
        <v>3335</v>
      </c>
      <c r="B1712" s="1" t="s">
        <v>3336</v>
      </c>
      <c r="C1712" s="1" t="str">
        <f>IFERROR(__xludf.DUMMYFUNCTION("CONCATENATE(GOOGLETRANSLATE(B1712, ""en"", ""zh-cn""))"),"输入金额")</f>
        <v>输入金额</v>
      </c>
      <c r="D1712" s="1" t="str">
        <f>IFERROR(__xludf.DUMMYFUNCTION("CONCATENATE(GOOGLETRANSLATE(B1712, ""en"", ""ko""))"),"금액 입력")</f>
        <v>금액 입력</v>
      </c>
      <c r="E1712" s="2" t="str">
        <f>IFERROR(__xludf.DUMMYFUNCTION("CONCATENATE(GOOGLETRANSLATE(B1712, ""en"", ""ja""))"),"金額を入力してください")</f>
        <v>金額を入力してください</v>
      </c>
    </row>
    <row r="1713" ht="15.75" customHeight="1">
      <c r="A1713" s="1" t="s">
        <v>3337</v>
      </c>
      <c r="B1713" s="1" t="s">
        <v>3338</v>
      </c>
      <c r="C1713" s="1" t="str">
        <f>IFERROR(__xludf.DUMMYFUNCTION("CONCATENATE(GOOGLETRANSLATE(B1713, ""en"", ""zh-cn""))"),"投标成功")</f>
        <v>投标成功</v>
      </c>
      <c r="D1713" s="1" t="str">
        <f>IFERROR(__xludf.DUMMYFUNCTION("CONCATENATE(GOOGLETRANSLATE(B1713, ""en"", ""ko""))"),"입찰이 성공적으로 이루어졌습니다.")</f>
        <v>입찰이 성공적으로 이루어졌습니다.</v>
      </c>
      <c r="E1713" s="2" t="str">
        <f>IFERROR(__xludf.DUMMYFUNCTION("CONCATENATE(GOOGLETRANSLATE(B1713, ""en"", ""ja""))"),"入札が完了しました")</f>
        <v>入札が完了しました</v>
      </c>
    </row>
    <row r="1714" ht="15.75" customHeight="1">
      <c r="A1714" s="1" t="s">
        <v>3339</v>
      </c>
      <c r="B1714" s="1" t="s">
        <v>3340</v>
      </c>
      <c r="C1714" s="1" t="str">
        <f>IFERROR(__xludf.DUMMYFUNCTION("CONCATENATE(GOOGLETRANSLATE(B1714, ""en"", ""zh-cn""))"),"我的出价金额")</f>
        <v>我的出价金额</v>
      </c>
      <c r="D1714" s="1" t="str">
        <f>IFERROR(__xludf.DUMMYFUNCTION("CONCATENATE(GOOGLETRANSLATE(B1714, ""en"", ""ko""))"),"내 입찰 금액")</f>
        <v>내 입찰 금액</v>
      </c>
      <c r="E1714" s="2" t="str">
        <f>IFERROR(__xludf.DUMMYFUNCTION("CONCATENATE(GOOGLETRANSLATE(B1714, ""en"", ""ja""))"),"私の入札金額")</f>
        <v>私の入札金額</v>
      </c>
    </row>
    <row r="1715" ht="15.75" customHeight="1">
      <c r="A1715" s="1" t="s">
        <v>3341</v>
      </c>
      <c r="B1715" s="1" t="s">
        <v>3342</v>
      </c>
      <c r="C1715" s="1" t="str">
        <f>IFERROR(__xludf.DUMMYFUNCTION("CONCATENATE(GOOGLETRANSLATE(B1715, ""en"", ""zh-cn""))"),"变更投标")</f>
        <v>变更投标</v>
      </c>
      <c r="D1715" s="1" t="str">
        <f>IFERROR(__xludf.DUMMYFUNCTION("CONCATENATE(GOOGLETRANSLATE(B1715, ""en"", ""ko""))"),"입찰가 변동")</f>
        <v>입찰가 변동</v>
      </c>
      <c r="E1715" s="2" t="str">
        <f>IFERROR(__xludf.DUMMYFUNCTION("CONCATENATE(GOOGLETRANSLATE(B1715, ""en"", ""ja""))"),"入札を変更する")</f>
        <v>入札を変更する</v>
      </c>
    </row>
    <row r="1716" ht="15.75" customHeight="1">
      <c r="A1716" s="1" t="s">
        <v>3343</v>
      </c>
      <c r="B1716" s="1" t="s">
        <v>3344</v>
      </c>
      <c r="C1716" s="1" t="str">
        <f>IFERROR(__xludf.DUMMYFUNCTION("CONCATENATE(GOOGLETRANSLATE(B1716, ""en"", ""zh-cn""))"),"最高投标金额")</f>
        <v>最高投标金额</v>
      </c>
      <c r="D1716" s="1" t="str">
        <f>IFERROR(__xludf.DUMMYFUNCTION("CONCATENATE(GOOGLETRANSLATE(B1716, ""en"", ""ko""))"),"최고 입찰 금액")</f>
        <v>최고 입찰 금액</v>
      </c>
      <c r="E1716" s="2" t="str">
        <f>IFERROR(__xludf.DUMMYFUNCTION("CONCATENATE(GOOGLETRANSLATE(B1716, ""en"", ""ja""))"),"最高入札額")</f>
        <v>最高入札額</v>
      </c>
    </row>
    <row r="1717" ht="15.75" customHeight="1">
      <c r="A1717" s="1" t="s">
        <v>3345</v>
      </c>
      <c r="B1717" s="1" t="s">
        <v>3346</v>
      </c>
      <c r="C1717" s="1" t="str">
        <f>IFERROR(__xludf.DUMMYFUNCTION("CONCATENATE(GOOGLETRANSLATE(B1717, ""en"", ""zh-cn""))"),"结束")</f>
        <v>结束</v>
      </c>
      <c r="D1717" s="1" t="str">
        <f>IFERROR(__xludf.DUMMYFUNCTION("CONCATENATE(GOOGLETRANSLATE(B1717, ""en"", ""ko""))"),"종료됨")</f>
        <v>종료됨</v>
      </c>
      <c r="E1717" s="2" t="str">
        <f>IFERROR(__xludf.DUMMYFUNCTION("CONCATENATE(GOOGLETRANSLATE(B1717, ""en"", ""ja""))"),"終了しました")</f>
        <v>終了しました</v>
      </c>
    </row>
    <row r="1718" ht="15.75" customHeight="1">
      <c r="A1718" s="1" t="s">
        <v>3347</v>
      </c>
      <c r="B1718" s="1" t="s">
        <v>3348</v>
      </c>
      <c r="C1718" s="1" t="str">
        <f>IFERROR(__xludf.DUMMYFUNCTION("CONCATENATE(GOOGLETRANSLATE(B1718, ""en"", ""zh-cn""))"),"买")</f>
        <v>买</v>
      </c>
      <c r="D1718" s="1" t="str">
        <f>IFERROR(__xludf.DUMMYFUNCTION("CONCATENATE(GOOGLETRANSLATE(B1718, ""en"", ""ko""))"),"구입하다")</f>
        <v>구입하다</v>
      </c>
      <c r="E1718" s="2" t="str">
        <f>IFERROR(__xludf.DUMMYFUNCTION("CONCATENATE(GOOGLETRANSLATE(B1718, ""en"", ""ja""))"),"買う")</f>
        <v>買う</v>
      </c>
    </row>
    <row r="1719" ht="15.75" customHeight="1">
      <c r="A1719" s="1" t="s">
        <v>3349</v>
      </c>
      <c r="B1719" s="1" t="s">
        <v>3350</v>
      </c>
      <c r="C1719" s="1" t="str">
        <f>IFERROR(__xludf.DUMMYFUNCTION("CONCATENATE(GOOGLETRANSLATE(B1719, ""en"", ""zh-cn""))"),"地址编辑")</f>
        <v>地址编辑</v>
      </c>
      <c r="D1719" s="1" t="str">
        <f>IFERROR(__xludf.DUMMYFUNCTION("CONCATENATE(GOOGLETRANSLATE(B1719, ""en"", ""ko""))"),"주소 편집")</f>
        <v>주소 편집</v>
      </c>
      <c r="E1719" s="2" t="str">
        <f>IFERROR(__xludf.DUMMYFUNCTION("CONCATENATE(GOOGLETRANSLATE(B1719, ""en"", ""ja""))"),"アドレス編集")</f>
        <v>アドレス編集</v>
      </c>
    </row>
    <row r="1720" ht="15.75" customHeight="1">
      <c r="A1720" s="1" t="s">
        <v>3351</v>
      </c>
      <c r="B1720" s="1" t="s">
        <v>3352</v>
      </c>
      <c r="C1720" s="1" t="str">
        <f>IFERROR(__xludf.DUMMYFUNCTION("CONCATENATE(GOOGLETRANSLATE(B1720, ""en"", ""zh-cn""))"),"代理支付")</f>
        <v>代理支付</v>
      </c>
      <c r="D1720" s="1" t="str">
        <f>IFERROR(__xludf.DUMMYFUNCTION("CONCATENATE(GOOGLETRANSLATE(B1720, ""en"", ""ko""))"),"프록시페이")</f>
        <v>프록시페이</v>
      </c>
      <c r="E1720" s="2" t="str">
        <f>IFERROR(__xludf.DUMMYFUNCTION("CONCATENATE(GOOGLETRANSLATE(B1720, ""en"", ""ja""))"),"プロキシペイ")</f>
        <v>プロキシペイ</v>
      </c>
    </row>
    <row r="1721" ht="15.75" customHeight="1">
      <c r="A1721" s="1" t="s">
        <v>3353</v>
      </c>
      <c r="B1721" s="1" t="s">
        <v>3354</v>
      </c>
      <c r="C1721" s="1" t="str">
        <f>IFERROR(__xludf.DUMMYFUNCTION("CONCATENATE(GOOGLETRANSLATE(B1721, ""en"", ""zh-cn""))"),"已放置")</f>
        <v>已放置</v>
      </c>
      <c r="D1721" s="1" t="str">
        <f>IFERROR(__xludf.DUMMYFUNCTION("CONCATENATE(GOOGLETRANSLATE(B1721, ""en"", ""ko""))"),"배치되었습니다")</f>
        <v>배치되었습니다</v>
      </c>
      <c r="E1721" s="2" t="str">
        <f>IFERROR(__xludf.DUMMYFUNCTION("CONCATENATE(GOOGLETRANSLATE(B1721, ""en"", ""ja""))"),"配置されました")</f>
        <v>配置されました</v>
      </c>
    </row>
    <row r="1722" ht="15.75" customHeight="1">
      <c r="A1722" s="1" t="s">
        <v>3355</v>
      </c>
      <c r="B1722" s="1" t="s">
        <v>3356</v>
      </c>
      <c r="C1722" s="1" t="str">
        <f>IFERROR(__xludf.DUMMYFUNCTION("CONCATENATE(GOOGLETRANSLATE(B1722, ""en"", ""zh-cn""))"),"订单已删除成功")</f>
        <v>订单已删除成功</v>
      </c>
      <c r="D1722" s="1" t="str">
        <f>IFERROR(__xludf.DUMMYFUNCTION("CONCATENATE(GOOGLETRANSLATE(B1722, ""en"", ""ko""))"),"주문이 성공적으로 삭제되었습니다")</f>
        <v>주문이 성공적으로 삭제되었습니다</v>
      </c>
      <c r="E1722" s="2" t="str">
        <f>IFERROR(__xludf.DUMMYFUNCTION("CONCATENATE(GOOGLETRANSLATE(B1722, ""en"", ""ja""))"),"注文は正常に削除されました")</f>
        <v>注文は正常に削除されました</v>
      </c>
    </row>
    <row r="1723" ht="15.75" customHeight="1">
      <c r="A1723" s="1" t="s">
        <v>3357</v>
      </c>
      <c r="B1723" s="1" t="s">
        <v>3358</v>
      </c>
      <c r="C1723" s="1" t="str">
        <f>IFERROR(__xludf.DUMMYFUNCTION("CONCATENATE(GOOGLETRANSLATE(B1723, ""en"", ""zh-cn""))"),"已购买")</f>
        <v>已购买</v>
      </c>
      <c r="D1723" s="1" t="str">
        <f>IFERROR(__xludf.DUMMYFUNCTION("CONCATENATE(GOOGLETRANSLATE(B1723, ""en"", ""ko""))"),"구매함")</f>
        <v>구매함</v>
      </c>
      <c r="E1723" s="2" t="str">
        <f>IFERROR(__xludf.DUMMYFUNCTION("CONCATENATE(GOOGLETRANSLATE(B1723, ""en"", ""ja""))"),"購入済み")</f>
        <v>購入済み</v>
      </c>
    </row>
    <row r="1724" ht="15.75" customHeight="1">
      <c r="A1724" s="1" t="s">
        <v>3359</v>
      </c>
      <c r="B1724" s="1" t="s">
        <v>3360</v>
      </c>
      <c r="C1724" s="1" t="str">
        <f>IFERROR(__xludf.DUMMYFUNCTION("CONCATENATE(GOOGLETRANSLATE(B1724, ""en"", ""zh-cn""))"),"删除其他项目以添加拍卖产品。")</f>
        <v>删除其他项目以添加拍卖产品。</v>
      </c>
      <c r="D1724" s="1" t="str">
        <f>IFERROR(__xludf.DUMMYFUNCTION("CONCATENATE(GOOGLETRANSLATE(B1724, ""en"", ""ko""))"),"경매 제품을 추가하려면 다른 항목을 삭제하세요.")</f>
        <v>경매 제품을 추가하려면 다른 항목을 삭제하세요.</v>
      </c>
      <c r="E1724" s="2" t="str">
        <f>IFERROR(__xludf.DUMMYFUNCTION("CONCATENATE(GOOGLETRANSLATE(B1724, ""en"", ""ja""))"),"オークション商品を追加するには、他の商品を削除してください。")</f>
        <v>オークション商品を追加するには、他の商品を削除してください。</v>
      </c>
    </row>
    <row r="1725" ht="15.75" customHeight="1">
      <c r="A1725" s="1" t="s">
        <v>3361</v>
      </c>
      <c r="B1725" s="1" t="s">
        <v>3362</v>
      </c>
      <c r="C1725" s="1" t="str">
        <f>IFERROR(__xludf.DUMMYFUNCTION("CONCATENATE(GOOGLETRANSLATE(B1725, ""en"", ""zh-cn""))"),"商品已添加到购物车。")</f>
        <v>商品已添加到购物车。</v>
      </c>
      <c r="D1725" s="1" t="str">
        <f>IFERROR(__xludf.DUMMYFUNCTION("CONCATENATE(GOOGLETRANSLATE(B1725, ""en"", ""ko""))"),"항목이 이미 장바구니에 추가되었습니다.")</f>
        <v>항목이 이미 장바구니에 추가되었습니다.</v>
      </c>
      <c r="E1725" s="2" t="str">
        <f>IFERROR(__xludf.DUMMYFUNCTION("CONCATENATE(GOOGLETRANSLATE(B1725, ""en"", ""ja""))"),"商品はすでにカートに追加されています。")</f>
        <v>商品はすでにカートに追加されています。</v>
      </c>
    </row>
    <row r="1726" ht="15.75" customHeight="1">
      <c r="A1726" s="1" t="s">
        <v>3363</v>
      </c>
      <c r="B1726" s="1" t="s">
        <v>3364</v>
      </c>
      <c r="C1726" s="1" t="str">
        <f>IFERROR(__xludf.DUMMYFUNCTION("CONCATENATE(GOOGLETRANSLATE(B1726, ""en"", ""zh-cn""))"),"收集总数")</f>
        <v>收集总数</v>
      </c>
      <c r="D1726" s="1" t="str">
        <f>IFERROR(__xludf.DUMMYFUNCTION("CONCATENATE(GOOGLETRANSLATE(B1726, ""en"", ""ko""))"),"총 수집액")</f>
        <v>총 수집액</v>
      </c>
      <c r="E1726" s="2" t="str">
        <f>IFERROR(__xludf.DUMMYFUNCTION("CONCATENATE(GOOGLETRANSLATE(B1726, ""en"", ""ja""))"),"収集された合計")</f>
        <v>収集された合計</v>
      </c>
    </row>
    <row r="1727" ht="15.75" customHeight="1">
      <c r="A1727" s="1" t="s">
        <v>3365</v>
      </c>
      <c r="B1727" s="1" t="s">
        <v>3366</v>
      </c>
      <c r="C1727" s="1" t="str">
        <f>IFERROR(__xludf.DUMMYFUNCTION("CONCATENATE(GOOGLETRANSLATE(B1727, ""en"", ""zh-cn""))"),"收益")</f>
        <v>收益</v>
      </c>
      <c r="D1727" s="1" t="str">
        <f>IFERROR(__xludf.DUMMYFUNCTION("CONCATENATE(GOOGLETRANSLATE(B1727, ""en"", ""ko""))"),"수입")</f>
        <v>수입</v>
      </c>
      <c r="E1727" s="2" t="str">
        <f>IFERROR(__xludf.DUMMYFUNCTION("CONCATENATE(GOOGLETRANSLATE(B1727, ""en"", ""ja""))"),"収益")</f>
        <v>収益</v>
      </c>
    </row>
    <row r="1728" ht="15.75" customHeight="1">
      <c r="A1728" s="1" t="s">
        <v>3367</v>
      </c>
      <c r="B1728" s="1" t="s">
        <v>3368</v>
      </c>
      <c r="C1728" s="1" t="str">
        <f>IFERROR(__xludf.DUMMYFUNCTION("CONCATENATE(GOOGLETRANSLATE(B1728, ""en"", ""zh-cn""))"),"价值观")</f>
        <v>价值观</v>
      </c>
      <c r="D1728" s="1" t="str">
        <f>IFERROR(__xludf.DUMMYFUNCTION("CONCATENATE(GOOGLETRANSLATE(B1728, ""en"", ""ko""))"),"가치")</f>
        <v>가치</v>
      </c>
      <c r="E1728" s="2" t="str">
        <f>IFERROR(__xludf.DUMMYFUNCTION("CONCATENATE(GOOGLETRANSLATE(B1728, ""en"", ""ja""))"),"価値観")</f>
        <v>価値観</v>
      </c>
    </row>
    <row r="1729" ht="15.75" customHeight="1">
      <c r="A1729" s="1" t="s">
        <v>3369</v>
      </c>
      <c r="B1729" s="1" t="s">
        <v>3370</v>
      </c>
      <c r="C1729" s="1" t="str">
        <f>IFERROR(__xludf.DUMMYFUNCTION("CONCATENATE(GOOGLETRANSLATE(B1729, ""en"", ""zh-cn""))"),"属性值")</f>
        <v>属性值</v>
      </c>
      <c r="D1729" s="1" t="str">
        <f>IFERROR(__xludf.DUMMYFUNCTION("CONCATENATE(GOOGLETRANSLATE(B1729, ""en"", ""ko""))"),"속성 값")</f>
        <v>속성 값</v>
      </c>
      <c r="E1729" s="2" t="str">
        <f>IFERROR(__xludf.DUMMYFUNCTION("CONCATENATE(GOOGLETRANSLATE(B1729, ""en"", ""ja""))"),"属性値")</f>
        <v>属性値</v>
      </c>
    </row>
    <row r="1730" ht="15.75" customHeight="1">
      <c r="A1730" s="1" t="s">
        <v>1062</v>
      </c>
      <c r="B1730" s="1" t="s">
        <v>3371</v>
      </c>
      <c r="C1730" s="1" t="str">
        <f>IFERROR(__xludf.DUMMYFUNCTION("CONCATENATE(GOOGLETRANSLATE(B1730, ""en"", ""zh-cn""))"),"全球搜索引擎优化")</f>
        <v>全球搜索引擎优化</v>
      </c>
      <c r="D1730" s="1" t="str">
        <f>IFERROR(__xludf.DUMMYFUNCTION("CONCATENATE(GOOGLETRANSLATE(B1730, ""en"", ""ko""))"),"글로벌 SEO")</f>
        <v>글로벌 SEO</v>
      </c>
      <c r="E1730" s="2" t="str">
        <f>IFERROR(__xludf.DUMMYFUNCTION("CONCATENATE(GOOGLETRANSLATE(B1730, ""en"", ""ja""))"),"グローバルSEO")</f>
        <v>グローバルSEO</v>
      </c>
    </row>
    <row r="1731" ht="15.75" customHeight="1">
      <c r="A1731" s="1" t="s">
        <v>3372</v>
      </c>
      <c r="B1731" s="1" t="s">
        <v>3373</v>
      </c>
      <c r="C1731" s="1" t="str">
        <f>IFERROR(__xludf.DUMMYFUNCTION("CONCATENATE(GOOGLETRANSLATE(B1731, ""en"", ""zh-cn""))"),"关键词，关键词")</f>
        <v>关键词，关键词</v>
      </c>
      <c r="D1731" s="1" t="str">
        <f>IFERROR(__xludf.DUMMYFUNCTION("CONCATENATE(GOOGLETRANSLATE(B1731, ""en"", ""ko""))"),"키워드, 키워드")</f>
        <v>키워드, 키워드</v>
      </c>
      <c r="E1731" s="2" t="str">
        <f>IFERROR(__xludf.DUMMYFUNCTION("CONCATENATE(GOOGLETRANSLATE(B1731, ""en"", ""ja""))"),"キーワード、キーワード")</f>
        <v>キーワード、キーワード</v>
      </c>
    </row>
    <row r="1732" ht="15.75" customHeight="1">
      <c r="A1732" s="1" t="s">
        <v>1325</v>
      </c>
      <c r="B1732" s="1" t="s">
        <v>3374</v>
      </c>
      <c r="C1732" s="1" t="str">
        <f>IFERROR(__xludf.DUMMYFUNCTION("CONCATENATE(GOOGLETRANSLATE(B1732, ""en"", ""zh-cn""))"),"选择文件")</f>
        <v>选择文件</v>
      </c>
      <c r="D1732" s="1" t="str">
        <f>IFERROR(__xludf.DUMMYFUNCTION("CONCATENATE(GOOGLETRANSLATE(B1732, ""en"", ""ko""))"),"파일 선택")</f>
        <v>파일 선택</v>
      </c>
      <c r="E1732" s="2" t="str">
        <f>IFERROR(__xludf.DUMMYFUNCTION("CONCATENATE(GOOGLETRANSLATE(B1732, ""en"", ""ja""))"),"ファイルを選択")</f>
        <v>ファイルを選択</v>
      </c>
    </row>
    <row r="1733" ht="15.75" customHeight="1">
      <c r="A1733" s="1" t="s">
        <v>2156</v>
      </c>
      <c r="B1733" s="1" t="s">
        <v>3375</v>
      </c>
      <c r="C1733" s="1" t="str">
        <f>IFERROR(__xludf.DUMMYFUNCTION("CONCATENATE(GOOGLETRANSLATE(B1733, ""en"", ""zh-cn""))"),"没有找到任何内容")</f>
        <v>没有找到任何内容</v>
      </c>
      <c r="D1733" s="1" t="str">
        <f>IFERROR(__xludf.DUMMYFUNCTION("CONCATENATE(GOOGLETRANSLATE(B1733, ""en"", ""ko""))"),"아무것도 발견되지 않았습니다")</f>
        <v>아무것도 발견되지 않았습니다</v>
      </c>
      <c r="E1733" s="2" t="str">
        <f>IFERROR(__xludf.DUMMYFUNCTION("CONCATENATE(GOOGLETRANSLATE(B1733, ""en"", ""ja""))"),"何も見つかりませんでした")</f>
        <v>何も見つかりませんでした</v>
      </c>
    </row>
    <row r="1734" ht="15.75" customHeight="1">
      <c r="A1734" s="1" t="s">
        <v>2560</v>
      </c>
      <c r="B1734" s="1" t="s">
        <v>3376</v>
      </c>
      <c r="C1734" s="1" t="str">
        <f>IFERROR(__xludf.DUMMYFUNCTION("CONCATENATE(GOOGLETRANSLATE(B1734, ""en"", ""zh-cn""))"),"钱包充值历史")</f>
        <v>钱包充值历史</v>
      </c>
      <c r="D1734" s="1" t="str">
        <f>IFERROR(__xludf.DUMMYFUNCTION("CONCATENATE(GOOGLETRANSLATE(B1734, ""en"", ""ko""))"),"지갑 충전 내역")</f>
        <v>지갑 충전 내역</v>
      </c>
      <c r="E1734" s="2" t="str">
        <f>IFERROR(__xludf.DUMMYFUNCTION("CONCATENATE(GOOGLETRANSLATE(B1734, ""en"", ""ja""))"),"ウォレットのリチャージ履歴")</f>
        <v>ウォレットのリチャージ履歴</v>
      </c>
    </row>
    <row r="1735" ht="15.75" customHeight="1">
      <c r="A1735" s="1" t="s">
        <v>3377</v>
      </c>
      <c r="B1735" s="1" t="s">
        <v>3378</v>
      </c>
      <c r="C1735" s="1" t="str">
        <f>IFERROR(__xludf.DUMMYFUNCTION("CONCATENATE(GOOGLETRANSLATE(B1735, ""en"", ""zh-cn""))"),"订购代码： ")</f>
        <v>订购代码： </v>
      </c>
      <c r="D1735" s="1" t="str">
        <f>IFERROR(__xludf.DUMMYFUNCTION("CONCATENATE(GOOGLETRANSLATE(B1735, ""en"", ""ko""))"),"주문 코드: ")</f>
        <v>주문 코드: </v>
      </c>
      <c r="E1735" s="2" t="str">
        <f>IFERROR(__xludf.DUMMYFUNCTION("CONCATENATE(GOOGLETRANSLATE(B1735, ""en"", ""ja""))"),"注文コード: ")</f>
        <v>注文コード: </v>
      </c>
    </row>
    <row r="1736" ht="15.75" customHeight="1">
      <c r="A1736" s="1" t="s">
        <v>823</v>
      </c>
      <c r="B1736" s="1" t="s">
        <v>3379</v>
      </c>
      <c r="C1736" s="1" t="str">
        <f>IFERROR(__xludf.DUMMYFUNCTION("CONCATENATE(GOOGLETRANSLATE(B1736, ""en"", ""zh-cn""))"),"所有类别")</f>
        <v>所有类别</v>
      </c>
      <c r="D1736" s="1" t="str">
        <f>IFERROR(__xludf.DUMMYFUNCTION("CONCATENATE(GOOGLETRANSLATE(B1736, ""en"", ""ko""))"),"모든 카테고리")</f>
        <v>모든 카테고리</v>
      </c>
      <c r="E1736" s="2" t="str">
        <f>IFERROR(__xludf.DUMMYFUNCTION("CONCATENATE(GOOGLETRANSLATE(B1736, ""en"", ""ja""))"),"すべてのカテゴリー")</f>
        <v>すべてのカテゴリー</v>
      </c>
    </row>
    <row r="1737" ht="15.75" customHeight="1">
      <c r="A1737" s="1" t="s">
        <v>138</v>
      </c>
      <c r="B1737" s="1" t="s">
        <v>138</v>
      </c>
      <c r="C1737" s="1" t="str">
        <f>IFERROR(__xludf.DUMMYFUNCTION("CONCATENATE(GOOGLETRANSLATE(B1737, ""en"", ""zh-cn""))"),"新的")</f>
        <v>新的</v>
      </c>
      <c r="D1737" s="1" t="str">
        <f>IFERROR(__xludf.DUMMYFUNCTION("CONCATENATE(GOOGLETRANSLATE(B1737, ""en"", ""ko""))"),"새로운")</f>
        <v>새로운</v>
      </c>
      <c r="E1737" s="2" t="str">
        <f>IFERROR(__xludf.DUMMYFUNCTION("CONCATENATE(GOOGLETRANSLATE(B1737, ""en"", ""ja""))"),"新しい")</f>
        <v>新しい</v>
      </c>
    </row>
    <row r="1738" ht="15.75" customHeight="1">
      <c r="A1738" s="1" t="s">
        <v>1017</v>
      </c>
      <c r="B1738" s="1" t="s">
        <v>3380</v>
      </c>
      <c r="C1738" s="1" t="str">
        <f>IFERROR(__xludf.DUMMYFUNCTION("CONCATENATE(GOOGLETRANSLATE(B1738, ""en"", ""zh-cn""))"),"密码")</f>
        <v>密码</v>
      </c>
      <c r="D1738" s="1" t="str">
        <f>IFERROR(__xludf.DUMMYFUNCTION("CONCATENATE(GOOGLETRANSLATE(B1738, ""en"", ""ko""))"),"비밀번호")</f>
        <v>비밀번호</v>
      </c>
      <c r="E1738" s="2" t="str">
        <f>IFERROR(__xludf.DUMMYFUNCTION("CONCATENATE(GOOGLETRANSLATE(B1738, ""en"", ""ja""))"),"パスワード")</f>
        <v>パスワード</v>
      </c>
    </row>
    <row r="1739" ht="15.75" customHeight="1">
      <c r="A1739" s="1" t="s">
        <v>536</v>
      </c>
      <c r="B1739" s="1" t="s">
        <v>3381</v>
      </c>
      <c r="C1739" s="1" t="str">
        <f>IFERROR(__xludf.DUMMYFUNCTION("CONCATENATE(GOOGLETRANSLATE(B1739, ""en"", ""zh-cn""))"),"忘记密码？")</f>
        <v>忘记密码？</v>
      </c>
      <c r="D1739" s="1" t="str">
        <f>IFERROR(__xludf.DUMMYFUNCTION("CONCATENATE(GOOGLETRANSLATE(B1739, ""en"", ""ko""))"),"비밀번호를 잊으셨나요?")</f>
        <v>비밀번호를 잊으셨나요?</v>
      </c>
      <c r="E1739" s="2" t="str">
        <f>IFERROR(__xludf.DUMMYFUNCTION("CONCATENATE(GOOGLETRANSLATE(B1739, ""en"", ""ja""))"),"パスワードをお忘れですか？")</f>
        <v>パスワードをお忘れですか？</v>
      </c>
    </row>
    <row r="1740" ht="15.75" customHeight="1">
      <c r="A1740" s="1" t="s">
        <v>736</v>
      </c>
      <c r="B1740" s="1" t="s">
        <v>3382</v>
      </c>
      <c r="C1740" s="1" t="str">
        <f>IFERROR(__xludf.DUMMYFUNCTION("CONCATENATE(GOOGLETRANSLATE(B1740, ""en"", ""zh-cn""))"),"时代")</f>
        <v>时代</v>
      </c>
      <c r="D1740" s="1" t="str">
        <f>IFERROR(__xludf.DUMMYFUNCTION("CONCATENATE(GOOGLETRANSLATE(B1740, ""en"", ""ko""))"),"타임스")</f>
        <v>타임스</v>
      </c>
      <c r="E1740" s="2" t="str">
        <f>IFERROR(__xludf.DUMMYFUNCTION("CONCATENATE(GOOGLETRANSLATE(B1740, ""en"", ""ja""))"),"回")</f>
        <v>回</v>
      </c>
    </row>
    <row r="1741" ht="15.75" customHeight="1">
      <c r="A1741" s="1" t="s">
        <v>2000</v>
      </c>
      <c r="B1741" s="1" t="s">
        <v>3383</v>
      </c>
      <c r="C1741" s="1" t="str">
        <f>IFERROR(__xludf.DUMMYFUNCTION("CONCATENATE(GOOGLETRANSLATE(B1741, ""en"", ""zh-cn""))"),"成为卖家")</f>
        <v>成为卖家</v>
      </c>
      <c r="D1741" s="1" t="str">
        <f>IFERROR(__xludf.DUMMYFUNCTION("CONCATENATE(GOOGLETRANSLATE(B1741, ""en"", ""ko""))"),"판매자가 되세요")</f>
        <v>판매자가 되세요</v>
      </c>
      <c r="E1741" s="2" t="str">
        <f>IFERROR(__xludf.DUMMYFUNCTION("CONCATENATE(GOOGLETRANSLATE(B1741, ""en"", ""ja""))"),"売り手になる")</f>
        <v>売り手になる</v>
      </c>
    </row>
    <row r="1742" ht="15.75" customHeight="1">
      <c r="A1742" s="1" t="s">
        <v>710</v>
      </c>
      <c r="B1742" s="1" t="s">
        <v>3384</v>
      </c>
      <c r="C1742" s="1" t="str">
        <f>IFERROR(__xludf.DUMMYFUNCTION("CONCATENATE(GOOGLETRANSLATE(B1742, ""en"", ""zh-cn""))"),"排序方式")</f>
        <v>排序方式</v>
      </c>
      <c r="D1742" s="1" t="str">
        <f>IFERROR(__xludf.DUMMYFUNCTION("CONCATENATE(GOOGLETRANSLATE(B1742, ""en"", ""ko""))"),"정렬 기준")</f>
        <v>정렬 기준</v>
      </c>
      <c r="E1742" s="2" t="str">
        <f>IFERROR(__xludf.DUMMYFUNCTION("CONCATENATE(GOOGLETRANSLATE(B1742, ""en"", ""ja""))"),"並べ替え")</f>
        <v>並べ替え</v>
      </c>
    </row>
    <row r="1743" ht="15.75" customHeight="1">
      <c r="A1743" s="1" t="s">
        <v>1341</v>
      </c>
      <c r="B1743" s="1" t="s">
        <v>1342</v>
      </c>
      <c r="C1743" s="1" t="str">
        <f>IFERROR(__xludf.DUMMYFUNCTION("CONCATENATE(GOOGLETRANSLATE(B1743, ""en"", ""zh-cn""))"),"税")</f>
        <v>税</v>
      </c>
      <c r="D1743" s="1" t="str">
        <f>IFERROR(__xludf.DUMMYFUNCTION("CONCATENATE(GOOGLETRANSLATE(B1743, ""en"", ""ko""))"),"세")</f>
        <v>세</v>
      </c>
      <c r="E1743" s="2" t="str">
        <f>IFERROR(__xludf.DUMMYFUNCTION("CONCATENATE(GOOGLETRANSLATE(B1743, ""en"", ""ja""))"),"税")</f>
        <v>税</v>
      </c>
    </row>
    <row r="1744" ht="15.75" customHeight="1">
      <c r="A1744" s="1" t="s">
        <v>1500</v>
      </c>
      <c r="B1744" s="1" t="s">
        <v>3385</v>
      </c>
      <c r="C1744" s="1" t="str">
        <f>IFERROR(__xludf.DUMMYFUNCTION("CONCATENATE(GOOGLETRANSLATE(B1744, ""en"", ""zh-cn""))"),"全部的")</f>
        <v>全部的</v>
      </c>
      <c r="D1744" s="1" t="str">
        <f>IFERROR(__xludf.DUMMYFUNCTION("CONCATENATE(GOOGLETRANSLATE(B1744, ""en"", ""ko""))"),"총")</f>
        <v>총</v>
      </c>
      <c r="E1744" s="2" t="str">
        <f>IFERROR(__xludf.DUMMYFUNCTION("CONCATENATE(GOOGLETRANSLATE(B1744, ""en"", ""ja""))"),"合計")</f>
        <v>合計</v>
      </c>
    </row>
    <row r="1745" ht="15.75" customHeight="1">
      <c r="A1745" s="1" t="s">
        <v>490</v>
      </c>
      <c r="B1745" s="1" t="s">
        <v>3386</v>
      </c>
      <c r="C1745" s="1" t="str">
        <f>IFERROR(__xludf.DUMMYFUNCTION("CONCATENATE(GOOGLETRANSLATE(B1745, ""en"", ""zh-cn""))"),"邮政编码")</f>
        <v>邮政编码</v>
      </c>
      <c r="D1745" s="1" t="str">
        <f>IFERROR(__xludf.DUMMYFUNCTION("CONCATENATE(GOOGLETRANSLATE(B1745, ""en"", ""ko""))"),"우편번호")</f>
        <v>우편번호</v>
      </c>
      <c r="E1745" s="2" t="str">
        <f>IFERROR(__xludf.DUMMYFUNCTION("CONCATENATE(GOOGLETRANSLATE(B1745, ""en"", ""ja""))"),"郵便番号")</f>
        <v>郵便番号</v>
      </c>
    </row>
    <row r="1746" ht="15.75" customHeight="1">
      <c r="A1746" s="1" t="s">
        <v>1022</v>
      </c>
      <c r="B1746" s="1" t="s">
        <v>3387</v>
      </c>
      <c r="C1746" s="1" t="str">
        <f>IFERROR(__xludf.DUMMYFUNCTION("CONCATENATE(GOOGLETRANSLATE(B1746, ""en"", ""zh-cn""))"),"条款和条件")</f>
        <v>条款和条件</v>
      </c>
      <c r="D1746" s="1" t="str">
        <f>IFERROR(__xludf.DUMMYFUNCTION("CONCATENATE(GOOGLETRANSLATE(B1746, ""en"", ""ko""))"),"이용 약관")</f>
        <v>이용 약관</v>
      </c>
      <c r="E1746" s="2" t="str">
        <f>IFERROR(__xludf.DUMMYFUNCTION("CONCATENATE(GOOGLETRANSLATE(B1746, ""en"", ""ja""))"),"利用規約")</f>
        <v>利用規約</v>
      </c>
    </row>
    <row r="1747" ht="15.75" customHeight="1">
      <c r="A1747" s="1" t="s">
        <v>1970</v>
      </c>
      <c r="B1747" s="1" t="s">
        <v>3388</v>
      </c>
      <c r="C1747" s="1" t="str">
        <f>IFERROR(__xludf.DUMMYFUNCTION("CONCATENATE(GOOGLETRANSLATE(B1747, ""en"", ""zh-cn""))"),"退货政策")</f>
        <v>退货政策</v>
      </c>
      <c r="D1747" s="1" t="str">
        <f>IFERROR(__xludf.DUMMYFUNCTION("CONCATENATE(GOOGLETRANSLATE(B1747, ""en"", ""ko""))"),"반품 정책")</f>
        <v>반품 정책</v>
      </c>
      <c r="E1747" s="2" t="str">
        <f>IFERROR(__xludf.DUMMYFUNCTION("CONCATENATE(GOOGLETRANSLATE(B1747, ""en"", ""ja""))"),"返品規則")</f>
        <v>返品規則</v>
      </c>
    </row>
    <row r="1748" ht="15.75" customHeight="1">
      <c r="A1748" s="1" t="s">
        <v>1974</v>
      </c>
      <c r="B1748" s="1" t="s">
        <v>3389</v>
      </c>
      <c r="C1748" s="1" t="str">
        <f>IFERROR(__xludf.DUMMYFUNCTION("CONCATENATE(GOOGLETRANSLATE(B1748, ""en"", ""zh-cn""))"),"隐私政策")</f>
        <v>隐私政策</v>
      </c>
      <c r="D1748" s="1" t="str">
        <f>IFERROR(__xludf.DUMMYFUNCTION("CONCATENATE(GOOGLETRANSLATE(B1748, ""en"", ""ko""))"),"개인 정보 보호 정책")</f>
        <v>개인 정보 보호 정책</v>
      </c>
      <c r="E1748" s="2" t="str">
        <f>IFERROR(__xludf.DUMMYFUNCTION("CONCATENATE(GOOGLETRANSLATE(B1748, ""en"", ""ja""))"),"プライバシーポリシー")</f>
        <v>プライバシーポリシー</v>
      </c>
    </row>
    <row r="1749" ht="15.75" customHeight="1">
      <c r="A1749" s="1" t="s">
        <v>592</v>
      </c>
      <c r="B1749" s="1" t="s">
        <v>3390</v>
      </c>
      <c r="C1749" s="1" t="str">
        <f>IFERROR(__xludf.DUMMYFUNCTION("CONCATENATE(GOOGLETRANSLATE(B1749, ""en"", ""zh-cn""))"),"订购日期")</f>
        <v>订购日期</v>
      </c>
      <c r="D1749" s="1" t="str">
        <f>IFERROR(__xludf.DUMMYFUNCTION("CONCATENATE(GOOGLETRANSLATE(B1749, ""en"", ""ko""))"),"주문일")</f>
        <v>주문일</v>
      </c>
      <c r="E1749" s="2" t="str">
        <f>IFERROR(__xludf.DUMMYFUNCTION("CONCATENATE(GOOGLETRANSLATE(B1749, ""en"", ""ja""))"),"注文日")</f>
        <v>注文日</v>
      </c>
    </row>
    <row r="1750" ht="15.75" customHeight="1">
      <c r="A1750" s="1" t="s">
        <v>859</v>
      </c>
      <c r="B1750" s="1" t="s">
        <v>3391</v>
      </c>
      <c r="C1750" s="1" t="str">
        <f>IFERROR(__xludf.DUMMYFUNCTION("CONCATENATE(GOOGLETRANSLATE(B1750, ""en"", ""zh-cn""))"),"收件地址")</f>
        <v>收件地址</v>
      </c>
      <c r="D1750" s="1" t="str">
        <f>IFERROR(__xludf.DUMMYFUNCTION("CONCATENATE(GOOGLETRANSLATE(B1750, ""en"", ""ko""))"),"배송 주소")</f>
        <v>배송 주소</v>
      </c>
      <c r="E1750" s="2" t="str">
        <f>IFERROR(__xludf.DUMMYFUNCTION("CONCATENATE(GOOGLETRANSLATE(B1750, ""en"", ""ja""))"),"お届け先の住所")</f>
        <v>お届け先の住所</v>
      </c>
    </row>
    <row r="1751" ht="15.75" customHeight="1">
      <c r="A1751" s="1" t="s">
        <v>1496</v>
      </c>
      <c r="B1751" s="1" t="s">
        <v>3392</v>
      </c>
      <c r="C1751" s="1" t="str">
        <f>IFERROR(__xludf.DUMMYFUNCTION("CONCATENATE(GOOGLETRANSLATE(B1751, ""en"", ""zh-cn""))"),"订单状态")</f>
        <v>订单状态</v>
      </c>
      <c r="D1751" s="1" t="str">
        <f>IFERROR(__xludf.DUMMYFUNCTION("CONCATENATE(GOOGLETRANSLATE(B1751, ""en"", ""ko""))"),"주문 상태")</f>
        <v>주문 상태</v>
      </c>
      <c r="E1751" s="2" t="str">
        <f>IFERROR(__xludf.DUMMYFUNCTION("CONCATENATE(GOOGLETRANSLATE(B1751, ""en"", ""ja""))"),"注文状況")</f>
        <v>注文状況</v>
      </c>
    </row>
    <row r="1752" ht="15.75" customHeight="1">
      <c r="A1752" s="1" t="s">
        <v>3393</v>
      </c>
      <c r="B1752" s="1" t="s">
        <v>3394</v>
      </c>
      <c r="C1752" s="1" t="str">
        <f>IFERROR(__xludf.DUMMYFUNCTION("CONCATENATE(GOOGLETRANSLATE(B1752, ""en"", ""zh-cn""))"),"卖家佣金激活")</f>
        <v>卖家佣金激活</v>
      </c>
      <c r="D1752" s="1" t="str">
        <f>IFERROR(__xludf.DUMMYFUNCTION("CONCATENATE(GOOGLETRANSLATE(B1752, ""en"", ""ko""))"),"판매자 커미션 활성화")</f>
        <v>판매자 커미션 활성화</v>
      </c>
      <c r="E1752" s="2" t="str">
        <f>IFERROR(__xludf.DUMMYFUNCTION("CONCATENATE(GOOGLETRANSLATE(B1752, ""en"", ""ja""))"),"販売者コミッションの有効化")</f>
        <v>販売者コミッションの有効化</v>
      </c>
    </row>
    <row r="1753" ht="15.75" customHeight="1">
      <c r="A1753" s="1" t="s">
        <v>3395</v>
      </c>
      <c r="B1753" s="1" t="s">
        <v>3396</v>
      </c>
      <c r="C1753" s="1" t="str">
        <f>IFERROR(__xludf.DUMMYFUNCTION("CONCATENATE(GOOGLETRANSLATE(B1753, ""en"", ""zh-cn""))"),"卖家产品价格将从卖家收入中扣除")</f>
        <v>卖家产品价格将从卖家收入中扣除</v>
      </c>
      <c r="D1753" s="1" t="str">
        <f>IFERROR(__xludf.DUMMYFUNCTION("CONCATENATE(GOOGLETRANSLATE(B1753, ""en"", ""ko""))"),"판매자 제품 가격의 일부가 판매자 수입에서 공제됩니다.")</f>
        <v>판매자 제품 가격의 일부가 판매자 수입에서 공제됩니다.</v>
      </c>
      <c r="E1753" s="2" t="str">
        <f>IFERROR(__xludf.DUMMYFUNCTION("CONCATENATE(GOOGLETRANSLATE(B1753, ""en"", ""ja""))"),"販売者の商品価格の一部が販売者の収益から差し引かれます")</f>
        <v>販売者の商品価格の一部が販売者の収益から差し引かれます</v>
      </c>
    </row>
    <row r="1754" ht="15.75" customHeight="1">
      <c r="A1754" s="1" t="s">
        <v>3397</v>
      </c>
      <c r="B1754" s="1" t="s">
        <v>3398</v>
      </c>
      <c r="C1754" s="1" t="str">
        <f>IFERROR(__xludf.DUMMYFUNCTION("CONCATENATE(GOOGLETRANSLATE(B1754, ""en"", ""zh-cn""))"),"仅当从业务设置中关闭基于类别的佣金时，此佣金才有效")</f>
        <v>仅当从业务设置中关闭基于类别的佣金时，此佣金才有效</v>
      </c>
      <c r="D1754" s="1" t="str">
        <f>IFERROR(__xludf.DUMMYFUNCTION("CONCATENATE(GOOGLETRANSLATE(B1754, ""en"", ""ko""))"),"이 커미션은 비즈니스 설정에서 카테고리 기반 커미션이 꺼진 경우에만 작동합니다.")</f>
        <v>이 커미션은 비즈니스 설정에서 카테고리 기반 커미션이 꺼진 경우에만 작동합니다.</v>
      </c>
      <c r="E1754" s="2" t="str">
        <f>IFERROR(__xludf.DUMMYFUNCTION("CONCATENATE(GOOGLETRANSLATE(B1754, ""en"", ""ja""))"),"このコミッションは、ビジネス設定でカテゴリベースのコミッションがオフになっている場合にのみ機能します。")</f>
        <v>このコミッションは、ビジネス設定でカテゴリベースのコミッションがオフになっている場合にのみ機能します。</v>
      </c>
    </row>
    <row r="1755" ht="15.75" customHeight="1">
      <c r="A1755" s="1" t="s">
        <v>3399</v>
      </c>
      <c r="B1755" s="1" t="s">
        <v>3400</v>
      </c>
      <c r="C1755" s="1" t="str">
        <f>IFERROR(__xludf.DUMMYFUNCTION("CONCATENATE(GOOGLETRANSLATE(B1755, ""en"", ""zh-cn""))"),"禁用图像编码？")</f>
        <v>禁用图像编码？</v>
      </c>
      <c r="D1755" s="1" t="str">
        <f>IFERROR(__xludf.DUMMYFUNCTION("CONCATENATE(GOOGLETRANSLATE(B1755, ""en"", ""ko""))"),"이미지 인코딩을 사용 중지하시겠습니까?")</f>
        <v>이미지 인코딩을 사용 중지하시겠습니까?</v>
      </c>
      <c r="E1755" s="2" t="str">
        <f>IFERROR(__xludf.DUMMYFUNCTION("CONCATENATE(GOOGLETRANSLATE(B1755, ""en"", ""ja""))"),"画像エンコーディングを無効にしますか?")</f>
        <v>画像エンコーディングを無効にしますか?</v>
      </c>
    </row>
    <row r="1756" ht="15.75" customHeight="1">
      <c r="A1756" s="1" t="s">
        <v>3401</v>
      </c>
      <c r="B1756" s="1" t="s">
        <v>3402</v>
      </c>
      <c r="C1756" s="1" t="str">
        <f>IFERROR(__xludf.DUMMYFUNCTION("CONCATENATE(GOOGLETRANSLATE(B1756, ""en"", ""zh-cn""))"),"卖家产品的管理员批准")</f>
        <v>卖家产品的管理员批准</v>
      </c>
      <c r="D1756" s="1" t="str">
        <f>IFERROR(__xludf.DUMMYFUNCTION("CONCATENATE(GOOGLETRANSLATE(B1756, ""en"", ""ko""))"),"판매자 제품에 대한 관리자 승인")</f>
        <v>판매자 제품에 대한 관리자 승인</v>
      </c>
      <c r="E1756" s="2" t="str">
        <f>IFERROR(__xludf.DUMMYFUNCTION("CONCATENATE(GOOGLETRANSLATE(B1756, ""en"", ""ja""))"),"販売者の製品に対する管理者の承認")</f>
        <v>販売者の製品に対する管理者の承認</v>
      </c>
    </row>
    <row r="1757" ht="15.75" customHeight="1">
      <c r="A1757" s="1" t="s">
        <v>3403</v>
      </c>
      <c r="B1757" s="1" t="s">
        <v>3404</v>
      </c>
      <c r="C1757" s="1" t="str">
        <f>IFERROR(__xludf.DUMMYFUNCTION("CONCATENATE(GOOGLETRANSLATE(B1757, ""en"", ""zh-cn""))"),"激活此选项后，需要管理员批准才能销售产品")</f>
        <v>激活此选项后，需要管理员批准才能销售产品</v>
      </c>
      <c r="D1757" s="1" t="str">
        <f>IFERROR(__xludf.DUMMYFUNCTION("CONCATENATE(GOOGLETRANSLATE(B1757, ""en"", ""ko""))"),"이 옵션을 활성화한 후 판매자 제품에 대한 관리자 승인이 필요합니다.")</f>
        <v>이 옵션을 활성화한 후 판매자 제품에 대한 관리자 승인이 필요합니다.</v>
      </c>
      <c r="E1757" s="2" t="str">
        <f>IFERROR(__xludf.DUMMYFUNCTION("CONCATENATE(GOOGLETRANSLATE(B1757, ""en"", ""ja""))"),"このオプションを有効にした後、製品を販売するために管理者の承認が必要です")</f>
        <v>このオプションを有効にした後、製品を販売するために管理者の承認が必要です</v>
      </c>
    </row>
    <row r="1758" ht="15.75" customHeight="1">
      <c r="A1758" s="1" t="s">
        <v>3405</v>
      </c>
      <c r="B1758" s="1" t="s">
        <v>3406</v>
      </c>
      <c r="C1758" s="1" t="str">
        <f>IFERROR(__xludf.DUMMYFUNCTION("CONCATENATE(GOOGLETRANSLATE(B1758, ""en"", ""zh-cn""))"),"代理付费激活")</f>
        <v>代理付费激活</v>
      </c>
      <c r="D1758" s="1" t="str">
        <f>IFERROR(__xludf.DUMMYFUNCTION("CONCATENATE(GOOGLETRANSLATE(B1758, ""en"", ""ko""))"),"대리 지불 활성화")</f>
        <v>대리 지불 활성화</v>
      </c>
      <c r="E1758" s="2" t="str">
        <f>IFERROR(__xludf.DUMMYFUNCTION("CONCATENATE(GOOGLETRANSLATE(B1758, ""en"", ""ja""))"),"プロキシペイのアクティベーション")</f>
        <v>プロキシペイのアクティベーション</v>
      </c>
    </row>
    <row r="1759" ht="15.75" customHeight="1">
      <c r="A1759" s="1" t="s">
        <v>3407</v>
      </c>
      <c r="B1759" s="1" t="s">
        <v>3408</v>
      </c>
      <c r="C1759" s="1" t="str">
        <f>IFERROR(__xludf.DUMMYFUNCTION("CONCATENATE(GOOGLETRANSLATE(B1759, ""en"", ""zh-cn""))"),"您需要正确配置 proxypay 才能启用此功能")</f>
        <v>您需要正确配置 proxypay 才能启用此功能</v>
      </c>
      <c r="D1759" s="1" t="str">
        <f>IFERROR(__xludf.DUMMYFUNCTION("CONCATENATE(GOOGLETRANSLATE(B1759, ""en"", ""ko""))"),"이 기능을 활성화하려면 ProxyPay를 올바르게 구성해야 합니다.")</f>
        <v>이 기능을 활성화하려면 ProxyPay를 올바르게 구성해야 합니다.</v>
      </c>
      <c r="E1759" s="2" t="str">
        <f>IFERROR(__xludf.DUMMYFUNCTION("CONCATENATE(GOOGLETRANSLATE(B1759, ""en"", ""ja""))"),"この機能を有効にするには、proxypay を正しく設定する必要があります")</f>
        <v>この機能を有効にするには、proxypay を正しく設定する必要があります</v>
      </c>
    </row>
    <row r="1760" ht="15.75" customHeight="1">
      <c r="A1760" s="1" t="s">
        <v>3409</v>
      </c>
      <c r="B1760" s="1" t="s">
        <v>3410</v>
      </c>
      <c r="C1760" s="1" t="str">
        <f>IFERROR(__xludf.DUMMYFUNCTION("CONCATENATE(GOOGLETRANSLATE(B1760, ""en"", ""zh-cn""))"),"激活Amarpay")</f>
        <v>激活Amarpay</v>
      </c>
      <c r="D1760" s="1" t="str">
        <f>IFERROR(__xludf.DUMMYFUNCTION("CONCATENATE(GOOGLETRANSLATE(B1760, ""en"", ""ko""))"),"아마르페이 활성화")</f>
        <v>아마르페이 활성화</v>
      </c>
      <c r="E1760" s="2" t="str">
        <f>IFERROR(__xludf.DUMMYFUNCTION("CONCATENATE(GOOGLETRANSLATE(B1760, ""en"", ""ja""))"),"アマルペイのアクティベーション")</f>
        <v>アマルペイのアクティベーション</v>
      </c>
    </row>
    <row r="1761" ht="15.75" customHeight="1">
      <c r="A1761" s="1" t="s">
        <v>3411</v>
      </c>
      <c r="B1761" s="1" t="s">
        <v>3412</v>
      </c>
      <c r="C1761" s="1" t="str">
        <f>IFERROR(__xludf.DUMMYFUNCTION("CONCATENATE(GOOGLETRANSLATE(B1761, ""en"", ""zh-cn""))"),"您需要正确配置amarpay才能启用此功能")</f>
        <v>您需要正确配置amarpay才能启用此功能</v>
      </c>
      <c r="D1761" s="1" t="str">
        <f>IFERROR(__xludf.DUMMYFUNCTION("CONCATENATE(GOOGLETRANSLATE(B1761, ""en"", ""ko""))"),"이 기능을 활성화하려면 amarpay를 올바르게 구성해야 합니다.")</f>
        <v>이 기능을 활성화하려면 amarpay를 올바르게 구성해야 합니다.</v>
      </c>
      <c r="E1761" s="2" t="str">
        <f>IFERROR(__xludf.DUMMYFUNCTION("CONCATENATE(GOOGLETRANSLATE(B1761, ""en"", ""ja""))"),"この機能を有効にするには、amapay を正しく設定する必要があります")</f>
        <v>この機能を有効にするには、amapay を正しく設定する必要があります</v>
      </c>
    </row>
    <row r="1762" ht="15.75" customHeight="1">
      <c r="A1762" s="1" t="s">
        <v>3413</v>
      </c>
      <c r="B1762" s="1" t="s">
        <v>3414</v>
      </c>
      <c r="C1762" s="1" t="str">
        <f>IFERROR(__xludf.DUMMYFUNCTION("CONCATENATE(GOOGLETRANSLATE(B1762, ""en"", ""zh-cn""))"),"基于类别的佣金")</f>
        <v>基于类别的佣金</v>
      </c>
      <c r="D1762" s="1" t="str">
        <f>IFERROR(__xludf.DUMMYFUNCTION("CONCATENATE(GOOGLETRANSLATE(B1762, ""en"", ""ko""))"),"카테고리 기반 커미션")</f>
        <v>카테고리 기반 커미션</v>
      </c>
      <c r="E1762" s="2" t="str">
        <f>IFERROR(__xludf.DUMMYFUNCTION("CONCATENATE(GOOGLETRANSLATE(B1762, ""en"", ""ja""))"),"カテゴリベースの手数料")</f>
        <v>カテゴリベースの手数料</v>
      </c>
    </row>
    <row r="1763" ht="15.75" customHeight="1">
      <c r="A1763" s="1" t="s">
        <v>3415</v>
      </c>
      <c r="B1763" s="1" t="s">
        <v>3416</v>
      </c>
      <c r="C1763" s="1" t="str">
        <f>IFERROR(__xludf.DUMMYFUNCTION("CONCATENATE(GOOGLETRANSLATE(B1763, ""en"", ""zh-cn""))"),"如果启用基于类别的佣金，则全局百分比将不起作用。")</f>
        <v>如果启用基于类别的佣金，则全局百分比将不起作用。</v>
      </c>
      <c r="D1763" s="1" t="str">
        <f>IFERROR(__xludf.DUMMYFUNCTION("CONCATENATE(GOOGLETRANSLATE(B1763, ""en"", ""ko""))"),"카테고리 기반 커미션이 활성화된 경우 글로벌 비율이 작동하지 않습니다.")</f>
        <v>카테고리 기반 커미션이 활성화된 경우 글로벌 비율이 작동하지 않습니다.</v>
      </c>
      <c r="E1763" s="2" t="str">
        <f>IFERROR(__xludf.DUMMYFUNCTION("CONCATENATE(GOOGLETRANSLATE(B1763, ""en"", ""ja""))"),"カテゴリベースのコミッションが有効になっている場合、グローバルパーセントは機能しません。")</f>
        <v>カテゴリベースのコミッションが有効になっている場合、グローバルパーセントは機能しません。</v>
      </c>
    </row>
    <row r="1764" ht="15.75" customHeight="1">
      <c r="A1764" s="1" t="s">
        <v>3417</v>
      </c>
      <c r="B1764" s="1" t="s">
        <v>3418</v>
      </c>
      <c r="C1764" s="1" t="str">
        <f>IFERROR(__xludf.DUMMYFUNCTION("CONCATENATE(GOOGLETRANSLATE(B1764, ""en"", ""zh-cn""))"),"如果启用基于类别的佣金，请将卖家佣金百分比设置为 0。")</f>
        <v>如果启用基于类别的佣金，请将卖家佣金百分比设置为 0。</v>
      </c>
      <c r="D1764" s="1" t="str">
        <f>IFERROR(__xludf.DUMMYFUNCTION("CONCATENATE(GOOGLETRANSLATE(B1764, ""en"", ""ko""))"),"카테고리 기반 커미션이 활성화된 경우 판매자 커미션 비율을 0으로 설정합니다.")</f>
        <v>카테고리 기반 커미션이 활성화된 경우 판매자 커미션 비율을 0으로 설정합니다.</v>
      </c>
      <c r="E1764" s="2" t="str">
        <f>IFERROR(__xludf.DUMMYFUNCTION("CONCATENATE(GOOGLETRANSLATE(B1764, ""en"", ""ja""))"),"カテゴリベースのコミッションが有効になっている場合は、販売者のコミッションの割合を 0 に設定します。")</f>
        <v>カテゴリベースのコミッションが有効になっている場合は、販売者のコミッションの割合を 0 に設定します。</v>
      </c>
    </row>
    <row r="1765" ht="15.75" customHeight="1">
      <c r="A1765" s="1" t="s">
        <v>3419</v>
      </c>
      <c r="B1765" s="1" t="s">
        <v>3420</v>
      </c>
      <c r="C1765" s="1" t="str">
        <f>IFERROR(__xludf.DUMMYFUNCTION("CONCATENATE(GOOGLETRANSLATE(B1765, ""en"", ""zh-cn""))"),"卖家佣金激活")</f>
        <v>卖家佣金激活</v>
      </c>
      <c r="D1765" s="1" t="str">
        <f>IFERROR(__xludf.DUMMYFUNCTION("CONCATENATE(GOOGLETRANSLATE(B1765, ""en"", ""ko""))"),"판매자 수수료 활성화")</f>
        <v>판매자 수수료 활성화</v>
      </c>
      <c r="E1765" s="2" t="str">
        <f>IFERROR(__xludf.DUMMYFUNCTION("CONCATENATE(GOOGLETRANSLATE(B1765, ""en"", ""ja""))"),"販売者コミッションのアクティベーション")</f>
        <v>販売者コミッションのアクティベーション</v>
      </c>
    </row>
    <row r="1766" ht="15.75" customHeight="1">
      <c r="A1766" s="1" t="s">
        <v>3421</v>
      </c>
      <c r="B1766" s="1" t="s">
        <v>3422</v>
      </c>
      <c r="C1766" s="1" t="str">
        <f>IFERROR(__xludf.DUMMYFUNCTION("CONCATENATE(GOOGLETRANSLATE(B1766, ""en"", ""zh-cn""))"),"卖家佣金更新成功")</f>
        <v>卖家佣金更新成功</v>
      </c>
      <c r="D1766" s="1" t="str">
        <f>IFERROR(__xludf.DUMMYFUNCTION("CONCATENATE(GOOGLETRANSLATE(B1766, ""en"", ""ko""))"),"판매자 커미션이 업데이트되었습니다.")</f>
        <v>판매자 커미션이 업데이트되었습니다.</v>
      </c>
      <c r="E1766" s="2" t="str">
        <f>IFERROR(__xludf.DUMMYFUNCTION("CONCATENATE(GOOGLETRANSLATE(B1766, ""en"", ""ja""))"),"販売者コミッションが正常に更新されました")</f>
        <v>販売者コミッションが正常に更新されました</v>
      </c>
    </row>
    <row r="1767" ht="15.75" customHeight="1">
      <c r="A1767" s="1" t="s">
        <v>3423</v>
      </c>
      <c r="B1767" s="1" t="s">
        <v>3424</v>
      </c>
      <c r="C1767" s="1" t="str">
        <f>IFERROR(__xludf.DUMMYFUNCTION("CONCATENATE(GOOGLETRANSLATE(B1767, ""en"", ""zh-cn""))"),"订单级别")</f>
        <v>订单级别</v>
      </c>
      <c r="D1767" s="1" t="str">
        <f>IFERROR(__xludf.DUMMYFUNCTION("CONCATENATE(GOOGLETRANSLATE(B1767, ""en"", ""ko""))"),"주문 수준")</f>
        <v>주문 수준</v>
      </c>
      <c r="E1767" s="2" t="str">
        <f>IFERROR(__xludf.DUMMYFUNCTION("CONCATENATE(GOOGLETRANSLATE(B1767, ""en"", ""ja""))"),"注文レベル")</f>
        <v>注文レベル</v>
      </c>
    </row>
    <row r="1768" ht="15.75" customHeight="1">
      <c r="A1768" s="1" t="s">
        <v>833</v>
      </c>
      <c r="B1768" s="1" t="s">
        <v>3425</v>
      </c>
      <c r="C1768" s="1" t="str">
        <f>IFERROR(__xludf.DUMMYFUNCTION("CONCATENATE(GOOGLETRANSLATE(B1768, ""en"", ""zh-cn""))"),"图标")</f>
        <v>图标</v>
      </c>
      <c r="D1768" s="1" t="str">
        <f>IFERROR(__xludf.DUMMYFUNCTION("CONCATENATE(GOOGLETRANSLATE(B1768, ""en"", ""ko""))"),"상")</f>
        <v>상</v>
      </c>
      <c r="E1768" s="2" t="str">
        <f>IFERROR(__xludf.DUMMYFUNCTION("CONCATENATE(GOOGLETRANSLATE(B1768, ""en"", ""ja""))"),"アイコン")</f>
        <v>アイコン</v>
      </c>
    </row>
    <row r="1769" ht="15.75" customHeight="1">
      <c r="A1769" s="1" t="s">
        <v>1752</v>
      </c>
      <c r="B1769" s="1" t="s">
        <v>3426</v>
      </c>
      <c r="C1769" s="1" t="str">
        <f>IFERROR(__xludf.DUMMYFUNCTION("CONCATENATE(GOOGLETRANSLATE(B1769, ""en"", ""zh-cn""))"),"所有产品")</f>
        <v>所有产品</v>
      </c>
      <c r="D1769" s="1" t="str">
        <f>IFERROR(__xludf.DUMMYFUNCTION("CONCATENATE(GOOGLETRANSLATE(B1769, ""en"", ""ko""))"),"모든 제품")</f>
        <v>모든 제품</v>
      </c>
      <c r="E1769" s="2" t="str">
        <f>IFERROR(__xludf.DUMMYFUNCTION("CONCATENATE(GOOGLETRANSLATE(B1769, ""en"", ""ja""))"),"すべての製品")</f>
        <v>すべての製品</v>
      </c>
    </row>
    <row r="1770" ht="15.75" customHeight="1">
      <c r="A1770" s="1" t="s">
        <v>1750</v>
      </c>
      <c r="B1770" s="1" t="s">
        <v>3427</v>
      </c>
      <c r="C1770" s="1" t="str">
        <f>IFERROR(__xludf.DUMMYFUNCTION("CONCATENATE(GOOGLETRANSLATE(B1770, ""en"", ""zh-cn""))"),"添加新产品")</f>
        <v>添加新产品</v>
      </c>
      <c r="D1770" s="1" t="str">
        <f>IFERROR(__xludf.DUMMYFUNCTION("CONCATENATE(GOOGLETRANSLATE(B1770, ""en"", ""ko""))"),"새 제품 추가")</f>
        <v>새 제품 추가</v>
      </c>
      <c r="E1770" s="2" t="str">
        <f>IFERROR(__xludf.DUMMYFUNCTION("CONCATENATE(GOOGLETRANSLATE(B1770, ""en"", ""ja""))"),"新しい製品を追加")</f>
        <v>新しい製品を追加</v>
      </c>
    </row>
    <row r="1771" ht="15.75" customHeight="1">
      <c r="A1771" s="1" t="s">
        <v>102</v>
      </c>
      <c r="B1771" s="1" t="s">
        <v>102</v>
      </c>
      <c r="C1771" s="1" t="str">
        <f>IFERROR(__xludf.DUMMYFUNCTION("CONCATENATE(GOOGLETRANSLATE(B1771, ""en"", ""zh-cn""))"),"评论")</f>
        <v>评论</v>
      </c>
      <c r="D1771" s="1" t="str">
        <f>IFERROR(__xludf.DUMMYFUNCTION("CONCATENATE(GOOGLETRANSLATE(B1771, ""en"", ""ko""))"),"리뷰")</f>
        <v>리뷰</v>
      </c>
      <c r="E1771" s="2" t="str">
        <f>IFERROR(__xludf.DUMMYFUNCTION("CONCATENATE(GOOGLETRANSLATE(B1771, ""en"", ""ja""))"),"レビュー")</f>
        <v>レビュー</v>
      </c>
    </row>
    <row r="1772" ht="15.75" customHeight="1">
      <c r="A1772" s="1" t="s">
        <v>92</v>
      </c>
      <c r="B1772" s="1" t="s">
        <v>3428</v>
      </c>
      <c r="C1772" s="1" t="str">
        <f>IFERROR(__xludf.DUMMYFUNCTION("CONCATENATE(GOOGLETRANSLATE(B1772, ""en"", ""zh-cn""))"),"出售者")</f>
        <v>出售者</v>
      </c>
      <c r="D1772" s="1" t="str">
        <f>IFERROR(__xludf.DUMMYFUNCTION("CONCATENATE(GOOGLETRANSLATE(B1772, ""en"", ""ko""))"),"판매처")</f>
        <v>판매처</v>
      </c>
      <c r="E1772" s="2" t="str">
        <f>IFERROR(__xludf.DUMMYFUNCTION("CONCATENATE(GOOGLETRANSLATE(B1772, ""en"", ""ja""))"),"販売者")</f>
        <v>販売者</v>
      </c>
    </row>
    <row r="1773" ht="15.75" customHeight="1">
      <c r="A1773" s="1" t="s">
        <v>3429</v>
      </c>
      <c r="B1773" s="1" t="s">
        <v>3430</v>
      </c>
      <c r="C1773" s="1" t="str">
        <f>IFERROR(__xludf.DUMMYFUNCTION("CONCATENATE(GOOGLETRANSLATE(B1773, ""en"", ""zh-cn""))"),"优惠券已成功保存")</f>
        <v>优惠券已成功保存</v>
      </c>
      <c r="D1773" s="1" t="str">
        <f>IFERROR(__xludf.DUMMYFUNCTION("CONCATENATE(GOOGLETRANSLATE(B1773, ""en"", ""ko""))"),"쿠폰이 성공적으로 저장되었습니다")</f>
        <v>쿠폰이 성공적으로 저장되었습니다</v>
      </c>
      <c r="E1773" s="2" t="str">
        <f>IFERROR(__xludf.DUMMYFUNCTION("CONCATENATE(GOOGLETRANSLATE(B1773, ""en"", ""ja""))"),"クーポンは正常に保存されました")</f>
        <v>クーポンは正常に保存されました</v>
      </c>
    </row>
    <row r="1774" ht="15.75" customHeight="1">
      <c r="A1774" s="1" t="s">
        <v>3431</v>
      </c>
      <c r="B1774" s="1" t="s">
        <v>3432</v>
      </c>
      <c r="C1774" s="1" t="str">
        <f>IFERROR(__xludf.DUMMYFUNCTION("CONCATENATE(GOOGLETRANSLATE(B1774, ""en"", ""zh-cn""))"),"推车底座")</f>
        <v>推车底座</v>
      </c>
      <c r="D1774" s="1" t="str">
        <f>IFERROR(__xludf.DUMMYFUNCTION("CONCATENATE(GOOGLETRANSLATE(B1774, ""en"", ""ko""))"),"카트 베이스")</f>
        <v>카트 베이스</v>
      </c>
      <c r="E1774" s="2" t="str">
        <f>IFERROR(__xludf.DUMMYFUNCTION("CONCATENATE(GOOGLETRANSLATE(B1774, ""en"", ""ja""))"),"カートベース")</f>
        <v>カートベース</v>
      </c>
    </row>
    <row r="1775" ht="15.75" customHeight="1">
      <c r="A1775" s="1" t="s">
        <v>3433</v>
      </c>
      <c r="B1775" s="1" t="s">
        <v>3434</v>
      </c>
      <c r="C1775" s="1" t="str">
        <f>IFERROR(__xludf.DUMMYFUNCTION("CONCATENATE(GOOGLETRANSLATE(B1775, ""en"", ""zh-cn""))"),"优惠券已成功删除")</f>
        <v>优惠券已成功删除</v>
      </c>
      <c r="D1775" s="1" t="str">
        <f>IFERROR(__xludf.DUMMYFUNCTION("CONCATENATE(GOOGLETRANSLATE(B1775, ""en"", ""ko""))"),"쿠폰이 삭제되었습니다.")</f>
        <v>쿠폰이 삭제되었습니다.</v>
      </c>
      <c r="E1775" s="2" t="str">
        <f>IFERROR(__xludf.DUMMYFUNCTION("CONCATENATE(GOOGLETRANSLATE(B1775, ""en"", ""ja""))"),"クーポンは正常に削除されました")</f>
        <v>クーポンは正常に削除されました</v>
      </c>
    </row>
    <row r="1776" ht="15.75" customHeight="1">
      <c r="A1776" s="1" t="s">
        <v>3435</v>
      </c>
      <c r="B1776" s="1" t="s">
        <v>3436</v>
      </c>
      <c r="C1776" s="1" t="str">
        <f>IFERROR(__xludf.DUMMYFUNCTION("CONCATENATE(GOOGLETRANSLATE(B1776, ""en"", ""zh-cn""))"),"优惠券已成功更新")</f>
        <v>优惠券已成功更新</v>
      </c>
      <c r="D1776" s="1" t="str">
        <f>IFERROR(__xludf.DUMMYFUNCTION("CONCATENATE(GOOGLETRANSLATE(B1776, ""en"", ""ko""))"),"쿠폰이 성공적으로 업데이트되었습니다.")</f>
        <v>쿠폰이 성공적으로 업데이트되었습니다.</v>
      </c>
      <c r="E1776" s="2" t="str">
        <f>IFERROR(__xludf.DUMMYFUNCTION("CONCATENATE(GOOGLETRANSLATE(B1776, ""en"", ""ja""))"),"クーポンが正常に更新されました")</f>
        <v>クーポンが正常に更新されました</v>
      </c>
    </row>
    <row r="1777" ht="15.75" customHeight="1">
      <c r="A1777" s="1" t="s">
        <v>3437</v>
      </c>
      <c r="B1777" s="1" t="s">
        <v>3438</v>
      </c>
      <c r="C1777" s="1" t="str">
        <f>IFERROR(__xludf.DUMMYFUNCTION("CONCATENATE(GOOGLETRANSLATE(B1777, ""en"", ""zh-cn""))"),"优惠券")</f>
        <v>优惠券</v>
      </c>
      <c r="D1777" s="1" t="str">
        <f>IFERROR(__xludf.DUMMYFUNCTION("CONCATENATE(GOOGLETRANSLATE(B1777, ""en"", ""ko""))"),"쿠폰")</f>
        <v>쿠폰</v>
      </c>
      <c r="E1777" s="2" t="str">
        <f>IFERROR(__xludf.DUMMYFUNCTION("CONCATENATE(GOOGLETRANSLATE(B1777, ""en"", ""ja""))"),"クーポン")</f>
        <v>クーポン</v>
      </c>
    </row>
    <row r="1778" ht="15.75" customHeight="1">
      <c r="A1778" s="1" t="s">
        <v>3439</v>
      </c>
      <c r="B1778" s="1" t="s">
        <v>3440</v>
      </c>
      <c r="C1778" s="1" t="str">
        <f>IFERROR(__xludf.DUMMYFUNCTION("CONCATENATE(GOOGLETRANSLATE(B1778, ""en"", ""zh-cn""))"),"添加您的优惠券")</f>
        <v>添加您的优惠券</v>
      </c>
      <c r="D1778" s="1" t="str">
        <f>IFERROR(__xludf.DUMMYFUNCTION("CONCATENATE(GOOGLETRANSLATE(B1778, ""en"", ""ko""))"),"쿠폰 추가")</f>
        <v>쿠폰 추가</v>
      </c>
      <c r="E1778" s="2" t="str">
        <f>IFERROR(__xludf.DUMMYFUNCTION("CONCATENATE(GOOGLETRANSLATE(B1778, ""en"", ""ja""))"),"クーポンを追加する")</f>
        <v>クーポンを追加する</v>
      </c>
    </row>
    <row r="1779" ht="15.75" customHeight="1">
      <c r="A1779" s="1" t="s">
        <v>3441</v>
      </c>
      <c r="B1779" s="1" t="s">
        <v>3442</v>
      </c>
      <c r="C1779" s="1" t="str">
        <f>IFERROR(__xludf.DUMMYFUNCTION("CONCATENATE(GOOGLETRANSLATE(B1779, ""en"", ""zh-cn""))"),"编辑您的优惠券")</f>
        <v>编辑您的优惠券</v>
      </c>
      <c r="D1779" s="1" t="str">
        <f>IFERROR(__xludf.DUMMYFUNCTION("CONCATENATE(GOOGLETRANSLATE(B1779, ""en"", ""ko""))"),"쿠폰 편집")</f>
        <v>쿠폰 편집</v>
      </c>
      <c r="E1779" s="2" t="str">
        <f>IFERROR(__xludf.DUMMYFUNCTION("CONCATENATE(GOOGLETRANSLATE(B1779, ""en"", ""ja""))"),"クーポンを編集する")</f>
        <v>クーポンを編集する</v>
      </c>
    </row>
    <row r="1780" ht="15.75" customHeight="1">
      <c r="A1780" s="1" t="s">
        <v>615</v>
      </c>
      <c r="B1780" s="1" t="s">
        <v>3443</v>
      </c>
      <c r="C1780" s="1" t="str">
        <f>IFERROR(__xludf.DUMMYFUNCTION("CONCATENATE(GOOGLETRANSLATE(B1780, ""en"", ""zh-cn""))"),"贝宝客户 ID")</f>
        <v>贝宝客户 ID</v>
      </c>
      <c r="D1780" s="1" t="str">
        <f>IFERROR(__xludf.DUMMYFUNCTION("CONCATENATE(GOOGLETRANSLATE(B1780, ""en"", ""ko""))"),"페이팔 클라이언트 ID")</f>
        <v>페이팔 클라이언트 ID</v>
      </c>
      <c r="E1780" s="2" t="str">
        <f>IFERROR(__xludf.DUMMYFUNCTION("CONCATENATE(GOOGLETRANSLATE(B1780, ""en"", ""ja""))"),"Paypal クライアント ID")</f>
        <v>Paypal クライアント ID</v>
      </c>
    </row>
    <row r="1781" ht="15.75" customHeight="1">
      <c r="A1781" s="1" t="s">
        <v>631</v>
      </c>
      <c r="B1781" s="1" t="s">
        <v>3444</v>
      </c>
      <c r="C1781" s="1" t="str">
        <f>IFERROR(__xludf.DUMMYFUNCTION("CONCATENATE(GOOGLETRANSLATE(B1781, ""en"", ""zh-cn""))"),"条纹键")</f>
        <v>条纹键</v>
      </c>
      <c r="D1781" s="1" t="str">
        <f>IFERROR(__xludf.DUMMYFUNCTION("CONCATENATE(GOOGLETRANSLATE(B1781, ""en"", ""ko""))"),"스트라이프 키")</f>
        <v>스트라이프 키</v>
      </c>
      <c r="E1781" s="2" t="str">
        <f>IFERROR(__xludf.DUMMYFUNCTION("CONCATENATE(GOOGLETRANSLATE(B1781, ""en"", ""ja""))"),"ストライプキー")</f>
        <v>ストライプキー</v>
      </c>
    </row>
    <row r="1782" ht="15.75" customHeight="1">
      <c r="A1782" s="1" t="s">
        <v>633</v>
      </c>
      <c r="B1782" s="1" t="s">
        <v>3445</v>
      </c>
      <c r="C1782" s="1" t="str">
        <f>IFERROR(__xludf.DUMMYFUNCTION("CONCATENATE(GOOGLETRANSLATE(B1782, ""en"", ""zh-cn""))"),"条纹的秘密")</f>
        <v>条纹的秘密</v>
      </c>
      <c r="D1782" s="1" t="str">
        <f>IFERROR(__xludf.DUMMYFUNCTION("CONCATENATE(GOOGLETRANSLATE(B1782, ""en"", ""ko""))"),"스트라이프 시크릿")</f>
        <v>스트라이프 시크릿</v>
      </c>
      <c r="E1782" s="2" t="str">
        <f>IFERROR(__xludf.DUMMYFUNCTION("CONCATENATE(GOOGLETRANSLATE(B1782, ""en"", ""ja""))"),"ストライプシークレット")</f>
        <v>ストライプシークレット</v>
      </c>
    </row>
    <row r="1783" ht="15.75" customHeight="1">
      <c r="A1783" s="1" t="s">
        <v>3446</v>
      </c>
      <c r="B1783" s="1" t="s">
        <v>3447</v>
      </c>
      <c r="C1783" s="1" t="str">
        <f>IFERROR(__xludf.DUMMYFUNCTION("CONCATENATE(GOOGLETRANSLATE(B1783, ""en"", ""zh-cn""))"),"Aamarpay 凭证")</f>
        <v>Aamarpay 凭证</v>
      </c>
      <c r="D1783" s="1" t="str">
        <f>IFERROR(__xludf.DUMMYFUNCTION("CONCATENATE(GOOGLETRANSLATE(B1783, ""en"", ""ko""))"),"Aamarpay 자격 증명")</f>
        <v>Aamarpay 자격 증명</v>
      </c>
      <c r="E1783" s="2" t="str">
        <f>IFERROR(__xludf.DUMMYFUNCTION("CONCATENATE(GOOGLETRANSLATE(B1783, ""en"", ""ja""))"),"アーマルペイ資格情報")</f>
        <v>アーマルペイ資格情報</v>
      </c>
    </row>
    <row r="1784" ht="15.75" customHeight="1">
      <c r="A1784" s="1" t="s">
        <v>3448</v>
      </c>
      <c r="B1784" s="1" t="s">
        <v>3449</v>
      </c>
      <c r="C1784" s="1" t="str">
        <f>IFERROR(__xludf.DUMMYFUNCTION("CONCATENATE(GOOGLETRANSLATE(B1784, ""en"", ""zh-cn""))"),"Aamarpay 商店 ID")</f>
        <v>Aamarpay 商店 ID</v>
      </c>
      <c r="D1784" s="1" t="str">
        <f>IFERROR(__xludf.DUMMYFUNCTION("CONCATENATE(GOOGLETRANSLATE(B1784, ""en"", ""ko""))"),"Aamarpay 매장 ID")</f>
        <v>Aamarpay 매장 ID</v>
      </c>
      <c r="E1784" s="2" t="str">
        <f>IFERROR(__xludf.DUMMYFUNCTION("CONCATENATE(GOOGLETRANSLATE(B1784, ""en"", ""ja""))"),"Aamarpay ストア ID")</f>
        <v>Aamarpay ストア ID</v>
      </c>
    </row>
    <row r="1785" ht="15.75" customHeight="1">
      <c r="A1785" s="1" t="s">
        <v>3450</v>
      </c>
      <c r="B1785" s="1" t="s">
        <v>3451</v>
      </c>
      <c r="C1785" s="1" t="str">
        <f>IFERROR(__xludf.DUMMYFUNCTION("CONCATENATE(GOOGLETRANSLATE(B1785, ""en"", ""zh-cn""))"),"Aamarpay 签名密钥")</f>
        <v>Aamarpay 签名密钥</v>
      </c>
      <c r="D1785" s="1" t="str">
        <f>IFERROR(__xludf.DUMMYFUNCTION("CONCATENATE(GOOGLETRANSLATE(B1785, ""en"", ""ko""))"),"Aamarpay 서명 키")</f>
        <v>Aamarpay 서명 키</v>
      </c>
      <c r="E1785" s="2" t="str">
        <f>IFERROR(__xludf.DUMMYFUNCTION("CONCATENATE(GOOGLETRANSLATE(B1785, ""en"", ""ja""))"),"Aamarpay 署名キー")</f>
        <v>Aamarpay 署名キー</v>
      </c>
    </row>
    <row r="1786" ht="15.75" customHeight="1">
      <c r="A1786" s="1" t="s">
        <v>3452</v>
      </c>
      <c r="B1786" s="1" t="s">
        <v>3453</v>
      </c>
      <c r="C1786" s="1" t="str">
        <f>IFERROR(__xludf.DUMMYFUNCTION("CONCATENATE(GOOGLETRANSLATE(B1786, ""en"", ""zh-cn""))"),"Aamarpay 沙盒模式")</f>
        <v>Aamarpay 沙盒模式</v>
      </c>
      <c r="D1786" s="1" t="str">
        <f>IFERROR(__xludf.DUMMYFUNCTION("CONCATENATE(GOOGLETRANSLATE(B1786, ""en"", ""ko""))"),"Aamarpay 샌드박스 모드")</f>
        <v>Aamarpay 샌드박스 모드</v>
      </c>
      <c r="E1786" s="2" t="str">
        <f>IFERROR(__xludf.DUMMYFUNCTION("CONCATENATE(GOOGLETRANSLATE(B1786, ""en"", ""ja""))"),"Aamarpay サンドボックス モード")</f>
        <v>Aamarpay サンドボックス モード</v>
      </c>
    </row>
    <row r="1787" ht="15.75" customHeight="1">
      <c r="A1787" s="1" t="s">
        <v>3454</v>
      </c>
      <c r="B1787" s="1" t="s">
        <v>3455</v>
      </c>
      <c r="C1787" s="1" t="str">
        <f>IFERROR(__xludf.DUMMYFUNCTION("CONCATENATE(GOOGLETRANSLATE(B1787, ""en"", ""zh-cn""))"),"ProxyPay 凭证")</f>
        <v>ProxyPay 凭证</v>
      </c>
      <c r="D1787" s="1" t="str">
        <f>IFERROR(__xludf.DUMMYFUNCTION("CONCATENATE(GOOGLETRANSLATE(B1787, ""en"", ""ko""))"),"ProxyPay 자격 증명")</f>
        <v>ProxyPay 자격 증명</v>
      </c>
      <c r="E1787" s="2" t="str">
        <f>IFERROR(__xludf.DUMMYFUNCTION("CONCATENATE(GOOGLETRANSLATE(B1787, ""en"", ""ja""))"),"ProxyPay 資格情報")</f>
        <v>ProxyPay 資格情報</v>
      </c>
    </row>
    <row r="1788" ht="15.75" customHeight="1">
      <c r="A1788" s="1" t="s">
        <v>3456</v>
      </c>
      <c r="B1788" s="1" t="s">
        <v>3457</v>
      </c>
      <c r="C1788" s="1" t="str">
        <f>IFERROR(__xludf.DUMMYFUNCTION("CONCATENATE(GOOGLETRANSLATE(B1788, ""en"", ""zh-cn""))"),"PROXYPAY_TOKEN")</f>
        <v>PROXYPAY_TOKEN</v>
      </c>
      <c r="D1788" s="1" t="str">
        <f>IFERROR(__xludf.DUMMYFUNCTION("CONCATENATE(GOOGLETRANSLATE(B1788, ""en"", ""ko""))"),"PROXYPAY_TOKEN")</f>
        <v>PROXYPAY_TOKEN</v>
      </c>
      <c r="E1788" s="2" t="str">
        <f>IFERROR(__xludf.DUMMYFUNCTION("CONCATENATE(GOOGLETRANSLATE(B1788, ""en"", ""ja""))"),"PROXYPAY_TOKEN")</f>
        <v>PROXYPAY_TOKEN</v>
      </c>
    </row>
    <row r="1789" ht="15.75" customHeight="1">
      <c r="A1789" s="1" t="s">
        <v>3456</v>
      </c>
      <c r="B1789" s="1" t="s">
        <v>3458</v>
      </c>
      <c r="C1789" s="1" t="str">
        <f>IFERROR(__xludf.DUMMYFUNCTION("CONCATENATE(GOOGLETRANSLATE(B1789, ""en"", ""zh-cn""))"),"代理支付令牌")</f>
        <v>代理支付令牌</v>
      </c>
      <c r="D1789" s="1" t="str">
        <f>IFERROR(__xludf.DUMMYFUNCTION("CONCATENATE(GOOGLETRANSLATE(B1789, ""en"", ""ko""))"),"프록시페이 토큰")</f>
        <v>프록시페이 토큰</v>
      </c>
      <c r="E1789" s="2" t="str">
        <f>IFERROR(__xludf.DUMMYFUNCTION("CONCATENATE(GOOGLETRANSLATE(B1789, ""en"", ""ja""))"),"プロキシペイトークン")</f>
        <v>プロキシペイトークン</v>
      </c>
    </row>
    <row r="1790" ht="15.75" customHeight="1">
      <c r="A1790" s="1" t="s">
        <v>3459</v>
      </c>
      <c r="B1790" s="1" t="s">
        <v>3460</v>
      </c>
      <c r="C1790" s="1" t="str">
        <f>IFERROR(__xludf.DUMMYFUNCTION("CONCATENATE(GOOGLETRANSLATE(B1790, ""en"", ""zh-cn""))"),"PROXYPAY_ENTITY")</f>
        <v>PROXYPAY_ENTITY</v>
      </c>
      <c r="D1790" s="1" t="str">
        <f>IFERROR(__xludf.DUMMYFUNCTION("CONCATENATE(GOOGLETRANSLATE(B1790, ""en"", ""ko""))"),"PROXYPAY_ENTITY")</f>
        <v>PROXYPAY_ENTITY</v>
      </c>
      <c r="E1790" s="2" t="str">
        <f>IFERROR(__xludf.DUMMYFUNCTION("CONCATENATE(GOOGLETRANSLATE(B1790, ""en"", ""ja""))"),"PROXYPAY_ENTITY")</f>
        <v>PROXYPAY_ENTITY</v>
      </c>
    </row>
    <row r="1791" ht="15.75" customHeight="1">
      <c r="A1791" s="1" t="s">
        <v>3461</v>
      </c>
      <c r="B1791" s="1" t="s">
        <v>3462</v>
      </c>
      <c r="C1791" s="1" t="str">
        <f>IFERROR(__xludf.DUMMYFUNCTION("CONCATENATE(GOOGLETRANSLATE(B1791, ""en"", ""zh-cn""))"),"PROXYPAY_END_TIME")</f>
        <v>PROXYPAY_END_TIME</v>
      </c>
      <c r="D1791" s="1" t="str">
        <f>IFERROR(__xludf.DUMMYFUNCTION("CONCATENATE(GOOGLETRANSLATE(B1791, ""en"", ""ko""))"),"PROXYPAY_END_TIME")</f>
        <v>PROXYPAY_END_TIME</v>
      </c>
      <c r="E1791" s="2" t="str">
        <f>IFERROR(__xludf.DUMMYFUNCTION("CONCATENATE(GOOGLETRANSLATE(B1791, ""en"", ""ja""))"),"PROXYPAY_END_TIME")</f>
        <v>PROXYPAY_END_TIME</v>
      </c>
    </row>
    <row r="1792" ht="15.75" customHeight="1">
      <c r="A1792" s="1" t="s">
        <v>1465</v>
      </c>
      <c r="B1792" s="1" t="s">
        <v>3463</v>
      </c>
      <c r="C1792" s="1" t="str">
        <f>IFERROR(__xludf.DUMMYFUNCTION("CONCATENATE(GOOGLETRANSLATE(B1792, ""en"", ""zh-cn""))"),"天")</f>
        <v>天</v>
      </c>
      <c r="D1792" s="1" t="str">
        <f>IFERROR(__xludf.DUMMYFUNCTION("CONCATENATE(GOOGLETRANSLATE(B1792, ""en"", ""ko""))"),"날")</f>
        <v>날</v>
      </c>
      <c r="E1792" s="2" t="str">
        <f>IFERROR(__xludf.DUMMYFUNCTION("CONCATENATE(GOOGLETRANSLATE(B1792, ""en"", ""ja""))"),"日数")</f>
        <v>日数</v>
      </c>
    </row>
    <row r="1793" ht="15.75" customHeight="1">
      <c r="A1793" s="1" t="s">
        <v>3464</v>
      </c>
      <c r="B1793" s="1" t="s">
        <v>3465</v>
      </c>
      <c r="C1793" s="1" t="str">
        <f>IFERROR(__xludf.DUMMYFUNCTION("CONCATENATE(GOOGLETRANSLATE(B1793, ""en"", ""zh-cn""))"),"FLW_PUBLIC_KEY")</f>
        <v>FLW_PUBLIC_KEY</v>
      </c>
      <c r="D1793" s="1" t="str">
        <f>IFERROR(__xludf.DUMMYFUNCTION("CONCATENATE(GOOGLETRANSLATE(B1793, ""en"", ""ko""))"),"FLW_PUBLIC_KEY")</f>
        <v>FLW_PUBLIC_KEY</v>
      </c>
      <c r="E1793" s="2" t="str">
        <f>IFERROR(__xludf.DUMMYFUNCTION("CONCATENATE(GOOGLETRANSLATE(B1793, ""en"", ""ja""))"),"FLW_PUBLIC_KEY")</f>
        <v>FLW_PUBLIC_KEY</v>
      </c>
    </row>
    <row r="1794" ht="15.75" customHeight="1">
      <c r="A1794" s="1" t="s">
        <v>3466</v>
      </c>
      <c r="B1794" s="1" t="s">
        <v>3467</v>
      </c>
      <c r="C1794" s="1" t="str">
        <f>IFERROR(__xludf.DUMMYFUNCTION("CONCATENATE(GOOGLETRANSLATE(B1794, ""en"", ""zh-cn""))"),"FLW_SECRET_KEY")</f>
        <v>FLW_SECRET_KEY</v>
      </c>
      <c r="D1794" s="1" t="str">
        <f>IFERROR(__xludf.DUMMYFUNCTION("CONCATENATE(GOOGLETRANSLATE(B1794, ""en"", ""ko""))"),"FLW_SECRET_KEY")</f>
        <v>FLW_SECRET_KEY</v>
      </c>
      <c r="E1794" s="2" t="str">
        <f>IFERROR(__xludf.DUMMYFUNCTION("CONCATENATE(GOOGLETRANSLATE(B1794, ""en"", ""ja""))"),"FLW_SECRET_KEY")</f>
        <v>FLW_SECRET_KEY</v>
      </c>
    </row>
    <row r="1795" ht="15.75" customHeight="1">
      <c r="A1795" s="1" t="s">
        <v>3468</v>
      </c>
      <c r="B1795" s="1" t="s">
        <v>3469</v>
      </c>
      <c r="C1795" s="1" t="str">
        <f>IFERROR(__xludf.DUMMYFUNCTION("CONCATENATE(GOOGLETRANSLATE(B1795, ""en"", ""zh-cn""))"),"FLW_SECRET_HASH")</f>
        <v>FLW_SECRET_HASH</v>
      </c>
      <c r="D1795" s="1" t="str">
        <f>IFERROR(__xludf.DUMMYFUNCTION("CONCATENATE(GOOGLETRANSLATE(B1795, ""en"", ""ko""))"),"FLW_SECRET_HASH")</f>
        <v>FLW_SECRET_HASH</v>
      </c>
      <c r="E1795" s="2" t="str">
        <f>IFERROR(__xludf.DUMMYFUNCTION("CONCATENATE(GOOGLETRANSLATE(B1795, ""en"", ""ja""))"),"FLW_SECRET_HASH")</f>
        <v>FLW_SECRET_HASH</v>
      </c>
    </row>
    <row r="1796" ht="15.75" customHeight="1">
      <c r="A1796" s="1" t="s">
        <v>1964</v>
      </c>
      <c r="B1796" s="1" t="s">
        <v>1965</v>
      </c>
      <c r="C1796" s="1" t="str">
        <f>IFERROR(__xludf.DUMMYFUNCTION("CONCATENATE(GOOGLETRANSLATE(B1796, ""en"", ""zh-cn""))"),"类别")</f>
        <v>类别</v>
      </c>
      <c r="D1796" s="1" t="str">
        <f>IFERROR(__xludf.DUMMYFUNCTION("CONCATENATE(GOOGLETRANSLATE(B1796, ""en"", ""ko""))"),"카테고리")</f>
        <v>카테고리</v>
      </c>
      <c r="E1796" s="2" t="str">
        <f>IFERROR(__xludf.DUMMYFUNCTION("CONCATENATE(GOOGLETRANSLATE(B1796, ""en"", ""ja""))"),"カテゴリー")</f>
        <v>カテゴリー</v>
      </c>
    </row>
    <row r="1797" ht="15.75" customHeight="1">
      <c r="A1797" s="1" t="s">
        <v>3470</v>
      </c>
      <c r="B1797" s="1" t="s">
        <v>3471</v>
      </c>
      <c r="C1797" s="1" t="str">
        <f>IFERROR(__xludf.DUMMYFUNCTION("CONCATENATE(GOOGLETRANSLATE(B1797, ""en"", ""zh-cn""))"),"产品对话")</f>
        <v>产品对话</v>
      </c>
      <c r="D1797" s="1" t="str">
        <f>IFERROR(__xludf.DUMMYFUNCTION("CONCATENATE(GOOGLETRANSLATE(B1797, ""en"", ""ko""))"),"제품 대화")</f>
        <v>제품 대화</v>
      </c>
      <c r="E1797" s="2" t="str">
        <f>IFERROR(__xludf.DUMMYFUNCTION("CONCATENATE(GOOGLETRANSLATE(B1797, ""en"", ""ja""))"),"製品に関する会話")</f>
        <v>製品に関する会話</v>
      </c>
    </row>
    <row r="1798" ht="15.75" customHeight="1">
      <c r="A1798" s="1" t="s">
        <v>3472</v>
      </c>
      <c r="B1798" s="1" t="s">
        <v>3473</v>
      </c>
      <c r="C1798" s="1" t="str">
        <f>IFERROR(__xludf.DUMMYFUNCTION("CONCATENATE(GOOGLETRANSLATE(B1798, ""en"", ""zh-cn""))"),"订单配置")</f>
        <v>订单配置</v>
      </c>
      <c r="D1798" s="1" t="str">
        <f>IFERROR(__xludf.DUMMYFUNCTION("CONCATENATE(GOOGLETRANSLATE(B1798, ""en"", ""ko""))"),"주문 구성")</f>
        <v>주문 구성</v>
      </c>
      <c r="E1798" s="2" t="str">
        <f>IFERROR(__xludf.DUMMYFUNCTION("CONCATENATE(GOOGLETRANSLATE(B1798, ""en"", ""ja""))"),"注文構成")</f>
        <v>注文構成</v>
      </c>
    </row>
    <row r="1799" ht="15.75" customHeight="1">
      <c r="A1799" s="1" t="s">
        <v>3474</v>
      </c>
      <c r="B1799" s="1" t="s">
        <v>3475</v>
      </c>
      <c r="C1799" s="1" t="str">
        <f>IFERROR(__xludf.DUMMYFUNCTION("CONCATENATE(GOOGLETRANSLATE(B1799, ""en"", ""zh-cn""))"),"运输国家")</f>
        <v>运输国家</v>
      </c>
      <c r="D1799" s="1" t="str">
        <f>IFERROR(__xludf.DUMMYFUNCTION("CONCATENATE(GOOGLETRANSLATE(B1799, ""en"", ""ko""))"),"배송 상태")</f>
        <v>배송 상태</v>
      </c>
      <c r="E1799" s="2" t="str">
        <f>IFERROR(__xludf.DUMMYFUNCTION("CONCATENATE(GOOGLETRANSLATE(B1799, ""en"", ""ja""))"),"配送先の州")</f>
        <v>配送先の州</v>
      </c>
    </row>
    <row r="1800" ht="15.75" customHeight="1">
      <c r="A1800" s="1" t="s">
        <v>3476</v>
      </c>
      <c r="B1800" s="1" t="s">
        <v>3477</v>
      </c>
      <c r="C1800" s="1" t="str">
        <f>IFERROR(__xludf.DUMMYFUNCTION("CONCATENATE(GOOGLETRANSLATE(B1800, ""en"", ""zh-cn""))"),"清除缓存")</f>
        <v>清除缓存</v>
      </c>
      <c r="D1800" s="1" t="str">
        <f>IFERROR(__xludf.DUMMYFUNCTION("CONCATENATE(GOOGLETRANSLATE(B1800, ""en"", ""ko""))"),"캐시 지우기")</f>
        <v>캐시 지우기</v>
      </c>
      <c r="E1800" s="2" t="str">
        <f>IFERROR(__xludf.DUMMYFUNCTION("CONCATENATE(GOOGLETRANSLATE(B1800, ""en"", ""ja""))"),"キャッシュのクリア")</f>
        <v>キャッシュのクリア</v>
      </c>
    </row>
    <row r="1801" ht="15.75" customHeight="1">
      <c r="A1801" s="1" t="s">
        <v>3478</v>
      </c>
      <c r="B1801" s="1" t="s">
        <v>3479</v>
      </c>
      <c r="C1801" s="1" t="str">
        <f>IFERROR(__xludf.DUMMYFUNCTION("CONCATENATE(GOOGLETRANSLATE(B1801, ""en"", ""zh-cn""))"),"您真的要取消对该卖家的封禁吗？")</f>
        <v>您真的要取消对该卖家的封禁吗？</v>
      </c>
      <c r="D1801" s="1" t="str">
        <f>IFERROR(__xludf.DUMMYFUNCTION("CONCATENATE(GOOGLETRANSLATE(B1801, ""en"", ""ko""))"),"정말로 이 판매자의 차단을 해제하시겠습니까?")</f>
        <v>정말로 이 판매자의 차단을 해제하시겠습니까?</v>
      </c>
      <c r="E1801" s="2" t="str">
        <f>IFERROR(__xludf.DUMMYFUNCTION("CONCATENATE(GOOGLETRANSLATE(B1801, ""en"", ""ja""))"),"本当にこの販売者の禁止を解除したいですか?")</f>
        <v>本当にこの販売者の禁止を解除したいですか?</v>
      </c>
    </row>
    <row r="1802" ht="15.75" customHeight="1">
      <c r="A1802" s="1" t="s">
        <v>3480</v>
      </c>
      <c r="B1802" s="1" t="s">
        <v>3481</v>
      </c>
      <c r="C1802" s="1" t="str">
        <f>IFERROR(__xludf.DUMMYFUNCTION("CONCATENATE(GOOGLETRANSLATE(B1802, ""en"", ""zh-cn""))"),"总订单")</f>
        <v>总订单</v>
      </c>
      <c r="D1802" s="1" t="str">
        <f>IFERROR(__xludf.DUMMYFUNCTION("CONCATENATE(GOOGLETRANSLATE(B1802, ""en"", ""ko""))"),"총 주문량")</f>
        <v>총 주문량</v>
      </c>
      <c r="E1802" s="2" t="str">
        <f>IFERROR(__xludf.DUMMYFUNCTION("CONCATENATE(GOOGLETRANSLATE(B1802, ""en"", ""ja""))"),"合計注文数")</f>
        <v>合計注文数</v>
      </c>
    </row>
    <row r="1803" ht="15.75" customHeight="1">
      <c r="A1803" s="1" t="s">
        <v>3482</v>
      </c>
      <c r="B1803" s="1" t="s">
        <v>3483</v>
      </c>
      <c r="C1803" s="1" t="str">
        <f>IFERROR(__xludf.DUMMYFUNCTION("CONCATENATE(GOOGLETRANSLATE(B1803, ""en"", ""zh-cn""))"),"总销售额")</f>
        <v>总销售额</v>
      </c>
      <c r="D1803" s="1" t="str">
        <f>IFERROR(__xludf.DUMMYFUNCTION("CONCATENATE(GOOGLETRANSLATE(B1803, ""en"", ""ko""))"),"총 매출액")</f>
        <v>총 매출액</v>
      </c>
      <c r="E1803" s="2" t="str">
        <f>IFERROR(__xludf.DUMMYFUNCTION("CONCATENATE(GOOGLETRANSLATE(B1803, ""en"", ""ja""))"),"総売上高")</f>
        <v>総売上高</v>
      </c>
    </row>
    <row r="1804" ht="15.75" customHeight="1">
      <c r="A1804" s="1" t="s">
        <v>3484</v>
      </c>
      <c r="B1804" s="1" t="s">
        <v>3485</v>
      </c>
      <c r="C1804" s="1" t="str">
        <f>IFERROR(__xludf.DUMMYFUNCTION("CONCATENATE(GOOGLETRANSLATE(B1804, ""en"", ""zh-cn""))"),"销售统计")</f>
        <v>销售统计</v>
      </c>
      <c r="D1804" s="1" t="str">
        <f>IFERROR(__xludf.DUMMYFUNCTION("CONCATENATE(GOOGLETRANSLATE(B1804, ""en"", ""ko""))"),"판매 통계")</f>
        <v>판매 통계</v>
      </c>
      <c r="E1804" s="2" t="str">
        <f>IFERROR(__xludf.DUMMYFUNCTION("CONCATENATE(GOOGLETRANSLATE(B1804, ""en"", ""ja""))"),"売上統計")</f>
        <v>売上統計</v>
      </c>
    </row>
    <row r="1805" ht="15.75" customHeight="1">
      <c r="A1805" s="1" t="s">
        <v>3486</v>
      </c>
      <c r="B1805" s="1" t="s">
        <v>3487</v>
      </c>
      <c r="C1805" s="1" t="str">
        <f>IFERROR(__xludf.DUMMYFUNCTION("CONCATENATE(GOOGLETRANSLATE(B1805, ""en"", ""zh-cn""))"),"上个月")</f>
        <v>上个月</v>
      </c>
      <c r="D1805" s="1" t="str">
        <f>IFERROR(__xludf.DUMMYFUNCTION("CONCATENATE(GOOGLETRANSLATE(B1805, ""en"", ""ko""))"),"전달")</f>
        <v>전달</v>
      </c>
      <c r="E1805" s="2" t="str">
        <f>IFERROR(__xludf.DUMMYFUNCTION("CONCATENATE(GOOGLETRANSLATE(B1805, ""en"", ""ja""))"),"先月")</f>
        <v>先月</v>
      </c>
    </row>
    <row r="1806" ht="15.75" customHeight="1">
      <c r="A1806" s="1" t="s">
        <v>3488</v>
      </c>
      <c r="B1806" s="1" t="s">
        <v>3489</v>
      </c>
      <c r="C1806" s="1" t="str">
        <f>IFERROR(__xludf.DUMMYFUNCTION("CONCATENATE(GOOGLETRANSLATE(B1806, ""en"", ""zh-cn""))"),"按类别划分的产品数量")</f>
        <v>按类别划分的产品数量</v>
      </c>
      <c r="D1806" s="1" t="str">
        <f>IFERROR(__xludf.DUMMYFUNCTION("CONCATENATE(GOOGLETRANSLATE(B1806, ""en"", ""ko""))"),"카테고리별 제품 수")</f>
        <v>카테고리별 제품 수</v>
      </c>
      <c r="E1806" s="2" t="str">
        <f>IFERROR(__xludf.DUMMYFUNCTION("CONCATENATE(GOOGLETRANSLATE(B1806, ""en"", ""ja""))"),"カテゴリ別の製品数")</f>
        <v>カテゴリ別の製品数</v>
      </c>
    </row>
    <row r="1807" ht="15.75" customHeight="1">
      <c r="A1807" s="1" t="s">
        <v>3490</v>
      </c>
      <c r="B1807" s="1" t="s">
        <v>3491</v>
      </c>
      <c r="C1807" s="1" t="str">
        <f>IFERROR(__xludf.DUMMYFUNCTION("CONCATENATE(GOOGLETRANSLATE(B1807, ""en"", ""zh-cn""))"),"本月")</f>
        <v>本月</v>
      </c>
      <c r="D1807" s="1" t="str">
        <f>IFERROR(__xludf.DUMMYFUNCTION("CONCATENATE(GOOGLETRANSLATE(B1807, ""en"", ""ko""))"),"이번 달")</f>
        <v>이번 달</v>
      </c>
      <c r="E1807" s="2" t="str">
        <f>IFERROR(__xludf.DUMMYFUNCTION("CONCATENATE(GOOGLETRANSLATE(B1807, ""en"", ""ja""))"),"今月")</f>
        <v>今月</v>
      </c>
    </row>
    <row r="1808" ht="15.75" customHeight="1">
      <c r="A1808" s="1" t="s">
        <v>3492</v>
      </c>
      <c r="B1808" s="1" t="s">
        <v>3493</v>
      </c>
      <c r="C1808" s="1" t="str">
        <f>IFERROR(__xludf.DUMMYFUNCTION("CONCATENATE(GOOGLETRANSLATE(B1808, ""en"", ""zh-cn""))"),"新订单")</f>
        <v>新订单</v>
      </c>
      <c r="D1808" s="1" t="str">
        <f>IFERROR(__xludf.DUMMYFUNCTION("CONCATENATE(GOOGLETRANSLATE(B1808, ""en"", ""ko""))"),"새로운 주문")</f>
        <v>새로운 주문</v>
      </c>
      <c r="E1808" s="2" t="str">
        <f>IFERROR(__xludf.DUMMYFUNCTION("CONCATENATE(GOOGLETRANSLATE(B1808, ""en"", ""ja""))"),"新しい秩序")</f>
        <v>新しい秩序</v>
      </c>
    </row>
    <row r="1809" ht="15.75" customHeight="1">
      <c r="A1809" s="1" t="s">
        <v>3494</v>
      </c>
      <c r="B1809" s="1" t="s">
        <v>3495</v>
      </c>
      <c r="C1809" s="1" t="str">
        <f>IFERROR(__xludf.DUMMYFUNCTION("CONCATENATE(GOOGLETRANSLATE(B1809, ""en"", ""zh-cn""))"),"取消")</f>
        <v>取消</v>
      </c>
      <c r="D1809" s="1" t="str">
        <f>IFERROR(__xludf.DUMMYFUNCTION("CONCATENATE(GOOGLETRANSLATE(B1809, ""en"", ""ko""))"),"취소")</f>
        <v>취소</v>
      </c>
      <c r="E1809" s="2" t="str">
        <f>IFERROR(__xludf.DUMMYFUNCTION("CONCATENATE(GOOGLETRANSLATE(B1809, ""en"", ""ja""))"),"キャンセル")</f>
        <v>キャンセル</v>
      </c>
    </row>
    <row r="1810" ht="15.75" customHeight="1">
      <c r="A1810" s="1" t="s">
        <v>3496</v>
      </c>
      <c r="B1810" s="1" t="s">
        <v>3497</v>
      </c>
      <c r="C1810" s="1" t="str">
        <f>IFERROR(__xludf.DUMMYFUNCTION("CONCATENATE(GOOGLETRANSLATE(B1810, ""en"", ""zh-cn""))"),"店铺电话")</f>
        <v>店铺电话</v>
      </c>
      <c r="D1810" s="1" t="str">
        <f>IFERROR(__xludf.DUMMYFUNCTION("CONCATENATE(GOOGLETRANSLATE(B1810, ""en"", ""ko""))"),"쇼핑 전화")</f>
        <v>쇼핑 전화</v>
      </c>
      <c r="E1810" s="2" t="str">
        <f>IFERROR(__xludf.DUMMYFUNCTION("CONCATENATE(GOOGLETRANSLATE(B1810, ""en"", ""ja""))"),"ショップの電話番号")</f>
        <v>ショップの電話番号</v>
      </c>
    </row>
    <row r="1811" ht="15.75" customHeight="1">
      <c r="A1811" s="1" t="s">
        <v>3498</v>
      </c>
      <c r="B1811" s="1" t="s">
        <v>3499</v>
      </c>
      <c r="C1811" s="1" t="str">
        <f>IFERROR(__xludf.DUMMYFUNCTION("CONCATENATE(GOOGLETRANSLATE(B1811, ""en"", ""zh-cn""))"),"Instagram")</f>
        <v>Instagram</v>
      </c>
      <c r="D1811" s="1" t="str">
        <f>IFERROR(__xludf.DUMMYFUNCTION("CONCATENATE(GOOGLETRANSLATE(B1811, ""en"", ""ko""))"),"인스타그램")</f>
        <v>인스타그램</v>
      </c>
      <c r="E1811" s="2" t="str">
        <f>IFERROR(__xludf.DUMMYFUNCTION("CONCATENATE(GOOGLETRANSLATE(B1811, ""en"", ""ja""))"),"インスタグラム")</f>
        <v>インスタグラム</v>
      </c>
    </row>
    <row r="1812" ht="15.75" customHeight="1">
      <c r="A1812" s="1" t="s">
        <v>3500</v>
      </c>
      <c r="B1812" s="1" t="s">
        <v>3501</v>
      </c>
      <c r="C1812" s="1" t="str">
        <f>IFERROR(__xludf.DUMMYFUNCTION("CONCATENATE(GOOGLETRANSLATE(B1812, ""en"", ""zh-cn""))"),"请升级您的套餐。")</f>
        <v>请升级您的套餐。</v>
      </c>
      <c r="D1812" s="1" t="str">
        <f>IFERROR(__xludf.DUMMYFUNCTION("CONCATENATE(GOOGLETRANSLATE(B1812, ""en"", ""ko""))"),"패키지를 업그레이드하세요.")</f>
        <v>패키지를 업그레이드하세요.</v>
      </c>
      <c r="E1812" s="2" t="str">
        <f>IFERROR(__xludf.DUMMYFUNCTION("CONCATENATE(GOOGLETRANSLATE(B1812, ""en"", ""ja""))"),"パッケージをアップグレードしてください。")</f>
        <v>パッケージをアップグレードしてください。</v>
      </c>
    </row>
    <row r="1813" ht="15.75" customHeight="1">
      <c r="A1813" s="1" t="s">
        <v>3502</v>
      </c>
      <c r="B1813" s="1" t="s">
        <v>3503</v>
      </c>
      <c r="C1813" s="1" t="str">
        <f>IFERROR(__xludf.DUMMYFUNCTION("CONCATENATE(GOOGLETRANSLATE(B1813, ""en"", ""zh-cn""))"),"外部链接")</f>
        <v>外部链接</v>
      </c>
      <c r="D1813" s="1" t="str">
        <f>IFERROR(__xludf.DUMMYFUNCTION("CONCATENATE(GOOGLETRANSLATE(B1813, ""en"", ""ko""))"),"외부링크")</f>
        <v>외부링크</v>
      </c>
      <c r="E1813" s="2" t="str">
        <f>IFERROR(__xludf.DUMMYFUNCTION("CONCATENATE(GOOGLETRANSLATE(B1813, ""en"", ""ja""))"),"外部リンク")</f>
        <v>外部リンク</v>
      </c>
    </row>
    <row r="1814" ht="15.75" customHeight="1">
      <c r="A1814" s="1" t="s">
        <v>3504</v>
      </c>
      <c r="B1814" s="1" t="s">
        <v>3505</v>
      </c>
      <c r="C1814" s="1" t="str">
        <f>IFERROR(__xludf.DUMMYFUNCTION("CONCATENATE(GOOGLETRANSLATE(B1814, ""en"", ""zh-cn""))"),"如果您不使用外部站点链接，请将其留空")</f>
        <v>如果您不使用外部站点链接，请将其留空</v>
      </c>
      <c r="D1814" s="1" t="str">
        <f>IFERROR(__xludf.DUMMYFUNCTION("CONCATENATE(GOOGLETRANSLATE(B1814, ""en"", ""ko""))"),"외부 사이트 링크를 사용하지 않는 경우 공백으로 남겨두세요")</f>
        <v>외부 사이트 링크를 사용하지 않는 경우 공백으로 남겨두세요</v>
      </c>
      <c r="E1814" s="2" t="str">
        <f>IFERROR(__xludf.DUMMYFUNCTION("CONCATENATE(GOOGLETRANSLATE(B1814, ""en"", ""ja""))"),"外部サイトへのリンクを使用しない場合は空白のままにしてください")</f>
        <v>外部サイトへのリンクを使用しない場合は空白のままにしてください</v>
      </c>
    </row>
    <row r="1815" ht="15.75" customHeight="1">
      <c r="A1815" s="1" t="s">
        <v>3506</v>
      </c>
      <c r="B1815" s="1" t="s">
        <v>3507</v>
      </c>
      <c r="C1815" s="1" t="str">
        <f>IFERROR(__xludf.DUMMYFUNCTION("CONCATENATE(GOOGLETRANSLATE(B1815, ""en"", ""zh-cn""))"),"外部链接按钮文本")</f>
        <v>外部链接按钮文本</v>
      </c>
      <c r="D1815" s="1" t="str">
        <f>IFERROR(__xludf.DUMMYFUNCTION("CONCATENATE(GOOGLETRANSLATE(B1815, ""en"", ""ko""))"),"외부링크 버튼 텍스트")</f>
        <v>외부링크 버튼 텍스트</v>
      </c>
      <c r="E1815" s="2" t="str">
        <f>IFERROR(__xludf.DUMMYFUNCTION("CONCATENATE(GOOGLETRANSLATE(B1815, ""en"", ""ja""))"),"外部リンクボタンのテキスト")</f>
        <v>外部リンクボタンのテキスト</v>
      </c>
    </row>
    <row r="1816" ht="15.75" customHeight="1">
      <c r="A1816" s="1" t="s">
        <v>3508</v>
      </c>
      <c r="B1816" s="1" t="s">
        <v>3509</v>
      </c>
      <c r="C1816" s="1" t="str">
        <f>IFERROR(__xludf.DUMMYFUNCTION("CONCATENATE(GOOGLETRANSLATE(B1816, ""en"", ""zh-cn""))"),"上传产品")</f>
        <v>上传产品</v>
      </c>
      <c r="D1816" s="1" t="str">
        <f>IFERROR(__xludf.DUMMYFUNCTION("CONCATENATE(GOOGLETRANSLATE(B1816, ""en"", ""ko""))"),"제품 업로드")</f>
        <v>제품 업로드</v>
      </c>
      <c r="E1816" s="2" t="str">
        <f>IFERROR(__xludf.DUMMYFUNCTION("CONCATENATE(GOOGLETRANSLATE(B1816, ""en"", ""ja""))"),"製品をアップロードする")</f>
        <v>製品をアップロードする</v>
      </c>
    </row>
    <row r="1817" ht="15.75" customHeight="1">
      <c r="A1817" s="1" t="s">
        <v>3510</v>
      </c>
      <c r="B1817" s="1" t="s">
        <v>3511</v>
      </c>
      <c r="C1817" s="1" t="str">
        <f>IFERROR(__xludf.DUMMYFUNCTION("CONCATENATE(GOOGLETRANSLATE(B1817, ""en"", ""zh-cn""))"),"导入应用程序翻译")</f>
        <v>导入应用程序翻译</v>
      </c>
      <c r="D1817" s="1" t="str">
        <f>IFERROR(__xludf.DUMMYFUNCTION("CONCATENATE(GOOGLETRANSLATE(B1817, ""en"", ""ko""))"),"앱 번역 가져오기")</f>
        <v>앱 번역 가져오기</v>
      </c>
      <c r="E1817" s="2" t="str">
        <f>IFERROR(__xludf.DUMMYFUNCTION("CONCATENATE(GOOGLETRANSLATE(B1817, ""en"", ""ja""))"),"アプリ翻訳のインポート")</f>
        <v>アプリ翻訳のインポート</v>
      </c>
    </row>
    <row r="1818" ht="15.75" customHeight="1">
      <c r="A1818" s="1" t="s">
        <v>3512</v>
      </c>
      <c r="B1818" s="1" t="s">
        <v>3513</v>
      </c>
      <c r="C1818" s="1" t="str">
        <f>IFERROR(__xludf.DUMMYFUNCTION("CONCATENATE(GOOGLETRANSLATE(B1818, ""en"", ""zh-cn""))"),"英文翻译文件")</f>
        <v>英文翻译文件</v>
      </c>
      <c r="D1818" s="1" t="str">
        <f>IFERROR(__xludf.DUMMYFUNCTION("CONCATENATE(GOOGLETRANSLATE(B1818, ""en"", ""ko""))"),"영어 번역 파일")</f>
        <v>영어 번역 파일</v>
      </c>
      <c r="E1818" s="2" t="str">
        <f>IFERROR(__xludf.DUMMYFUNCTION("CONCATENATE(GOOGLETRANSLATE(B1818, ""en"", ""ja""))"),"英語翻訳ファイル")</f>
        <v>英語翻訳ファイル</v>
      </c>
    </row>
    <row r="1819" ht="15.75" customHeight="1">
      <c r="A1819" s="1" t="s">
        <v>3514</v>
      </c>
      <c r="B1819" s="1" t="s">
        <v>3515</v>
      </c>
      <c r="C1819" s="1" t="str">
        <f>IFERROR(__xludf.DUMMYFUNCTION("CONCATENATE(GOOGLETRANSLATE(B1819, ""en"", ""zh-cn""))"),"选择app_en.arb文件")</f>
        <v>选择app_en.arb文件</v>
      </c>
      <c r="D1819" s="1" t="str">
        <f>IFERROR(__xludf.DUMMYFUNCTION("CONCATENATE(GOOGLETRANSLATE(B1819, ""en"", ""ko""))"),"app_en.arb 파일을 선택하세요")</f>
        <v>app_en.arb 파일을 선택하세요</v>
      </c>
      <c r="E1819" s="2" t="str">
        <f>IFERROR(__xludf.DUMMYFUNCTION("CONCATENATE(GOOGLETRANSLATE(B1819, ""en"", ""ja""))"),"app_en.arb ファイルを選択してください")</f>
        <v>app_en.arb ファイルを選択してください</v>
      </c>
    </row>
    <row r="1820" ht="15.75" customHeight="1">
      <c r="A1820" s="1" t="s">
        <v>3516</v>
      </c>
      <c r="B1820" s="1" t="s">
        <v>3517</v>
      </c>
      <c r="C1820" s="1" t="str">
        <f>IFERROR(__xludf.DUMMYFUNCTION("CONCATENATE(GOOGLETRANSLATE(B1820, ""en"", ""zh-cn""))"),"进口")</f>
        <v>进口</v>
      </c>
      <c r="D1820" s="1" t="str">
        <f>IFERROR(__xludf.DUMMYFUNCTION("CONCATENATE(GOOGLETRANSLATE(B1820, ""en"", ""ko""))"),"수입")</f>
        <v>수입</v>
      </c>
      <c r="E1820" s="2" t="str">
        <f>IFERROR(__xludf.DUMMYFUNCTION("CONCATENATE(GOOGLETRANSLATE(B1820, ""en"", ""ja""))"),"輸入")</f>
        <v>輸入</v>
      </c>
    </row>
    <row r="1821" ht="15.75" customHeight="1">
      <c r="A1821" s="1" t="s">
        <v>3518</v>
      </c>
      <c r="B1821" s="1" t="s">
        <v>3519</v>
      </c>
      <c r="C1821" s="1" t="str">
        <f>IFERROR(__xludf.DUMMYFUNCTION("CONCATENATE(GOOGLETRANSLATE(B1821, ""en"", ""zh-cn""))"),"Flutter 应用程序语言代码")</f>
        <v>Flutter 应用程序语言代码</v>
      </c>
      <c r="D1821" s="1" t="str">
        <f>IFERROR(__xludf.DUMMYFUNCTION("CONCATENATE(GOOGLETRANSLATE(B1821, ""en"", ""ko""))"),"Flutter 앱 언어 코드")</f>
        <v>Flutter 앱 언어 코드</v>
      </c>
      <c r="E1821" s="2" t="str">
        <f>IFERROR(__xludf.DUMMYFUNCTION("CONCATENATE(GOOGLETRANSLATE(B1821, ""en"", ""ja""))"),"Flutter アプリの言語コード")</f>
        <v>Flutter アプリの言語コード</v>
      </c>
    </row>
    <row r="1822" ht="15.75" customHeight="1">
      <c r="A1822" s="1" t="s">
        <v>3520</v>
      </c>
      <c r="B1822" s="1" t="s">
        <v>3521</v>
      </c>
      <c r="C1822" s="1" t="str">
        <f>IFERROR(__xludf.DUMMYFUNCTION("CONCATENATE(GOOGLETRANSLATE(B1822, ""en"", ""zh-cn""))"),"应用翻译")</f>
        <v>应用翻译</v>
      </c>
      <c r="D1822" s="1" t="str">
        <f>IFERROR(__xludf.DUMMYFUNCTION("CONCATENATE(GOOGLETRANSLATE(B1822, ""en"", ""ko""))"),"앱 번역")</f>
        <v>앱 번역</v>
      </c>
      <c r="E1822" s="2" t="str">
        <f>IFERROR(__xludf.DUMMYFUNCTION("CONCATENATE(GOOGLETRANSLATE(B1822, ""en"", ""ja""))"),"アプリ翻訳")</f>
        <v>アプリ翻訳</v>
      </c>
    </row>
    <row r="1823" ht="15.75" customHeight="1">
      <c r="A1823" s="1" t="s">
        <v>3522</v>
      </c>
      <c r="B1823" s="1" t="s">
        <v>3523</v>
      </c>
      <c r="C1823" s="1" t="str">
        <f>IFERROR(__xludf.DUMMYFUNCTION("CONCATENATE(GOOGLETRANSLATE(B1823, ""en"", ""zh-cn""))"),"arb 文件导出")</f>
        <v>arb 文件导出</v>
      </c>
      <c r="D1823" s="1" t="str">
        <f>IFERROR(__xludf.DUMMYFUNCTION("CONCATENATE(GOOGLETRANSLATE(B1823, ""en"", ""ko""))"),"arb 파일 내보내기")</f>
        <v>arb 파일 내보내기</v>
      </c>
      <c r="E1823" s="2" t="str">
        <f>IFERROR(__xludf.DUMMYFUNCTION("CONCATENATE(GOOGLETRANSLATE(B1823, ""en"", ""ja""))"),"arb ファイルのエクスポート")</f>
        <v>arb ファイルのエクスポート</v>
      </c>
    </row>
    <row r="1824" ht="15.75" customHeight="1">
      <c r="A1824" s="1" t="s">
        <v>3524</v>
      </c>
      <c r="B1824" s="1" t="s">
        <v>3525</v>
      </c>
      <c r="C1824" s="1" t="str">
        <f>IFERROR(__xludf.DUMMYFUNCTION("CONCATENATE(GOOGLETRANSLATE(B1824, ""en"", ""zh-cn""))"),"ISO 639-1 代码的链接")</f>
        <v>ISO 639-1 代码的链接</v>
      </c>
      <c r="D1824" s="1" t="str">
        <f>IFERROR(__xludf.DUMMYFUNCTION("CONCATENATE(GOOGLETRANSLATE(B1824, ""en"", ""ko""))"),"ISO 639-1 코드 링크")</f>
        <v>ISO 639-1 코드 링크</v>
      </c>
      <c r="E1824" s="2" t="str">
        <f>IFERROR(__xludf.DUMMYFUNCTION("CONCATENATE(GOOGLETRANSLATE(B1824, ""en"", ""ja""))"),"ISO 639-1 コードのリンク")</f>
        <v>ISO 639-1 コードのリンク</v>
      </c>
    </row>
    <row r="1825" ht="15.75" customHeight="1">
      <c r="A1825" s="1" t="s">
        <v>3526</v>
      </c>
      <c r="B1825" s="1" t="s">
        <v>3527</v>
      </c>
      <c r="C1825" s="1" t="str">
        <f>IFERROR(__xludf.DUMMYFUNCTION("CONCATENATE(GOOGLETRANSLATE(B1825, ""en"", ""zh-cn""))"),"输入适合您的语言的 ISO 639-1 代码")</f>
        <v>输入适合您的语言的 ISO 639-1 代码</v>
      </c>
      <c r="D1825" s="1" t="str">
        <f>IFERROR(__xludf.DUMMYFUNCTION("CONCATENATE(GOOGLETRANSLATE(B1825, ""en"", ""ko""))"),"귀하의 언어에 맞는 ISO 639-1 코드를 입력하세요")</f>
        <v>귀하의 언어에 맞는 ISO 639-1 코드를 입력하세요</v>
      </c>
      <c r="E1825" s="2" t="str">
        <f>IFERROR(__xludf.DUMMYFUNCTION("CONCATENATE(GOOGLETRANSLATE(B1825, ""en"", ""ja""))"),"あなたの言語の ISO 639-1 コードを入力してください")</f>
        <v>あなたの言語の ISO 639-1 コードを入力してください</v>
      </c>
    </row>
    <row r="1826" ht="15.75" customHeight="1">
      <c r="A1826" s="1" t="s">
        <v>3528</v>
      </c>
      <c r="B1826" s="1" t="s">
        <v>3529</v>
      </c>
      <c r="C1826" s="1" t="str">
        <f>IFERROR(__xludf.DUMMYFUNCTION("CONCATENATE(GOOGLETRANSLATE(B1826, ""en"", ""zh-cn""))"),"购买代码")</f>
        <v>购买代码</v>
      </c>
      <c r="D1826" s="1" t="str">
        <f>IFERROR(__xludf.DUMMYFUNCTION("CONCATENATE(GOOGLETRANSLATE(B1826, ""en"", ""ko""))"),"구매 코드")</f>
        <v>구매 코드</v>
      </c>
      <c r="E1826" s="2" t="str">
        <f>IFERROR(__xludf.DUMMYFUNCTION("CONCATENATE(GOOGLETRANSLATE(B1826, ""en"", ""ja""))"),"購入コード")</f>
        <v>購入コード</v>
      </c>
    </row>
    <row r="1827" ht="15.75" customHeight="1">
      <c r="A1827" s="1" t="s">
        <v>3530</v>
      </c>
      <c r="B1827" s="1" t="s">
        <v>3531</v>
      </c>
      <c r="C1827" s="1" t="str">
        <f>IFERROR(__xludf.DUMMYFUNCTION("CONCATENATE(GOOGLETRANSLATE(B1827, ""en"", ""zh-cn""))"),"插件安装成功")</f>
        <v>插件安装成功</v>
      </c>
      <c r="D1827" s="1" t="str">
        <f>IFERROR(__xludf.DUMMYFUNCTION("CONCATENATE(GOOGLETRANSLATE(B1827, ""en"", ""ko""))"),"애드온이 성공적으로 설치되었습니다")</f>
        <v>애드온이 성공적으로 설치되었습니다</v>
      </c>
      <c r="E1827" s="2" t="str">
        <f>IFERROR(__xludf.DUMMYFUNCTION("CONCATENATE(GOOGLETRANSLATE(B1827, ""en"", ""ja""))"),"アドオンが正常にインストールされました")</f>
        <v>アドオンが正常にインストールされました</v>
      </c>
    </row>
    <row r="1828" ht="15.75" customHeight="1">
      <c r="A1828" s="1" t="s">
        <v>3532</v>
      </c>
      <c r="B1828" s="1" t="s">
        <v>3533</v>
      </c>
      <c r="C1828" s="1" t="str">
        <f>IFERROR(__xludf.DUMMYFUNCTION("CONCATENATE(GOOGLETRANSLATE(B1828, ""en"", ""zh-cn""))"),"退款请求发送时间已成功更新")</f>
        <v>退款请求发送时间已成功更新</v>
      </c>
      <c r="D1828" s="1" t="str">
        <f>IFERROR(__xludf.DUMMYFUNCTION("CONCATENATE(GOOGLETRANSLATE(B1828, ""en"", ""ko""))"),"환불 요청 전송 시간이 성공적으로 업데이트되었습니다.")</f>
        <v>환불 요청 전송 시간이 성공적으로 업데이트되었습니다.</v>
      </c>
      <c r="E1828" s="2" t="str">
        <f>IFERROR(__xludf.DUMMYFUNCTION("CONCATENATE(GOOGLETRANSLATE(B1828, ""en"", ""ja""))"),"返金リクエストの送信時間が正常に更新されました")</f>
        <v>返金リクエストの送信時間が正常に更新されました</v>
      </c>
    </row>
    <row r="1829" ht="15.75" customHeight="1">
      <c r="A1829" s="1" t="s">
        <v>3534</v>
      </c>
      <c r="B1829" s="1" t="s">
        <v>3535</v>
      </c>
      <c r="C1829" s="1" t="str">
        <f>IFERROR(__xludf.DUMMYFUNCTION("CONCATENATE(GOOGLETRANSLATE(B1829, ""en"", ""zh-cn""))"),"提取卖家金额")</f>
        <v>提取卖家金额</v>
      </c>
      <c r="D1829" s="1" t="str">
        <f>IFERROR(__xludf.DUMMYFUNCTION("CONCATENATE(GOOGLETRANSLATE(B1829, ""en"", ""ko""))"),"판매자금액 출금")</f>
        <v>판매자금액 출금</v>
      </c>
      <c r="E1829" s="2" t="str">
        <f>IFERROR(__xludf.DUMMYFUNCTION("CONCATENATE(GOOGLETRANSLATE(B1829, ""en"", ""ja""))"),"販売者の金額を引き出す")</f>
        <v>販売者の金額を引き出す</v>
      </c>
    </row>
    <row r="1830" ht="15.75" customHeight="1">
      <c r="A1830" s="1" t="s">
        <v>3536</v>
      </c>
      <c r="B1830" s="1" t="s">
        <v>3537</v>
      </c>
      <c r="C1830" s="1" t="str">
        <f>IFERROR(__xludf.DUMMYFUNCTION("CONCATENATE(GOOGLETRANSLATE(B1830, ""en"", ""zh-cn""))"),"卖家最低提款金额")</f>
        <v>卖家最低提款金额</v>
      </c>
      <c r="D1830" s="1" t="str">
        <f>IFERROR(__xludf.DUMMYFUNCTION("CONCATENATE(GOOGLETRANSLATE(B1830, ""en"", ""ko""))"),"최소 판매자 출금 금액")</f>
        <v>최소 판매자 출금 금액</v>
      </c>
      <c r="E1830" s="2" t="str">
        <f>IFERROR(__xludf.DUMMYFUNCTION("CONCATENATE(GOOGLETRANSLATE(B1830, ""en"", ""ja""))"),"販売者の最低出金額")</f>
        <v>販売者の最低出金額</v>
      </c>
    </row>
    <row r="1831" ht="15.75" customHeight="1">
      <c r="A1831" s="1" t="s">
        <v>3538</v>
      </c>
      <c r="B1831" s="1" t="s">
        <v>3539</v>
      </c>
      <c r="C1831" s="1" t="str">
        <f>IFERROR(__xludf.DUMMYFUNCTION("CONCATENATE(GOOGLETRANSLATE(B1831, ""en"", ""zh-cn""))"),"按产品名称/条形码搜索")</f>
        <v>按产品名称/条形码搜索</v>
      </c>
      <c r="D1831" s="1" t="str">
        <f>IFERROR(__xludf.DUMMYFUNCTION("CONCATENATE(GOOGLETRANSLATE(B1831, ""en"", ""ko""))"),"제품명/바코드로 검색")</f>
        <v>제품명/바코드로 검색</v>
      </c>
      <c r="E1831" s="2" t="str">
        <f>IFERROR(__xludf.DUMMYFUNCTION("CONCATENATE(GOOGLETRANSLATE(B1831, ""en"", ""ja""))"),"商品名・バーコードから探す")</f>
        <v>商品名・バーコードから探す</v>
      </c>
    </row>
    <row r="1832" ht="15.75" customHeight="1">
      <c r="A1832" s="1" t="s">
        <v>3540</v>
      </c>
      <c r="B1832" s="1" t="s">
        <v>3541</v>
      </c>
      <c r="C1832" s="1" t="str">
        <f>IFERROR(__xludf.DUMMYFUNCTION("CONCATENATE(GOOGLETRANSLATE(B1832, ""en"", ""zh-cn""))"),"状态")</f>
        <v>状态</v>
      </c>
      <c r="D1832" s="1" t="str">
        <f>IFERROR(__xludf.DUMMYFUNCTION("CONCATENATE(GOOGLETRANSLATE(B1832, ""en"", ""ko""))"),"상태")</f>
        <v>상태</v>
      </c>
      <c r="E1832" s="2" t="str">
        <f>IFERROR(__xludf.DUMMYFUNCTION("CONCATENATE(GOOGLETRANSLATE(B1832, ""en"", ""ja""))"),"州")</f>
        <v>州</v>
      </c>
    </row>
    <row r="1833" ht="15.75" customHeight="1">
      <c r="A1833" s="1" t="s">
        <v>3542</v>
      </c>
      <c r="B1833" s="1" t="s">
        <v>3543</v>
      </c>
      <c r="C1833" s="1" t="str">
        <f>IFERROR(__xludf.DUMMYFUNCTION("CONCATENATE(GOOGLETRANSLATE(B1833, ""en"", ""zh-cn""))"),"货到付款确认")</f>
        <v>货到付款确认</v>
      </c>
      <c r="D1833" s="1" t="str">
        <f>IFERROR(__xludf.DUMMYFUNCTION("CONCATENATE(GOOGLETRANSLATE(B1833, ""en"", ""ko""))"),"COD로 확인")</f>
        <v>COD로 확인</v>
      </c>
      <c r="E1833" s="2" t="str">
        <f>IFERROR(__xludf.DUMMYFUNCTION("CONCATENATE(GOOGLETRANSLATE(B1833, ""en"", ""ja""))"),"代金引換で確認")</f>
        <v>代金引換で確認</v>
      </c>
    </row>
    <row r="1834" ht="15.75" customHeight="1">
      <c r="A1834" s="1" t="s">
        <v>3544</v>
      </c>
      <c r="B1834" s="1" t="s">
        <v>3545</v>
      </c>
      <c r="C1834" s="1" t="str">
        <f>IFERROR(__xludf.DUMMYFUNCTION("CONCATENATE(GOOGLETRANSLATE(B1834, ""en"", ""zh-cn""))"),"现金确认")</f>
        <v>现金确认</v>
      </c>
      <c r="D1834" s="1" t="str">
        <f>IFERROR(__xludf.DUMMYFUNCTION("CONCATENATE(GOOGLETRANSLATE(B1834, ""en"", ""ko""))"),"현금으로 확인")</f>
        <v>현금으로 확인</v>
      </c>
      <c r="E1834" s="2" t="str">
        <f>IFERROR(__xludf.DUMMYFUNCTION("CONCATENATE(GOOGLETRANSLATE(B1834, ""en"", ""ja""))"),"現金で確認")</f>
        <v>現金で確認</v>
      </c>
    </row>
    <row r="1835" ht="15.75" customHeight="1">
      <c r="A1835" s="1" t="s">
        <v>3546</v>
      </c>
      <c r="B1835" s="1" t="s">
        <v>3547</v>
      </c>
      <c r="C1835" s="1" t="str">
        <f>IFERROR(__xludf.DUMMYFUNCTION("CONCATENATE(GOOGLETRANSLATE(B1835, ""en"", ""zh-cn""))"),"线下支付信息")</f>
        <v>线下支付信息</v>
      </c>
      <c r="D1835" s="1" t="str">
        <f>IFERROR(__xludf.DUMMYFUNCTION("CONCATENATE(GOOGLETRANSLATE(B1835, ""en"", ""ko""))"),"오프라인 결제 정보")</f>
        <v>오프라인 결제 정보</v>
      </c>
      <c r="E1835" s="2" t="str">
        <f>IFERROR(__xludf.DUMMYFUNCTION("CONCATENATE(GOOGLETRANSLATE(B1835, ""en"", ""ja""))"),"オフライン支払い情報")</f>
        <v>オフライン支払い情報</v>
      </c>
    </row>
    <row r="1836" ht="15.75" customHeight="1">
      <c r="A1836" s="1" t="s">
        <v>3548</v>
      </c>
      <c r="B1836" s="1" t="s">
        <v>3549</v>
      </c>
      <c r="C1836" s="1" t="str">
        <f>IFERROR(__xludf.DUMMYFUNCTION("CONCATENATE(GOOGLETRANSLATE(B1836, ""en"", ""zh-cn""))"),"付款证明")</f>
        <v>付款证明</v>
      </c>
      <c r="D1836" s="1" t="str">
        <f>IFERROR(__xludf.DUMMYFUNCTION("CONCATENATE(GOOGLETRANSLATE(B1836, ""en"", ""ko""))"),"지불 증명")</f>
        <v>지불 증명</v>
      </c>
      <c r="E1836" s="2" t="str">
        <f>IFERROR(__xludf.DUMMYFUNCTION("CONCATENATE(GOOGLETRANSLATE(B1836, ""en"", ""ja""))"),"支払い証明")</f>
        <v>支払い証明</v>
      </c>
    </row>
    <row r="1837" ht="15.75" customHeight="1">
      <c r="A1837" s="1" t="s">
        <v>3550</v>
      </c>
      <c r="B1837" s="1" t="s">
        <v>3551</v>
      </c>
      <c r="C1837" s="1" t="str">
        <f>IFERROR(__xludf.DUMMYFUNCTION("CONCATENATE(GOOGLETRANSLATE(B1837, ""en"", ""zh-cn""))"),"套餐")</f>
        <v>套餐</v>
      </c>
      <c r="D1837" s="1" t="str">
        <f>IFERROR(__xludf.DUMMYFUNCTION("CONCATENATE(GOOGLETRANSLATE(B1837, ""en"", ""ko""))"),"패키지")</f>
        <v>패키지</v>
      </c>
      <c r="E1837" s="2" t="str">
        <f>IFERROR(__xludf.DUMMYFUNCTION("CONCATENATE(GOOGLETRANSLATE(B1837, ""en"", ""ja""))"),"パッケージ")</f>
        <v>パッケージ</v>
      </c>
    </row>
    <row r="1838" ht="15.75" customHeight="1">
      <c r="A1838" s="1" t="s">
        <v>3552</v>
      </c>
      <c r="B1838" s="1" t="s">
        <v>3553</v>
      </c>
      <c r="C1838" s="1" t="str">
        <f>IFERROR(__xludf.DUMMYFUNCTION("CONCATENATE(GOOGLETRANSLATE(B1838, ""en"", ""zh-cn""))"),"购买套餐")</f>
        <v>购买套餐</v>
      </c>
      <c r="D1838" s="1" t="str">
        <f>IFERROR(__xludf.DUMMYFUNCTION("CONCATENATE(GOOGLETRANSLATE(B1838, ""en"", ""ko""))"),"패키지 구매")</f>
        <v>패키지 구매</v>
      </c>
      <c r="E1838" s="2" t="str">
        <f>IFERROR(__xludf.DUMMYFUNCTION("CONCATENATE(GOOGLETRANSLATE(B1838, ""en"", ""ja""))"),"パッケージを購入する")</f>
        <v>パッケージを購入する</v>
      </c>
    </row>
    <row r="1839" ht="15.75" customHeight="1">
      <c r="A1839" s="1" t="s">
        <v>3554</v>
      </c>
      <c r="B1839" s="1" t="s">
        <v>3555</v>
      </c>
      <c r="C1839" s="1" t="str">
        <f>IFERROR(__xludf.DUMMYFUNCTION("CONCATENATE(GOOGLETRANSLATE(B1839, ""en"", ""zh-cn""))"),"新产品")</f>
        <v>新产品</v>
      </c>
      <c r="D1839" s="1" t="str">
        <f>IFERROR(__xludf.DUMMYFUNCTION("CONCATENATE(GOOGLETRANSLATE(B1839, ""en"", ""ko""))"),"신제품")</f>
        <v>신제품</v>
      </c>
      <c r="E1839" s="2" t="str">
        <f>IFERROR(__xludf.DUMMYFUNCTION("CONCATENATE(GOOGLETRANSLATE(B1839, ""en"", ""ja""))"),"新製品")</f>
        <v>新製品</v>
      </c>
    </row>
    <row r="1840" ht="15.75" customHeight="1">
      <c r="A1840" s="1" t="s">
        <v>3556</v>
      </c>
      <c r="B1840" s="1" t="s">
        <v>3557</v>
      </c>
      <c r="C1840" s="1" t="str">
        <f>IFERROR(__xludf.DUMMYFUNCTION("CONCATENATE(GOOGLETRANSLATE(B1840, ""en"", ""zh-cn""))"),"查看政策")</f>
        <v>查看政策</v>
      </c>
      <c r="D1840" s="1" t="str">
        <f>IFERROR(__xludf.DUMMYFUNCTION("CONCATENATE(GOOGLETRANSLATE(B1840, ""en"", ""ko""))"),"정책 보기")</f>
        <v>정책 보기</v>
      </c>
      <c r="E1840" s="2" t="str">
        <f>IFERROR(__xludf.DUMMYFUNCTION("CONCATENATE(GOOGLETRANSLATE(B1840, ""en"", ""ja""))"),"ポリシーの表示")</f>
        <v>ポリシーの表示</v>
      </c>
    </row>
    <row r="1841" ht="15.75" customHeight="1">
      <c r="A1841" s="1" t="s">
        <v>3558</v>
      </c>
      <c r="B1841" s="1" t="s">
        <v>3559</v>
      </c>
      <c r="C1841" s="1" t="str">
        <f>IFERROR(__xludf.DUMMYFUNCTION("CONCATENATE(GOOGLETRANSLATE(B1841, ""en"", ""zh-cn""))"),"推荐人")</f>
        <v>推荐人</v>
      </c>
      <c r="D1841" s="1" t="str">
        <f>IFERROR(__xludf.DUMMYFUNCTION("CONCATENATE(GOOGLETRANSLATE(B1841, ""en"", ""ko""))"),"추천인")</f>
        <v>추천인</v>
      </c>
      <c r="E1841" s="2" t="str">
        <f>IFERROR(__xludf.DUMMYFUNCTION("CONCATENATE(GOOGLETRANSLATE(B1841, ""en"", ""ja""))"),"参照者")</f>
        <v>参照者</v>
      </c>
    </row>
    <row r="1842" ht="15.75" customHeight="1">
      <c r="A1842" s="1" t="s">
        <v>3560</v>
      </c>
      <c r="B1842" s="1" t="s">
        <v>3561</v>
      </c>
      <c r="C1842" s="1" t="str">
        <f>IFERROR(__xludf.DUMMYFUNCTION("CONCATENATE(GOOGLETRANSLATE(B1842, ""en"", ""zh-cn""))"),"缓存和会话驱动程序")</f>
        <v>缓存和会话驱动程序</v>
      </c>
      <c r="D1842" s="1" t="str">
        <f>IFERROR(__xludf.DUMMYFUNCTION("CONCATENATE(GOOGLETRANSLATE(B1842, ""en"", ""ko""))"),"캐시 및 세션 드라이버")</f>
        <v>캐시 및 세션 드라이버</v>
      </c>
      <c r="E1842" s="2" t="str">
        <f>IFERROR(__xludf.DUMMYFUNCTION("CONCATENATE(GOOGLETRANSLATE(B1842, ""en"", ""ja""))"),"キャッシュおよびセッションドライバー")</f>
        <v>キャッシュおよびセッションドライバー</v>
      </c>
    </row>
    <row r="1843" ht="15.75" customHeight="1">
      <c r="A1843" s="1" t="s">
        <v>3562</v>
      </c>
      <c r="B1843" s="1" t="s">
        <v>3563</v>
      </c>
      <c r="C1843" s="1" t="str">
        <f>IFERROR(__xludf.DUMMYFUNCTION("CONCATENATE(GOOGLETRANSLATE(B1843, ""en"", ""zh-cn""))"),"缓存驱动程序")</f>
        <v>缓存驱动程序</v>
      </c>
      <c r="D1843" s="1" t="str">
        <f>IFERROR(__xludf.DUMMYFUNCTION("CONCATENATE(GOOGLETRANSLATE(B1843, ""en"", ""ko""))"),"CACHE_DRIVER")</f>
        <v>CACHE_DRIVER</v>
      </c>
      <c r="E1843" s="2" t="str">
        <f>IFERROR(__xludf.DUMMYFUNCTION("CONCATENATE(GOOGLETRANSLATE(B1843, ""en"", ""ja""))"),"キャッシュ_ドライバー")</f>
        <v>キャッシュ_ドライバー</v>
      </c>
    </row>
    <row r="1844" ht="15.75" customHeight="1">
      <c r="A1844" s="1" t="s">
        <v>3564</v>
      </c>
      <c r="B1844" s="1" t="s">
        <v>3564</v>
      </c>
      <c r="C1844" s="1" t="str">
        <f>IFERROR(__xludf.DUMMYFUNCTION("CONCATENATE(GOOGLETRANSLATE(B1844, ""en"", ""zh-cn""))"),"雷迪斯")</f>
        <v>雷迪斯</v>
      </c>
      <c r="D1844" s="1" t="str">
        <f>IFERROR(__xludf.DUMMYFUNCTION("CONCATENATE(GOOGLETRANSLATE(B1844, ""en"", ""ko""))"),"레디스")</f>
        <v>레디스</v>
      </c>
      <c r="E1844" s="2" t="str">
        <f>IFERROR(__xludf.DUMMYFUNCTION("CONCATENATE(GOOGLETRANSLATE(B1844, ""en"", ""ja""))"),"レディス")</f>
        <v>レディス</v>
      </c>
    </row>
    <row r="1845" ht="15.75" customHeight="1">
      <c r="A1845" s="1" t="s">
        <v>3565</v>
      </c>
      <c r="B1845" s="1" t="s">
        <v>3566</v>
      </c>
      <c r="C1845" s="1" t="str">
        <f>IFERROR(__xludf.DUMMYFUNCTION("CONCATENATE(GOOGLETRANSLATE(B1845, ""en"", ""zh-cn""))"),"会话驱动程序")</f>
        <v>会话驱动程序</v>
      </c>
      <c r="D1845" s="1" t="str">
        <f>IFERROR(__xludf.DUMMYFUNCTION("CONCATENATE(GOOGLETRANSLATE(B1845, ""en"", ""ko""))"),"SESSION_DRIVER")</f>
        <v>SESSION_DRIVER</v>
      </c>
      <c r="E1845" s="2" t="str">
        <f>IFERROR(__xludf.DUMMYFUNCTION("CONCATENATE(GOOGLETRANSLATE(B1845, ""en"", ""ja""))"),"セッションドライバー")</f>
        <v>セッションドライバー</v>
      </c>
    </row>
    <row r="1846" ht="15.75" customHeight="1">
      <c r="A1846" s="1" t="s">
        <v>3567</v>
      </c>
      <c r="B1846" s="1" t="s">
        <v>3568</v>
      </c>
      <c r="C1846" s="1" t="str">
        <f>IFERROR(__xludf.DUMMYFUNCTION("CONCATENATE(GOOGLETRANSLATE(B1846, ""en"", ""zh-cn""))"),"Redis 配置（如果您使用 redis 作为任何驱动程序）")</f>
        <v>Redis 配置（如果您使用 redis 作为任何驱动程序）</v>
      </c>
      <c r="D1846" s="1" t="str">
        <f>IFERROR(__xludf.DUMMYFUNCTION("CONCATENATE(GOOGLETRANSLATE(B1846, ""en"", ""ko""))"),"Redis 구성(드라이버로 Redis를 사용하는 경우)")</f>
        <v>Redis 구성(드라이버로 Redis를 사용하는 경우)</v>
      </c>
      <c r="E1846" s="2" t="str">
        <f>IFERROR(__xludf.DUMMYFUNCTION("CONCATENATE(GOOGLETRANSLATE(B1846, ""en"", ""ja""))"),"Redis 構成 (いずれかのドライバーとして Redis を使用する場合)")</f>
        <v>Redis 構成 (いずれかのドライバーとして Redis を使用する場合)</v>
      </c>
    </row>
    <row r="1847" ht="15.75" customHeight="1">
      <c r="A1847" s="1" t="s">
        <v>3569</v>
      </c>
      <c r="B1847" s="1" t="s">
        <v>3570</v>
      </c>
      <c r="C1847" s="1" t="str">
        <f>IFERROR(__xludf.DUMMYFUNCTION("CONCATENATE(GOOGLETRANSLATE(B1847, ""en"", ""zh-cn""))"),"REDIS_HOST")</f>
        <v>REDIS_HOST</v>
      </c>
      <c r="D1847" s="1" t="str">
        <f>IFERROR(__xludf.DUMMYFUNCTION("CONCATENATE(GOOGLETRANSLATE(B1847, ""en"", ""ko""))"),"REDIS_HOST")</f>
        <v>REDIS_HOST</v>
      </c>
      <c r="E1847" s="2" t="str">
        <f>IFERROR(__xludf.DUMMYFUNCTION("CONCATENATE(GOOGLETRANSLATE(B1847, ""en"", ""ja""))"),"REDIS_HOST")</f>
        <v>REDIS_HOST</v>
      </c>
    </row>
    <row r="1848" ht="15.75" customHeight="1">
      <c r="A1848" s="1" t="s">
        <v>3571</v>
      </c>
      <c r="B1848" s="1" t="s">
        <v>3572</v>
      </c>
      <c r="C1848" s="1" t="str">
        <f>IFERROR(__xludf.DUMMYFUNCTION("CONCATENATE(GOOGLETRANSLATE(B1848, ""en"", ""zh-cn""))"),"REDIS_密码")</f>
        <v>REDIS_密码</v>
      </c>
      <c r="D1848" s="1" t="str">
        <f>IFERROR(__xludf.DUMMYFUNCTION("CONCATENATE(GOOGLETRANSLATE(B1848, ""en"", ""ko""))"),"REDIS_PASSWORD")</f>
        <v>REDIS_PASSWORD</v>
      </c>
      <c r="E1848" s="2" t="str">
        <f>IFERROR(__xludf.DUMMYFUNCTION("CONCATENATE(GOOGLETRANSLATE(B1848, ""en"", ""ja""))"),"REDIS_パスワード")</f>
        <v>REDIS_パスワード</v>
      </c>
    </row>
    <row r="1849" ht="15.75" customHeight="1">
      <c r="A1849" s="1" t="s">
        <v>3573</v>
      </c>
      <c r="B1849" s="1" t="s">
        <v>3574</v>
      </c>
      <c r="C1849" s="1" t="str">
        <f>IFERROR(__xludf.DUMMYFUNCTION("CONCATENATE(GOOGLETRANSLATE(B1849, ""en"", ""zh-cn""))"),"REDIS_端口")</f>
        <v>REDIS_端口</v>
      </c>
      <c r="D1849" s="1" t="str">
        <f>IFERROR(__xludf.DUMMYFUNCTION("CONCATENATE(GOOGLETRANSLATE(B1849, ""en"", ""ko""))"),"REDIS_PORT")</f>
        <v>REDIS_PORT</v>
      </c>
      <c r="E1849" s="2" t="str">
        <f>IFERROR(__xludf.DUMMYFUNCTION("CONCATENATE(GOOGLETRANSLATE(B1849, ""en"", ""ja""))"),"REDIS_PORT")</f>
        <v>REDIS_PORT</v>
      </c>
    </row>
    <row r="1850" ht="15.75" customHeight="1">
      <c r="A1850" s="1" t="s">
        <v>3575</v>
      </c>
      <c r="B1850" s="1" t="s">
        <v>3576</v>
      </c>
      <c r="C1850" s="1" t="str">
        <f>IFERROR(__xludf.DUMMYFUNCTION("CONCATENATE(GOOGLETRANSLATE(B1850, ""en"", ""zh-cn""))"),"您没有足够的余额来发送提款请求")</f>
        <v>您没有足够的余额来发送提款请求</v>
      </c>
      <c r="D1850" s="1" t="str">
        <f>IFERROR(__xludf.DUMMYFUNCTION("CONCATENATE(GOOGLETRANSLATE(B1850, ""en"", ""ko""))"),"출금 요청을 보낼 만큼 잔액이 충분하지 않습니다.")</f>
        <v>출금 요청을 보낼 만큼 잔액이 충분하지 않습니다.</v>
      </c>
      <c r="E1850" s="2" t="str">
        <f>IFERROR(__xludf.DUMMYFUNCTION("CONCATENATE(GOOGLETRANSLATE(B1850, ""en"", ""ja""))"),"出金リクエストを送信するのに十分な残高がありません")</f>
        <v>出金リクエストを送信するのに十分な残高がありません</v>
      </c>
    </row>
    <row r="1851" ht="15.75" customHeight="1">
      <c r="A1851" s="1" t="s">
        <v>3577</v>
      </c>
      <c r="B1851" s="1" t="s">
        <v>3578</v>
      </c>
      <c r="C1851" s="1" t="str">
        <f>IFERROR(__xludf.DUMMYFUNCTION("CONCATENATE(GOOGLETRANSLATE(B1851, ""en"", ""zh-cn""))"),"产品上传限制")</f>
        <v>产品上传限制</v>
      </c>
      <c r="D1851" s="1" t="str">
        <f>IFERROR(__xludf.DUMMYFUNCTION("CONCATENATE(GOOGLETRANSLATE(B1851, ""en"", ""ko""))"),"제품 업로드 제한")</f>
        <v>제품 업로드 제한</v>
      </c>
      <c r="E1851" s="2" t="str">
        <f>IFERROR(__xludf.DUMMYFUNCTION("CONCATENATE(GOOGLETRANSLATE(B1851, ""en"", ""ja""))"),"製品のアップロード制限")</f>
        <v>製品のアップロード制限</v>
      </c>
    </row>
    <row r="1852" ht="15.75" customHeight="1">
      <c r="A1852" s="1" t="s">
        <v>3579</v>
      </c>
      <c r="B1852" s="1" t="s">
        <v>3580</v>
      </c>
      <c r="C1852" s="1" t="str">
        <f>IFERROR(__xludf.DUMMYFUNCTION("CONCATENATE(GOOGLETRANSLATE(B1852, ""en"", ""zh-cn""))"),"所有退款请求")</f>
        <v>所有退款请求</v>
      </c>
      <c r="D1852" s="1" t="str">
        <f>IFERROR(__xludf.DUMMYFUNCTION("CONCATENATE(GOOGLETRANSLATE(B1852, ""en"", ""ko""))"),"모든 환불 요청")</f>
        <v>모든 환불 요청</v>
      </c>
      <c r="E1852" s="2" t="str">
        <f>IFERROR(__xludf.DUMMYFUNCTION("CONCATENATE(GOOGLETRANSLATE(B1852, ""en"", ""ja""))"),"すべての返金リクエスト")</f>
        <v>すべての返金リクエスト</v>
      </c>
    </row>
    <row r="1853" ht="15.75" customHeight="1">
      <c r="A1853" s="1" t="s">
        <v>3581</v>
      </c>
      <c r="B1853" s="1" t="s">
        <v>3582</v>
      </c>
      <c r="C1853" s="1" t="str">
        <f>IFERROR(__xludf.DUMMYFUNCTION("CONCATENATE(GOOGLETRANSLATE(B1853, ""en"", ""zh-cn""))"),"购买包装清单")</f>
        <v>购买包装清单</v>
      </c>
      <c r="D1853" s="1" t="str">
        <f>IFERROR(__xludf.DUMMYFUNCTION("CONCATENATE(GOOGLETRANSLATE(B1853, ""en"", ""ko""))"),"구매 패키지 목록")</f>
        <v>구매 패키지 목록</v>
      </c>
      <c r="E1853" s="2" t="str">
        <f>IFERROR(__xludf.DUMMYFUNCTION("CONCATENATE(GOOGLETRANSLATE(B1853, ""en"", ""ja""))"),"購入パッケージ一覧")</f>
        <v>購入パッケージ一覧</v>
      </c>
    </row>
    <row r="1854" ht="15.75" customHeight="1">
      <c r="A1854" s="1" t="s">
        <v>3583</v>
      </c>
      <c r="B1854" s="1" t="s">
        <v>3584</v>
      </c>
      <c r="C1854" s="1" t="str">
        <f>IFERROR(__xludf.DUMMYFUNCTION("CONCATENATE(GOOGLETRANSLATE(B1854, ""en"", ""zh-cn""))"),"全部购买套餐")</f>
        <v>全部购买套餐</v>
      </c>
      <c r="D1854" s="1" t="str">
        <f>IFERROR(__xludf.DUMMYFUNCTION("CONCATENATE(GOOGLETRANSLATE(B1854, ""en"", ""ko""))"),"전체 구매 패키지")</f>
        <v>전체 구매 패키지</v>
      </c>
      <c r="E1854" s="2" t="str">
        <f>IFERROR(__xludf.DUMMYFUNCTION("CONCATENATE(GOOGLETRANSLATE(B1854, ""en"", ""ja""))"),"全購入パッケージ")</f>
        <v>全購入パッケージ</v>
      </c>
    </row>
    <row r="1855" ht="15.75" customHeight="1">
      <c r="A1855" s="1" t="s">
        <v>3585</v>
      </c>
      <c r="B1855" s="1" t="s">
        <v>3586</v>
      </c>
      <c r="C1855" s="1" t="str">
        <f>IFERROR(__xludf.DUMMYFUNCTION("CONCATENATE(GOOGLETRANSLATE(B1855, ""en"", ""zh-cn""))"),"套餐价格")</f>
        <v>套餐价格</v>
      </c>
      <c r="D1855" s="1" t="str">
        <f>IFERROR(__xludf.DUMMYFUNCTION("CONCATENATE(GOOGLETRANSLATE(B1855, ""en"", ""ko""))"),"패키지 가격")</f>
        <v>패키지 가격</v>
      </c>
      <c r="E1855" s="2" t="str">
        <f>IFERROR(__xludf.DUMMYFUNCTION("CONCATENATE(GOOGLETRANSLATE(B1855, ""en"", ""ja""))"),"パッケージ価格")</f>
        <v>パッケージ価格</v>
      </c>
    </row>
    <row r="1856" ht="15.75" customHeight="1">
      <c r="A1856" s="1" t="s">
        <v>3587</v>
      </c>
      <c r="B1856" s="1" t="s">
        <v>3588</v>
      </c>
      <c r="C1856" s="1" t="str">
        <f>IFERROR(__xludf.DUMMYFUNCTION("CONCATENATE(GOOGLETRANSLATE(B1856, ""en"", ""zh-cn""))"),"登录凭据无效")</f>
        <v>登录凭据无效</v>
      </c>
      <c r="D1856" s="1" t="str">
        <f>IFERROR(__xludf.DUMMYFUNCTION("CONCATENATE(GOOGLETRANSLATE(B1856, ""en"", ""ko""))"),"잘못된 로그인 자격 증명")</f>
        <v>잘못된 로그인 자격 증명</v>
      </c>
      <c r="E1856" s="2" t="str">
        <f>IFERROR(__xludf.DUMMYFUNCTION("CONCATENATE(GOOGLETRANSLATE(B1856, ""en"", ""ja""))"),"無効なログイン認証情報")</f>
        <v>無効なログイン認証情報</v>
      </c>
    </row>
    <row r="1857" ht="15.75" customHeight="1">
      <c r="A1857" s="1" t="s">
        <v>3589</v>
      </c>
      <c r="B1857" s="1" t="s">
        <v>3590</v>
      </c>
      <c r="C1857" s="1" t="str">
        <f>IFERROR(__xludf.DUMMYFUNCTION("CONCATENATE(GOOGLETRANSLATE(B1857, ""en"", ""zh-cn""))"),"自由的")</f>
        <v>自由的</v>
      </c>
      <c r="D1857" s="1" t="str">
        <f>IFERROR(__xludf.DUMMYFUNCTION("CONCATENATE(GOOGLETRANSLATE(B1857, ""en"", ""ko""))"),"무료")</f>
        <v>무료</v>
      </c>
      <c r="E1857" s="2" t="str">
        <f>IFERROR(__xludf.DUMMYFUNCTION("CONCATENATE(GOOGLETRANSLATE(B1857, ""en"", ""ja""))"),"無料")</f>
        <v>無料</v>
      </c>
    </row>
    <row r="1858" ht="15.75" customHeight="1">
      <c r="A1858" s="1" t="s">
        <v>3591</v>
      </c>
      <c r="B1858" s="1" t="s">
        <v>3592</v>
      </c>
      <c r="C1858" s="1" t="str">
        <f>IFERROR(__xludf.DUMMYFUNCTION("CONCATENATE(GOOGLETRANSLATE(B1858, ""en"", ""zh-cn""))"),"免费套餐")</f>
        <v>免费套餐</v>
      </c>
      <c r="D1858" s="1" t="str">
        <f>IFERROR(__xludf.DUMMYFUNCTION("CONCATENATE(GOOGLETRANSLATE(B1858, ""en"", ""ko""))"),"무료 패키지")</f>
        <v>무료 패키지</v>
      </c>
      <c r="E1858" s="2" t="str">
        <f>IFERROR(__xludf.DUMMYFUNCTION("CONCATENATE(GOOGLETRANSLATE(B1858, ""en"", ""ja""))"),"無料パッケージ")</f>
        <v>無料パッケージ</v>
      </c>
    </row>
    <row r="1859" ht="15.75" customHeight="1">
      <c r="A1859" s="1" t="s">
        <v>3593</v>
      </c>
      <c r="B1859" s="1" t="s">
        <v>3594</v>
      </c>
      <c r="C1859" s="1" t="str">
        <f>IFERROR(__xludf.DUMMYFUNCTION("CONCATENATE(GOOGLETRANSLATE(B1859, ""en"", ""zh-cn""))"),"尚未验证。")</f>
        <v>尚未验证。</v>
      </c>
      <c r="D1859" s="1" t="str">
        <f>IFERROR(__xludf.DUMMYFUNCTION("CONCATENATE(GOOGLETRANSLATE(B1859, ""en"", ""ko""))"),"아직 검증되지 않았습니다.")</f>
        <v>아직 검증되지 않았습니다.</v>
      </c>
      <c r="E1859" s="2" t="str">
        <f>IFERROR(__xludf.DUMMYFUNCTION("CONCATENATE(GOOGLETRANSLATE(B1859, ""en"", ""ja""))"),"まだ検証されていません。")</f>
        <v>まだ検証されていません。</v>
      </c>
    </row>
    <row r="1860" ht="15.75" customHeight="1">
      <c r="A1860" s="1" t="s">
        <v>3595</v>
      </c>
      <c r="B1860" s="1" t="s">
        <v>3596</v>
      </c>
      <c r="C1860" s="1" t="str">
        <f>IFERROR(__xludf.DUMMYFUNCTION("CONCATENATE(GOOGLETRANSLATE(B1860, ""en"", ""zh-cn""))"),"店铺验证")</f>
        <v>店铺验证</v>
      </c>
      <c r="D1860" s="1" t="str">
        <f>IFERROR(__xludf.DUMMYFUNCTION("CONCATENATE(GOOGLETRANSLATE(B1860, ""en"", ""ko""))"),"매장 확인")</f>
        <v>매장 확인</v>
      </c>
      <c r="E1860" s="2" t="str">
        <f>IFERROR(__xludf.DUMMYFUNCTION("CONCATENATE(GOOGLETRANSLATE(B1860, ""en"", ""ja""))"),"ショップ認証")</f>
        <v>ショップ認証</v>
      </c>
    </row>
    <row r="1861" ht="15.75" customHeight="1">
      <c r="A1861" s="1" t="s">
        <v>3597</v>
      </c>
      <c r="B1861" s="1" t="s">
        <v>3598</v>
      </c>
      <c r="C1861" s="1" t="str">
        <f>IFERROR(__xludf.DUMMYFUNCTION("CONCATENATE(GOOGLETRANSLATE(B1861, ""en"", ""zh-cn""))"),"编辑卖家信息")</f>
        <v>编辑卖家信息</v>
      </c>
      <c r="D1861" s="1" t="str">
        <f>IFERROR(__xludf.DUMMYFUNCTION("CONCATENATE(GOOGLETRANSLATE(B1861, ""en"", ""ko""))"),"판매자 정보 편집")</f>
        <v>판매자 정보 편집</v>
      </c>
      <c r="E1861" s="2" t="str">
        <f>IFERROR(__xludf.DUMMYFUNCTION("CONCATENATE(GOOGLETRANSLATE(B1861, ""en"", ""ja""))"),"販売者情報の編集")</f>
        <v>販売者情報の編集</v>
      </c>
    </row>
    <row r="1862" ht="15.75" customHeight="1">
      <c r="A1862" s="1" t="s">
        <v>3599</v>
      </c>
      <c r="B1862" s="1" t="s">
        <v>3600</v>
      </c>
      <c r="C1862" s="1" t="str">
        <f>IFERROR(__xludf.DUMMYFUNCTION("CONCATENATE(GOOGLETRANSLATE(B1862, ""en"", ""zh-cn""))"),"日期范围")</f>
        <v>日期范围</v>
      </c>
      <c r="D1862" s="1" t="str">
        <f>IFERROR(__xludf.DUMMYFUNCTION("CONCATENATE(GOOGLETRANSLATE(B1862, ""en"", ""ko""))"),"기간")</f>
        <v>기간</v>
      </c>
      <c r="E1862" s="2" t="str">
        <f>IFERROR(__xludf.DUMMYFUNCTION("CONCATENATE(GOOGLETRANSLATE(B1862, ""en"", ""ja""))"),"日付範囲")</f>
        <v>日付範囲</v>
      </c>
    </row>
    <row r="1863" ht="15.75" customHeight="1">
      <c r="A1863" s="1" t="s">
        <v>3601</v>
      </c>
      <c r="B1863" s="1" t="s">
        <v>3602</v>
      </c>
      <c r="C1863" s="1" t="str">
        <f>IFERROR(__xludf.DUMMYFUNCTION("CONCATENATE(GOOGLETRANSLATE(B1863, ""en"", ""zh-cn""))"),"行政委员会")</f>
        <v>行政委员会</v>
      </c>
      <c r="D1863" s="1" t="str">
        <f>IFERROR(__xludf.DUMMYFUNCTION("CONCATENATE(GOOGLETRANSLATE(B1863, ""en"", ""ko""))"),"관리위원회")</f>
        <v>관리위원회</v>
      </c>
      <c r="E1863" s="2" t="str">
        <f>IFERROR(__xludf.DUMMYFUNCTION("CONCATENATE(GOOGLETRANSLATE(B1863, ""en"", ""ja""))"),"管理委員会")</f>
        <v>管理委員会</v>
      </c>
    </row>
    <row r="1864" ht="15.75" customHeight="1">
      <c r="A1864" s="1" t="s">
        <v>3603</v>
      </c>
      <c r="B1864" s="1" t="s">
        <v>3604</v>
      </c>
      <c r="C1864" s="1" t="str">
        <f>IFERROR(__xludf.DUMMYFUNCTION("CONCATENATE(GOOGLETRANSLATE(B1864, ""en"", ""zh-cn""))"),"收益")</f>
        <v>收益</v>
      </c>
      <c r="D1864" s="1" t="str">
        <f>IFERROR(__xludf.DUMMYFUNCTION("CONCATENATE(GOOGLETRANSLATE(B1864, ""en"", ""ko""))"),"적립")</f>
        <v>적립</v>
      </c>
      <c r="E1864" s="2" t="str">
        <f>IFERROR(__xludf.DUMMYFUNCTION("CONCATENATE(GOOGLETRANSLATE(B1864, ""en"", ""ja""))"),"収入を得る")</f>
        <v>収入を得る</v>
      </c>
    </row>
    <row r="1865" ht="15.75" customHeight="1">
      <c r="A1865" s="1" t="s">
        <v>3605</v>
      </c>
      <c r="B1865" s="1" t="s">
        <v>3606</v>
      </c>
      <c r="C1865" s="1" t="str">
        <f>IFERROR(__xludf.DUMMYFUNCTION("CONCATENATE(GOOGLETRANSLATE(B1865, ""en"", ""zh-cn""))"),"创建于")</f>
        <v>创建于</v>
      </c>
      <c r="D1865" s="1" t="str">
        <f>IFERROR(__xludf.DUMMYFUNCTION("CONCATENATE(GOOGLETRANSLATE(B1865, ""en"", ""ko""))"),"생성 날짜")</f>
        <v>생성 날짜</v>
      </c>
      <c r="E1865" s="2" t="str">
        <f>IFERROR(__xludf.DUMMYFUNCTION("CONCATENATE(GOOGLETRANSLATE(B1865, ""en"", ""ja""))"),"作成日")</f>
        <v>作成日</v>
      </c>
    </row>
    <row r="1866" ht="15.75" customHeight="1">
      <c r="A1866" s="1" t="s">
        <v>3607</v>
      </c>
      <c r="B1866" s="1" t="s">
        <v>3608</v>
      </c>
      <c r="C1866" s="1" t="str">
        <f>IFERROR(__xludf.DUMMYFUNCTION("CONCATENATE(GOOGLETRANSLATE(B1866, ""en"", ""zh-cn""))"),"产品查询激活")</f>
        <v>产品查询激活</v>
      </c>
      <c r="D1866" s="1" t="str">
        <f>IFERROR(__xludf.DUMMYFUNCTION("CONCATENATE(GOOGLETRANSLATE(B1866, ""en"", ""ko""))"),"제품 쿼리 활성화")</f>
        <v>제품 쿼리 활성화</v>
      </c>
      <c r="E1866" s="2" t="str">
        <f>IFERROR(__xludf.DUMMYFUNCTION("CONCATENATE(GOOGLETRANSLATE(B1866, ""en"", ""ja""))"),"製品クエリのアクティブ化")</f>
        <v>製品クエリのアクティブ化</v>
      </c>
    </row>
    <row r="1867" ht="15.75" customHeight="1">
      <c r="A1867" s="1" t="s">
        <v>3609</v>
      </c>
      <c r="B1867" s="1" t="s">
        <v>3610</v>
      </c>
      <c r="C1867" s="1" t="str">
        <f>IFERROR(__xludf.DUMMYFUNCTION("CONCATENATE(GOOGLETRANSLATE(B1867, ""en"", ""zh-cn""))"),"Mercadopago 付款激活")</f>
        <v>Mercadopago 付款激活</v>
      </c>
      <c r="D1867" s="1" t="str">
        <f>IFERROR(__xludf.DUMMYFUNCTION("CONCATENATE(GOOGLETRANSLATE(B1867, ""en"", ""ko""))"),"Mercadopago 결제 활성화")</f>
        <v>Mercadopago 결제 활성화</v>
      </c>
      <c r="E1867" s="2" t="str">
        <f>IFERROR(__xludf.DUMMYFUNCTION("CONCATENATE(GOOGLETRANSLATE(B1867, ""en"", ""ja""))"),"メルカドパゴ支払いのアクティベーション")</f>
        <v>メルカドパゴ支払いのアクティベーション</v>
      </c>
    </row>
    <row r="1868" ht="15.75" customHeight="1">
      <c r="A1868" s="1" t="s">
        <v>3611</v>
      </c>
      <c r="B1868" s="1" t="s">
        <v>3612</v>
      </c>
      <c r="C1868" s="1" t="str">
        <f>IFERROR(__xludf.DUMMYFUNCTION("CONCATENATE(GOOGLETRANSLATE(B1868, ""en"", ""zh-cn""))"),"授权网络激活")</f>
        <v>授权网络激活</v>
      </c>
      <c r="D1868" s="1" t="str">
        <f>IFERROR(__xludf.DUMMYFUNCTION("CONCATENATE(GOOGLETRANSLATE(B1868, ""en"", ""ko""))"),"Net 활성화 승인")</f>
        <v>Net 활성화 승인</v>
      </c>
      <c r="E1868" s="2" t="str">
        <f>IFERROR(__xludf.DUMMYFUNCTION("CONCATENATE(GOOGLETRANSLATE(B1868, ""en"", ""ja""))"),"ネットアクティベーションを許可する")</f>
        <v>ネットアクティベーションを許可する</v>
      </c>
    </row>
    <row r="1869" ht="15.75" customHeight="1">
      <c r="A1869" s="1" t="s">
        <v>3613</v>
      </c>
      <c r="B1869" s="1" t="s">
        <v>3614</v>
      </c>
      <c r="C1869" s="1" t="str">
        <f>IFERROR(__xludf.DUMMYFUNCTION("CONCATENATE(GOOGLETRANSLATE(B1869, ""en"", ""zh-cn""))"),"您需要正确配置授权网络才能启用此功能")</f>
        <v>您需要正确配置授权网络才能启用此功能</v>
      </c>
      <c r="D1869" s="1" t="str">
        <f>IFERROR(__xludf.DUMMYFUNCTION("CONCATENATE(GOOGLETRANSLATE(B1869, ""en"", ""ko""))"),"이 기능을 활성화하려면 Authorize Net을 올바르게 구성해야 합니다.")</f>
        <v>이 기능을 활성화하려면 Authorize Net을 올바르게 구성해야 합니다.</v>
      </c>
      <c r="E1869" s="2" t="str">
        <f>IFERROR(__xludf.DUMMYFUNCTION("CONCATENATE(GOOGLETRANSLATE(B1869, ""en"", ""ja""))"),"この機能を有効にするには、承認ネットを正しく設定する必要があります")</f>
        <v>この機能を有効にするには、承認ネットを正しく設定する必要があります</v>
      </c>
    </row>
    <row r="1870" ht="15.75" customHeight="1">
      <c r="A1870" s="1" t="s">
        <v>3615</v>
      </c>
      <c r="B1870" s="1" t="s">
        <v>3616</v>
      </c>
      <c r="C1870" s="1" t="str">
        <f>IFERROR(__xludf.DUMMYFUNCTION("CONCATENATE(GOOGLETRANSLATE(B1870, ""en"", ""zh-cn""))"),"Payku激活")</f>
        <v>Payku激活</v>
      </c>
      <c r="D1870" s="1" t="str">
        <f>IFERROR(__xludf.DUMMYFUNCTION("CONCATENATE(GOOGLETRANSLATE(B1870, ""en"", ""ko""))"),"페이쿠 활성화")</f>
        <v>페이쿠 활성화</v>
      </c>
      <c r="E1870" s="2" t="str">
        <f>IFERROR(__xludf.DUMMYFUNCTION("CONCATENATE(GOOGLETRANSLATE(B1870, ""en"", ""ja""))"),"Paykuのアクティベーション")</f>
        <v>Paykuのアクティベーション</v>
      </c>
    </row>
    <row r="1871" ht="15.75" customHeight="1">
      <c r="A1871" s="1" t="s">
        <v>3617</v>
      </c>
      <c r="B1871" s="1" t="s">
        <v>3618</v>
      </c>
      <c r="C1871" s="1" t="str">
        <f>IFERROR(__xludf.DUMMYFUNCTION("CONCATENATE(GOOGLETRANSLATE(B1871, ""en"", ""zh-cn""))"),"您需要正确配置payku net才能启用此功能")</f>
        <v>您需要正确配置payku net才能启用此功能</v>
      </c>
      <c r="D1871" s="1" t="str">
        <f>IFERROR(__xludf.DUMMYFUNCTION("CONCATENATE(GOOGLETRANSLATE(B1871, ""en"", ""ko""))"),"이 기능을 활성화하려면 payku net을 올바르게 구성해야 합니다.")</f>
        <v>이 기능을 활성화하려면 payku net을 올바르게 구성해야 합니다.</v>
      </c>
      <c r="E1871" s="2" t="str">
        <f>IFERROR(__xludf.DUMMYFUNCTION("CONCATENATE(GOOGLETRANSLATE(B1871, ""en"", ""ja""))"),"この機能を有効にするには、Payku net を正しく設定する必要があります")</f>
        <v>この機能を有効にするには、Payku net を正しく設定する必要があります</v>
      </c>
    </row>
    <row r="1872" ht="15.75" customHeight="1">
      <c r="A1872" s="1" t="s">
        <v>3619</v>
      </c>
      <c r="B1872" s="1" t="s">
        <v>3620</v>
      </c>
      <c r="C1872" s="1" t="str">
        <f>IFERROR(__xludf.DUMMYFUNCTION("CONCATENATE(GOOGLETRANSLATE(B1872, ""en"", ""zh-cn""))"),"用户名")</f>
        <v>用户名</v>
      </c>
      <c r="D1872" s="1" t="str">
        <f>IFERROR(__xludf.DUMMYFUNCTION("CONCATENATE(GOOGLETRANSLATE(B1872, ""en"", ""ko""))"),"사용자 이름")</f>
        <v>사용자 이름</v>
      </c>
      <c r="E1872" s="2" t="str">
        <f>IFERROR(__xludf.DUMMYFUNCTION("CONCATENATE(GOOGLETRANSLATE(B1872, ""en"", ""ja""))"),"ユーザー名")</f>
        <v>ユーザー名</v>
      </c>
    </row>
    <row r="1873" ht="15.75" customHeight="1">
      <c r="A1873" s="1" t="s">
        <v>3621</v>
      </c>
      <c r="B1873" s="1" t="s">
        <v>3622</v>
      </c>
      <c r="C1873" s="1" t="str">
        <f>IFERROR(__xludf.DUMMYFUNCTION("CONCATENATE(GOOGLETRANSLATE(B1873, ""en"", ""zh-cn""))"),"问题")</f>
        <v>问题</v>
      </c>
      <c r="D1873" s="1" t="str">
        <f>IFERROR(__xludf.DUMMYFUNCTION("CONCATENATE(GOOGLETRANSLATE(B1873, ""en"", ""ko""))"),"질문")</f>
        <v>질문</v>
      </c>
      <c r="E1873" s="2" t="str">
        <f>IFERROR(__xludf.DUMMYFUNCTION("CONCATENATE(GOOGLETRANSLATE(B1873, ""en"", ""ja""))"),"質問")</f>
        <v>質問</v>
      </c>
    </row>
    <row r="1874" ht="15.75" customHeight="1">
      <c r="A1874" s="1" t="s">
        <v>3623</v>
      </c>
      <c r="B1874" s="1" t="s">
        <v>3624</v>
      </c>
      <c r="C1874" s="1" t="str">
        <f>IFERROR(__xludf.DUMMYFUNCTION("CONCATENATE(GOOGLETRANSLATE(B1874, ""en"", ""zh-cn""))"),"回复")</f>
        <v>回复</v>
      </c>
      <c r="D1874" s="1" t="str">
        <f>IFERROR(__xludf.DUMMYFUNCTION("CONCATENATE(GOOGLETRANSLATE(B1874, ""en"", ""ko""))"),"회신하다")</f>
        <v>회신하다</v>
      </c>
      <c r="E1874" s="2" t="str">
        <f>IFERROR(__xludf.DUMMYFUNCTION("CONCATENATE(GOOGLETRANSLATE(B1874, ""en"", ""ja""))"),"返事")</f>
        <v>返事</v>
      </c>
    </row>
    <row r="1875" ht="15.75" customHeight="1">
      <c r="A1875" s="1" t="s">
        <v>3625</v>
      </c>
      <c r="B1875" s="1" t="s">
        <v>3626</v>
      </c>
      <c r="C1875" s="1" t="str">
        <f>IFERROR(__xludf.DUMMYFUNCTION("CONCATENATE(GOOGLETRANSLATE(B1875, ""en"", ""zh-cn""))"),"请求已成功发送")</f>
        <v>请求已成功发送</v>
      </c>
      <c r="D1875" s="1" t="str">
        <f>IFERROR(__xludf.DUMMYFUNCTION("CONCATENATE(GOOGLETRANSLATE(B1875, ""en"", ""ko""))"),"요청이 성공적으로 전송되었습니다")</f>
        <v>요청이 성공적으로 전송되었습니다</v>
      </c>
      <c r="E1875" s="2" t="str">
        <f>IFERROR(__xludf.DUMMYFUNCTION("CONCATENATE(GOOGLETRANSLATE(B1875, ""en"", ""ja""))"),"リクエストは正常に送信されました")</f>
        <v>リクエストは正常に送信されました</v>
      </c>
    </row>
    <row r="1876" ht="15.75" customHeight="1">
      <c r="A1876" s="1" t="s">
        <v>3627</v>
      </c>
      <c r="B1876" s="1" t="s">
        <v>3628</v>
      </c>
      <c r="C1876" s="1" t="str">
        <f>IFERROR(__xludf.DUMMYFUNCTION("CONCATENATE(GOOGLETRANSLATE(B1876, ""en"", ""zh-cn""))"),"卖家提款请求")</f>
        <v>卖家提款请求</v>
      </c>
      <c r="D1876" s="1" t="str">
        <f>IFERROR(__xludf.DUMMYFUNCTION("CONCATENATE(GOOGLETRANSLATE(B1876, ""en"", ""ko""))"),"판매자 철회 요청")</f>
        <v>판매자 철회 요청</v>
      </c>
      <c r="E1876" s="2" t="str">
        <f>IFERROR(__xludf.DUMMYFUNCTION("CONCATENATE(GOOGLETRANSLATE(B1876, ""en"", ""ja""))"),"販売者の撤回リクエスト")</f>
        <v>販売者の撤回リクエスト</v>
      </c>
    </row>
    <row r="1877" ht="15.75" customHeight="1">
      <c r="A1877" s="1" t="s">
        <v>3629</v>
      </c>
      <c r="B1877" s="1" t="s">
        <v>3630</v>
      </c>
      <c r="C1877" s="1" t="str">
        <f>IFERROR(__xludf.DUMMYFUNCTION("CONCATENATE(GOOGLETRANSLATE(B1877, ""en"", ""zh-cn""))"),"卖方")</f>
        <v>卖方</v>
      </c>
      <c r="D1877" s="1" t="str">
        <f>IFERROR(__xludf.DUMMYFUNCTION("CONCATENATE(GOOGLETRANSLATE(B1877, ""en"", ""ko""))"),"파는 사람")</f>
        <v>파는 사람</v>
      </c>
      <c r="E1877" s="2" t="str">
        <f>IFERROR(__xludf.DUMMYFUNCTION("CONCATENATE(GOOGLETRANSLATE(B1877, ""en"", ""ja""))"),"売り手")</f>
        <v>売り手</v>
      </c>
    </row>
    <row r="1878" ht="15.75" customHeight="1">
      <c r="A1878" s="1" t="s">
        <v>3631</v>
      </c>
      <c r="B1878" s="1" t="s">
        <v>3632</v>
      </c>
      <c r="C1878" s="1" t="str">
        <f>IFERROR(__xludf.DUMMYFUNCTION("CONCATENATE(GOOGLETRANSLATE(B1878, ""en"", ""zh-cn""))"),"支付总额")</f>
        <v>支付总额</v>
      </c>
      <c r="D1878" s="1" t="str">
        <f>IFERROR(__xludf.DUMMYFUNCTION("CONCATENATE(GOOGLETRANSLATE(B1878, ""en"", ""ko""))"),"지불할 총액")</f>
        <v>지불할 총액</v>
      </c>
      <c r="E1878" s="2" t="str">
        <f>IFERROR(__xludf.DUMMYFUNCTION("CONCATENATE(GOOGLETRANSLATE(B1878, ""en"", ""ja""))"),"支払総額")</f>
        <v>支払総額</v>
      </c>
    </row>
    <row r="1879" ht="15.75" customHeight="1">
      <c r="A1879" s="1" t="s">
        <v>3633</v>
      </c>
      <c r="B1879" s="1" t="s">
        <v>3634</v>
      </c>
      <c r="C1879" s="1" t="str">
        <f>IFERROR(__xludf.DUMMYFUNCTION("CONCATENATE(GOOGLETRANSLATE(B1879, ""en"", ""zh-cn""))"),"要求金额")</f>
        <v>要求金额</v>
      </c>
      <c r="D1879" s="1" t="str">
        <f>IFERROR(__xludf.DUMMYFUNCTION("CONCATENATE(GOOGLETRANSLATE(B1879, ""en"", ""ko""))"),"요청 금액")</f>
        <v>요청 금액</v>
      </c>
      <c r="E1879" s="2" t="str">
        <f>IFERROR(__xludf.DUMMYFUNCTION("CONCATENATE(GOOGLETRANSLATE(B1879, ""en"", ""ja""))"),"要求金額")</f>
        <v>要求金額</v>
      </c>
    </row>
    <row r="1880" ht="15.75" customHeight="1">
      <c r="A1880" s="1" t="s">
        <v>3635</v>
      </c>
      <c r="B1880" s="1" t="s">
        <v>3636</v>
      </c>
      <c r="C1880" s="1" t="str">
        <f>IFERROR(__xludf.DUMMYFUNCTION("CONCATENATE(GOOGLETRANSLATE(B1880, ""en"", ""zh-cn""))"),"留言查看")</f>
        <v>留言查看</v>
      </c>
      <c r="D1880" s="1" t="str">
        <f>IFERROR(__xludf.DUMMYFUNCTION("CONCATENATE(GOOGLETRANSLATE(B1880, ""en"", ""ko""))"),"메시지 보기")</f>
        <v>메시지 보기</v>
      </c>
      <c r="E1880" s="2" t="str">
        <f>IFERROR(__xludf.DUMMYFUNCTION("CONCATENATE(GOOGLETRANSLATE(B1880, ""en"", ""ja""))"),"メッセージビュー")</f>
        <v>メッセージビュー</v>
      </c>
    </row>
    <row r="1881" ht="15.75" customHeight="1">
      <c r="A1881" s="1" t="s">
        <v>3637</v>
      </c>
      <c r="B1881" s="1" t="s">
        <v>3638</v>
      </c>
      <c r="C1881" s="1" t="str">
        <f>IFERROR(__xludf.DUMMYFUNCTION("CONCATENATE(GOOGLETRANSLATE(B1881, ""en"", ""zh-cn""))"),"选择付款方式")</f>
        <v>选择付款方式</v>
      </c>
      <c r="D1881" s="1" t="str">
        <f>IFERROR(__xludf.DUMMYFUNCTION("CONCATENATE(GOOGLETRANSLATE(B1881, ""en"", ""ko""))"),"결제 방법 선택")</f>
        <v>결제 방법 선택</v>
      </c>
      <c r="E1881" s="2" t="str">
        <f>IFERROR(__xludf.DUMMYFUNCTION("CONCATENATE(GOOGLETRANSLATE(B1881, ""en"", ""ja""))"),"支払い方法を選択してください")</f>
        <v>支払い方法を選択してください</v>
      </c>
    </row>
    <row r="1882" ht="15.75" customHeight="1">
      <c r="A1882" s="1" t="s">
        <v>3639</v>
      </c>
      <c r="B1882" s="1" t="s">
        <v>3640</v>
      </c>
      <c r="C1882" s="1" t="str">
        <f>IFERROR(__xludf.DUMMYFUNCTION("CONCATENATE(GOOGLETRANSLATE(B1882, ""en"", ""zh-cn""))"),"支付")</f>
        <v>支付</v>
      </c>
      <c r="D1882" s="1" t="str">
        <f>IFERROR(__xludf.DUMMYFUNCTION("CONCATENATE(GOOGLETRANSLATE(B1882, ""en"", ""ko""))"),"지불하다")</f>
        <v>지불하다</v>
      </c>
      <c r="E1882" s="2" t="str">
        <f>IFERROR(__xludf.DUMMYFUNCTION("CONCATENATE(GOOGLETRANSLATE(B1882, ""en"", ""ja""))"),"支払う")</f>
        <v>支払う</v>
      </c>
    </row>
    <row r="1883" ht="15.75" customHeight="1">
      <c r="A1883" s="1" t="s">
        <v>3641</v>
      </c>
      <c r="B1883" s="1" t="s">
        <v>3642</v>
      </c>
      <c r="C1883" s="1" t="str">
        <f>IFERROR(__xludf.DUMMYFUNCTION("CONCATENATE(GOOGLETRANSLATE(B1883, ""en"", ""zh-cn""))"),"卖家留言")</f>
        <v>卖家留言</v>
      </c>
      <c r="D1883" s="1" t="str">
        <f>IFERROR(__xludf.DUMMYFUNCTION("CONCATENATE(GOOGLETRANSLATE(B1883, ""en"", ""ko""))"),"판매자 메시지")</f>
        <v>판매자 메시지</v>
      </c>
      <c r="E1883" s="2" t="str">
        <f>IFERROR(__xludf.DUMMYFUNCTION("CONCATENATE(GOOGLETRANSLATE(B1883, ""en"", ""ja""))"),"販売者のメッセージ")</f>
        <v>販売者のメッセージ</v>
      </c>
    </row>
    <row r="1884" ht="15.75" customHeight="1">
      <c r="A1884" s="1" t="s">
        <v>3643</v>
      </c>
      <c r="B1884" s="1" t="s">
        <v>3644</v>
      </c>
      <c r="C1884" s="1" t="str">
        <f>IFERROR(__xludf.DUMMYFUNCTION("CONCATENATE(GOOGLETRANSLATE(B1884, ""en"", ""zh-cn""))"),"付款详情")</f>
        <v>付款详情</v>
      </c>
      <c r="D1884" s="1" t="str">
        <f>IFERROR(__xludf.DUMMYFUNCTION("CONCATENATE(GOOGLETRANSLATE(B1884, ""en"", ""ko""))"),"결제 세부정보")</f>
        <v>결제 세부정보</v>
      </c>
      <c r="E1884" s="2" t="str">
        <f>IFERROR(__xludf.DUMMYFUNCTION("CONCATENATE(GOOGLETRANSLATE(B1884, ""en"", ""ja""))"),"お支払い詳細")</f>
        <v>お支払い詳細</v>
      </c>
    </row>
    <row r="1885" ht="15.75" customHeight="1">
      <c r="A1885" s="1" t="s">
        <v>3645</v>
      </c>
      <c r="B1885" s="1" t="s">
        <v>3646</v>
      </c>
      <c r="C1885" s="1" t="str">
        <f>IFERROR(__xludf.DUMMYFUNCTION("CONCATENATE(GOOGLETRANSLATE(B1885, ""en"", ""zh-cn""))")," 产品查询 ")</f>
        <v> 产品查询 </v>
      </c>
      <c r="D1885" s="1" t="str">
        <f>IFERROR(__xludf.DUMMYFUNCTION("CONCATENATE(GOOGLETRANSLATE(B1885, ""en"", ""ko""))")," 제품 문의 ")</f>
        <v> 제품 문의 </v>
      </c>
      <c r="E1885" s="2" t="str">
        <f>IFERROR(__xludf.DUMMYFUNCTION("CONCATENATE(GOOGLETRANSLATE(B1885, ""en"", ""ja""))")," 製品に関するお問い合わせ ")</f>
        <v> 製品に関するお問い合わせ </v>
      </c>
    </row>
    <row r="1886" ht="15.75" customHeight="1">
      <c r="A1886" s="1" t="s">
        <v>3647</v>
      </c>
      <c r="B1886" s="1" t="s">
        <v>3648</v>
      </c>
      <c r="C1886" s="1" t="str">
        <f>IFERROR(__xludf.DUMMYFUNCTION("CONCATENATE(GOOGLETRANSLATE(B1886, ""en"", ""zh-cn""))"),"其他问题")</f>
        <v>其他问题</v>
      </c>
      <c r="D1886" s="1" t="str">
        <f>IFERROR(__xludf.DUMMYFUNCTION("CONCATENATE(GOOGLETRANSLATE(B1886, ""en"", ""ko""))"),"기타 질문")</f>
        <v>기타 질문</v>
      </c>
      <c r="E1886" s="2" t="str">
        <f>IFERROR(__xludf.DUMMYFUNCTION("CONCATENATE(GOOGLETRANSLATE(B1886, ""en"", ""ja""))"),"その他の質問")</f>
        <v>その他の質問</v>
      </c>
    </row>
    <row r="1887" ht="15.75" customHeight="1">
      <c r="A1887" s="1" t="s">
        <v>3649</v>
      </c>
      <c r="B1887" s="1" t="s">
        <v>3650</v>
      </c>
      <c r="C1887" s="1" t="str">
        <f>IFERROR(__xludf.DUMMYFUNCTION("CONCATENATE(GOOGLETRANSLATE(B1887, ""en"", ""zh-cn""))"),"还没有 没有人向卖家询问过")</f>
        <v>还没有 没有人向卖家询问过</v>
      </c>
      <c r="D1887" s="1" t="str">
        <f>IFERROR(__xludf.DUMMYFUNCTION("CONCATENATE(GOOGLETRANSLATE(B1887, ""en"", ""ko""))"),"아니요 아직 판매자에게 요청한 사람이 없습니다.")</f>
        <v>아니요 아직 판매자에게 요청한 사람이 없습니다.</v>
      </c>
      <c r="E1887" s="2" t="str">
        <f>IFERROR(__xludf.DUMMYFUNCTION("CONCATENATE(GOOGLETRANSLATE(B1887, ""en"", ""ja""))"),"いいえ、まだ販売者に問い合わせた人はいません")</f>
        <v>いいえ、まだ販売者に問い合わせた人はいません</v>
      </c>
    </row>
    <row r="1888" ht="15.75" customHeight="1">
      <c r="A1888" s="1" t="s">
        <v>3651</v>
      </c>
      <c r="B1888" s="1" t="s">
        <v>3652</v>
      </c>
      <c r="C1888" s="1" t="str">
        <f>IFERROR(__xludf.DUMMYFUNCTION("CONCATENATE(GOOGLETRANSLATE(B1888, ""en"", ""zh-cn""))"),"离线钱包充值请求")</f>
        <v>离线钱包充值请求</v>
      </c>
      <c r="D1888" s="1" t="str">
        <f>IFERROR(__xludf.DUMMYFUNCTION("CONCATENATE(GOOGLETRANSLATE(B1888, ""en"", ""ko""))"),"오프라인 지갑 충전 요청")</f>
        <v>오프라인 지갑 충전 요청</v>
      </c>
      <c r="E1888" s="2" t="str">
        <f>IFERROR(__xludf.DUMMYFUNCTION("CONCATENATE(GOOGLETRANSLATE(B1888, ""en"", ""ja""))"),"オフラインウォレットリチャージリクエスト")</f>
        <v>オフラインウォレットリチャージリクエスト</v>
      </c>
    </row>
    <row r="1889" ht="15.75" customHeight="1">
      <c r="A1889" s="1" t="s">
        <v>3653</v>
      </c>
      <c r="B1889" s="1" t="s">
        <v>3654</v>
      </c>
      <c r="C1889" s="1" t="str">
        <f>IFERROR(__xludf.DUMMYFUNCTION("CONCATENATE(GOOGLETRANSLATE(B1889, ""en"", ""zh-cn""))"),"钱已添加成功")</f>
        <v>钱已添加成功</v>
      </c>
      <c r="D1889" s="1" t="str">
        <f>IFERROR(__xludf.DUMMYFUNCTION("CONCATENATE(GOOGLETRANSLATE(B1889, ""en"", ""ko""))"),"금액이 성공적으로 추가되었습니다.")</f>
        <v>금액이 성공적으로 추가되었습니다.</v>
      </c>
      <c r="E1889" s="2" t="str">
        <f>IFERROR(__xludf.DUMMYFUNCTION("CONCATENATE(GOOGLETRANSLATE(B1889, ""en"", ""ja""))"),"お金が正常に追加されました")</f>
        <v>お金が正常に追加されました</v>
      </c>
    </row>
    <row r="1890" ht="15.75" customHeight="1">
      <c r="A1890" s="1" t="s">
        <v>3655</v>
      </c>
      <c r="B1890" s="1" t="s">
        <v>3656</v>
      </c>
      <c r="C1890" s="1" t="str">
        <f>IFERROR(__xludf.DUMMYFUNCTION("CONCATENATE(GOOGLETRANSLATE(B1890, ""en"", ""zh-cn""))"),"线下卖家套餐付款请求")</f>
        <v>线下卖家套餐付款请求</v>
      </c>
      <c r="D1890" s="1" t="str">
        <f>IFERROR(__xludf.DUMMYFUNCTION("CONCATENATE(GOOGLETRANSLATE(B1890, ""en"", ""ko""))"),"오프라인 판매자 패키지 결제 요청")</f>
        <v>오프라인 판매자 패키지 결제 요청</v>
      </c>
      <c r="E1890" s="2" t="str">
        <f>IFERROR(__xludf.DUMMYFUNCTION("CONCATENATE(GOOGLETRANSLATE(B1890, ""en"", ""ja""))"),"オフライン販売者パッケージ支払いリクエスト")</f>
        <v>オフライン販売者パッケージ支払いリクエスト</v>
      </c>
    </row>
    <row r="1891" ht="15.75" customHeight="1">
      <c r="A1891" s="1" t="s">
        <v>3657</v>
      </c>
      <c r="B1891" s="1" t="s">
        <v>3658</v>
      </c>
      <c r="C1891" s="1" t="str">
        <f>IFERROR(__xludf.DUMMYFUNCTION("CONCATENATE(GOOGLETRANSLATE(B1891, ""en"", ""zh-cn""))"),"线下卖家套餐付款审核成功")</f>
        <v>线下卖家套餐付款审核成功</v>
      </c>
      <c r="D1891" s="1" t="str">
        <f>IFERROR(__xludf.DUMMYFUNCTION("CONCATENATE(GOOGLETRANSLATE(B1891, ""en"", ""ko""))"),"오프라인 판매자 패키지 결제가 승인되었습니다.")</f>
        <v>오프라인 판매자 패키지 결제가 승인되었습니다.</v>
      </c>
      <c r="E1891" s="2" t="str">
        <f>IFERROR(__xludf.DUMMYFUNCTION("CONCATENATE(GOOGLETRANSLATE(B1891, ""en"", ""ja""))"),"オフライン販売者パッケージ支払いが正常に承認されました")</f>
        <v>オフライン販売者パッケージ支払いが正常に承認されました</v>
      </c>
    </row>
    <row r="1892" ht="15.75" customHeight="1">
      <c r="A1892" s="1" t="s">
        <v>3659</v>
      </c>
      <c r="B1892" s="1" t="s">
        <v>3660</v>
      </c>
      <c r="C1892" s="1" t="str">
        <f>IFERROR(__xludf.DUMMYFUNCTION("CONCATENATE(GOOGLETRANSLATE(B1892, ""en"", ""zh-cn""))"),"经常一起购买")</f>
        <v>经常一起购买</v>
      </c>
      <c r="D1892" s="1" t="str">
        <f>IFERROR(__xludf.DUMMYFUNCTION("CONCATENATE(GOOGLETRANSLATE(B1892, ""en"", ""ko""))"),"자주 함께 구매함")</f>
        <v>자주 함께 구매함</v>
      </c>
      <c r="E1892" s="2" t="str">
        <f>IFERROR(__xludf.DUMMYFUNCTION("CONCATENATE(GOOGLETRANSLATE(B1892, ""en"", ""ja""))"),"よく一緒に購入される商品")</f>
        <v>よく一緒に購入される商品</v>
      </c>
    </row>
    <row r="1893" ht="15.75" customHeight="1">
      <c r="A1893" s="1" t="s">
        <v>3661</v>
      </c>
      <c r="B1893" s="1" t="s">
        <v>3662</v>
      </c>
      <c r="C1893" s="1" t="str">
        <f>IFERROR(__xludf.DUMMYFUNCTION("CONCATENATE(GOOGLETRANSLATE(B1893, ""en"", ""zh-cn""))"),"产品明智的运输成本计算：运输成本是通过添加每个产品的运输成本来计算的")</f>
        <v>产品明智的运输成本计算：运输成本是通过添加每个产品的运输成本来计算的</v>
      </c>
      <c r="D1893" s="1" t="str">
        <f>IFERROR(__xludf.DUMMYFUNCTION("CONCATENATE(GOOGLETRANSLATE(B1893, ""en"", ""ko""))"),"상품별 배송비 계산 : 각 상품의 배송비를 합산하여 배송비를 계산합니다.")</f>
        <v>상품별 배송비 계산 : 각 상품의 배송비를 합산하여 배송비를 계산합니다.</v>
      </c>
      <c r="E1893" s="2" t="str">
        <f>IFERROR(__xludf.DUMMYFUNCTION("CONCATENATE(GOOGLETRANSLATE(B1893, ""en"", ""ja""))"),"商品ごとの送料計算: 送料は各商品の送料を加算して計算されます。")</f>
        <v>商品ごとの送料計算: 送料は各商品の送料を加算して計算されます。</v>
      </c>
    </row>
    <row r="1894" ht="15.75" customHeight="1">
      <c r="A1894" s="1" t="s">
        <v>3663</v>
      </c>
      <c r="B1894" s="1" t="s">
        <v>3664</v>
      </c>
      <c r="C1894" s="1" t="str">
        <f>IFERROR(__xludf.DUMMYFUNCTION("CONCATENATE(GOOGLETRANSLATE(B1894, ""en"", ""zh-cn""))"),"统一费率运输成本计算：客户购买多少产品并不重要。运费是固定的")</f>
        <v>统一费率运输成本计算：客户购买多少产品并不重要。运费是固定的</v>
      </c>
      <c r="D1894" s="1" t="str">
        <f>IFERROR(__xludf.DUMMYFUNCTION("CONCATENATE(GOOGLETRANSLATE(B1894, ""en"", ""ko""))"),"고정 요금 배송비 계산: 고객이 구매하는 제품 수는 중요하지 않습니다. 배송비는 정해져있습니다")</f>
        <v>고정 요금 배송비 계산: 고객이 구매하는 제품 수는 중요하지 않습니다. 배송비는 정해져있습니다</v>
      </c>
      <c r="E1894" s="2" t="str">
        <f>IFERROR(__xludf.DUMMYFUNCTION("CONCATENATE(GOOGLETRANSLATE(B1894, ""en"", ""ja""))"),"定額配送料の計算: 顧客が購入する製品の数は関係ありません。送料は固定です")</f>
        <v>定額配送料の計算: 顧客が購入する製品の数は関係ありません。送料は固定です</v>
      </c>
    </row>
    <row r="1895" ht="15.75" customHeight="1">
      <c r="A1895" s="1" t="s">
        <v>3665</v>
      </c>
      <c r="B1895" s="1" t="s">
        <v>3666</v>
      </c>
      <c r="C1895" s="1" t="str">
        <f>IFERROR(__xludf.DUMMYFUNCTION("CONCATENATE(GOOGLETRANSLATE(B1895, ""en"", ""zh-cn""))"),"卖家明智的统一运输成本计算：每个卖家的固定费率。如果客户从两个卖家购买 2 个产品，则运费是通过添加每个卖家的固定运费来计算的")</f>
        <v>卖家明智的统一运输成本计算：每个卖家的固定费率。如果客户从两个卖家购买 2 个产品，则运费是通过添加每个卖家的固定运费来计算的</v>
      </c>
      <c r="D1895" s="1" t="str">
        <f>IFERROR(__xludf.DUMMYFUNCTION("CONCATENATE(GOOGLETRANSLATE(B1895, ""en"", ""ko""))"),"판매자 현명한 균일 배송비 계산: 각 판매자에 대한 고정 요금. 고객이 두 판매자로부터 2개의 제품을 구매하는 경우 배송비는 각 판매자의 균일 배송비를 합산하여 계산됩니다.")</f>
        <v>판매자 현명한 균일 배송비 계산: 각 판매자에 대한 고정 요금. 고객이 두 판매자로부터 2개의 제품을 구매하는 경우 배송비는 각 판매자의 균일 배송비를 합산하여 계산됩니다.</v>
      </c>
      <c r="E1895" s="2" t="str">
        <f>IFERROR(__xludf.DUMMYFUNCTION("CONCATENATE(GOOGLETRANSLATE(B1895, ""en"", ""ja""))"),"セラーワイズフラット送料計算: 各セラーの固定料金。顧客が 2 つの販売者から 2 つの製品を購入した場合、送料は各販売者の一律送料を加算して計算されます。")</f>
        <v>セラーワイズフラット送料計算: 各セラーの固定料金。顧客が 2 つの販売者から 2 つの製品を購入した場合、送料は各販売者の一律送料を加算して計算されます。</v>
      </c>
    </row>
    <row r="1896" ht="15.75" customHeight="1">
      <c r="A1896" s="1" t="s">
        <v>3667</v>
      </c>
      <c r="B1896" s="1" t="s">
        <v>3668</v>
      </c>
      <c r="C1896" s="1" t="str">
        <f>IFERROR(__xludf.DUMMYFUNCTION("CONCATENATE(GOOGLETRANSLATE(B1896, ""en"", ""zh-cn""))"),"区域明智的统一运输成本计算：每个区域的固定费率。如果客户从一位卖家购买多件产品，运费将按客户送货区域计算。要配置区域明智的运输成本，请转到 ")</f>
        <v>区域明智的统一运输成本计算：每个区域的固定费率。如果客户从一位卖家购买多件产品，运费将按客户送货区域计算。要配置区域明智的运输成本，请转到 </v>
      </c>
      <c r="D1896" s="1" t="str">
        <f>IFERROR(__xludf.DUMMYFUNCTION("CONCATENATE(GOOGLETRANSLATE(B1896, ""en"", ""ko""))"),"지역별 균일 배송비 계산: 각 지역에 대한 고정 요금입니다. 고객이 하나의 판매자로부터 여러 상품을 구매하는 경우 배송비는 고객 배송 지역을 기준으로 계산됩니다. 지역별 배송비를 구성하려면 다음으로 이동하세요. ")</f>
        <v>지역별 균일 배송비 계산: 각 지역에 대한 고정 요금입니다. 고객이 하나의 판매자로부터 여러 상품을 구매하는 경우 배송비는 고객 배송 지역을 기준으로 계산됩니다. 지역별 배송비를 구성하려면 다음으로 이동하세요. </v>
      </c>
      <c r="E1896" s="2" t="str">
        <f>IFERROR(__xludf.DUMMYFUNCTION("CONCATENATE(GOOGLETRANSLATE(B1896, ""en"", ""ja""))"),"エリア別一律送料計算：エリアごとに定額料金となります。お客様が 1 つの販売者から複数の商品を購入した場合、送料はお客様の配送地域によって計算されます。地域ごとの配送料を設定するには、次の場所にアクセスしてください。 ")</f>
        <v>エリア別一律送料計算：エリアごとに定額料金となります。お客様が 1 つの販売者から複数の商品を購入した場合、送料はお客様の配送地域によって計算されます。地域ごとの配送料を設定するには、次の場所にアクセスしてください。 </v>
      </c>
    </row>
    <row r="1897" ht="15.75" customHeight="1">
      <c r="A1897" s="1" t="s">
        <v>3669</v>
      </c>
      <c r="B1897" s="1" t="s">
        <v>3670</v>
      </c>
      <c r="C1897" s="1" t="str">
        <f>IFERROR(__xludf.DUMMYFUNCTION("CONCATENATE(GOOGLETRANSLATE(B1897, ""en"", ""zh-cn""))"),"输入国家名称")</f>
        <v>输入国家名称</v>
      </c>
      <c r="D1897" s="1" t="str">
        <f>IFERROR(__xludf.DUMMYFUNCTION("CONCATENATE(GOOGLETRANSLATE(B1897, ""en"", ""ko""))"),"국가 이름을 입력하세요")</f>
        <v>국가 이름을 입력하세요</v>
      </c>
      <c r="E1897" s="2" t="str">
        <f>IFERROR(__xludf.DUMMYFUNCTION("CONCATENATE(GOOGLETRANSLATE(B1897, ""en"", ""ja""))"),"国名を入力してください")</f>
        <v>国名を入力してください</v>
      </c>
    </row>
    <row r="1898" ht="15.75" customHeight="1">
      <c r="A1898" s="1" t="s">
        <v>3671</v>
      </c>
      <c r="B1898" s="1" t="s">
        <v>3672</v>
      </c>
      <c r="C1898" s="1" t="str">
        <f>IFERROR(__xludf.DUMMYFUNCTION("CONCATENATE(GOOGLETRANSLATE(B1898, ""en"", ""zh-cn""))"),"所有州")</f>
        <v>所有州</v>
      </c>
      <c r="D1898" s="1" t="str">
        <f>IFERROR(__xludf.DUMMYFUNCTION("CONCATENATE(GOOGLETRANSLATE(B1898, ""en"", ""ko""))"),"모든 주")</f>
        <v>모든 주</v>
      </c>
      <c r="E1898" s="2" t="str">
        <f>IFERROR(__xludf.DUMMYFUNCTION("CONCATENATE(GOOGLETRANSLATE(B1898, ""en"", ""ja""))"),"すべての州")</f>
        <v>すべての州</v>
      </c>
    </row>
    <row r="1899" ht="15.75" customHeight="1">
      <c r="A1899" s="1" t="s">
        <v>3673</v>
      </c>
      <c r="B1899" s="1" t="s">
        <v>3674</v>
      </c>
      <c r="C1899" s="1" t="str">
        <f>IFERROR(__xludf.DUMMYFUNCTION("CONCATENATE(GOOGLETRANSLATE(B1899, ""en"", ""zh-cn""))"),"州")</f>
        <v>州</v>
      </c>
      <c r="D1899" s="1" t="str">
        <f>IFERROR(__xludf.DUMMYFUNCTION("CONCATENATE(GOOGLETRANSLATE(B1899, ""en"", ""ko""))"),"상태")</f>
        <v>상태</v>
      </c>
      <c r="E1899" s="2" t="str">
        <f>IFERROR(__xludf.DUMMYFUNCTION("CONCATENATE(GOOGLETRANSLATE(B1899, ""en"", ""ja""))"),"州")</f>
        <v>州</v>
      </c>
    </row>
    <row r="1900" ht="15.75" customHeight="1">
      <c r="A1900" s="1" t="s">
        <v>3675</v>
      </c>
      <c r="B1900" s="1" t="s">
        <v>3676</v>
      </c>
      <c r="C1900" s="1" t="str">
        <f>IFERROR(__xludf.DUMMYFUNCTION("CONCATENATE(GOOGLETRANSLATE(B1900, ""en"", ""zh-cn""))"),"输入州名")</f>
        <v>输入州名</v>
      </c>
      <c r="D1900" s="1" t="str">
        <f>IFERROR(__xludf.DUMMYFUNCTION("CONCATENATE(GOOGLETRANSLATE(B1900, ""en"", ""ko""))"),"주 이름을 입력하세요.")</f>
        <v>주 이름을 입력하세요.</v>
      </c>
      <c r="E1900" s="2" t="str">
        <f>IFERROR(__xludf.DUMMYFUNCTION("CONCATENATE(GOOGLETRANSLATE(B1900, ""en"", ""ja""))"),"状態名を入力します")</f>
        <v>状態名を入力します</v>
      </c>
    </row>
    <row r="1901" ht="15.75" customHeight="1">
      <c r="A1901" s="1" t="s">
        <v>3677</v>
      </c>
      <c r="B1901" s="1" t="s">
        <v>3678</v>
      </c>
      <c r="C1901" s="1" t="str">
        <f>IFERROR(__xludf.DUMMYFUNCTION("CONCATENATE(GOOGLETRANSLATE(B1901, ""en"", ""zh-cn""))"),"添加新状态")</f>
        <v>添加新状态</v>
      </c>
      <c r="D1901" s="1" t="str">
        <f>IFERROR(__xludf.DUMMYFUNCTION("CONCATENATE(GOOGLETRANSLATE(B1901, ""en"", ""ko""))"),"새 상태 추가")</f>
        <v>새 상태 추가</v>
      </c>
      <c r="E1901" s="2" t="str">
        <f>IFERROR(__xludf.DUMMYFUNCTION("CONCATENATE(GOOGLETRANSLATE(B1901, ""en"", ""ja""))"),"新しい状態の追加")</f>
        <v>新しい状態の追加</v>
      </c>
    </row>
    <row r="1902" ht="15.75" customHeight="1">
      <c r="A1902" s="1" t="s">
        <v>3679</v>
      </c>
      <c r="B1902" s="1" t="s">
        <v>3680</v>
      </c>
      <c r="C1902" s="1" t="str">
        <f>IFERROR(__xludf.DUMMYFUNCTION("CONCATENATE(GOOGLETRANSLATE(B1902, ""en"", ""zh-cn""))"),"输入城市名称并输入")</f>
        <v>输入城市名称并输入</v>
      </c>
      <c r="D1902" s="1" t="str">
        <f>IFERROR(__xludf.DUMMYFUNCTION("CONCATENATE(GOOGLETRANSLATE(B1902, ""en"", ""ko""))"),"도시 이름을 입력하고 Enter를 누르세요.")</f>
        <v>도시 이름을 입력하고 Enter를 누르세요.</v>
      </c>
      <c r="E1902" s="2" t="str">
        <f>IFERROR(__xludf.DUMMYFUNCTION("CONCATENATE(GOOGLETRANSLATE(B1902, ""en"", ""ja""))"),"都市名を入力して Enter")</f>
        <v>都市名を入力して Enter</v>
      </c>
    </row>
    <row r="1903" ht="15.75" customHeight="1">
      <c r="A1903" s="1" t="s">
        <v>3681</v>
      </c>
      <c r="B1903" s="1" t="s">
        <v>3682</v>
      </c>
      <c r="C1903" s="1" t="str">
        <f>IFERROR(__xludf.DUMMYFUNCTION("CONCATENATE(GOOGLETRANSLATE(B1903, ""en"", ""zh-cn""))"),"选择状态")</f>
        <v>选择状态</v>
      </c>
      <c r="D1903" s="1" t="str">
        <f>IFERROR(__xludf.DUMMYFUNCTION("CONCATENATE(GOOGLETRANSLATE(B1903, ""en"", ""ko""))"),"상태 선택")</f>
        <v>상태 선택</v>
      </c>
      <c r="E1903" s="2" t="str">
        <f>IFERROR(__xludf.DUMMYFUNCTION("CONCATENATE(GOOGLETRANSLATE(B1903, ""en"", ""ja""))"),"状態の選択")</f>
        <v>状態の選択</v>
      </c>
    </row>
    <row r="1904" ht="15.75" customHeight="1">
      <c r="A1904" s="1" t="s">
        <v>3683</v>
      </c>
      <c r="B1904" s="1" t="s">
        <v>3684</v>
      </c>
      <c r="C1904" s="1" t="str">
        <f>IFERROR(__xludf.DUMMYFUNCTION("CONCATENATE(GOOGLETRANSLATE(B1904, ""en"", ""zh-cn""))"),"区域运费")</f>
        <v>区域运费</v>
      </c>
      <c r="D1904" s="1" t="str">
        <f>IFERROR(__xludf.DUMMYFUNCTION("CONCATENATE(GOOGLETRANSLATE(B1904, ""en"", ""ko""))"),"지역별 배송비")</f>
        <v>지역별 배송비</v>
      </c>
      <c r="E1904" s="2" t="str">
        <f>IFERROR(__xludf.DUMMYFUNCTION("CONCATENATE(GOOGLETRANSLATE(B1904, ""en"", ""ja""))"),"地域別送料")</f>
        <v>地域別送料</v>
      </c>
    </row>
    <row r="1905" ht="15.75" customHeight="1">
      <c r="A1905" s="1" t="s">
        <v>3685</v>
      </c>
      <c r="B1905" s="1" t="s">
        <v>3686</v>
      </c>
      <c r="C1905" s="1" t="str">
        <f>IFERROR(__xludf.DUMMYFUNCTION("CONCATENATE(GOOGLETRANSLATE(B1905, ""en"", ""zh-cn""))"),"还有其他信息吗？")</f>
        <v>还有其他信息吗？</v>
      </c>
      <c r="D1905" s="1" t="str">
        <f>IFERROR(__xludf.DUMMYFUNCTION("CONCATENATE(GOOGLETRANSLATE(B1905, ""en"", ""ko""))"),"추가 정보가 있나요?")</f>
        <v>추가 정보가 있나요?</v>
      </c>
      <c r="E1905" s="2" t="str">
        <f>IFERROR(__xludf.DUMMYFUNCTION("CONCATENATE(GOOGLETRANSLATE(B1905, ""en"", ""ja""))"),"追加情報はありますか?")</f>
        <v>追加情報はありますか?</v>
      </c>
    </row>
    <row r="1906" ht="15.75" customHeight="1">
      <c r="A1906" s="1" t="s">
        <v>3687</v>
      </c>
      <c r="B1906" s="1" t="s">
        <v>3688</v>
      </c>
      <c r="C1906" s="1" t="str">
        <f>IFERROR(__xludf.DUMMYFUNCTION("CONCATENATE(GOOGLETRANSLATE(B1906, ""en"", ""zh-cn""))"),"输入您的文字")</f>
        <v>输入您的文字</v>
      </c>
      <c r="D1906" s="1" t="str">
        <f>IFERROR(__xludf.DUMMYFUNCTION("CONCATENATE(GOOGLETRANSLATE(B1906, ""en"", ""ko""))"),"텍스트를 입력하세요")</f>
        <v>텍스트를 입력하세요</v>
      </c>
      <c r="E1906" s="2" t="str">
        <f>IFERROR(__xludf.DUMMYFUNCTION("CONCATENATE(GOOGLETRANSLATE(B1906, ""en"", ""ja""))"),"テキストを入力してください")</f>
        <v>テキストを入力してください</v>
      </c>
    </row>
    <row r="1907" ht="15.75" customHeight="1">
      <c r="A1907" s="1" t="s">
        <v>3689</v>
      </c>
      <c r="B1907" s="1" t="s">
        <v>3690</v>
      </c>
      <c r="C1907" s="1" t="str">
        <f>IFERROR(__xludf.DUMMYFUNCTION("CONCATENATE(GOOGLETRANSLATE(B1907, ""en"", ""zh-cn""))"),"您的订单金额小于最低订单金额")</f>
        <v>您的订单金额小于最低订单金额</v>
      </c>
      <c r="D1907" s="1" t="str">
        <f>IFERROR(__xludf.DUMMYFUNCTION("CONCATENATE(GOOGLETRANSLATE(B1907, ""en"", ""ko""))"),"주문 금액이 최소 주문 금액보다 적습니다.")</f>
        <v>주문 금액이 최소 주문 금액보다 적습니다.</v>
      </c>
      <c r="E1907" s="2" t="str">
        <f>IFERROR(__xludf.DUMMYFUNCTION("CONCATENATE(GOOGLETRANSLATE(B1907, ""en"", ""ja""))"),"注文金額が最低注文金額を下回っています")</f>
        <v>注文金額が最低注文金額を下回っています</v>
      </c>
    </row>
    <row r="1908" ht="15.75" customHeight="1">
      <c r="A1908" s="1" t="s">
        <v>3691</v>
      </c>
      <c r="B1908" s="1" t="s">
        <v>3692</v>
      </c>
      <c r="C1908" s="1" t="str">
        <f>IFERROR(__xludf.DUMMYFUNCTION("CONCATENATE(GOOGLETRANSLATE(B1908, ""en"", ""zh-cn""))"),"地址信息更新成功")</f>
        <v>地址信息更新成功</v>
      </c>
      <c r="D1908" s="1" t="str">
        <f>IFERROR(__xludf.DUMMYFUNCTION("CONCATENATE(GOOGLETRANSLATE(B1908, ""en"", ""ko""))"),"주소 정보가 업데이트되었습니다.")</f>
        <v>주소 정보가 업데이트되었습니다.</v>
      </c>
      <c r="E1908" s="2" t="str">
        <f>IFERROR(__xludf.DUMMYFUNCTION("CONCATENATE(GOOGLETRANSLATE(B1908, ""en"", ""ja""))"),"住所情報が正常に更新されました")</f>
        <v>住所情報が正常に更新されました</v>
      </c>
    </row>
    <row r="1909" ht="15.75" customHeight="1">
      <c r="A1909" s="1" t="s">
        <v>3693</v>
      </c>
      <c r="B1909" s="1" t="s">
        <v>3694</v>
      </c>
      <c r="C1909" s="1" t="str">
        <f>IFERROR(__xludf.DUMMYFUNCTION("CONCATENATE(GOOGLETRANSLATE(B1909, ""en"", ""zh-cn""))"),"更改订单状态")</f>
        <v>更改订单状态</v>
      </c>
      <c r="D1909" s="1" t="str">
        <f>IFERROR(__xludf.DUMMYFUNCTION("CONCATENATE(GOOGLETRANSLATE(B1909, ""en"", ""ko""))"),"변경 주문 상태")</f>
        <v>변경 주문 상태</v>
      </c>
      <c r="E1909" s="2" t="str">
        <f>IFERROR(__xludf.DUMMYFUNCTION("CONCATENATE(GOOGLETRANSLATE(B1909, ""en"", ""ja""))"),"変更オーダーのステータス")</f>
        <v>変更オーダーのステータス</v>
      </c>
    </row>
    <row r="1910" ht="15.75" customHeight="1">
      <c r="A1910" s="1" t="s">
        <v>3695</v>
      </c>
      <c r="B1910" s="1" t="s">
        <v>3696</v>
      </c>
      <c r="C1910" s="1" t="str">
        <f>IFERROR(__xludf.DUMMYFUNCTION("CONCATENATE(GOOGLETRANSLATE(B1910, ""en"", ""zh-cn""))"),"选择订单状态")</f>
        <v>选择订单状态</v>
      </c>
      <c r="D1910" s="1" t="str">
        <f>IFERROR(__xludf.DUMMYFUNCTION("CONCATENATE(GOOGLETRANSLATE(B1910, ""en"", ""ko""))"),"주문 상태를 선택하세요")</f>
        <v>주문 상태를 선택하세요</v>
      </c>
      <c r="E1910" s="2" t="str">
        <f>IFERROR(__xludf.DUMMYFUNCTION("CONCATENATE(GOOGLETRANSLATE(B1910, ""en"", ""ja""))"),"注文ステータスを選択してください")</f>
        <v>注文ステータスを選択してください</v>
      </c>
    </row>
    <row r="1911" ht="15.75" customHeight="1">
      <c r="A1911" s="1" t="s">
        <v>3697</v>
      </c>
      <c r="B1911" s="1" t="s">
        <v>3698</v>
      </c>
      <c r="C1911" s="1" t="str">
        <f>IFERROR(__xludf.DUMMYFUNCTION("CONCATENATE(GOOGLETRANSLATE(B1911, ""en"", ""zh-cn""))"),"按交货状态过滤")</f>
        <v>按交货状态过滤</v>
      </c>
      <c r="D1911" s="1" t="str">
        <f>IFERROR(__xludf.DUMMYFUNCTION("CONCATENATE(GOOGLETRANSLATE(B1911, ""en"", ""ko""))"),"배송 상태로 필터링")</f>
        <v>배송 상태로 필터링</v>
      </c>
      <c r="E1911" s="2" t="str">
        <f>IFERROR(__xludf.DUMMYFUNCTION("CONCATENATE(GOOGLETRANSLATE(B1911, ""en"", ""ja""))"),"配送ステータスでフィルタリングする")</f>
        <v>配送ステータスでフィルタリングする</v>
      </c>
    </row>
    <row r="1912" ht="15.75" customHeight="1">
      <c r="A1912" s="1" t="s">
        <v>3699</v>
      </c>
      <c r="B1912" s="1" t="s">
        <v>3700</v>
      </c>
      <c r="C1912" s="1" t="str">
        <f>IFERROR(__xludf.DUMMYFUNCTION("CONCATENATE(GOOGLETRANSLATE(B1912, ""en"", ""zh-cn""))"),"梅尔卡多帕戈凭证")</f>
        <v>梅尔卡多帕戈凭证</v>
      </c>
      <c r="D1912" s="1" t="str">
        <f>IFERROR(__xludf.DUMMYFUNCTION("CONCATENATE(GOOGLETRANSLATE(B1912, ""en"", ""ko""))"),"메르카도파고 자격증")</f>
        <v>메르카도파고 자격증</v>
      </c>
      <c r="E1912" s="2" t="str">
        <f>IFERROR(__xludf.DUMMYFUNCTION("CONCATENATE(GOOGLETRANSLATE(B1912, ""en"", ""ja""))"),"メルカドパゴの資格情報")</f>
        <v>メルカドパゴの資格情報</v>
      </c>
    </row>
    <row r="1913" ht="15.75" customHeight="1">
      <c r="A1913" s="1" t="s">
        <v>3701</v>
      </c>
      <c r="B1913" s="1" t="s">
        <v>3702</v>
      </c>
      <c r="C1913" s="1" t="str">
        <f>IFERROR(__xludf.DUMMYFUNCTION("CONCATENATE(GOOGLETRANSLATE(B1913, ""en"", ""zh-cn""))"),"梅尔卡多帕戈岛")</f>
        <v>梅尔卡多帕戈岛</v>
      </c>
      <c r="D1913" s="1" t="str">
        <f>IFERROR(__xludf.DUMMYFUNCTION("CONCATENATE(GOOGLETRANSLATE(B1913, ""en"", ""ko""))"),"메르카도파고 키")</f>
        <v>메르카도파고 키</v>
      </c>
      <c r="E1913" s="2" t="str">
        <f>IFERROR(__xludf.DUMMYFUNCTION("CONCATENATE(GOOGLETRANSLATE(B1913, ""en"", ""ja""))"),"メルカドパゴ キー")</f>
        <v>メルカドパゴ キー</v>
      </c>
    </row>
    <row r="1914" ht="15.75" customHeight="1">
      <c r="A1914" s="1" t="s">
        <v>3703</v>
      </c>
      <c r="B1914" s="1" t="s">
        <v>3704</v>
      </c>
      <c r="C1914" s="1" t="str">
        <f>IFERROR(__xludf.DUMMYFUNCTION("CONCATENATE(GOOGLETRANSLATE(B1914, ""en"", ""zh-cn""))"),"前往梅尔卡多帕戈")</f>
        <v>前往梅尔卡多帕戈</v>
      </c>
      <c r="D1914" s="1" t="str">
        <f>IFERROR(__xludf.DUMMYFUNCTION("CONCATENATE(GOOGLETRANSLATE(B1914, ""en"", ""ko""))"),"메르카도파고 액세스")</f>
        <v>메르카도파고 액세스</v>
      </c>
      <c r="E1914" s="2" t="str">
        <f>IFERROR(__xludf.DUMMYFUNCTION("CONCATENATE(GOOGLETRANSLATE(B1914, ""en"", ""ja""))"),"メルカドパゴへのアクセス")</f>
        <v>メルカドパゴへのアクセス</v>
      </c>
    </row>
    <row r="1915" ht="15.75" customHeight="1">
      <c r="A1915" s="1" t="s">
        <v>3705</v>
      </c>
      <c r="B1915" s="1" t="s">
        <v>3706</v>
      </c>
      <c r="C1915" s="1" t="str">
        <f>IFERROR(__xludf.DUMMYFUNCTION("CONCATENATE(GOOGLETRANSLATE(B1915, ""en"", ""zh-cn""))"),"梅尔卡多巴哥货币")</f>
        <v>梅尔卡多巴哥货币</v>
      </c>
      <c r="D1915" s="1" t="str">
        <f>IFERROR(__xludf.DUMMYFUNCTION("CONCATENATE(GOOGLETRANSLATE(B1915, ""en"", ""ko""))"),"메르카도파고 통화")</f>
        <v>메르카도파고 통화</v>
      </c>
      <c r="E1915" s="2" t="str">
        <f>IFERROR(__xludf.DUMMYFUNCTION("CONCATENATE(GOOGLETRANSLATE(B1915, ""en"", ""ja""))"),"メルカドパゴ通貨")</f>
        <v>メルカドパゴ通貨</v>
      </c>
    </row>
    <row r="1916" ht="15.75" customHeight="1">
      <c r="A1916" s="1" t="s">
        <v>3707</v>
      </c>
      <c r="B1916" s="1" t="s">
        <v>3708</v>
      </c>
      <c r="C1916" s="1" t="str">
        <f>IFERROR(__xludf.DUMMYFUNCTION("CONCATENATE(GOOGLETRANSLATE(B1916, ""en"", ""zh-cn""))"),"授权网")</f>
        <v>授权网</v>
      </c>
      <c r="D1916" s="1" t="str">
        <f>IFERROR(__xludf.DUMMYFUNCTION("CONCATENATE(GOOGLETRANSLATE(B1916, ""en"", ""ko""))"),"넷 승인")</f>
        <v>넷 승인</v>
      </c>
      <c r="E1916" s="2" t="str">
        <f>IFERROR(__xludf.DUMMYFUNCTION("CONCATENATE(GOOGLETRANSLATE(B1916, ""en"", ""ja""))"),"ネットを承認する")</f>
        <v>ネットを承認する</v>
      </c>
    </row>
    <row r="1917" ht="15.75" customHeight="1">
      <c r="A1917" s="1" t="s">
        <v>3709</v>
      </c>
      <c r="B1917" s="1" t="s">
        <v>3710</v>
      </c>
      <c r="C1917" s="1" t="str">
        <f>IFERROR(__xludf.DUMMYFUNCTION("CONCATENATE(GOOGLETRANSLATE(B1917, ""en"", ""zh-cn""))"),"MERCHANT_LOGIN_ID")</f>
        <v>MERCHANT_LOGIN_ID</v>
      </c>
      <c r="D1917" s="1" t="str">
        <f>IFERROR(__xludf.DUMMYFUNCTION("CONCATENATE(GOOGLETRANSLATE(B1917, ""en"", ""ko""))"),"MERCHANT_LOGIN_ID")</f>
        <v>MERCHANT_LOGIN_ID</v>
      </c>
      <c r="E1917" s="2" t="str">
        <f>IFERROR(__xludf.DUMMYFUNCTION("CONCATENATE(GOOGLETRANSLATE(B1917, ""en"", ""ja""))"),"MERCHANT_LOGIN_ID")</f>
        <v>MERCHANT_LOGIN_ID</v>
      </c>
    </row>
    <row r="1918" ht="15.75" customHeight="1">
      <c r="A1918" s="1" t="s">
        <v>3711</v>
      </c>
      <c r="B1918" s="1" t="s">
        <v>3712</v>
      </c>
      <c r="C1918" s="1" t="str">
        <f>IFERROR(__xludf.DUMMYFUNCTION("CONCATENATE(GOOGLETRANSLATE(B1918, ""en"", ""zh-cn""))"),"MERCHANT_TRANSACTION_KEY")</f>
        <v>MERCHANT_TRANSACTION_KEY</v>
      </c>
      <c r="D1918" s="1" t="str">
        <f>IFERROR(__xludf.DUMMYFUNCTION("CONCATENATE(GOOGLETRANSLATE(B1918, ""en"", ""ko""))"),"MERCHANT_TRANSACTION_KEY")</f>
        <v>MERCHANT_TRANSACTION_KEY</v>
      </c>
      <c r="E1918" s="2" t="str">
        <f>IFERROR(__xludf.DUMMYFUNCTION("CONCATENATE(GOOGLETRANSLATE(B1918, ""en"", ""ja""))"),"MERCHANT_TRANSACTION_KEY")</f>
        <v>MERCHANT_TRANSACTION_KEY</v>
      </c>
    </row>
    <row r="1919" ht="15.75" customHeight="1">
      <c r="A1919" s="1" t="s">
        <v>3713</v>
      </c>
      <c r="B1919" s="1" t="s">
        <v>3714</v>
      </c>
      <c r="C1919" s="1" t="str">
        <f>IFERROR(__xludf.DUMMYFUNCTION("CONCATENATE(GOOGLETRANSLATE(B1919, ""en"", ""zh-cn""))"),"授权网络沙箱模式")</f>
        <v>授权网络沙箱模式</v>
      </c>
      <c r="D1919" s="1" t="str">
        <f>IFERROR(__xludf.DUMMYFUNCTION("CONCATENATE(GOOGLETRANSLATE(B1919, ""en"", ""ko""))"),"Net Sandbox 모드 승인")</f>
        <v>Net Sandbox 모드 승인</v>
      </c>
      <c r="E1919" s="2" t="str">
        <f>IFERROR(__xludf.DUMMYFUNCTION("CONCATENATE(GOOGLETRANSLATE(B1919, ""en"", ""ja""))"),"ネットサンドボックスモードを認証する")</f>
        <v>ネットサンドボックスモードを認証する</v>
      </c>
    </row>
    <row r="1920" ht="15.75" customHeight="1">
      <c r="A1920" s="1" t="s">
        <v>3715</v>
      </c>
      <c r="B1920" s="1" t="s">
        <v>3716</v>
      </c>
      <c r="C1920" s="1" t="str">
        <f>IFERROR(__xludf.DUMMYFUNCTION("CONCATENATE(GOOGLETRANSLATE(B1920, ""en"", ""zh-cn""))"),"佩库")</f>
        <v>佩库</v>
      </c>
      <c r="D1920" s="1" t="str">
        <f>IFERROR(__xludf.DUMMYFUNCTION("CONCATENATE(GOOGLETRANSLATE(B1920, ""en"", ""ko""))"),"페이쿠")</f>
        <v>페이쿠</v>
      </c>
      <c r="E1920" s="2" t="str">
        <f>IFERROR(__xludf.DUMMYFUNCTION("CONCATENATE(GOOGLETRANSLATE(B1920, ""en"", ""ja""))"),"パイク")</f>
        <v>パイク</v>
      </c>
    </row>
    <row r="1921" ht="15.75" customHeight="1">
      <c r="A1921" s="1" t="s">
        <v>3717</v>
      </c>
      <c r="B1921" s="1" t="s">
        <v>3718</v>
      </c>
      <c r="C1921" s="1" t="str">
        <f>IFERROR(__xludf.DUMMYFUNCTION("CONCATENATE(GOOGLETRANSLATE(B1921, ""en"", ""zh-cn""))"),"PAYKU_BASE_URL")</f>
        <v>PAYKU_BASE_URL</v>
      </c>
      <c r="D1921" s="1" t="str">
        <f>IFERROR(__xludf.DUMMYFUNCTION("CONCATENATE(GOOGLETRANSLATE(B1921, ""en"", ""ko""))"),"PAYKU_BASE_URL")</f>
        <v>PAYKU_BASE_URL</v>
      </c>
      <c r="E1921" s="2" t="str">
        <f>IFERROR(__xludf.DUMMYFUNCTION("CONCATENATE(GOOGLETRANSLATE(B1921, ""en"", ""ja""))"),"PAYKU_BASE_URL")</f>
        <v>PAYKU_BASE_URL</v>
      </c>
    </row>
    <row r="1922" ht="15.75" customHeight="1">
      <c r="A1922" s="1" t="s">
        <v>3719</v>
      </c>
      <c r="B1922" s="1" t="s">
        <v>3720</v>
      </c>
      <c r="C1922" s="1" t="str">
        <f>IFERROR(__xludf.DUMMYFUNCTION("CONCATENATE(GOOGLETRANSLATE(B1922, ""en"", ""zh-cn""))"),"PAYKU_PUBLIC_TOKEN")</f>
        <v>PAYKU_PUBLIC_TOKEN</v>
      </c>
      <c r="D1922" s="1" t="str">
        <f>IFERROR(__xludf.DUMMYFUNCTION("CONCATENATE(GOOGLETRANSLATE(B1922, ""en"", ""ko""))"),"PAYKU_PUBLIC_TOKEN")</f>
        <v>PAYKU_PUBLIC_TOKEN</v>
      </c>
      <c r="E1922" s="2" t="str">
        <f>IFERROR(__xludf.DUMMYFUNCTION("CONCATENATE(GOOGLETRANSLATE(B1922, ""en"", ""ja""))"),"PAYKU_PUBLIC_TOKEN")</f>
        <v>PAYKU_PUBLIC_TOKEN</v>
      </c>
    </row>
    <row r="1923" ht="15.75" customHeight="1">
      <c r="A1923" s="1" t="s">
        <v>3721</v>
      </c>
      <c r="B1923" s="1" t="s">
        <v>3722</v>
      </c>
      <c r="C1923" s="1" t="str">
        <f>IFERROR(__xludf.DUMMYFUNCTION("CONCATENATE(GOOGLETRANSLATE(B1923, ""en"", ""zh-cn""))"),"PAYKU_PRIVATE_TOKEN")</f>
        <v>PAYKU_PRIVATE_TOKEN</v>
      </c>
      <c r="D1923" s="1" t="str">
        <f>IFERROR(__xludf.DUMMYFUNCTION("CONCATENATE(GOOGLETRANSLATE(B1923, ""en"", ""ko""))"),"PAYKU_PRIVATE_TOKEN")</f>
        <v>PAYKU_PRIVATE_TOKEN</v>
      </c>
      <c r="E1923" s="2" t="str">
        <f>IFERROR(__xludf.DUMMYFUNCTION("CONCATENATE(GOOGLETRANSLATE(B1923, ""en"", ""ja""))"),"PAYKU_PRIVATE_TOKEN")</f>
        <v>PAYKU_PRIVATE_TOKEN</v>
      </c>
    </row>
    <row r="1924" ht="15.75" customHeight="1">
      <c r="A1924" s="1" t="s">
        <v>3723</v>
      </c>
      <c r="B1924" s="1" t="s">
        <v>3724</v>
      </c>
      <c r="C1924" s="1" t="str">
        <f>IFERROR(__xludf.DUMMYFUNCTION("CONCATENATE(GOOGLETRANSLATE(B1924, ""en"", ""zh-cn""))"),"最小订购量设置")</f>
        <v>最小订购量设置</v>
      </c>
      <c r="D1924" s="1" t="str">
        <f>IFERROR(__xludf.DUMMYFUNCTION("CONCATENATE(GOOGLETRANSLATE(B1924, ""en"", ""ko""))"),"최소 주문 금액 설정")</f>
        <v>최소 주문 금액 설정</v>
      </c>
      <c r="E1924" s="2" t="str">
        <f>IFERROR(__xludf.DUMMYFUNCTION("CONCATENATE(GOOGLETRANSLATE(B1924, ""en"", ""ja""))"),"最低注文金額の設定")</f>
        <v>最低注文金額の設定</v>
      </c>
    </row>
    <row r="1925" ht="15.75" customHeight="1">
      <c r="A1925" s="1" t="s">
        <v>3725</v>
      </c>
      <c r="B1925" s="1" t="s">
        <v>3726</v>
      </c>
      <c r="C1925" s="1" t="str">
        <f>IFERROR(__xludf.DUMMYFUNCTION("CONCATENATE(GOOGLETRANSLATE(B1925, ""en"", ""zh-cn""))"),"最低订单金额检查")</f>
        <v>最低订单金额检查</v>
      </c>
      <c r="D1925" s="1" t="str">
        <f>IFERROR(__xludf.DUMMYFUNCTION("CONCATENATE(GOOGLETRANSLATE(B1925, ""en"", ""ko""))"),"최소주문금액 확인")</f>
        <v>최소주문금액 확인</v>
      </c>
      <c r="E1925" s="2" t="str">
        <f>IFERROR(__xludf.DUMMYFUNCTION("CONCATENATE(GOOGLETRANSLATE(B1925, ""en"", ""ja""))"),"最低注文金額の確認")</f>
        <v>最低注文金額の確認</v>
      </c>
    </row>
    <row r="1926" ht="15.75" customHeight="1">
      <c r="A1926" s="1" t="s">
        <v>3727</v>
      </c>
      <c r="B1926" s="1" t="s">
        <v>3728</v>
      </c>
      <c r="C1926" s="1" t="str">
        <f>IFERROR(__xludf.DUMMYFUNCTION("CONCATENATE(GOOGLETRANSLATE(B1926, ""en"", ""zh-cn""))"),"设置最低订单金额")</f>
        <v>设置最低订单金额</v>
      </c>
      <c r="D1926" s="1" t="str">
        <f>IFERROR(__xludf.DUMMYFUNCTION("CONCATENATE(GOOGLETRANSLATE(B1926, ""en"", ""ko""))"),"최소 주문 금액 설정")</f>
        <v>최소 주문 금액 설정</v>
      </c>
      <c r="E1926" s="2" t="str">
        <f>IFERROR(__xludf.DUMMYFUNCTION("CONCATENATE(GOOGLETRANSLATE(B1926, ""en"", ""ja""))"),"最低注文金額の設定")</f>
        <v>最低注文金額の設定</v>
      </c>
    </row>
    <row r="1927" ht="15.75" customHeight="1">
      <c r="A1927" s="1" t="s">
        <v>3729</v>
      </c>
      <c r="B1927" s="1" t="s">
        <v>3730</v>
      </c>
      <c r="C1927" s="1" t="str">
        <f>IFERROR(__xludf.DUMMYFUNCTION("CONCATENATE(GOOGLETRANSLATE(B1927, ""en"", ""zh-cn""))"),"最低订购量")</f>
        <v>最低订购量</v>
      </c>
      <c r="D1927" s="1" t="str">
        <f>IFERROR(__xludf.DUMMYFUNCTION("CONCATENATE(GOOGLETRANSLATE(B1927, ""en"", ""ko""))"),"최소 주문 금액")</f>
        <v>최소 주문 금액</v>
      </c>
      <c r="E1927" s="2" t="str">
        <f>IFERROR(__xludf.DUMMYFUNCTION("CONCATENATE(GOOGLETRANSLATE(B1927, ""en"", ""ja""))"),"最低注文金額")</f>
        <v>最低注文金額</v>
      </c>
    </row>
    <row r="1928" ht="15.75" customHeight="1">
      <c r="A1928" s="1" t="s">
        <v>3731</v>
      </c>
      <c r="B1928" s="1" t="s">
        <v>3732</v>
      </c>
      <c r="C1928" s="1" t="str">
        <f>IFERROR(__xludf.DUMMYFUNCTION("CONCATENATE(GOOGLETRANSLATE(B1928, ""en"", ""zh-cn""))"),"查看详情")</f>
        <v>查看详情</v>
      </c>
      <c r="D1928" s="1" t="str">
        <f>IFERROR(__xludf.DUMMYFUNCTION("CONCATENATE(GOOGLETRANSLATE(B1928, ""en"", ""ko""))"),"세부정보 보기")</f>
        <v>세부정보 보기</v>
      </c>
      <c r="E1928" s="2" t="str">
        <f>IFERROR(__xludf.DUMMYFUNCTION("CONCATENATE(GOOGLETRANSLATE(B1928, ""en"", ""ja""))"),"詳細を見る")</f>
        <v>詳細を見る</v>
      </c>
    </row>
    <row r="1929" ht="15.75" customHeight="1">
      <c r="A1929" s="1" t="s">
        <v>3733</v>
      </c>
      <c r="B1929" s="1" t="s">
        <v>3734</v>
      </c>
      <c r="C1929" s="1" t="str">
        <f>IFERROR(__xludf.DUMMYFUNCTION("CONCATENATE(GOOGLETRANSLATE(B1929, ""en"", ""zh-cn""))"),"消息已发送给卖家")</f>
        <v>消息已发送给卖家</v>
      </c>
      <c r="D1929" s="1" t="str">
        <f>IFERROR(__xludf.DUMMYFUNCTION("CONCATENATE(GOOGLETRANSLATE(B1929, ""en"", ""ko""))"),"판매자에게 메시지가 전송되었습니다")</f>
        <v>판매자에게 메시지가 전송되었습니다</v>
      </c>
      <c r="E1929" s="2" t="str">
        <f>IFERROR(__xludf.DUMMYFUNCTION("CONCATENATE(GOOGLETRANSLATE(B1929, ""en"", ""ja""))"),"メッセージが販売者に送信されました")</f>
        <v>メッセージが販売者に送信されました</v>
      </c>
    </row>
    <row r="1930" ht="15.75" customHeight="1">
      <c r="A1930" s="1" t="s">
        <v>3735</v>
      </c>
      <c r="B1930" s="1" t="s">
        <v>3736</v>
      </c>
      <c r="C1930" s="1" t="str">
        <f>IFERROR(__xludf.DUMMYFUNCTION("CONCATENATE(GOOGLETRANSLATE(B1930, ""en"", ""zh-cn""))"),"选择付款方式。")</f>
        <v>选择付款方式。</v>
      </c>
      <c r="D1930" s="1" t="str">
        <f>IFERROR(__xludf.DUMMYFUNCTION("CONCATENATE(GOOGLETRANSLATE(B1930, ""en"", ""ko""))"),"결제 옵션을 선택하세요.")</f>
        <v>결제 옵션을 선택하세요.</v>
      </c>
      <c r="E1930" s="2" t="str">
        <f>IFERROR(__xludf.DUMMYFUNCTION("CONCATENATE(GOOGLETRANSLATE(B1930, ""en"", ""ja""))"),"支払いオプションを選択します。")</f>
        <v>支払いオプションを選択します。</v>
      </c>
    </row>
    <row r="1931" ht="15.75" customHeight="1">
      <c r="A1931" s="1" t="s">
        <v>3737</v>
      </c>
      <c r="B1931" s="1" t="s">
        <v>3738</v>
      </c>
      <c r="C1931" s="1" t="str">
        <f>IFERROR(__xludf.DUMMYFUNCTION("CONCATENATE(GOOGLETRANSLATE(B1931, ""en"", ""zh-cn""))"),"联盟统计")</f>
        <v>联盟统计</v>
      </c>
      <c r="D1931" s="1" t="str">
        <f>IFERROR(__xludf.DUMMYFUNCTION("CONCATENATE(GOOGLETRANSLATE(B1931, ""en"", ""ko""))"),"제휴 통계")</f>
        <v>제휴 통계</v>
      </c>
      <c r="E1931" s="2" t="str">
        <f>IFERROR(__xludf.DUMMYFUNCTION("CONCATENATE(GOOGLETRANSLATE(B1931, ""en"", ""ja""))"),"アフィリエイト統計")</f>
        <v>アフィリエイト統計</v>
      </c>
    </row>
    <row r="1932" ht="15.75" customHeight="1">
      <c r="A1932" s="1" t="s">
        <v>3739</v>
      </c>
      <c r="B1932" s="1" t="s">
        <v>3740</v>
      </c>
      <c r="C1932" s="1" t="str">
        <f>IFERROR(__xludf.DUMMYFUNCTION("CONCATENATE(GOOGLETRANSLATE(B1932, ""en"", ""zh-cn""))"),"点击次数")</f>
        <v>点击次数</v>
      </c>
      <c r="D1932" s="1" t="str">
        <f>IFERROR(__xludf.DUMMYFUNCTION("CONCATENATE(GOOGLETRANSLATE(B1932, ""en"", ""ko""))"),"클릭수")</f>
        <v>클릭수</v>
      </c>
      <c r="E1932" s="2" t="str">
        <f>IFERROR(__xludf.DUMMYFUNCTION("CONCATENATE(GOOGLETRANSLATE(B1932, ""en"", ""ja""))"),"クリック数")</f>
        <v>クリック数</v>
      </c>
    </row>
    <row r="1933" ht="15.75" customHeight="1">
      <c r="A1933" s="1" t="s">
        <v>3741</v>
      </c>
      <c r="B1933" s="1" t="s">
        <v>3742</v>
      </c>
      <c r="C1933" s="1" t="str">
        <f>IFERROR(__xludf.DUMMYFUNCTION("CONCATENATE(GOOGLETRANSLATE(B1933, ""en"", ""zh-cn""))"),"商品数量")</f>
        <v>商品数量</v>
      </c>
      <c r="D1933" s="1" t="str">
        <f>IFERROR(__xludf.DUMMYFUNCTION("CONCATENATE(GOOGLETRANSLATE(B1933, ""en"", ""ko""))"),"항목 수")</f>
        <v>항목 수</v>
      </c>
      <c r="E1933" s="2" t="str">
        <f>IFERROR(__xludf.DUMMYFUNCTION("CONCATENATE(GOOGLETRANSLATE(B1933, ""en"", ""ja""))"),"アイテムの番号")</f>
        <v>アイテムの番号</v>
      </c>
    </row>
    <row r="1934" ht="15.75" customHeight="1">
      <c r="A1934" s="1" t="s">
        <v>3743</v>
      </c>
      <c r="B1934" s="1" t="s">
        <v>3744</v>
      </c>
      <c r="C1934" s="1" t="str">
        <f>IFERROR(__xludf.DUMMYFUNCTION("CONCATENATE(GOOGLETRANSLATE(B1934, ""en"", ""zh-cn""))"),"已送达数量")</f>
        <v>已送达数量</v>
      </c>
      <c r="D1934" s="1" t="str">
        <f>IFERROR(__xludf.DUMMYFUNCTION("CONCATENATE(GOOGLETRANSLATE(B1934, ""en"", ""ko""))"),"배달된 수")</f>
        <v>배달된 수</v>
      </c>
      <c r="E1934" s="2" t="str">
        <f>IFERROR(__xludf.DUMMYFUNCTION("CONCATENATE(GOOGLETRANSLATE(B1934, ""en"", ""ja""))"),"納品数")</f>
        <v>納品数</v>
      </c>
    </row>
    <row r="1935" ht="15.75" customHeight="1">
      <c r="A1935" s="1" t="s">
        <v>3745</v>
      </c>
      <c r="B1935" s="1" t="s">
        <v>3746</v>
      </c>
      <c r="C1935" s="1" t="str">
        <f>IFERROR(__xludf.DUMMYFUNCTION("CONCATENATE(GOOGLETRANSLATE(B1935, ""en"", ""zh-cn""))"),"取消次数")</f>
        <v>取消次数</v>
      </c>
      <c r="D1935" s="1" t="str">
        <f>IFERROR(__xludf.DUMMYFUNCTION("CONCATENATE(GOOGLETRANSLATE(B1935, ""en"", ""ko""))"),"취소 횟수")</f>
        <v>취소 횟수</v>
      </c>
      <c r="E1935" s="2" t="str">
        <f>IFERROR(__xludf.DUMMYFUNCTION("CONCATENATE(GOOGLETRANSLATE(B1935, ""en"", ""ja""))"),"キャンセル数")</f>
        <v>キャンセル数</v>
      </c>
    </row>
    <row r="1936" ht="15.75" customHeight="1">
      <c r="A1936" s="1" t="s">
        <v>3747</v>
      </c>
      <c r="B1936" s="1" t="s">
        <v>3748</v>
      </c>
      <c r="C1936" s="1" t="str">
        <f>IFERROR(__xludf.DUMMYFUNCTION("CONCATENATE(GOOGLETRANSLATE(B1936, ""en"", ""zh-cn""))"),"帐户名称")</f>
        <v>帐户名称</v>
      </c>
      <c r="D1936" s="1" t="str">
        <f>IFERROR(__xludf.DUMMYFUNCTION("CONCATENATE(GOOGLETRANSLATE(B1936, ""en"", ""ko""))"),"계정 이름")</f>
        <v>계정 이름</v>
      </c>
      <c r="E1936" s="2" t="str">
        <f>IFERROR(__xludf.DUMMYFUNCTION("CONCATENATE(GOOGLETRANSLATE(B1936, ""en"", ""ja""))"),"アカウント名")</f>
        <v>アカウント名</v>
      </c>
    </row>
    <row r="1937" ht="15.75" customHeight="1">
      <c r="A1937" s="1" t="s">
        <v>3749</v>
      </c>
      <c r="B1937" s="1" t="s">
        <v>3750</v>
      </c>
      <c r="C1937" s="1" t="str">
        <f>IFERROR(__xludf.DUMMYFUNCTION("CONCATENATE(GOOGLETRANSLATE(B1937, ""en"", ""zh-cn""))"),"帐号")</f>
        <v>帐号</v>
      </c>
      <c r="D1937" s="1" t="str">
        <f>IFERROR(__xludf.DUMMYFUNCTION("CONCATENATE(GOOGLETRANSLATE(B1937, ""en"", ""ko""))"),"계좌번호")</f>
        <v>계좌번호</v>
      </c>
      <c r="E1937" s="2" t="str">
        <f>IFERROR(__xludf.DUMMYFUNCTION("CONCATENATE(GOOGLETRANSLATE(B1937, ""en"", ""ja""))"),"口座番号")</f>
        <v>口座番号</v>
      </c>
    </row>
    <row r="1938" ht="15.75" customHeight="1">
      <c r="A1938" s="1" t="s">
        <v>3751</v>
      </c>
      <c r="B1938" s="1" t="s">
        <v>3752</v>
      </c>
      <c r="C1938" s="1" t="str">
        <f>IFERROR(__xludf.DUMMYFUNCTION("CONCATENATE(GOOGLETRANSLATE(B1938, ""en"", ""zh-cn""))"),"路由号码")</f>
        <v>路由号码</v>
      </c>
      <c r="D1938" s="1" t="str">
        <f>IFERROR(__xludf.DUMMYFUNCTION("CONCATENATE(GOOGLETRANSLATE(B1938, ""en"", ""ko""))"),"라우팅 번호")</f>
        <v>라우팅 번호</v>
      </c>
      <c r="E1938" s="2" t="str">
        <f>IFERROR(__xludf.DUMMYFUNCTION("CONCATENATE(GOOGLETRANSLATE(B1938, ""en"", ""ja""))"),"ルーティング番号")</f>
        <v>ルーティング番号</v>
      </c>
    </row>
    <row r="1939" ht="15.75" customHeight="1">
      <c r="A1939" s="1" t="s">
        <v>3753</v>
      </c>
      <c r="B1939" s="1" t="s">
        <v>3754</v>
      </c>
      <c r="C1939" s="1" t="str">
        <f>IFERROR(__xludf.DUMMYFUNCTION("CONCATENATE(GOOGLETRANSLATE(B1939, ""en"", ""zh-cn""))"),"如果将 smtp 配置为邮件驱动程序后遇到任何问题，请选择 sendmail 作为邮件驱动程序")</f>
        <v>如果将 smtp 配置为邮件驱动程序后遇到任何问题，请选择 sendmail 作为邮件驱动程序</v>
      </c>
      <c r="D1939" s="1" t="str">
        <f>IFERROR(__xludf.DUMMYFUNCTION("CONCATENATE(GOOGLETRANSLATE(B1939, ""en"", ""ko""))"),"smtp를 메일 드라이버로 구성한 후 문제가 발생하면 메일 드라이버용 sendmail을 선택하세요.")</f>
        <v>smtp를 메일 드라이버로 구성한 후 문제가 발생하면 메일 드라이버용 sendmail을 선택하세요.</v>
      </c>
      <c r="E1939" s="2" t="str">
        <f>IFERROR(__xludf.DUMMYFUNCTION("CONCATENATE(GOOGLETRANSLATE(B1939, ""en"", ""ja""))"),"smtp をメールドライバーとして構成した後に問題が発生した場合は、メールドライバーとして sendmail を選択してください")</f>
        <v>smtp をメールドライバーとして構成した後に問題が発生した場合は、メールドライバーとして sendmail を選択してください</v>
      </c>
    </row>
    <row r="1940" ht="15.75" customHeight="1">
      <c r="A1940" s="1" t="s">
        <v>3755</v>
      </c>
      <c r="B1940" s="1" t="s">
        <v>3756</v>
      </c>
      <c r="C1940" s="1" t="str">
        <f>IFERROR(__xludf.DUMMYFUNCTION("CONCATENATE(GOOGLETRANSLATE(B1940, ""en"", ""zh-cn""))"),"客户信息")</f>
        <v>客户信息</v>
      </c>
      <c r="D1940" s="1" t="str">
        <f>IFERROR(__xludf.DUMMYFUNCTION("CONCATENATE(GOOGLETRANSLATE(B1940, ""en"", ""ko""))"),"고객 정보")</f>
        <v>고객 정보</v>
      </c>
      <c r="E1940" s="2" t="str">
        <f>IFERROR(__xludf.DUMMYFUNCTION("CONCATENATE(GOOGLETRANSLATE(B1940, ""en"", ""ja""))"),"顧客情報")</f>
        <v>顧客情報</v>
      </c>
    </row>
    <row r="1941" ht="15.75" customHeight="1">
      <c r="A1941" s="1" t="s">
        <v>3757</v>
      </c>
      <c r="B1941" s="1" t="s">
        <v>3758</v>
      </c>
      <c r="C1941" s="1" t="str">
        <f>IFERROR(__xludf.DUMMYFUNCTION("CONCATENATE(GOOGLETRANSLATE(B1941, ""en"", ""zh-cn""))"),"现金")</f>
        <v>现金</v>
      </c>
      <c r="D1941" s="1" t="str">
        <f>IFERROR(__xludf.DUMMYFUNCTION("CONCATENATE(GOOGLETRANSLATE(B1941, ""en"", ""ko""))"),"현금")</f>
        <v>현금</v>
      </c>
      <c r="E1941" s="2" t="str">
        <f>IFERROR(__xludf.DUMMYFUNCTION("CONCATENATE(GOOGLETRANSLATE(B1941, ""en"", ""ja""))"),"現金")</f>
        <v>現金</v>
      </c>
    </row>
    <row r="1942" ht="15.75" customHeight="1">
      <c r="A1942" s="1" t="s">
        <v>3759</v>
      </c>
      <c r="B1942" s="1" t="s">
        <v>3760</v>
      </c>
      <c r="C1942" s="1" t="str">
        <f>IFERROR(__xludf.DUMMYFUNCTION("CONCATENATE(GOOGLETRANSLATE(B1942, ""en"", ""zh-cn""))"),"附加信息")</f>
        <v>附加信息</v>
      </c>
      <c r="D1942" s="1" t="str">
        <f>IFERROR(__xludf.DUMMYFUNCTION("CONCATENATE(GOOGLETRANSLATE(B1942, ""en"", ""ko""))"),"추가 정보")</f>
        <v>추가 정보</v>
      </c>
      <c r="E1942" s="2" t="str">
        <f>IFERROR(__xludf.DUMMYFUNCTION("CONCATENATE(GOOGLETRANSLATE(B1942, ""en"", ""ja""))"),"追加情報")</f>
        <v>追加情報</v>
      </c>
    </row>
    <row r="1943" ht="15.75" customHeight="1">
      <c r="A1943" s="1" t="s">
        <v>3761</v>
      </c>
      <c r="B1943" s="1" t="s">
        <v>3762</v>
      </c>
      <c r="C1943" s="1" t="str">
        <f>IFERROR(__xludf.DUMMYFUNCTION("CONCATENATE(GOOGLETRANSLATE(B1943, ""en"", ""zh-cn""))"),"跟踪代码（可选）")</f>
        <v>跟踪代码（可选）</v>
      </c>
      <c r="D1943" s="1" t="str">
        <f>IFERROR(__xludf.DUMMYFUNCTION("CONCATENATE(GOOGLETRANSLATE(B1943, ""en"", ""ko""))"),"추적 코드(선택 사항)")</f>
        <v>추적 코드(선택 사항)</v>
      </c>
      <c r="E1943" s="2" t="str">
        <f>IFERROR(__xludf.DUMMYFUNCTION("CONCATENATE(GOOGLETRANSLATE(B1943, ""en"", ""ja""))"),"トラッキングコード (オプション)")</f>
        <v>トラッキングコード (オプション)</v>
      </c>
    </row>
    <row r="1944" ht="15.75" customHeight="1">
      <c r="A1944" s="1" t="s">
        <v>3763</v>
      </c>
      <c r="B1944" s="1" t="s">
        <v>3764</v>
      </c>
      <c r="C1944" s="1" t="str">
        <f>IFERROR(__xludf.DUMMYFUNCTION("CONCATENATE(GOOGLETRANSLATE(B1944, ""en"", ""zh-cn""))"),"订单跟踪代码已更新")</f>
        <v>订单跟踪代码已更新</v>
      </c>
      <c r="D1944" s="1" t="str">
        <f>IFERROR(__xludf.DUMMYFUNCTION("CONCATENATE(GOOGLETRANSLATE(B1944, ""en"", ""ko""))"),"주문 추적 코드가 업데이트되었습니다.")</f>
        <v>주문 추적 코드가 업데이트되었습니다.</v>
      </c>
      <c r="E1944" s="2" t="str">
        <f>IFERROR(__xludf.DUMMYFUNCTION("CONCATENATE(GOOGLETRANSLATE(B1944, ""en"", ""ja""))"),"注文追跡コードが更新されました")</f>
        <v>注文追跡コードが更新されました</v>
      </c>
    </row>
    <row r="1945" ht="15.75" customHeight="1">
      <c r="A1945" s="1" t="s">
        <v>3765</v>
      </c>
      <c r="B1945" s="1" t="s">
        <v>3766</v>
      </c>
      <c r="C1945" s="1" t="str">
        <f>IFERROR(__xludf.DUMMYFUNCTION("CONCATENATE(GOOGLETRANSLATE(B1945, ""en"", ""zh-cn""))"),"登记 ")</f>
        <v>登记 </v>
      </c>
      <c r="D1945" s="1" t="str">
        <f>IFERROR(__xludf.DUMMYFUNCTION("CONCATENATE(GOOGLETRANSLATE(B1945, ""en"", ""ko""))"),"등록하다 ")</f>
        <v>등록하다 </v>
      </c>
      <c r="E1945" s="2" t="str">
        <f>IFERROR(__xludf.DUMMYFUNCTION("CONCATENATE(GOOGLETRANSLATE(B1945, ""en"", ""ja""))"),"登録する ")</f>
        <v>登録する </v>
      </c>
    </row>
    <row r="1946" ht="15.75" customHeight="1">
      <c r="A1946" s="1" t="s">
        <v>3767</v>
      </c>
      <c r="B1946" s="1" t="s">
        <v>3768</v>
      </c>
      <c r="C1946" s="1" t="str">
        <f>IFERROR(__xludf.DUMMYFUNCTION("CONCATENATE(GOOGLETRANSLATE(B1946, ""en"", ""zh-cn""))")," 将您的问题提交给卖家")</f>
        <v> 将您的问题提交给卖家</v>
      </c>
      <c r="D1946" s="1" t="str">
        <f>IFERROR(__xludf.DUMMYFUNCTION("CONCATENATE(GOOGLETRANSLATE(B1946, ""en"", ""ko""))")," 판매자에게 질문을 제출하려면")</f>
        <v> 판매자에게 질문을 제출하려면</v>
      </c>
      <c r="E1946" s="2" t="str">
        <f>IFERROR(__xludf.DUMMYFUNCTION("CONCATENATE(GOOGLETRANSLATE(B1946, ""en"", ""ja""))")," 販売者に質問を送信するには")</f>
        <v> 販売者に質問を送信するには</v>
      </c>
    </row>
    <row r="1947" ht="15.75" customHeight="1">
      <c r="A1947" s="1" t="s">
        <v>3769</v>
      </c>
      <c r="B1947" s="1" t="s">
        <v>3770</v>
      </c>
      <c r="C1947" s="1" t="str">
        <f>IFERROR(__xludf.DUMMYFUNCTION("CONCATENATE(GOOGLETRANSLATE(B1947, ""en"", ""zh-cn""))"),"忘记密码 ？")</f>
        <v>忘记密码 ？</v>
      </c>
      <c r="D1947" s="1" t="str">
        <f>IFERROR(__xludf.DUMMYFUNCTION("CONCATENATE(GOOGLETRANSLATE(B1947, ""en"", ""ko""))"),"비밀번호를 잊으셨나요?")</f>
        <v>비밀번호를 잊으셨나요?</v>
      </c>
      <c r="E1947" s="2" t="str">
        <f>IFERROR(__xludf.DUMMYFUNCTION("CONCATENATE(GOOGLETRANSLATE(B1947, ""en"", ""ja""))"),"パスワードをお忘れですか ？")</f>
        <v>パスワードをお忘れですか ？</v>
      </c>
    </row>
    <row r="1948" ht="15.75" customHeight="1">
      <c r="A1948" s="1" t="s">
        <v>3771</v>
      </c>
      <c r="B1948" s="1" t="s">
        <v>3772</v>
      </c>
      <c r="C1948" s="1" t="str">
        <f>IFERROR(__xludf.DUMMYFUNCTION("CONCATENATE(GOOGLETRANSLATE(B1948, ""en"", ""zh-cn""))"),"缓存清除成功")</f>
        <v>缓存清除成功</v>
      </c>
      <c r="D1948" s="1" t="str">
        <f>IFERROR(__xludf.DUMMYFUNCTION("CONCATENATE(GOOGLETRANSLATE(B1948, ""en"", ""ko""))"),"캐시가 성공적으로 지워졌습니다.")</f>
        <v>캐시가 성공적으로 지워졌습니다.</v>
      </c>
      <c r="E1948" s="2" t="str">
        <f>IFERROR(__xludf.DUMMYFUNCTION("CONCATENATE(GOOGLETRANSLATE(B1948, ""en"", ""ja""))"),"キャッシュが正常にクリアされました")</f>
        <v>キャッシュが正常にクリアされました</v>
      </c>
    </row>
    <row r="1949" ht="15.75" customHeight="1">
      <c r="A1949" s="1" t="s">
        <v>3773</v>
      </c>
      <c r="B1949" s="1" t="s">
        <v>3774</v>
      </c>
      <c r="C1949" s="1" t="str">
        <f>IFERROR(__xludf.DUMMYFUNCTION("CONCATENATE(GOOGLETRANSLATE(B1949, ""en"", ""zh-cn""))"),"已下新订单")</f>
        <v>已下新订单</v>
      </c>
      <c r="D1949" s="1" t="str">
        <f>IFERROR(__xludf.DUMMYFUNCTION("CONCATENATE(GOOGLETRANSLATE(B1949, ""en"", ""ko""))"),"새로운 주문이 접수되었습니다")</f>
        <v>새로운 주문이 접수되었습니다</v>
      </c>
      <c r="E1949" s="2" t="str">
        <f>IFERROR(__xludf.DUMMYFUNCTION("CONCATENATE(GOOGLETRANSLATE(B1949, ""en"", ""ja""))"),"新しい注文が行われました")</f>
        <v>新しい注文が行われました</v>
      </c>
    </row>
    <row r="1950" ht="15.75" customHeight="1">
      <c r="A1950" s="1" t="s">
        <v>3775</v>
      </c>
      <c r="B1950" s="1" t="s">
        <v>3776</v>
      </c>
      <c r="C1950" s="1" t="str">
        <f>IFERROR(__xludf.DUMMYFUNCTION("CONCATENATE(GOOGLETRANSLATE(B1950, ""en"", ""zh-cn""))"),"美元")</f>
        <v>美元</v>
      </c>
      <c r="D1950" s="1" t="str">
        <f>IFERROR(__xludf.DUMMYFUNCTION("CONCATENATE(GOOGLETRANSLATE(B1950, ""en"", ""ko""))"),"USDT")</f>
        <v>USDT</v>
      </c>
      <c r="E1950" s="2" t="str">
        <f>IFERROR(__xludf.DUMMYFUNCTION("CONCATENATE(GOOGLETRANSLATE(B1950, ""en"", ""ja""))"),"アメリカドル")</f>
        <v>アメリカドル</v>
      </c>
    </row>
    <row r="1951" ht="15.75" customHeight="1">
      <c r="A1951" s="1" t="s">
        <v>3777</v>
      </c>
      <c r="B1951" s="1" t="s">
        <v>3778</v>
      </c>
      <c r="C1951" s="1" t="str">
        <f>IFERROR(__xludf.DUMMYFUNCTION("CONCATENATE(GOOGLETRANSLATE(B1951, ""en"", ""zh-cn""))"),"请添加送货地址")</f>
        <v>请添加送货地址</v>
      </c>
      <c r="D1951" s="1" t="str">
        <f>IFERROR(__xludf.DUMMYFUNCTION("CONCATENATE(GOOGLETRANSLATE(B1951, ""en"", ""ko""))"),"배송지 주소를 추가해주세요")</f>
        <v>배송지 주소를 추가해주세요</v>
      </c>
      <c r="E1951" s="2" t="str">
        <f>IFERROR(__xludf.DUMMYFUNCTION("CONCATENATE(GOOGLETRANSLATE(B1951, ""en"", ""ja""))"),"配送先住所を追加してください")</f>
        <v>配送先住所を追加してください</v>
      </c>
    </row>
    <row r="1952" ht="15.75" customHeight="1">
      <c r="A1952" s="1" t="s">
        <v>3779</v>
      </c>
      <c r="B1952" s="1" t="s">
        <v>3780</v>
      </c>
      <c r="C1952" s="1" t="str">
        <f>IFERROR(__xludf.DUMMYFUNCTION("CONCATENATE(GOOGLETRANSLATE(B1952, ""en"", ""zh-cn""))"),"钱包")</f>
        <v>钱包</v>
      </c>
      <c r="D1952" s="1" t="str">
        <f>IFERROR(__xludf.DUMMYFUNCTION("CONCATENATE(GOOGLETRANSLATE(B1952, ""en"", ""ko""))"),"지갑")</f>
        <v>지갑</v>
      </c>
      <c r="E1952" s="2" t="str">
        <f>IFERROR(__xludf.DUMMYFUNCTION("CONCATENATE(GOOGLETRANSLATE(B1952, ""en"", ""ja""))"),"財布")</f>
        <v>財布</v>
      </c>
    </row>
    <row r="1953" ht="15.75" customHeight="1">
      <c r="A1953" s="1" t="s">
        <v>3781</v>
      </c>
      <c r="B1953" s="1" t="s">
        <v>3782</v>
      </c>
      <c r="C1953" s="1" t="str">
        <f>IFERROR(__xludf.DUMMYFUNCTION("CONCATENATE(GOOGLETRANSLATE(B1953, ""en"", ""zh-cn""))"),"审查")</f>
        <v>审查</v>
      </c>
      <c r="D1953" s="1" t="str">
        <f>IFERROR(__xludf.DUMMYFUNCTION("CONCATENATE(GOOGLETRANSLATE(B1953, ""en"", ""ko""))"),"검토")</f>
        <v>검토</v>
      </c>
      <c r="E1953" s="2" t="str">
        <f>IFERROR(__xludf.DUMMYFUNCTION("CONCATENATE(GOOGLETRANSLATE(B1953, ""en"", ""ja""))"),"レビュー")</f>
        <v>レビュー</v>
      </c>
    </row>
    <row r="1954" ht="15.75" customHeight="1">
      <c r="A1954" s="1" t="s">
        <v>3783</v>
      </c>
      <c r="B1954" s="1" t="s">
        <v>3784</v>
      </c>
      <c r="C1954" s="1" t="str">
        <f>IFERROR(__xludf.DUMMYFUNCTION("CONCATENATE(GOOGLETRANSLATE(B1954, ""en"", ""zh-cn""))"),"尚未交付")</f>
        <v>尚未交付</v>
      </c>
      <c r="D1954" s="1" t="str">
        <f>IFERROR(__xludf.DUMMYFUNCTION("CONCATENATE(GOOGLETRANSLATE(B1954, ""en"", ""ko""))"),"아직 배송되지 않음")</f>
        <v>아직 배송되지 않음</v>
      </c>
      <c r="E1954" s="2" t="str">
        <f>IFERROR(__xludf.DUMMYFUNCTION("CONCATENATE(GOOGLETRANSLATE(B1954, ""en"", ""ja""))"),"まだ納品されていません")</f>
        <v>まだ納品されていません</v>
      </c>
    </row>
    <row r="1955" ht="15.75" customHeight="1">
      <c r="A1955" s="1" t="s">
        <v>3785</v>
      </c>
      <c r="B1955" s="1" t="s">
        <v>3786</v>
      </c>
      <c r="C1955" s="1" t="str">
        <f>IFERROR(__xludf.DUMMYFUNCTION("CONCATENATE(GOOGLETRANSLATE(B1955, ""en"", ""zh-cn""))"),"订单已成功取消")</f>
        <v>订单已成功取消</v>
      </c>
      <c r="D1955" s="1" t="str">
        <f>IFERROR(__xludf.DUMMYFUNCTION("CONCATENATE(GOOGLETRANSLATE(B1955, ""en"", ""ko""))"),"주문이 성공적으로 취소되었습니다")</f>
        <v>주문이 성공적으로 취소되었습니다</v>
      </c>
      <c r="E1955" s="2" t="str">
        <f>IFERROR(__xludf.DUMMYFUNCTION("CONCATENATE(GOOGLETRANSLATE(B1955, ""en"", ""ja""))"),"注文は正常にキャンセルされました")</f>
        <v>注文は正常にキャンセルされました</v>
      </c>
    </row>
    <row r="1956" ht="15.75" customHeight="1">
      <c r="A1956" s="1" t="s">
        <v>3787</v>
      </c>
      <c r="B1956" s="1" t="s">
        <v>3788</v>
      </c>
      <c r="C1956" s="1" t="str">
        <f>IFERROR(__xludf.DUMMYFUNCTION("CONCATENATE(GOOGLETRANSLATE(B1956, ""en"", ""zh-cn""))"),"货到付款选项已禁用。从这里激活此功能")</f>
        <v>货到付款选项已禁用。从这里激活此功能</v>
      </c>
      <c r="D1956" s="1" t="str">
        <f>IFERROR(__xludf.DUMMYFUNCTION("CONCATENATE(GOOGLETRANSLATE(B1956, ""en"", ""ko""))"),"현금결제 옵션이 비활성화되었습니다. 여기에서 이 기능을 활성화하세요")</f>
        <v>현금결제 옵션이 비활성화되었습니다. 여기에서 이 기능을 활성화하세요</v>
      </c>
      <c r="E1956" s="2" t="str">
        <f>IFERROR(__xludf.DUMMYFUNCTION("CONCATENATE(GOOGLETRANSLATE(B1956, ""en"", ""ja""))"),"代金引換オプションは無効になっています。ここからこの機能を有効にします")</f>
        <v>代金引換オプションは無効になっています。ここからこの機能を有効にします</v>
      </c>
    </row>
    <row r="1957" ht="15.75" customHeight="1">
      <c r="A1957" s="1" t="s">
        <v>3789</v>
      </c>
      <c r="B1957" s="1" t="s">
        <v>3790</v>
      </c>
      <c r="C1957" s="1" t="str">
        <f>IFERROR(__xludf.DUMMYFUNCTION("CONCATENATE(GOOGLETRANSLATE(B1957, ""en"", ""zh-cn""))"),"所有颜色")</f>
        <v>所有颜色</v>
      </c>
      <c r="D1957" s="1" t="str">
        <f>IFERROR(__xludf.DUMMYFUNCTION("CONCATENATE(GOOGLETRANSLATE(B1957, ""en"", ""ko""))"),"모든 색상")</f>
        <v>모든 색상</v>
      </c>
      <c r="E1957" s="2" t="str">
        <f>IFERROR(__xludf.DUMMYFUNCTION("CONCATENATE(GOOGLETRANSLATE(B1957, ""en"", ""ja""))"),"すべての色")</f>
        <v>すべての色</v>
      </c>
    </row>
    <row r="1958" ht="15.75" customHeight="1">
      <c r="A1958" s="1" t="s">
        <v>3791</v>
      </c>
      <c r="B1958" s="1" t="s">
        <v>3792</v>
      </c>
      <c r="C1958" s="1" t="str">
        <f>IFERROR(__xludf.DUMMYFUNCTION("CONCATENATE(GOOGLETRANSLATE(B1958, ""en"", ""zh-cn""))"),"输入颜色名称并输入")</f>
        <v>输入颜色名称并输入</v>
      </c>
      <c r="D1958" s="1" t="str">
        <f>IFERROR(__xludf.DUMMYFUNCTION("CONCATENATE(GOOGLETRANSLATE(B1958, ""en"", ""ko""))"),"색상 이름을 입력하고 Enter를 누르세요.")</f>
        <v>색상 이름을 입력하고 Enter를 누르세요.</v>
      </c>
      <c r="E1958" s="2" t="str">
        <f>IFERROR(__xludf.DUMMYFUNCTION("CONCATENATE(GOOGLETRANSLATE(B1958, ""en"", ""ja""))"),"色の名前を入力してEnter")</f>
        <v>色の名前を入力してEnter</v>
      </c>
    </row>
    <row r="1959" ht="15.75" customHeight="1">
      <c r="A1959" s="1" t="s">
        <v>3793</v>
      </c>
      <c r="B1959" s="1" t="s">
        <v>3794</v>
      </c>
      <c r="C1959" s="1" t="str">
        <f>IFERROR(__xludf.DUMMYFUNCTION("CONCATENATE(GOOGLETRANSLATE(B1959, ""en"", ""zh-cn""))"),"添加新颜色")</f>
        <v>添加新颜色</v>
      </c>
      <c r="D1959" s="1" t="str">
        <f>IFERROR(__xludf.DUMMYFUNCTION("CONCATENATE(GOOGLETRANSLATE(B1959, ""en"", ""ko""))"),"새로운 색상 추가")</f>
        <v>새로운 색상 추가</v>
      </c>
      <c r="E1959" s="2" t="str">
        <f>IFERROR(__xludf.DUMMYFUNCTION("CONCATENATE(GOOGLETRANSLATE(B1959, ""en"", ""ja""))"),"新しい色を追加")</f>
        <v>新しい色を追加</v>
      </c>
    </row>
    <row r="1960" ht="15.75" customHeight="1">
      <c r="A1960" s="1" t="s">
        <v>3795</v>
      </c>
      <c r="B1960" s="1" t="s">
        <v>3796</v>
      </c>
      <c r="C1960" s="1" t="str">
        <f>IFERROR(__xludf.DUMMYFUNCTION("CONCATENATE(GOOGLETRANSLATE(B1960, ""en"", ""zh-cn""))"),"颜色代码")</f>
        <v>颜色代码</v>
      </c>
      <c r="D1960" s="1" t="str">
        <f>IFERROR(__xludf.DUMMYFUNCTION("CONCATENATE(GOOGLETRANSLATE(B1960, ""en"", ""ko""))"),"색상 코드")</f>
        <v>색상 코드</v>
      </c>
      <c r="E1960" s="2" t="str">
        <f>IFERROR(__xludf.DUMMYFUNCTION("CONCATENATE(GOOGLETRANSLATE(B1960, ""en"", ""ja""))"),"カラーコード")</f>
        <v>カラーコード</v>
      </c>
    </row>
    <row r="1961" ht="15.75" customHeight="1">
      <c r="A1961" s="1" t="s">
        <v>3797</v>
      </c>
      <c r="B1961" s="1" t="s">
        <v>3798</v>
      </c>
      <c r="C1961" s="1" t="str">
        <f>IFERROR(__xludf.DUMMYFUNCTION("CONCATENATE(GOOGLETRANSLATE(B1961, ""en"", ""zh-cn""))"),"彩色滤光片激活")</f>
        <v>彩色滤光片激活</v>
      </c>
      <c r="D1961" s="1" t="str">
        <f>IFERROR(__xludf.DUMMYFUNCTION("CONCATENATE(GOOGLETRANSLATE(B1961, ""en"", ""ko""))"),"컬러 필터 활성화")</f>
        <v>컬러 필터 활성화</v>
      </c>
      <c r="E1961" s="2" t="str">
        <f>IFERROR(__xludf.DUMMYFUNCTION("CONCATENATE(GOOGLETRANSLATE(B1961, ""en"", ""ja""))"),"カラーフィルターの活性化")</f>
        <v>カラーフィルターの活性化</v>
      </c>
    </row>
    <row r="1962" ht="15.75" customHeight="1">
      <c r="A1962" s="1" t="s">
        <v>3799</v>
      </c>
      <c r="B1962" s="1" t="s">
        <v>3800</v>
      </c>
      <c r="C1962" s="1" t="str">
        <f>IFERROR(__xludf.DUMMYFUNCTION("CONCATENATE(GOOGLETRANSLATE(B1962, ""en"", ""zh-cn""))"),"默认值")</f>
        <v>默认值</v>
      </c>
      <c r="D1962" s="1" t="str">
        <f>IFERROR(__xludf.DUMMYFUNCTION("CONCATENATE(GOOGLETRANSLATE(B1962, ""en"", ""ko""))"),"기본값")</f>
        <v>기본값</v>
      </c>
      <c r="E1962" s="2" t="str">
        <f>IFERROR(__xludf.DUMMYFUNCTION("CONCATENATE(GOOGLETRANSLATE(B1962, ""en"", ""ja""))"),"デフォルト値")</f>
        <v>デフォルト値</v>
      </c>
    </row>
    <row r="1963" ht="15.75" customHeight="1">
      <c r="A1963" s="1" t="s">
        <v>3801</v>
      </c>
      <c r="B1963" s="1" t="s">
        <v>3802</v>
      </c>
      <c r="C1963" s="1" t="str">
        <f>IFERROR(__xludf.DUMMYFUNCTION("CONCATENATE(GOOGLETRANSLATE(B1963, ""en"", ""zh-cn""))"),"翻译值")</f>
        <v>翻译值</v>
      </c>
      <c r="D1963" s="1" t="str">
        <f>IFERROR(__xludf.DUMMYFUNCTION("CONCATENATE(GOOGLETRANSLATE(B1963, ""en"", ""ko""))"),"환산된 가치")</f>
        <v>환산된 가치</v>
      </c>
      <c r="E1963" s="2" t="str">
        <f>IFERROR(__xludf.DUMMYFUNCTION("CONCATENATE(GOOGLETRANSLATE(B1963, ""en"", ""ja""))"),"換算値")</f>
        <v>換算値</v>
      </c>
    </row>
    <row r="1964" ht="15.75" customHeight="1">
      <c r="A1964" s="1" t="s">
        <v>3803</v>
      </c>
      <c r="B1964" s="1" t="s">
        <v>3804</v>
      </c>
      <c r="C1964" s="1" t="str">
        <f>IFERROR(__xludf.DUMMYFUNCTION("CONCATENATE(GOOGLETRANSLATE(B1964, ""en"", ""zh-cn""))"),"所有通知")</f>
        <v>所有通知</v>
      </c>
      <c r="D1964" s="1" t="str">
        <f>IFERROR(__xludf.DUMMYFUNCTION("CONCATENATE(GOOGLETRANSLATE(B1964, ""en"", ""ko""))"),"모든 알림")</f>
        <v>모든 알림</v>
      </c>
      <c r="E1964" s="2" t="str">
        <f>IFERROR(__xludf.DUMMYFUNCTION("CONCATENATE(GOOGLETRANSLATE(B1964, ""en"", ""ja""))"),"すべての通知")</f>
        <v>すべての通知</v>
      </c>
    </row>
    <row r="1965" ht="15.75" customHeight="1">
      <c r="A1965" s="1" t="s">
        <v>3805</v>
      </c>
      <c r="B1965" s="1" t="s">
        <v>3806</v>
      </c>
      <c r="C1965" s="1" t="str">
        <f>IFERROR(__xludf.DUMMYFUNCTION("CONCATENATE(GOOGLETRANSLATE(B1965, ""en"", ""zh-cn""))")," 已放置")</f>
        <v> 已放置</v>
      </c>
      <c r="D1965" s="1" t="str">
        <f>IFERROR(__xludf.DUMMYFUNCTION("CONCATENATE(GOOGLETRANSLATE(B1965, ""en"", ""ko""))")," 배치되었습니다")</f>
        <v> 배치되었습니다</v>
      </c>
      <c r="E1965" s="2" t="str">
        <f>IFERROR(__xludf.DUMMYFUNCTION("CONCATENATE(GOOGLETRANSLATE(B1965, ""en"", ""ja""))")," 配置されました")</f>
        <v> 配置されました</v>
      </c>
    </row>
    <row r="1966" ht="15.75" customHeight="1">
      <c r="A1966" s="1" t="s">
        <v>3807</v>
      </c>
      <c r="B1966" s="1" t="s">
        <v>3808</v>
      </c>
      <c r="C1966" s="1" t="str">
        <f>IFERROR(__xludf.DUMMYFUNCTION("CONCATENATE(GOOGLETRANSLATE(B1966, ""en"", ""zh-cn""))"),"产品库")</f>
        <v>产品库</v>
      </c>
      <c r="D1966" s="1" t="str">
        <f>IFERROR(__xludf.DUMMYFUNCTION("CONCATENATE(GOOGLETRANSLATE(B1966, ""en"", ""ko""))"),"제품창고")</f>
        <v>제품창고</v>
      </c>
      <c r="E1966" s="2" t="str">
        <f>IFERROR(__xludf.DUMMYFUNCTION("CONCATENATE(GOOGLETRANSLATE(B1966, ""en"", ""ja""))"),"製品倉庫")</f>
        <v>製品倉庫</v>
      </c>
    </row>
    <row r="1967" ht="15.75" customHeight="1">
      <c r="A1967" s="1" t="s">
        <v>3809</v>
      </c>
      <c r="B1967" s="1" t="s">
        <v>3810</v>
      </c>
      <c r="C1967" s="1" t="str">
        <f>IFERROR(__xludf.DUMMYFUNCTION("CONCATENATE(GOOGLETRANSLATE(B1967, ""en"", ""zh-cn""))"),"添加到仓库选择")</f>
        <v>添加到仓库选择</v>
      </c>
      <c r="D1967" s="1" t="str">
        <f>IFERROR(__xludf.DUMMYFUNCTION("CONCATENATE(GOOGLETRANSLATE(B1967, ""en"", ""ko""))"),"창고 선택에 추가")</f>
        <v>창고 선택에 추가</v>
      </c>
      <c r="E1967" s="2" t="str">
        <f>IFERROR(__xludf.DUMMYFUNCTION("CONCATENATE(GOOGLETRANSLATE(B1967, ""en"", ""ja""))"),"倉庫選択に追加")</f>
        <v>倉庫選択に追加</v>
      </c>
    </row>
    <row r="1968" ht="15.75" customHeight="1">
      <c r="A1968" s="1" t="s">
        <v>3811</v>
      </c>
      <c r="B1968" s="1" t="s">
        <v>3812</v>
      </c>
      <c r="C1968" s="1" t="str">
        <f>IFERROR(__xludf.DUMMYFUNCTION("CONCATENATE(GOOGLETRANSLATE(B1968, ""en"", ""zh-cn""))"),"仓库内")</f>
        <v>仓库内</v>
      </c>
      <c r="D1968" s="1" t="str">
        <f>IFERROR(__xludf.DUMMYFUNCTION("CONCATENATE(GOOGLETRANSLATE(B1968, ""en"", ""ko""))"),"창고에")</f>
        <v>창고에</v>
      </c>
      <c r="E1968" s="2" t="str">
        <f>IFERROR(__xludf.DUMMYFUNCTION("CONCATENATE(GOOGLETRANSLATE(B1968, ""en"", ""ja""))"),"蔵の中")</f>
        <v>蔵の中</v>
      </c>
    </row>
    <row r="1969" ht="15.75" customHeight="1">
      <c r="A1969" s="1" t="s">
        <v>3813</v>
      </c>
      <c r="B1969" s="1" t="s">
        <v>3814</v>
      </c>
      <c r="C1969" s="1" t="str">
        <f>IFERROR(__xludf.DUMMYFUNCTION("CONCATENATE(GOOGLETRANSLATE(B1969, ""en"", ""zh-cn""))"),"产品库更新成功")</f>
        <v>产品库更新成功</v>
      </c>
      <c r="D1969" s="1" t="str">
        <f>IFERROR(__xludf.DUMMYFUNCTION("CONCATENATE(GOOGLETRANSLATE(B1969, ""en"", ""ko""))"),"제품 창고가 성공적으로 업데이트되었습니다.")</f>
        <v>제품 창고가 성공적으로 업데이트되었습니다.</v>
      </c>
      <c r="E1969" s="2" t="str">
        <f>IFERROR(__xludf.DUMMYFUNCTION("CONCATENATE(GOOGLETRANSLATE(B1969, ""en"", ""ja""))"),"製品ストアが正常に更新されました")</f>
        <v>製品ストアが正常に更新されました</v>
      </c>
    </row>
    <row r="1970" ht="15.75" customHeight="1">
      <c r="A1970" s="1" t="s">
        <v>3815</v>
      </c>
      <c r="B1970" s="1" t="s">
        <v>3816</v>
      </c>
      <c r="C1970" s="1" t="str">
        <f>IFERROR(__xludf.DUMMYFUNCTION("CONCATENATE(GOOGLETRANSLATE(B1970, ""en"", ""zh-cn""))"),"将选择移出产品仓库")</f>
        <v>将选择移出产品仓库</v>
      </c>
      <c r="D1970" s="1" t="str">
        <f>IFERROR(__xludf.DUMMYFUNCTION("CONCATENATE(GOOGLETRANSLATE(B1970, ""en"", ""ko""))"),"선택 항목을 제품 창고 밖으로 이동")</f>
        <v>선택 항목을 제품 창고 밖으로 이동</v>
      </c>
      <c r="E1970" s="2" t="str">
        <f>IFERROR(__xludf.DUMMYFUNCTION("CONCATENATE(GOOGLETRANSLATE(B1970, ""en"", ""ja""))"),"選択したアイテムを製品倉庫から移動します")</f>
        <v>選択したアイテムを製品倉庫から移動します</v>
      </c>
    </row>
    <row r="1971" ht="15.75" customHeight="1">
      <c r="A1971" s="1" t="s">
        <v>3817</v>
      </c>
      <c r="B1971" s="1" t="s">
        <v>3818</v>
      </c>
      <c r="C1971" s="1" t="str">
        <f>IFERROR(__xludf.DUMMYFUNCTION("CONCATENATE(GOOGLETRANSLATE(B1971, ""en"", ""zh-cn""))"),"搬出")</f>
        <v>搬出</v>
      </c>
      <c r="D1971" s="1" t="str">
        <f>IFERROR(__xludf.DUMMYFUNCTION("CONCATENATE(GOOGLETRANSLATE(B1971, ""en"", ""ko""))"),"퇴거")</f>
        <v>퇴거</v>
      </c>
      <c r="E1971" s="2" t="str">
        <f>IFERROR(__xludf.DUMMYFUNCTION("CONCATENATE(GOOGLETRANSLATE(B1971, ""en"", ""ja""))"),"引っ越し")</f>
        <v>引っ越し</v>
      </c>
    </row>
    <row r="1972" ht="15.75" customHeight="1">
      <c r="A1972" s="1" t="s">
        <v>3819</v>
      </c>
      <c r="B1972" s="1" t="s">
        <v>3820</v>
      </c>
      <c r="C1972" s="1" t="str">
        <f>IFERROR(__xludf.DUMMYFUNCTION("CONCATENATE(GOOGLETRANSLATE(B1972, ""en"", ""zh-cn""))"),"删除确认1")</f>
        <v>删除确认1</v>
      </c>
      <c r="D1972" s="1" t="str">
        <f>IFERROR(__xludf.DUMMYFUNCTION("CONCATENATE(GOOGLETRANSLATE(B1972, ""en"", ""ko""))"),"삭제 확인1")</f>
        <v>삭제 확인1</v>
      </c>
      <c r="E1972" s="2" t="str">
        <f>IFERROR(__xludf.DUMMYFUNCTION("CONCATENATE(GOOGLETRANSLATE(B1972, ""en"", ""ja""))"),"削除確認1")</f>
        <v>削除確認1</v>
      </c>
    </row>
    <row r="1973" ht="15.75" customHeight="1">
      <c r="A1973" s="1" t="s">
        <v>3821</v>
      </c>
      <c r="B1973" s="1" t="s">
        <v>3822</v>
      </c>
      <c r="C1973" s="1" t="str">
        <f>IFERROR(__xludf.DUMMYFUNCTION("CONCATENATE(GOOGLETRANSLATE(B1973, ""en"", ""zh-cn""))"),"迁出确认")</f>
        <v>迁出确认</v>
      </c>
      <c r="D1973" s="1" t="str">
        <f>IFERROR(__xludf.DUMMYFUNCTION("CONCATENATE(GOOGLETRANSLATE(B1973, ""en"", ""ko""))"),"퇴사확인")</f>
        <v>퇴사확인</v>
      </c>
      <c r="E1973" s="2" t="str">
        <f>IFERROR(__xludf.DUMMYFUNCTION("CONCATENATE(GOOGLETRANSLATE(B1973, ""en"", ""ja""))"),"退去確認")</f>
        <v>退去確認</v>
      </c>
    </row>
    <row r="1974" ht="15.75" customHeight="1">
      <c r="A1974" s="1" t="s">
        <v>3823</v>
      </c>
      <c r="B1974" s="1" t="s">
        <v>3824</v>
      </c>
      <c r="C1974" s="1" t="str">
        <f>IFERROR(__xludf.DUMMYFUNCTION("CONCATENATE(GOOGLETRANSLATE(B1974, ""en"", ""zh-cn""))"),"你确定把这个搬出去吗？")</f>
        <v>你确定把这个搬出去吗？</v>
      </c>
      <c r="D1974" s="1" t="str">
        <f>IFERROR(__xludf.DUMMYFUNCTION("CONCATENATE(GOOGLETRANSLATE(B1974, ""en"", ""ko""))"),"이거 옮기시겠어요?")</f>
        <v>이거 옮기시겠어요?</v>
      </c>
      <c r="E1974" s="2" t="str">
        <f>IFERROR(__xludf.DUMMYFUNCTION("CONCATENATE(GOOGLETRANSLATE(B1974, ""en"", ""ja""))"),"これを移動してもよろしいですか?")</f>
        <v>これを移動してもよろしいですか?</v>
      </c>
    </row>
    <row r="1975" ht="15.75" customHeight="1">
      <c r="A1975" s="1" t="s">
        <v>3825</v>
      </c>
      <c r="B1975" s="1" t="s">
        <v>3826</v>
      </c>
      <c r="C1975" s="1" t="str">
        <f>IFERROR(__xludf.DUMMYFUNCTION("CONCATENATE(GOOGLETRANSLATE(B1975, ""en"", ""zh-cn""))"),"将选择添加到仓库")</f>
        <v>将选择添加到仓库</v>
      </c>
      <c r="D1975" s="1" t="str">
        <f>IFERROR(__xludf.DUMMYFUNCTION("CONCATENATE(GOOGLETRANSLATE(B1975, ""en"", ""ko""))"),"창고에 선택 항목 추가")</f>
        <v>창고에 선택 항목 추가</v>
      </c>
      <c r="E1975" s="2" t="str">
        <f>IFERROR(__xludf.DUMMYFUNCTION("CONCATENATE(GOOGLETRANSLATE(B1975, ""en"", ""ja""))"),"選択範囲をストアハウスに追加")</f>
        <v>選択範囲をストアハウスに追加</v>
      </c>
    </row>
    <row r="1976" ht="15.75" customHeight="1">
      <c r="A1976" s="1" t="s">
        <v>3827</v>
      </c>
      <c r="B1976" s="1" t="s">
        <v>3828</v>
      </c>
      <c r="C1976" s="1" t="str">
        <f>IFERROR(__xludf.DUMMYFUNCTION("CONCATENATE(GOOGLETRANSLATE(B1976, ""en"", ""zh-cn""))"),"未选择客户信息。")</f>
        <v>未选择客户信息。</v>
      </c>
      <c r="D1976" s="1" t="str">
        <f>IFERROR(__xludf.DUMMYFUNCTION("CONCATENATE(GOOGLETRANSLATE(B1976, ""en"", ""ko""))"),"선택한 고객 정보가 없습니다.")</f>
        <v>선택한 고객 정보가 없습니다.</v>
      </c>
      <c r="E1976" s="2" t="str">
        <f>IFERROR(__xludf.DUMMYFUNCTION("CONCATENATE(GOOGLETRANSLATE(B1976, ""en"", ""ja""))"),"顧客情報が選択されていません。")</f>
        <v>顧客情報が選択されていません。</v>
      </c>
    </row>
    <row r="1977" ht="15.75" customHeight="1">
      <c r="A1977" s="1" t="s">
        <v>3829</v>
      </c>
      <c r="B1977" s="1" t="s">
        <v>3830</v>
      </c>
      <c r="C1977" s="1" t="str">
        <f>IFERROR(__xludf.DUMMYFUNCTION("CONCATENATE(GOOGLETRANSLATE(B1977, ""en"", ""zh-cn""))"),"请添加运输信息。")</f>
        <v>请添加运输信息。</v>
      </c>
      <c r="D1977" s="1" t="str">
        <f>IFERROR(__xludf.DUMMYFUNCTION("CONCATENATE(GOOGLETRANSLATE(B1977, ""en"", ""ko""))"),"배송 정보를 추가해 주세요.")</f>
        <v>배송 정보를 추가해 주세요.</v>
      </c>
      <c r="E1977" s="2" t="str">
        <f>IFERROR(__xludf.DUMMYFUNCTION("CONCATENATE(GOOGLETRANSLATE(B1977, ""en"", ""ja""))"),"配送情報を追加してください。")</f>
        <v>配送情報を追加してください。</v>
      </c>
    </row>
    <row r="1978" ht="15.75" customHeight="1">
      <c r="A1978" s="1" t="s">
        <v>3831</v>
      </c>
      <c r="B1978" s="1" t="s">
        <v>3832</v>
      </c>
      <c r="C1978" s="1" t="str">
        <f>IFERROR(__xludf.DUMMYFUNCTION("CONCATENATE(GOOGLETRANSLATE(B1978, ""en"", ""zh-cn""))"),"该产品没有更多库存。")</f>
        <v>该产品没有更多库存。</v>
      </c>
      <c r="D1978" s="1" t="str">
        <f>IFERROR(__xludf.DUMMYFUNCTION("CONCATENATE(GOOGLETRANSLATE(B1978, ""en"", ""ko""))"),"해당 상품은 재고가 더 이상 없습니다.")</f>
        <v>해당 상품은 재고가 더 이상 없습니다.</v>
      </c>
      <c r="E1978" s="2" t="str">
        <f>IFERROR(__xludf.DUMMYFUNCTION("CONCATENATE(GOOGLETRANSLATE(B1978, ""en"", ""ja""))"),"この商品にはもう在庫がありません。")</f>
        <v>この商品にはもう在庫がありません。</v>
      </c>
    </row>
    <row r="1979" ht="15.75" customHeight="1">
      <c r="A1979" s="1" t="s">
        <v>3833</v>
      </c>
      <c r="B1979" s="1" t="s">
        <v>3834</v>
      </c>
      <c r="C1979" s="1" t="str">
        <f>IFERROR(__xludf.DUMMYFUNCTION("CONCATENATE(GOOGLETRANSLATE(B1979, ""en"", ""zh-cn""))"),"添加到我的产品")</f>
        <v>添加到我的产品</v>
      </c>
      <c r="D1979" s="1" t="str">
        <f>IFERROR(__xludf.DUMMYFUNCTION("CONCATENATE(GOOGLETRANSLATE(B1979, ""en"", ""ko""))"),"내 제품에 추가")</f>
        <v>내 제품에 추가</v>
      </c>
      <c r="E1979" s="2" t="str">
        <f>IFERROR(__xludf.DUMMYFUNCTION("CONCATENATE(GOOGLETRANSLATE(B1979, ""en"", ""ja""))"),"私の製品に追加")</f>
        <v>私の製品に追加</v>
      </c>
    </row>
    <row r="1980" ht="15.75" customHeight="1">
      <c r="A1980" s="1" t="s">
        <v>3835</v>
      </c>
      <c r="B1980" s="1" t="s">
        <v>3836</v>
      </c>
      <c r="C1980" s="1" t="str">
        <f>IFERROR(__xludf.DUMMYFUNCTION("CONCATENATE(GOOGLETRANSLATE(B1980, ""en"", ""zh-cn""))"),"全部添加到我的产品")</f>
        <v>全部添加到我的产品</v>
      </c>
      <c r="D1980" s="1" t="str">
        <f>IFERROR(__xludf.DUMMYFUNCTION("CONCATENATE(GOOGLETRANSLATE(B1980, ""en"", ""ko""))"),"내 제품에 모두 추가")</f>
        <v>내 제품에 모두 추가</v>
      </c>
      <c r="E1980" s="2" t="str">
        <f>IFERROR(__xludf.DUMMYFUNCTION("CONCATENATE(GOOGLETRANSLATE(B1980, ""en"", ""ja""))"),"すべてを私の製品に追加")</f>
        <v>すべてを私の製品に追加</v>
      </c>
    </row>
    <row r="1981" ht="15.75" customHeight="1">
      <c r="A1981" s="1" t="s">
        <v>3837</v>
      </c>
      <c r="B1981" s="1" t="s">
        <v>3838</v>
      </c>
      <c r="C1981" s="1" t="str">
        <f>IFERROR(__xludf.DUMMYFUNCTION("CONCATENATE(GOOGLETRANSLATE(B1981, ""en"", ""zh-cn""))"),"货到付款激活由管理员维护。")</f>
        <v>货到付款激活由管理员维护。</v>
      </c>
      <c r="D1981" s="1" t="str">
        <f>IFERROR(__xludf.DUMMYFUNCTION("CONCATENATE(GOOGLETRANSLATE(B1981, ""en"", ""ko""))"),"Cash On Delivery 활성화는 관리자가 관리합니다.")</f>
        <v>Cash On Delivery 활성화는 관리자가 관리합니다.</v>
      </c>
      <c r="E1981" s="2" t="str">
        <f>IFERROR(__xludf.DUMMYFUNCTION("CONCATENATE(GOOGLETRANSLATE(B1981, ""en"", ""ja""))"),"代金引換のアクティベーションは管理者によって管理されます。")</f>
        <v>代金引換のアクティベーションは管理者によって管理されます。</v>
      </c>
    </row>
    <row r="1982" ht="15.75" customHeight="1">
      <c r="A1982" s="1" t="s">
        <v>3839</v>
      </c>
      <c r="B1982" s="1" t="s">
        <v>3840</v>
      </c>
      <c r="C1982" s="1" t="str">
        <f>IFERROR(__xludf.DUMMYFUNCTION("CONCATENATE(GOOGLETRANSLATE(B1982, ""en"", ""zh-cn""))"),"请选择产品")</f>
        <v>请选择产品</v>
      </c>
      <c r="D1982" s="1" t="str">
        <f>IFERROR(__xludf.DUMMYFUNCTION("CONCATENATE(GOOGLETRANSLATE(B1982, ""en"", ""ko""))"),"제품을 선택해주세요")</f>
        <v>제품을 선택해주세요</v>
      </c>
      <c r="E1982" s="2" t="str">
        <f>IFERROR(__xludf.DUMMYFUNCTION("CONCATENATE(GOOGLETRANSLATE(B1982, ""en"", ""ja""))"),"製品を選択してください")</f>
        <v>製品を選択してください</v>
      </c>
    </row>
    <row r="1983" ht="15.75" customHeight="1">
      <c r="A1983" s="1" t="s">
        <v>3841</v>
      </c>
      <c r="B1983" s="1" t="s">
        <v>3842</v>
      </c>
      <c r="C1983" s="1" t="str">
        <f>IFERROR(__xludf.DUMMYFUNCTION("CONCATENATE(GOOGLETRANSLATE(B1983, ""en"", ""zh-cn""))"),"最大利润")</f>
        <v>最大利润</v>
      </c>
      <c r="D1983" s="1" t="str">
        <f>IFERROR(__xludf.DUMMYFUNCTION("CONCATENATE(GOOGLETRANSLATE(B1983, ""en"", ""ko""))"),"최대 이익")</f>
        <v>최대 이익</v>
      </c>
      <c r="E1983" s="2" t="str">
        <f>IFERROR(__xludf.DUMMYFUNCTION("CONCATENATE(GOOGLETRANSLATE(B1983, ""en"", ""ja""))"),"最大利益")</f>
        <v>最大利益</v>
      </c>
    </row>
    <row r="1984" ht="15.75" customHeight="1">
      <c r="A1984" s="1" t="s">
        <v>3843</v>
      </c>
      <c r="B1984" s="1" t="s">
        <v>3844</v>
      </c>
      <c r="C1984" s="1" t="str">
        <f>IFERROR(__xludf.DUMMYFUNCTION("CONCATENATE(GOOGLETRANSLATE(B1984, ""en"", ""zh-cn""))"),"您的付款数据已成功提交")</f>
        <v>您的付款数据已成功提交</v>
      </c>
      <c r="D1984" s="1" t="str">
        <f>IFERROR(__xludf.DUMMYFUNCTION("CONCATENATE(GOOGLETRANSLATE(B1984, ""en"", ""ko""))"),"귀하의 결제 데이터가 성공적으로 제출되었습니다")</f>
        <v>귀하의 결제 데이터가 성공적으로 제출되었습니다</v>
      </c>
      <c r="E1984" s="2" t="str">
        <f>IFERROR(__xludf.DUMMYFUNCTION("CONCATENATE(GOOGLETRANSLATE(B1984, ""en"", ""ja""))"),"支払いデータは正常に送信されました")</f>
        <v>支払いデータは正常に送信されました</v>
      </c>
    </row>
    <row r="1985" ht="15.75" customHeight="1">
      <c r="A1985" s="1" t="s">
        <v>3845</v>
      </c>
      <c r="B1985" s="1" t="s">
        <v>3846</v>
      </c>
      <c r="C1985" s="1" t="str">
        <f>IFERROR(__xludf.DUMMYFUNCTION("CONCATENATE(GOOGLETRANSLATE(B1985, ""en"", ""zh-cn""))"),"付款信息")</f>
        <v>付款信息</v>
      </c>
      <c r="D1985" s="1" t="str">
        <f>IFERROR(__xludf.DUMMYFUNCTION("CONCATENATE(GOOGLETRANSLATE(B1985, ""en"", ""ko""))"),"결제정보")</f>
        <v>결제정보</v>
      </c>
      <c r="E1985" s="2" t="str">
        <f>IFERROR(__xludf.DUMMYFUNCTION("CONCATENATE(GOOGLETRANSLATE(B1985, ""en"", ""ja""))"),"お支払い情報")</f>
        <v>お支払い情報</v>
      </c>
    </row>
    <row r="1986" ht="15.75" customHeight="1">
      <c r="A1986" s="1" t="s">
        <v>3847</v>
      </c>
      <c r="B1986" s="1" t="s">
        <v>3848</v>
      </c>
      <c r="C1986" s="1" t="str">
        <f>IFERROR(__xludf.DUMMYFUNCTION("CONCATENATE(GOOGLETRANSLATE(B1986, ""en"", ""zh-cn""))"),"发送端ID")</f>
        <v>发送端ID</v>
      </c>
      <c r="D1986" s="1" t="str">
        <f>IFERROR(__xludf.DUMMYFUNCTION("CONCATENATE(GOOGLETRANSLATE(B1986, ""en"", ""ko""))"),"TRX ID")</f>
        <v>TRX ID</v>
      </c>
      <c r="E1986" s="2" t="str">
        <f>IFERROR(__xludf.DUMMYFUNCTION("CONCATENATE(GOOGLETRANSLATE(B1986, ""en"", ""ja""))"),"TRX ID")</f>
        <v>TRX ID</v>
      </c>
    </row>
    <row r="1987" ht="15.75" customHeight="1">
      <c r="A1987" s="1" t="s">
        <v>3849</v>
      </c>
      <c r="B1987" s="1" t="s">
        <v>3850</v>
      </c>
      <c r="C1987" s="1" t="str">
        <f>IFERROR(__xludf.DUMMYFUNCTION("CONCATENATE(GOOGLETRANSLATE(B1987, ""en"", ""zh-cn""))"),"已确认")</f>
        <v>已确认</v>
      </c>
      <c r="D1987" s="1" t="str">
        <f>IFERROR(__xludf.DUMMYFUNCTION("CONCATENATE(GOOGLETRANSLATE(B1987, ""en"", ""ko""))"),"확인되었습니다")</f>
        <v>확인되었습니다</v>
      </c>
      <c r="E1987" s="2" t="str">
        <f>IFERROR(__xludf.DUMMYFUNCTION("CONCATENATE(GOOGLETRANSLATE(B1987, ""en"", ""ja""))"),"確認されました")</f>
        <v>確認されました</v>
      </c>
    </row>
    <row r="1988" ht="15.75" customHeight="1">
      <c r="A1988" s="1" t="s">
        <v>3851</v>
      </c>
      <c r="B1988" s="1" t="s">
        <v>3852</v>
      </c>
      <c r="C1988" s="1" t="str">
        <f>IFERROR(__xludf.DUMMYFUNCTION("CONCATENATE(GOOGLETRANSLATE(B1988, ""en"", ""zh-cn""))"),"已待处理")</f>
        <v>已待处理</v>
      </c>
      <c r="D1988" s="1" t="str">
        <f>IFERROR(__xludf.DUMMYFUNCTION("CONCATENATE(GOOGLETRANSLATE(B1988, ""en"", ""ko""))"),"보류 중입니다")</f>
        <v>보류 중입니다</v>
      </c>
      <c r="E1988" s="2" t="str">
        <f>IFERROR(__xludf.DUMMYFUNCTION("CONCATENATE(GOOGLETRANSLATE(B1988, ""en"", ""ja""))"),"保留中です")</f>
        <v>保留中です</v>
      </c>
    </row>
    <row r="1989" ht="15.75" customHeight="1">
      <c r="A1989" s="1" t="s">
        <v>3853</v>
      </c>
      <c r="B1989" s="1" t="s">
        <v>3854</v>
      </c>
      <c r="C1989" s="1" t="str">
        <f>IFERROR(__xludf.DUMMYFUNCTION("CONCATENATE(GOOGLETRANSLATE(B1989, ""en"", ""zh-cn""))"),"已在路上")</f>
        <v>已在路上</v>
      </c>
      <c r="D1989" s="1" t="str">
        <f>IFERROR(__xludf.DUMMYFUNCTION("CONCATENATE(GOOGLETRANSLATE(B1989, ""en"", ""ko""))"),"이동 중입니다")</f>
        <v>이동 중입니다</v>
      </c>
      <c r="E1989" s="2" t="str">
        <f>IFERROR(__xludf.DUMMYFUNCTION("CONCATENATE(GOOGLETRANSLATE(B1989, ""en"", ""ja""))"),"途中です")</f>
        <v>途中です</v>
      </c>
    </row>
    <row r="1990" ht="15.75" customHeight="1">
      <c r="A1990" s="1" t="s">
        <v>3855</v>
      </c>
      <c r="B1990" s="1" t="s">
        <v>3856</v>
      </c>
      <c r="C1990" s="1" t="str">
        <f>IFERROR(__xludf.DUMMYFUNCTION("CONCATENATE(GOOGLETRANSLATE(B1990, ""en"", ""zh-cn""))"),"产品仓库价格")</f>
        <v>产品仓库价格</v>
      </c>
      <c r="D1990" s="1" t="str">
        <f>IFERROR(__xludf.DUMMYFUNCTION("CONCATENATE(GOOGLETRANSLATE(B1990, ""en"", ""ko""))"),"제품 창고 가격")</f>
        <v>제품 창고 가격</v>
      </c>
      <c r="E1990" s="2" t="str">
        <f>IFERROR(__xludf.DUMMYFUNCTION("CONCATENATE(GOOGLETRANSLATE(B1990, ""en"", ""ja""))"),"製品倉庫価格")</f>
        <v>製品倉庫価格</v>
      </c>
    </row>
    <row r="1991" ht="15.75" customHeight="1">
      <c r="A1991" s="1" t="s">
        <v>3857</v>
      </c>
      <c r="B1991" s="1" t="s">
        <v>3858</v>
      </c>
      <c r="C1991" s="1" t="str">
        <f>IFERROR(__xludf.DUMMYFUNCTION("CONCATENATE(GOOGLETRANSLATE(B1991, ""en"", ""zh-cn""))"),"仓库价格")</f>
        <v>仓库价格</v>
      </c>
      <c r="D1991" s="1" t="str">
        <f>IFERROR(__xludf.DUMMYFUNCTION("CONCATENATE(GOOGLETRANSLATE(B1991, ""en"", ""ko""))"),"창고 가격")</f>
        <v>창고 가격</v>
      </c>
      <c r="E1991" s="2" t="str">
        <f>IFERROR(__xludf.DUMMYFUNCTION("CONCATENATE(GOOGLETRANSLATE(B1991, ""en"", ""ja""))"),"倉庫価格")</f>
        <v>倉庫価格</v>
      </c>
    </row>
    <row r="1992" ht="15.75" customHeight="1">
      <c r="A1992" s="1" t="s">
        <v>3859</v>
      </c>
      <c r="B1992" s="1" t="s">
        <v>3860</v>
      </c>
      <c r="C1992" s="1" t="str">
        <f>IFERROR(__xludf.DUMMYFUNCTION("CONCATENATE(GOOGLETRANSLATE(B1992, ""en"", ""zh-cn""))"),"仓库付款")</f>
        <v>仓库付款</v>
      </c>
      <c r="D1992" s="1" t="str">
        <f>IFERROR(__xludf.DUMMYFUNCTION("CONCATENATE(GOOGLETRANSLATE(B1992, ""en"", ""ko""))"),"창고에 대한 지불")</f>
        <v>창고에 대한 지불</v>
      </c>
      <c r="E1992" s="2" t="str">
        <f>IFERROR(__xludf.DUMMYFUNCTION("CONCATENATE(GOOGLETRANSLATE(B1992, ""en"", ""ja""))"),"倉庫の支払い")</f>
        <v>倉庫の支払い</v>
      </c>
    </row>
    <row r="1993" ht="15.75" customHeight="1">
      <c r="A1993" s="1" t="s">
        <v>3861</v>
      </c>
      <c r="B1993" s="1" t="s">
        <v>3862</v>
      </c>
      <c r="C1993" s="1" t="str">
        <f>IFERROR(__xludf.DUMMYFUNCTION("CONCATENATE(GOOGLETRANSLATE(B1993, ""en"", ""zh-cn""))"),"仓库订单")</f>
        <v>仓库订单</v>
      </c>
      <c r="D1993" s="1" t="str">
        <f>IFERROR(__xludf.DUMMYFUNCTION("CONCATENATE(GOOGLETRANSLATE(B1993, ""en"", ""ko""))"),"창고 주문")</f>
        <v>창고 주문</v>
      </c>
      <c r="E1993" s="2" t="str">
        <f>IFERROR(__xludf.DUMMYFUNCTION("CONCATENATE(GOOGLETRANSLATE(B1993, ""en"", ""ja""))"),"倉庫からの注文")</f>
        <v>倉庫からの注文</v>
      </c>
    </row>
    <row r="1994" ht="15.75" customHeight="1">
      <c r="A1994" s="1" t="s">
        <v>3863</v>
      </c>
      <c r="B1994" s="1" t="s">
        <v>3864</v>
      </c>
      <c r="C1994" s="1" t="str">
        <f>IFERROR(__xludf.DUMMYFUNCTION("CONCATENATE(GOOGLETRANSLATE(B1994, ""en"", ""zh-cn""))"),"仓库数量")</f>
        <v>仓库数量</v>
      </c>
      <c r="D1994" s="1" t="str">
        <f>IFERROR(__xludf.DUMMYFUNCTION("CONCATENATE(GOOGLETRANSLATE(B1994, ""en"", ""ko""))"),"창고 금액")</f>
        <v>창고 금액</v>
      </c>
      <c r="E1994" s="2" t="str">
        <f>IFERROR(__xludf.DUMMYFUNCTION("CONCATENATE(GOOGLETRANSLATE(B1994, ""en"", ""ja""))"),"蔵金額")</f>
        <v>蔵金額</v>
      </c>
    </row>
    <row r="1995" ht="15.75" customHeight="1">
      <c r="A1995" s="1" t="s">
        <v>3865</v>
      </c>
      <c r="B1995" s="1" t="s">
        <v>3866</v>
      </c>
      <c r="C1995" s="1" t="str">
        <f>IFERROR(__xludf.DUMMYFUNCTION("CONCATENATE(GOOGLETRANSLATE(B1995, ""en"", ""zh-cn""))"),"仓库付款状态")</f>
        <v>仓库付款状态</v>
      </c>
      <c r="D1995" s="1" t="str">
        <f>IFERROR(__xludf.DUMMYFUNCTION("CONCATENATE(GOOGLETRANSLATE(B1995, ""en"", ""ko""))"),"창고 결제 상태")</f>
        <v>창고 결제 상태</v>
      </c>
      <c r="E1995" s="2" t="str">
        <f>IFERROR(__xludf.DUMMYFUNCTION("CONCATENATE(GOOGLETRANSLATE(B1995, ""en"", ""ja""))"),"倉庫の支払い状況")</f>
        <v>倉庫の支払い状況</v>
      </c>
    </row>
    <row r="1996" ht="15.75" customHeight="1">
      <c r="A1996" s="1" t="s">
        <v>3867</v>
      </c>
      <c r="B1996" s="1" t="s">
        <v>3868</v>
      </c>
      <c r="C1996" s="1" t="str">
        <f>IFERROR(__xludf.DUMMYFUNCTION("CONCATENATE(GOOGLETRANSLATE(B1996, ""en"", ""zh-cn""))"),"卖家付款")</f>
        <v>卖家付款</v>
      </c>
      <c r="D1996" s="1" t="str">
        <f>IFERROR(__xludf.DUMMYFUNCTION("CONCATENATE(GOOGLETRANSLATE(B1996, ""en"", ""ko""))"),"판매자 지불")</f>
        <v>판매자 지불</v>
      </c>
      <c r="E1996" s="2" t="str">
        <f>IFERROR(__xludf.DUMMYFUNCTION("CONCATENATE(GOOGLETRANSLATE(B1996, ""en"", ""ja""))"),"販売者の支払い")</f>
        <v>販売者の支払い</v>
      </c>
    </row>
    <row r="1997" ht="15.75" customHeight="1">
      <c r="A1997" s="1" t="s">
        <v>3869</v>
      </c>
      <c r="B1997" s="1" t="s">
        <v>3870</v>
      </c>
      <c r="C1997" s="1" t="str">
        <f>IFERROR(__xludf.DUMMYFUNCTION("CONCATENATE(GOOGLETRANSLATE(B1997, ""en"", ""zh-cn""))"),"电子邮件")</f>
        <v>电子邮件</v>
      </c>
      <c r="D1997" s="1" t="str">
        <f>IFERROR(__xludf.DUMMYFUNCTION("CONCATENATE(GOOGLETRANSLATE(B1997, ""en"", ""ko""))"),"이메일")</f>
        <v>이메일</v>
      </c>
      <c r="E1997" s="2" t="str">
        <f>IFERROR(__xludf.DUMMYFUNCTION("CONCATENATE(GOOGLETRANSLATE(B1997, ""en"", ""ja""))"),"メール")</f>
        <v>メール</v>
      </c>
    </row>
    <row r="1998" ht="15.75" customHeight="1">
      <c r="A1998" s="1" t="s">
        <v>3871</v>
      </c>
      <c r="B1998" s="1" t="s">
        <v>3872</v>
      </c>
      <c r="C1998" s="1" t="str">
        <f>IFERROR(__xludf.DUMMYFUNCTION("CONCATENATE(GOOGLETRANSLATE(B1998, ""en"", ""zh-cn""))"),"用户")</f>
        <v>用户</v>
      </c>
      <c r="D1998" s="1" t="str">
        <f>IFERROR(__xludf.DUMMYFUNCTION("CONCATENATE(GOOGLETRANSLATE(B1998, ""en"", ""ko""))"),"사용자")</f>
        <v>사용자</v>
      </c>
      <c r="E1998" s="2" t="str">
        <f>IFERROR(__xludf.DUMMYFUNCTION("CONCATENATE(GOOGLETRANSLATE(B1998, ""en"", ""ja""))"),"ユーザー")</f>
        <v>ユーザー</v>
      </c>
    </row>
    <row r="1999" ht="15.75" customHeight="1">
      <c r="A1999" s="1" t="s">
        <v>3873</v>
      </c>
      <c r="B1999" s="1" t="s">
        <v>3874</v>
      </c>
      <c r="C1999" s="1" t="str">
        <f>IFERROR(__xludf.DUMMYFUNCTION("CONCATENATE(GOOGLETRANSLATE(B1999, ""en"", ""zh-cn""))"),"通讯主题")</f>
        <v>通讯主题</v>
      </c>
      <c r="D1999" s="1" t="str">
        <f>IFERROR(__xludf.DUMMYFUNCTION("CONCATENATE(GOOGLETRANSLATE(B1999, ""en"", ""ko""))"),"뉴스레터 제목")</f>
        <v>뉴스레터 제목</v>
      </c>
      <c r="E1999" s="2" t="str">
        <f>IFERROR(__xludf.DUMMYFUNCTION("CONCATENATE(GOOGLETRANSLATE(B1999, ""en"", ""ja""))"),"ニュースレターの件名")</f>
        <v>ニュースレターの件名</v>
      </c>
    </row>
    <row r="2000" ht="15.75" customHeight="1">
      <c r="A2000" s="1" t="s">
        <v>3875</v>
      </c>
      <c r="B2000" s="1" t="s">
        <v>3876</v>
      </c>
      <c r="C2000" s="1" t="str">
        <f>IFERROR(__xludf.DUMMYFUNCTION("CONCATENATE(GOOGLETRANSLATE(B2000, ""en"", ""zh-cn""))"),"通讯内容")</f>
        <v>通讯内容</v>
      </c>
      <c r="D2000" s="1" t="str">
        <f>IFERROR(__xludf.DUMMYFUNCTION("CONCATENATE(GOOGLETRANSLATE(B2000, ""en"", ""ko""))"),"뉴스레터 내용")</f>
        <v>뉴스레터 내용</v>
      </c>
      <c r="E2000" s="2" t="str">
        <f>IFERROR(__xludf.DUMMYFUNCTION("CONCATENATE(GOOGLETRANSLATE(B2000, ""en"", ""ja""))"),"ニュースレターの内容")</f>
        <v>ニュースレターの内容</v>
      </c>
    </row>
    <row r="2001" ht="15.75" customHeight="1">
      <c r="A2001" s="1" t="s">
        <v>3877</v>
      </c>
      <c r="B2001" s="1" t="s">
        <v>3878</v>
      </c>
      <c r="C2001" s="1" t="str">
        <f>IFERROR(__xludf.DUMMYFUNCTION("CONCATENATE(GOOGLETRANSLATE(B2001, ""en"", ""zh-cn""))"),"钱包交易报告")</f>
        <v>钱包交易报告</v>
      </c>
      <c r="D2001" s="1" t="str">
        <f>IFERROR(__xludf.DUMMYFUNCTION("CONCATENATE(GOOGLETRANSLATE(B2001, ""en"", ""ko""))"),"지갑 거래 보고서")</f>
        <v>지갑 거래 보고서</v>
      </c>
      <c r="E2001" s="2" t="str">
        <f>IFERROR(__xludf.DUMMYFUNCTION("CONCATENATE(GOOGLETRANSLATE(B2001, ""en"", ""ja""))"),"ウォレット取引レポート")</f>
        <v>ウォレット取引レポート</v>
      </c>
    </row>
    <row r="2002" ht="15.75" customHeight="1">
      <c r="A2002" s="1" t="s">
        <v>3879</v>
      </c>
      <c r="B2002" s="1" t="s">
        <v>3880</v>
      </c>
      <c r="C2002" s="1" t="str">
        <f>IFERROR(__xludf.DUMMYFUNCTION("CONCATENATE(GOOGLETRANSLATE(B2002, ""en"", ""zh-cn""))"),"钱包交易")</f>
        <v>钱包交易</v>
      </c>
      <c r="D2002" s="1" t="str">
        <f>IFERROR(__xludf.DUMMYFUNCTION("CONCATENATE(GOOGLETRANSLATE(B2002, ""en"", ""ko""))"),"지갑 거래")</f>
        <v>지갑 거래</v>
      </c>
      <c r="E2002" s="2" t="str">
        <f>IFERROR(__xludf.DUMMYFUNCTION("CONCATENATE(GOOGLETRANSLATE(B2002, ""en"", ""ja""))"),"ウォレットトランザクション")</f>
        <v>ウォレットトランザクション</v>
      </c>
    </row>
    <row r="2003" ht="15.75" customHeight="1">
      <c r="A2003" s="1" t="s">
        <v>3881</v>
      </c>
      <c r="B2003" s="1" t="s">
        <v>3882</v>
      </c>
      <c r="C2003" s="1" t="str">
        <f>IFERROR(__xludf.DUMMYFUNCTION("CONCATENATE(GOOGLETRANSLATE(B2003, ""en"", ""zh-cn""))"),"选择用户")</f>
        <v>选择用户</v>
      </c>
      <c r="D2003" s="1" t="str">
        <f>IFERROR(__xludf.DUMMYFUNCTION("CONCATENATE(GOOGLETRANSLATE(B2003, ""en"", ""ko""))"),"사용자 선택")</f>
        <v>사용자 선택</v>
      </c>
      <c r="E2003" s="2" t="str">
        <f>IFERROR(__xludf.DUMMYFUNCTION("CONCATENATE(GOOGLETRANSLATE(B2003, ""en"", ""ja""))"),"ユーザーの選択")</f>
        <v>ユーザーの選択</v>
      </c>
    </row>
    <row r="2004" ht="15.75" customHeight="1">
      <c r="A2004" s="1" t="s">
        <v>3883</v>
      </c>
      <c r="B2004" s="1" t="s">
        <v>3884</v>
      </c>
      <c r="C2004" s="1" t="str">
        <f>IFERROR(__xludf.DUMMYFUNCTION("CONCATENATE(GOOGLETRANSLATE(B2004, ""en"", ""zh-cn""))"),"支持台")</f>
        <v>支持台</v>
      </c>
      <c r="D2004" s="1" t="str">
        <f>IFERROR(__xludf.DUMMYFUNCTION("CONCATENATE(GOOGLETRANSLATE(B2004, ""en"", ""ko""))"),"지원 데스크")</f>
        <v>지원 데스크</v>
      </c>
      <c r="E2004" s="2" t="str">
        <f>IFERROR(__xludf.DUMMYFUNCTION("CONCATENATE(GOOGLETRANSLATE(B2004, ""en"", ""ja""))"),"サポートデスク")</f>
        <v>サポートデスク</v>
      </c>
    </row>
    <row r="2005" ht="15.75" customHeight="1">
      <c r="A2005" s="1" t="s">
        <v>3885</v>
      </c>
      <c r="B2005" s="1" t="s">
        <v>3886</v>
      </c>
      <c r="C2005" s="1" t="str">
        <f>IFERROR(__xludf.DUMMYFUNCTION("CONCATENATE(GOOGLETRANSLATE(B2005, ""en"", ""zh-cn""))"),"输入机票代码并输入")</f>
        <v>输入机票代码并输入</v>
      </c>
      <c r="D2005" s="1" t="str">
        <f>IFERROR(__xludf.DUMMYFUNCTION("CONCATENATE(GOOGLETRANSLATE(B2005, ""en"", ""ko""))"),"티켓 코드를 입력하고 Enter를 누르세요.")</f>
        <v>티켓 코드를 입력하고 Enter를 누르세요.</v>
      </c>
      <c r="E2005" s="2" t="str">
        <f>IFERROR(__xludf.DUMMYFUNCTION("CONCATENATE(GOOGLETRANSLATE(B2005, ""en"", ""ja""))"),"チケットコードを入力してEnter")</f>
        <v>チケットコードを入力してEnter</v>
      </c>
    </row>
    <row r="2006" ht="15.75" customHeight="1">
      <c r="A2006" s="1" t="s">
        <v>3887</v>
      </c>
      <c r="B2006" s="1" t="s">
        <v>3888</v>
      </c>
      <c r="C2006" s="1" t="str">
        <f>IFERROR(__xludf.DUMMYFUNCTION("CONCATENATE(GOOGLETRANSLATE(B2006, ""en"", ""zh-cn""))"),"用户")</f>
        <v>用户</v>
      </c>
      <c r="D2006" s="1" t="str">
        <f>IFERROR(__xludf.DUMMYFUNCTION("CONCATENATE(GOOGLETRANSLATE(B2006, ""en"", ""ko""))"),"사용자")</f>
        <v>사용자</v>
      </c>
      <c r="E2006" s="2" t="str">
        <f>IFERROR(__xludf.DUMMYFUNCTION("CONCATENATE(GOOGLETRANSLATE(B2006, ""en"", ""ja""))"),"ユーザー")</f>
        <v>ユーザー</v>
      </c>
    </row>
    <row r="2007" ht="15.75" customHeight="1">
      <c r="A2007" s="1" t="s">
        <v>3889</v>
      </c>
      <c r="B2007" s="1" t="s">
        <v>3890</v>
      </c>
      <c r="C2007" s="1" t="str">
        <f>IFERROR(__xludf.DUMMYFUNCTION("CONCATENATE(GOOGLETRANSLATE(B2007, ""en"", ""zh-cn""))"),"最后回复")</f>
        <v>最后回复</v>
      </c>
      <c r="D2007" s="1" t="str">
        <f>IFERROR(__xludf.DUMMYFUNCTION("CONCATENATE(GOOGLETRANSLATE(B2007, ""en"", ""ko""))"),"마지막 답변")</f>
        <v>마지막 답변</v>
      </c>
      <c r="E2007" s="2" t="str">
        <f>IFERROR(__xludf.DUMMYFUNCTION("CONCATENATE(GOOGLETRANSLATE(B2007, ""en"", ""ja""))"),"最後の返信")</f>
        <v>最後の返信</v>
      </c>
    </row>
    <row r="2008" ht="15.75" customHeight="1">
      <c r="A2008" s="1" t="s">
        <v>3891</v>
      </c>
      <c r="B2008" s="1" t="s">
        <v>3892</v>
      </c>
      <c r="C2008" s="1" t="str">
        <f>IFERROR(__xludf.DUMMYFUNCTION("CONCATENATE(GOOGLETRANSLATE(B2008, ""en"", ""zh-cn""))"),"已被拾取")</f>
        <v>已被拾取</v>
      </c>
      <c r="D2008" s="1" t="str">
        <f>IFERROR(__xludf.DUMMYFUNCTION("CONCATENATE(GOOGLETRANSLATE(B2008, ""en"", ""ko""))"),"픽업되었습니다")</f>
        <v>픽업되었습니다</v>
      </c>
      <c r="E2008" s="2" t="str">
        <f>IFERROR(__xludf.DUMMYFUNCTION("CONCATENATE(GOOGLETRANSLATE(B2008, ""en"", ""ja""))"),"ピックアップされました")</f>
        <v>ピックアップされました</v>
      </c>
    </row>
    <row r="2009" ht="15.75" customHeight="1">
      <c r="A2009" s="1" t="s">
        <v>3893</v>
      </c>
      <c r="B2009" s="1" t="s">
        <v>3894</v>
      </c>
      <c r="C2009" s="1" t="str">
        <f>IFERROR(__xludf.DUMMYFUNCTION("CONCATENATE(GOOGLETRANSLATE(B2009, ""en"", ""zh-cn""))"),"冻结资金")</f>
        <v>冻结资金</v>
      </c>
      <c r="D2009" s="1" t="str">
        <f>IFERROR(__xludf.DUMMYFUNCTION("CONCATENATE(GOOGLETRANSLATE(B2009, ""en"", ""ko""))"),"자금 동결")</f>
        <v>자금 동결</v>
      </c>
      <c r="E2009" s="2" t="str">
        <f>IFERROR(__xludf.DUMMYFUNCTION("CONCATENATE(GOOGLETRANSLATE(B2009, ""en"", ""ja""))"),"資金の凍結")</f>
        <v>資金の凍結</v>
      </c>
    </row>
    <row r="2010" ht="15.75" customHeight="1">
      <c r="A2010" s="1" t="s">
        <v>3895</v>
      </c>
      <c r="B2010" s="1" t="s">
        <v>3896</v>
      </c>
      <c r="C2010" s="1" t="str">
        <f>IFERROR(__xludf.DUMMYFUNCTION("CONCATENATE(GOOGLETRANSLATE(B2010, ""en"", ""zh-cn""))"),"冻结资金自动解冻（天）")</f>
        <v>冻结资金自动解冻（天）</v>
      </c>
      <c r="D2010" s="1" t="str">
        <f>IFERROR(__xludf.DUMMYFUNCTION("CONCATENATE(GOOGLETRANSLATE(B2010, ""en"", ""ko""))"),"동결자금 자동해제(일)")</f>
        <v>동결자금 자동해제(일)</v>
      </c>
      <c r="E2010" s="2" t="str">
        <f>IFERROR(__xludf.DUMMYFUNCTION("CONCATENATE(GOOGLETRANSLATE(B2010, ""en"", ""ja""))"),"凍結された資金が自動的に凍結解除される(日)")</f>
        <v>凍結された資金が自動的に凍結解除される(日)</v>
      </c>
    </row>
    <row r="2011" ht="15.75" customHeight="1">
      <c r="A2011" s="1" t="s">
        <v>3897</v>
      </c>
      <c r="B2011" s="1" t="s">
        <v>3898</v>
      </c>
      <c r="C2011" s="1" t="str">
        <f>IFERROR(__xludf.DUMMYFUNCTION("CONCATENATE(GOOGLETRANSLATE(B2011, ""en"", ""zh-cn""))"),"自动解冻")</f>
        <v>自动解冻</v>
      </c>
      <c r="D2011" s="1" t="str">
        <f>IFERROR(__xludf.DUMMYFUNCTION("CONCATENATE(GOOGLETRANSLATE(B2011, ""en"", ""ko""))"),"자동으로 동결 해제")</f>
        <v>자동으로 동결 해제</v>
      </c>
      <c r="E2011" s="2" t="str">
        <f>IFERROR(__xludf.DUMMYFUNCTION("CONCATENATE(GOOGLETRANSLATE(B2011, ""en"", ""ja""))"),"自動的に解凍")</f>
        <v>自動的に解凍</v>
      </c>
    </row>
    <row r="2012" ht="15.75" customHeight="1">
      <c r="A2012" s="1" t="s">
        <v>3899</v>
      </c>
      <c r="B2012" s="1" t="s">
        <v>3900</v>
      </c>
      <c r="C2012" s="1" t="str">
        <f>IFERROR(__xludf.DUMMYFUNCTION("CONCATENATE(GOOGLETRANSLATE(B2012, ""en"", ""zh-cn""))"),"释放冻结资金")</f>
        <v>释放冻结资金</v>
      </c>
      <c r="D2012" s="1" t="str">
        <f>IFERROR(__xludf.DUMMYFUNCTION("CONCATENATE(GOOGLETRANSLATE(B2012, ""en"", ""ko""))"),"동결된 자금을 풀어보세요")</f>
        <v>동결된 자금을 풀어보세요</v>
      </c>
      <c r="E2012" s="2" t="str">
        <f>IFERROR(__xludf.DUMMYFUNCTION("CONCATENATE(GOOGLETRANSLATE(B2012, ""en"", ""ja""))"),"凍結された資金を解放する")</f>
        <v>凍結された資金を解放する</v>
      </c>
    </row>
    <row r="2013" ht="15.75" customHeight="1">
      <c r="A2013" s="1" t="s">
        <v>3901</v>
      </c>
      <c r="B2013" s="1" t="s">
        <v>3902</v>
      </c>
      <c r="C2013" s="1" t="str">
        <f>IFERROR(__xludf.DUMMYFUNCTION("CONCATENATE(GOOGLETRANSLATE(B2013, ""en"", ""zh-cn""))"),"释放冻结资金确认")</f>
        <v>释放冻结资金确认</v>
      </c>
      <c r="D2013" s="1" t="str">
        <f>IFERROR(__xludf.DUMMYFUNCTION("CONCATENATE(GOOGLETRANSLATE(B2013, ""en"", ""ko""))"),"동결 자금 확보 확인")</f>
        <v>동결 자금 확보 확인</v>
      </c>
      <c r="E2013" s="2" t="str">
        <f>IFERROR(__xludf.DUMMYFUNCTION("CONCATENATE(GOOGLETRANSLATE(B2013, ""en"", ""ja""))"),"凍結資金の解放の確認")</f>
        <v>凍結資金の解放の確認</v>
      </c>
    </row>
    <row r="2014" ht="15.75" customHeight="1">
      <c r="A2014" s="1" t="s">
        <v>3903</v>
      </c>
      <c r="B2014" s="1" t="s">
        <v>3904</v>
      </c>
      <c r="C2014" s="1" t="str">
        <f>IFERROR(__xludf.DUMMYFUNCTION("CONCATENATE(GOOGLETRANSLATE(B2014, ""en"", ""zh-cn""))"),"您确定要释放它吗？")</f>
        <v>您确定要释放它吗？</v>
      </c>
      <c r="D2014" s="1" t="str">
        <f>IFERROR(__xludf.DUMMYFUNCTION("CONCATENATE(GOOGLETRANSLATE(B2014, ""en"", ""ko""))"),"이 파일을 해제하시겠습니까?")</f>
        <v>이 파일을 해제하시겠습니까?</v>
      </c>
      <c r="E2014" s="2" t="str">
        <f>IFERROR(__xludf.DUMMYFUNCTION("CONCATENATE(GOOGLETRANSLATE(B2014, ""en"", ""ja""))"),"これを解放してもよろしいですか?")</f>
        <v>これを解放してもよろしいですか?</v>
      </c>
    </row>
    <row r="2015" ht="15.75" customHeight="1">
      <c r="A2015" s="1" t="s">
        <v>3905</v>
      </c>
      <c r="B2015" s="1" t="s">
        <v>3906</v>
      </c>
      <c r="C2015" s="1" t="str">
        <f>IFERROR(__xludf.DUMMYFUNCTION("CONCATENATE(GOOGLETRANSLATE(B2015, ""en"", ""zh-cn""))"),"释放")</f>
        <v>释放</v>
      </c>
      <c r="D2015" s="1" t="str">
        <f>IFERROR(__xludf.DUMMYFUNCTION("CONCATENATE(GOOGLETRANSLATE(B2015, ""en"", ""ko""))"),"무료 확보")</f>
        <v>무료 확보</v>
      </c>
      <c r="E2015" s="2" t="str">
        <f>IFERROR(__xludf.DUMMYFUNCTION("CONCATENATE(GOOGLETRANSLATE(B2015, ""en"", ""ja""))"),"フリーアップ")</f>
        <v>フリーアップ</v>
      </c>
    </row>
    <row r="2016" ht="15.75" customHeight="1">
      <c r="A2016" s="1" t="s">
        <v>3907</v>
      </c>
      <c r="B2016" s="1" t="s">
        <v>3908</v>
      </c>
      <c r="C2016" s="1" t="str">
        <f>IFERROR(__xludf.DUMMYFUNCTION("CONCATENATE(GOOGLETRANSLATE(B2016, ""en"", ""zh-cn""))"),"冻结订单")</f>
        <v>冻结订单</v>
      </c>
      <c r="D2016" s="1" t="str">
        <f>IFERROR(__xludf.DUMMYFUNCTION("CONCATENATE(GOOGLETRANSLATE(B2016, ""en"", ""ko""))"),"주문 동결")</f>
        <v>주문 동결</v>
      </c>
      <c r="E2016" s="2" t="str">
        <f>IFERROR(__xludf.DUMMYFUNCTION("CONCATENATE(GOOGLETRANSLATE(B2016, ""en"", ""ja""))"),"注文の凍結")</f>
        <v>注文の凍結</v>
      </c>
    </row>
    <row r="2017" ht="15.75" customHeight="1">
      <c r="A2017" s="1" t="s">
        <v>3909</v>
      </c>
      <c r="B2017" s="1" t="s">
        <v>3910</v>
      </c>
      <c r="C2017" s="1" t="str">
        <f>IFERROR(__xludf.DUMMYFUNCTION("CONCATENATE(GOOGLETRANSLATE(B2017, ""en"", ""zh-cn""))"),"解冻倒计时")</f>
        <v>解冻倒计时</v>
      </c>
      <c r="D2017" s="1" t="str">
        <f>IFERROR(__xludf.DUMMYFUNCTION("CONCATENATE(GOOGLETRANSLATE(B2017, ""en"", ""ko""))"),"고정 해제 카운트다운")</f>
        <v>고정 해제 카운트다운</v>
      </c>
      <c r="E2017" s="2" t="str">
        <f>IFERROR(__xludf.DUMMYFUNCTION("CONCATENATE(GOOGLETRANSLATE(B2017, ""en"", ""ja""))"),"解凍カウントダウン")</f>
        <v>解凍カウントダウン</v>
      </c>
    </row>
    <row r="2018" ht="15.75" customHeight="1">
      <c r="A2018" s="1" t="s">
        <v>3911</v>
      </c>
      <c r="B2018" s="1" t="s">
        <v>3912</v>
      </c>
      <c r="C2018" s="1" t="str">
        <f>IFERROR(__xludf.DUMMYFUNCTION("CONCATENATE(GOOGLETRANSLATE(B2018, ""en"", ""zh-cn""))"),"收据")</f>
        <v>收据</v>
      </c>
      <c r="D2018" s="1" t="str">
        <f>IFERROR(__xludf.DUMMYFUNCTION("CONCATENATE(GOOGLETRANSLATE(B2018, ""en"", ""ko""))"),"영수증")</f>
        <v>영수증</v>
      </c>
      <c r="E2018" s="2" t="str">
        <f>IFERROR(__xludf.DUMMYFUNCTION("CONCATENATE(GOOGLETRANSLATE(B2018, ""en"", ""ja""))"),"レシート")</f>
        <v>レシート</v>
      </c>
    </row>
    <row r="2019" ht="15.75" customHeight="1">
      <c r="A2019" s="1" t="s">
        <v>3913</v>
      </c>
      <c r="B2019" s="1" t="s">
        <v>3914</v>
      </c>
      <c r="C2019" s="1" t="str">
        <f>IFERROR(__xludf.DUMMYFUNCTION("CONCATENATE(GOOGLETRANSLATE(B2019, ""en"", ""zh-cn""))"),"系统默认货币")</f>
        <v>系统默认货币</v>
      </c>
      <c r="D2019" s="1" t="str">
        <f>IFERROR(__xludf.DUMMYFUNCTION("CONCATENATE(GOOGLETRANSLATE(B2019, ""en"", ""ko""))"),"시스템 기본 통화")</f>
        <v>시스템 기본 통화</v>
      </c>
      <c r="E2019" s="2" t="str">
        <f>IFERROR(__xludf.DUMMYFUNCTION("CONCATENATE(GOOGLETRANSLATE(B2019, ""en"", ""ja""))"),"システムのデフォルト通貨")</f>
        <v>システムのデフォルト通貨</v>
      </c>
    </row>
    <row r="2020" ht="15.75" customHeight="1">
      <c r="A2020" s="1" t="s">
        <v>3915</v>
      </c>
      <c r="B2020" s="1" t="s">
        <v>3916</v>
      </c>
      <c r="C2020" s="1" t="str">
        <f>IFERROR(__xludf.DUMMYFUNCTION("CONCATENATE(GOOGLETRANSLATE(B2020, ""en"", ""zh-cn""))"),"设置货币格式")</f>
        <v>设置货币格式</v>
      </c>
      <c r="D2020" s="1" t="str">
        <f>IFERROR(__xludf.DUMMYFUNCTION("CONCATENATE(GOOGLETRANSLATE(B2020, ""en"", ""ko""))"),"통화 형식 설정")</f>
        <v>통화 형식 설정</v>
      </c>
      <c r="E2020" s="2" t="str">
        <f>IFERROR(__xludf.DUMMYFUNCTION("CONCATENATE(GOOGLETRANSLATE(B2020, ""en"", ""ja""))"),"通貨形式の設定")</f>
        <v>通貨形式の設定</v>
      </c>
    </row>
    <row r="2021" ht="15.75" customHeight="1">
      <c r="A2021" s="1" t="s">
        <v>3917</v>
      </c>
      <c r="B2021" s="1" t="s">
        <v>3918</v>
      </c>
      <c r="C2021" s="1" t="str">
        <f>IFERROR(__xludf.DUMMYFUNCTION("CONCATENATE(GOOGLETRANSLATE(B2021, ""en"", ""zh-cn""))"),"符号格式")</f>
        <v>符号格式</v>
      </c>
      <c r="D2021" s="1" t="str">
        <f>IFERROR(__xludf.DUMMYFUNCTION("CONCATENATE(GOOGLETRANSLATE(B2021, ""en"", ""ko""))"),"기호 형식")</f>
        <v>기호 형식</v>
      </c>
      <c r="E2021" s="2" t="str">
        <f>IFERROR(__xludf.DUMMYFUNCTION("CONCATENATE(GOOGLETRANSLATE(B2021, ""en"", ""ja""))"),"シンボルの形式")</f>
        <v>シンボルの形式</v>
      </c>
    </row>
    <row r="2022" ht="15.75" customHeight="1">
      <c r="A2022" s="1" t="s">
        <v>3919</v>
      </c>
      <c r="B2022" s="1" t="s">
        <v>3920</v>
      </c>
      <c r="C2022" s="1" t="str">
        <f>IFERROR(__xludf.DUMMYFUNCTION("CONCATENATE(GOOGLETRANSLATE(B2022, ""en"", ""zh-cn""))"),"小数点分隔符")</f>
        <v>小数点分隔符</v>
      </c>
      <c r="D2022" s="1" t="str">
        <f>IFERROR(__xludf.DUMMYFUNCTION("CONCATENATE(GOOGLETRANSLATE(B2022, ""en"", ""ko""))"),"소수 구분 기호")</f>
        <v>소수 구분 기호</v>
      </c>
      <c r="E2022" s="2" t="str">
        <f>IFERROR(__xludf.DUMMYFUNCTION("CONCATENATE(GOOGLETRANSLATE(B2022, ""en"", ""ja""))"),"小数点区切り文字")</f>
        <v>小数点区切り文字</v>
      </c>
    </row>
    <row r="2023" ht="15.75" customHeight="1">
      <c r="A2023" s="1" t="s">
        <v>3921</v>
      </c>
      <c r="B2023" s="1" t="s">
        <v>3922</v>
      </c>
      <c r="C2023" s="1" t="str">
        <f>IFERROR(__xludf.DUMMYFUNCTION("CONCATENATE(GOOGLETRANSLATE(B2023, ""en"", ""zh-cn""))"),"小数位数")</f>
        <v>小数位数</v>
      </c>
      <c r="D2023" s="1" t="str">
        <f>IFERROR(__xludf.DUMMYFUNCTION("CONCATENATE(GOOGLETRANSLATE(B2023, ""en"", ""ko""))"),"소수점 이하")</f>
        <v>소수점 이하</v>
      </c>
      <c r="E2023" s="2" t="str">
        <f>IFERROR(__xludf.DUMMYFUNCTION("CONCATENATE(GOOGLETRANSLATE(B2023, ""en"", ""ja""))"),"小数点以下の桁数")</f>
        <v>小数点以下の桁数</v>
      </c>
    </row>
    <row r="2024" ht="15.75" customHeight="1">
      <c r="A2024" s="1" t="s">
        <v>3923</v>
      </c>
      <c r="B2024" s="1" t="s">
        <v>3924</v>
      </c>
      <c r="C2024" s="1" t="str">
        <f>IFERROR(__xludf.DUMMYFUNCTION("CONCATENATE(GOOGLETRANSLATE(B2024, ""en"", ""zh-cn""))"),"所有货币")</f>
        <v>所有货币</v>
      </c>
      <c r="D2024" s="1" t="str">
        <f>IFERROR(__xludf.DUMMYFUNCTION("CONCATENATE(GOOGLETRANSLATE(B2024, ""en"", ""ko""))"),"모든 통화")</f>
        <v>모든 통화</v>
      </c>
      <c r="E2024" s="2" t="str">
        <f>IFERROR(__xludf.DUMMYFUNCTION("CONCATENATE(GOOGLETRANSLATE(B2024, ""en"", ""ja""))"),"すべての通貨")</f>
        <v>すべての通貨</v>
      </c>
    </row>
    <row r="2025" ht="15.75" customHeight="1">
      <c r="A2025" s="1" t="s">
        <v>3925</v>
      </c>
      <c r="B2025" s="1" t="s">
        <v>3926</v>
      </c>
      <c r="C2025" s="1" t="str">
        <f>IFERROR(__xludf.DUMMYFUNCTION("CONCATENATE(GOOGLETRANSLATE(B2025, ""en"", ""zh-cn""))"),"添加新货币")</f>
        <v>添加新货币</v>
      </c>
      <c r="D2025" s="1" t="str">
        <f>IFERROR(__xludf.DUMMYFUNCTION("CONCATENATE(GOOGLETRANSLATE(B2025, ""en"", ""ko""))"),"새 통화 추가")</f>
        <v>새 통화 추가</v>
      </c>
      <c r="E2025" s="2" t="str">
        <f>IFERROR(__xludf.DUMMYFUNCTION("CONCATENATE(GOOGLETRANSLATE(B2025, ""en"", ""ja""))"),"新しい通貨を追加")</f>
        <v>新しい通貨を追加</v>
      </c>
    </row>
    <row r="2026" ht="15.75" customHeight="1">
      <c r="A2026" s="1" t="s">
        <v>3927</v>
      </c>
      <c r="B2026" s="1" t="s">
        <v>3928</v>
      </c>
      <c r="C2026" s="1" t="str">
        <f>IFERROR(__xludf.DUMMYFUNCTION("CONCATENATE(GOOGLETRANSLATE(B2026, ""en"", ""zh-cn""))"),"货币名称")</f>
        <v>货币名称</v>
      </c>
      <c r="D2026" s="1" t="str">
        <f>IFERROR(__xludf.DUMMYFUNCTION("CONCATENATE(GOOGLETRANSLATE(B2026, ""en"", ""ko""))"),"통화명")</f>
        <v>통화명</v>
      </c>
      <c r="E2026" s="2" t="str">
        <f>IFERROR(__xludf.DUMMYFUNCTION("CONCATENATE(GOOGLETRANSLATE(B2026, ""en"", ""ja""))"),"通貨名")</f>
        <v>通貨名</v>
      </c>
    </row>
    <row r="2027" ht="15.75" customHeight="1">
      <c r="A2027" s="1" t="s">
        <v>3929</v>
      </c>
      <c r="B2027" s="1" t="s">
        <v>3930</v>
      </c>
      <c r="C2027" s="1" t="str">
        <f>IFERROR(__xludf.DUMMYFUNCTION("CONCATENATE(GOOGLETRANSLATE(B2027, ""en"", ""zh-cn""))"),"货币符号")</f>
        <v>货币符号</v>
      </c>
      <c r="D2027" s="1" t="str">
        <f>IFERROR(__xludf.DUMMYFUNCTION("CONCATENATE(GOOGLETRANSLATE(B2027, ""en"", ""ko""))"),"통화 기호")</f>
        <v>통화 기호</v>
      </c>
      <c r="E2027" s="2" t="str">
        <f>IFERROR(__xludf.DUMMYFUNCTION("CONCATENATE(GOOGLETRANSLATE(B2027, ""en"", ""ja""))"),"通貨記号")</f>
        <v>通貨記号</v>
      </c>
    </row>
    <row r="2028" ht="15.75" customHeight="1">
      <c r="A2028" s="1" t="s">
        <v>3931</v>
      </c>
      <c r="B2028" s="1" t="s">
        <v>3932</v>
      </c>
      <c r="C2028" s="1" t="str">
        <f>IFERROR(__xludf.DUMMYFUNCTION("CONCATENATE(GOOGLETRANSLATE(B2028, ""en"", ""zh-cn""))"),"货币代码")</f>
        <v>货币代码</v>
      </c>
      <c r="D2028" s="1" t="str">
        <f>IFERROR(__xludf.DUMMYFUNCTION("CONCATENATE(GOOGLETRANSLATE(B2028, ""en"", ""ko""))"),"통화 코드")</f>
        <v>통화 코드</v>
      </c>
      <c r="E2028" s="2" t="str">
        <f>IFERROR(__xludf.DUMMYFUNCTION("CONCATENATE(GOOGLETRANSLATE(B2028, ""en"", ""ja""))"),"通貨コード")</f>
        <v>通貨コード</v>
      </c>
    </row>
    <row r="2029" ht="15.75" customHeight="1">
      <c r="A2029" s="1" t="s">
        <v>3933</v>
      </c>
      <c r="B2029" s="1" t="s">
        <v>3934</v>
      </c>
      <c r="C2029" s="1" t="str">
        <f>IFERROR(__xludf.DUMMYFUNCTION("CONCATENATE(GOOGLETRANSLATE(B2029, ""en"", ""zh-cn""))"),"货币状态更新成功")</f>
        <v>货币状态更新成功</v>
      </c>
      <c r="D2029" s="1" t="str">
        <f>IFERROR(__xludf.DUMMYFUNCTION("CONCATENATE(GOOGLETRANSLATE(B2029, ""en"", ""ko""))"),"통화 상태가 성공적으로 업데이트되었습니다.")</f>
        <v>통화 상태가 성공적으로 업데이트되었습니다.</v>
      </c>
      <c r="E2029" s="2" t="str">
        <f>IFERROR(__xludf.DUMMYFUNCTION("CONCATENATE(GOOGLETRANSLATE(B2029, ""en"", ""ja""))"),"通貨ステータスが正常に更新されました")</f>
        <v>通貨ステータスが正常に更新されました</v>
      </c>
    </row>
    <row r="2030" ht="15.75" customHeight="1">
      <c r="A2030" s="1" t="s">
        <v>3935</v>
      </c>
      <c r="B2030" s="1" t="s">
        <v>3936</v>
      </c>
      <c r="C2030" s="1" t="str">
        <f>IFERROR(__xludf.DUMMYFUNCTION("CONCATENATE(GOOGLETRANSLATE(B2030, ""en"", ""zh-cn""))"),"已交付")</f>
        <v>已交付</v>
      </c>
      <c r="D2030" s="1" t="str">
        <f>IFERROR(__xludf.DUMMYFUNCTION("CONCATENATE(GOOGLETRANSLATE(B2030, ""en"", ""ko""))"),"배달되었습니다")</f>
        <v>배달되었습니다</v>
      </c>
      <c r="E2030" s="2" t="str">
        <f>IFERROR(__xludf.DUMMYFUNCTION("CONCATENATE(GOOGLETRANSLATE(B2030, ""en"", ""ja""))"),"配達されました")</f>
        <v>配達されました</v>
      </c>
    </row>
    <row r="2031" ht="15.75" customHeight="1">
      <c r="A2031" s="1" t="s">
        <v>3937</v>
      </c>
      <c r="B2031" s="1" t="s">
        <v>3938</v>
      </c>
      <c r="C2031" s="1" t="str">
        <f>IFERROR(__xludf.DUMMYFUNCTION("CONCATENATE(GOOGLETRANSLATE(B2031, ""en"", ""zh-cn""))"),"取货状态")</f>
        <v>取货状态</v>
      </c>
      <c r="D2031" s="1" t="str">
        <f>IFERROR(__xludf.DUMMYFUNCTION("CONCATENATE(GOOGLETRANSLATE(B2031, ""en"", ""ko""))"),"픽업 상태")</f>
        <v>픽업 상태</v>
      </c>
      <c r="E2031" s="2" t="str">
        <f>IFERROR(__xludf.DUMMYFUNCTION("CONCATENATE(GOOGLETRANSLATE(B2031, ""en"", ""ja""))"),"受け取り状況")</f>
        <v>受け取り状況</v>
      </c>
    </row>
    <row r="2032" ht="15.75" customHeight="1">
      <c r="A2032" s="1" t="s">
        <v>3939</v>
      </c>
      <c r="B2032" s="1" t="s">
        <v>3940</v>
      </c>
      <c r="C2032" s="1" t="str">
        <f>IFERROR(__xludf.DUMMYFUNCTION("CONCATENATE(GOOGLETRANSLATE(B2032, ""en"", ""zh-cn""))"),"未拾起")</f>
        <v>未拾起</v>
      </c>
      <c r="D2032" s="1" t="str">
        <f>IFERROR(__xludf.DUMMYFUNCTION("CONCATENATE(GOOGLETRANSLATE(B2032, ""en"", ""ko""))"),"픽업되지 않은")</f>
        <v>픽업되지 않은</v>
      </c>
      <c r="E2032" s="2" t="str">
        <f>IFERROR(__xludf.DUMMYFUNCTION("CONCATENATE(GOOGLETRANSLATE(B2032, ""en"", ""ja""))"),"拾われていない")</f>
        <v>拾われていない</v>
      </c>
    </row>
    <row r="2033" ht="15.75" customHeight="1">
      <c r="A2033" s="1" t="s">
        <v>3941</v>
      </c>
      <c r="B2033" s="1" t="s">
        <v>3942</v>
      </c>
      <c r="C2033" s="1" t="str">
        <f>IFERROR(__xludf.DUMMYFUNCTION("CONCATENATE(GOOGLETRANSLATE(B2033, ""en"", ""zh-cn""))"),"利润")</f>
        <v>利润</v>
      </c>
      <c r="D2033" s="1" t="str">
        <f>IFERROR(__xludf.DUMMYFUNCTION("CONCATENATE(GOOGLETRANSLATE(B2033, ""en"", ""ko""))"),"이익")</f>
        <v>이익</v>
      </c>
      <c r="E2033" s="2" t="str">
        <f>IFERROR(__xludf.DUMMYFUNCTION("CONCATENATE(GOOGLETRANSLATE(B2033, ""en"", ""ja""))"),"利益")</f>
        <v>利益</v>
      </c>
    </row>
    <row r="2034" ht="15.75" customHeight="1">
      <c r="A2034" s="1" t="s">
        <v>3891</v>
      </c>
      <c r="B2034" s="1" t="s">
        <v>3892</v>
      </c>
      <c r="C2034" s="1" t="str">
        <f>IFERROR(__xludf.DUMMYFUNCTION("CONCATENATE(GOOGLETRANSLATE(B2034, ""en"", ""zh-cn""))"),"已被拾取")</f>
        <v>已被拾取</v>
      </c>
      <c r="D2034" s="1" t="str">
        <f>IFERROR(__xludf.DUMMYFUNCTION("CONCATENATE(GOOGLETRANSLATE(B2034, ""en"", ""ko""))"),"픽업되었습니다")</f>
        <v>픽업되었습니다</v>
      </c>
      <c r="E2034" s="2" t="str">
        <f>IFERROR(__xludf.DUMMYFUNCTION("CONCATENATE(GOOGLETRANSLATE(B2034, ""en"", ""ja""))"),"ピックアップされました")</f>
        <v>ピックアップされました</v>
      </c>
    </row>
    <row r="2035" ht="15.75" customHeight="1">
      <c r="A2035" s="1" t="s">
        <v>3943</v>
      </c>
      <c r="B2035" s="1" t="s">
        <v>3944</v>
      </c>
      <c r="C2035" s="1" t="str">
        <f>IFERROR(__xludf.DUMMYFUNCTION("CONCATENATE(GOOGLETRANSLATE(B2035, ""en"", ""zh-cn""))"),"请求金额为 ")</f>
        <v>请求金额为 </v>
      </c>
      <c r="D2035" s="1" t="str">
        <f>IFERROR(__xludf.DUMMYFUNCTION("CONCATENATE(GOOGLETRANSLATE(B2035, ""en"", ""ko""))"),"요청 금액은 ")</f>
        <v>요청 금액은 </v>
      </c>
      <c r="E2035" s="2" t="str">
        <f>IFERROR(__xludf.DUMMYFUNCTION("CONCATENATE(GOOGLETRANSLATE(B2035, ""en"", ""ja""))"),"要求金額は ")</f>
        <v>要求金額は </v>
      </c>
    </row>
    <row r="2036" ht="15.75" customHeight="1">
      <c r="A2036" s="1" t="s">
        <v>3945</v>
      </c>
      <c r="B2036" s="1" t="s">
        <v>3946</v>
      </c>
      <c r="C2036" s="1" t="str">
        <f>IFERROR(__xludf.DUMMYFUNCTION("CONCATENATE(GOOGLETRANSLATE(B2036, ""en"", ""zh-cn""))"),"姓名为必填项")</f>
        <v>姓名为必填项</v>
      </c>
      <c r="D2036" s="1" t="str">
        <f>IFERROR(__xludf.DUMMYFUNCTION("CONCATENATE(GOOGLETRANSLATE(B2036, ""en"", ""ko""))"),"이름은 필수입니다")</f>
        <v>이름은 필수입니다</v>
      </c>
      <c r="E2036" s="2" t="str">
        <f>IFERROR(__xludf.DUMMYFUNCTION("CONCATENATE(GOOGLETRANSLATE(B2036, ""en"", ""ja""))"),"名前は必須です")</f>
        <v>名前は必須です</v>
      </c>
    </row>
    <row r="2037" ht="15.75" customHeight="1">
      <c r="A2037" s="1" t="s">
        <v>3947</v>
      </c>
      <c r="B2037" s="1" t="s">
        <v>3948</v>
      </c>
      <c r="C2037" s="1" t="str">
        <f>IFERROR(__xludf.DUMMYFUNCTION("CONCATENATE(GOOGLETRANSLATE(B2037, ""en"", ""zh-cn""))"),"最少 6 个字符")</f>
        <v>最少 6 个字符</v>
      </c>
      <c r="D2037" s="1" t="str">
        <f>IFERROR(__xludf.DUMMYFUNCTION("CONCATENATE(GOOGLETRANSLATE(B2037, ""en"", ""ko""))"),"최소 6자")</f>
        <v>최소 6자</v>
      </c>
      <c r="E2037" s="2" t="str">
        <f>IFERROR(__xludf.DUMMYFUNCTION("CONCATENATE(GOOGLETRANSLATE(B2037, ""en"", ""ja""))"),"最低6文字")</f>
        <v>最低6文字</v>
      </c>
    </row>
    <row r="2038" ht="15.75" customHeight="1">
      <c r="A2038" s="1" t="s">
        <v>3949</v>
      </c>
      <c r="B2038" s="1" t="s">
        <v>3950</v>
      </c>
      <c r="C2038" s="1" t="str">
        <f>IFERROR(__xludf.DUMMYFUNCTION("CONCATENATE(GOOGLETRANSLATE(B2038, ""en"", ""zh-cn""))"),"包已成功删除")</f>
        <v>包已成功删除</v>
      </c>
      <c r="D2038" s="1" t="str">
        <f>IFERROR(__xludf.DUMMYFUNCTION("CONCATENATE(GOOGLETRANSLATE(B2038, ""en"", ""ko""))"),"패키지가 성공적으로 삭제되었습니다.")</f>
        <v>패키지가 성공적으로 삭제되었습니다.</v>
      </c>
      <c r="E2038" s="2" t="str">
        <f>IFERROR(__xludf.DUMMYFUNCTION("CONCATENATE(GOOGLETRANSLATE(B2038, ""en"", ""ja""))"),"パッケージは正常に削除されました")</f>
        <v>パッケージは正常に削除されました</v>
      </c>
    </row>
    <row r="2039" ht="15.75" customHeight="1">
      <c r="A2039" s="1" t="s">
        <v>3951</v>
      </c>
      <c r="B2039" s="1" t="s">
        <v>3952</v>
      </c>
      <c r="C2039" s="1" t="str">
        <f>IFERROR(__xludf.DUMMYFUNCTION("CONCATENATE(GOOGLETRANSLATE(B2039, ""en"", ""zh-cn""))"),"帮助行号码")</f>
        <v>帮助行号码</v>
      </c>
      <c r="D2039" s="1" t="str">
        <f>IFERROR(__xludf.DUMMYFUNCTION("CONCATENATE(GOOGLETRANSLATE(B2039, ""en"", ""ko""))"),"도움말 라인 번호")</f>
        <v>도움말 라인 번호</v>
      </c>
      <c r="E2039" s="2" t="str">
        <f>IFERROR(__xludf.DUMMYFUNCTION("CONCATENATE(GOOGLETRANSLATE(B2039, ""en"", ""ja""))"),"ヘルプライン番号")</f>
        <v>ヘルプライン番号</v>
      </c>
    </row>
    <row r="2040" ht="15.75" customHeight="1">
      <c r="A2040" s="1" t="s">
        <v>3953</v>
      </c>
      <c r="B2040" s="1" t="s">
        <v>3954</v>
      </c>
      <c r="C2040" s="1" t="str">
        <f>IFERROR(__xludf.DUMMYFUNCTION("CONCATENATE(GOOGLETRANSLATE(B2040, ""en"", ""zh-cn""))"),"帮助热线")</f>
        <v>帮助热线</v>
      </c>
      <c r="D2040" s="1" t="str">
        <f>IFERROR(__xludf.DUMMYFUNCTION("CONCATENATE(GOOGLETRANSLATE(B2040, ""en"", ""ko""))"),"도움말 라인")</f>
        <v>도움말 라인</v>
      </c>
      <c r="E2040" s="2" t="str">
        <f>IFERROR(__xludf.DUMMYFUNCTION("CONCATENATE(GOOGLETRANSLATE(B2040, ""en"", ""ja""))"),"ヘルプライン")</f>
        <v>ヘルプライン</v>
      </c>
    </row>
    <row r="2041" ht="15.75" customHeight="1">
      <c r="A2041" s="1" t="s">
        <v>3955</v>
      </c>
      <c r="B2041" s="1" t="s">
        <v>3956</v>
      </c>
      <c r="C2041" s="1" t="str">
        <f>IFERROR(__xludf.DUMMYFUNCTION("CONCATENATE(GOOGLETRANSLATE(B2041, ""en"", ""zh-cn""))"),"订购号")</f>
        <v>订购号</v>
      </c>
      <c r="D2041" s="1" t="str">
        <f>IFERROR(__xludf.DUMMYFUNCTION("CONCATENATE(GOOGLETRANSLATE(B2041, ""en"", ""ko""))"),"주문번호")</f>
        <v>주문번호</v>
      </c>
      <c r="E2041" s="2" t="str">
        <f>IFERROR(__xludf.DUMMYFUNCTION("CONCATENATE(GOOGLETRANSLATE(B2041, ""en"", ""ja""))"),"注文番号")</f>
        <v>注文番号</v>
      </c>
    </row>
    <row r="2042" ht="15.75" customHeight="1">
      <c r="A2042" s="1" t="s">
        <v>3957</v>
      </c>
      <c r="B2042" s="1" t="s">
        <v>3958</v>
      </c>
      <c r="C2042" s="1" t="str">
        <f>IFERROR(__xludf.DUMMYFUNCTION("CONCATENATE(GOOGLETRANSLATE(B2042, ""en"", ""zh-cn""))"),"数字越大优先级越高")</f>
        <v>数字越大优先级越高</v>
      </c>
      <c r="D2042" s="1" t="str">
        <f>IFERROR(__xludf.DUMMYFUNCTION("CONCATENATE(GOOGLETRANSLATE(B2042, ""en"", ""ko""))"),"숫자가 높을수록 우선순위가 높습니다.")</f>
        <v>숫자가 높을수록 우선순위가 높습니다.</v>
      </c>
      <c r="E2042" s="2" t="str">
        <f>IFERROR(__xludf.DUMMYFUNCTION("CONCATENATE(GOOGLETRANSLATE(B2042, ""en"", ""ja""))"),"数字が大きいほど優先度が高くなります")</f>
        <v>数字が大きいほど優先度が高くなります</v>
      </c>
    </row>
    <row r="2043" ht="15.75" customHeight="1">
      <c r="A2043" s="1" t="s">
        <v>3959</v>
      </c>
      <c r="B2043" s="1" t="s">
        <v>3960</v>
      </c>
      <c r="C2043" s="1" t="str">
        <f>IFERROR(__xludf.DUMMYFUNCTION("CONCATENATE(GOOGLETRANSLATE(B2043, ""en"", ""zh-cn""))"),"过滤属性")</f>
        <v>过滤属性</v>
      </c>
      <c r="D2043" s="1" t="str">
        <f>IFERROR(__xludf.DUMMYFUNCTION("CONCATENATE(GOOGLETRANSLATE(B2043, ""en"", ""ko""))"),"필터링 속성")</f>
        <v>필터링 속성</v>
      </c>
      <c r="E2043" s="2" t="str">
        <f>IFERROR(__xludf.DUMMYFUNCTION("CONCATENATE(GOOGLETRANSLATE(B2043, ""en"", ""ja""))"),"属性のフィルタリング")</f>
        <v>属性のフィルタリング</v>
      </c>
    </row>
    <row r="2044" ht="15.75" customHeight="1">
      <c r="A2044" s="1" t="s">
        <v>3961</v>
      </c>
      <c r="B2044" s="1" t="s">
        <v>3962</v>
      </c>
      <c r="C2044" s="1" t="str">
        <f>IFERROR(__xludf.DUMMYFUNCTION("CONCATENATE(GOOGLETRANSLATE(B2044, ""en"", ""zh-cn""))"),"如果任何产品有折扣或存在于其他闪购中，折扣将被此折扣和期限取代。")</f>
        <v>如果任何产品有折扣或存在于其他闪购中，折扣将被此折扣和期限取代。</v>
      </c>
      <c r="D2044" s="1" t="str">
        <f>IFERROR(__xludf.DUMMYFUNCTION("CONCATENATE(GOOGLETRANSLATE(B2044, ""en"", ""ko""))"),"할인이 있거나 다른 플래시 딜에 있는 제품이 있는 경우 해당 할인은 해당 할인 및 기간 제한으로 대체됩니다.")</f>
        <v>할인이 있거나 다른 플래시 딜에 있는 제품이 있는 경우 해당 할인은 해당 할인 및 기간 제한으로 대체됩니다.</v>
      </c>
      <c r="E2044" s="2" t="str">
        <f>IFERROR(__xludf.DUMMYFUNCTION("CONCATENATE(GOOGLETRANSLATE(B2044, ""en"", ""ja""))"),"製品に割引がある場合、または別のフラッシュ セールに存在する場合、割引はこの割引と期限に置き換えられます。")</f>
        <v>製品に割引がある場合、または別のフラッシュ セールに存在する場合、割引はこの割引と期限に置き換えられます。</v>
      </c>
    </row>
    <row r="2045" ht="15.75" customHeight="1">
      <c r="A2045" s="1" t="s">
        <v>3963</v>
      </c>
      <c r="B2045" s="1" t="s">
        <v>3964</v>
      </c>
      <c r="C2045" s="1" t="str">
        <f>IFERROR(__xludf.DUMMYFUNCTION("CONCATENATE(GOOGLETRANSLATE(B2045, ""en"", ""zh-cn""))"),"离开")</f>
        <v>离开</v>
      </c>
      <c r="D2045" s="1" t="str">
        <f>IFERROR(__xludf.DUMMYFUNCTION("CONCATENATE(GOOGLETRANSLATE(B2045, ""en"", ""ko""))"),"끄다")</f>
        <v>끄다</v>
      </c>
      <c r="E2045" s="2" t="str">
        <f>IFERROR(__xludf.DUMMYFUNCTION("CONCATENATE(GOOGLETRANSLATE(B2045, ""en"", ""ja""))"),"オフ")</f>
        <v>オフ</v>
      </c>
    </row>
    <row r="2046" ht="15.75" customHeight="1">
      <c r="A2046" s="1" t="s">
        <v>3965</v>
      </c>
      <c r="B2046" s="1" t="s">
        <v>3966</v>
      </c>
      <c r="C2046" s="1" t="str">
        <f>IFERROR(__xludf.DUMMYFUNCTION("CONCATENATE(GOOGLETRANSLATE(B2046, ""en"", ""zh-cn""))"),"注册成功。")</f>
        <v>注册成功。</v>
      </c>
      <c r="D2046" s="1" t="str">
        <f>IFERROR(__xludf.DUMMYFUNCTION("CONCATENATE(GOOGLETRANSLATE(B2046, ""en"", ""ko""))"),"등록이 완료되었습니다.")</f>
        <v>등록이 완료되었습니다.</v>
      </c>
      <c r="E2046" s="2" t="str">
        <f>IFERROR(__xludf.DUMMYFUNCTION("CONCATENATE(GOOGLETRANSLATE(B2046, ""en"", ""ja""))"),"登録が成功しました。")</f>
        <v>登録が成功しました。</v>
      </c>
    </row>
    <row r="2047" ht="15.75" customHeight="1">
      <c r="A2047" s="1" t="s">
        <v>3967</v>
      </c>
      <c r="B2047" s="1" t="s">
        <v>3968</v>
      </c>
      <c r="C2047" s="1" t="str">
        <f>IFERROR(__xludf.DUMMYFUNCTION("CONCATENATE(GOOGLETRANSLATE(B2047, ""en"", ""zh-cn""))"),"管理员或客户不能是卖家")</f>
        <v>管理员或客户不能是卖家</v>
      </c>
      <c r="D2047" s="1" t="str">
        <f>IFERROR(__xludf.DUMMYFUNCTION("CONCATENATE(GOOGLETRANSLATE(B2047, ""en"", ""ko""))"),"관리자 또는 고객은 판매자가 될 수 없습니다.")</f>
        <v>관리자 또는 고객은 판매자가 될 수 없습니다.</v>
      </c>
      <c r="E2047" s="2" t="str">
        <f>IFERROR(__xludf.DUMMYFUNCTION("CONCATENATE(GOOGLETRANSLATE(B2047, ""en"", ""ja""))"),"管理者または顧客は販売者になることはできません")</f>
        <v>管理者または顧客は販売者になることはできません</v>
      </c>
    </row>
    <row r="2048" ht="15.75" customHeight="1">
      <c r="A2048" s="1" t="s">
        <v>3969</v>
      </c>
      <c r="B2048" s="1" t="s">
        <v>3970</v>
      </c>
      <c r="C2048" s="1" t="str">
        <f>IFERROR(__xludf.DUMMYFUNCTION("CONCATENATE(GOOGLETRANSLATE(B2048, ""en"", ""zh-cn""))"),"您的店铺已创建成功！")</f>
        <v>您的店铺已创建成功！</v>
      </c>
      <c r="D2048" s="1" t="str">
        <f>IFERROR(__xludf.DUMMYFUNCTION("CONCATENATE(GOOGLETRANSLATE(B2048, ""en"", ""ko""))"),"귀하의 상점이 성공적으로 생성되었습니다!")</f>
        <v>귀하의 상점이 성공적으로 생성되었습니다!</v>
      </c>
      <c r="E2048" s="2" t="str">
        <f>IFERROR(__xludf.DUMMYFUNCTION("CONCATENATE(GOOGLETRANSLATE(B2048, ""en"", ""ja""))"),"ショップが正常に作成されました。")</f>
        <v>ショップが正常に作成されました。</v>
      </c>
    </row>
    <row r="2049" ht="15.75" customHeight="1">
      <c r="A2049" s="1" t="s">
        <v>3971</v>
      </c>
      <c r="B2049" s="1" t="s">
        <v>3972</v>
      </c>
      <c r="C2049" s="1" t="str">
        <f>IFERROR(__xludf.DUMMYFUNCTION("CONCATENATE(GOOGLETRANSLATE(B2049, ""en"", ""zh-cn""))"),"基本会员")</f>
        <v>基本会员</v>
      </c>
      <c r="D2049" s="1" t="str">
        <f>IFERROR(__xludf.DUMMYFUNCTION("CONCATENATE(GOOGLETRANSLATE(B2049, ""en"", ""ko""))"),"기본 제휴")</f>
        <v>기본 제휴</v>
      </c>
      <c r="E2049" s="2" t="str">
        <f>IFERROR(__xludf.DUMMYFUNCTION("CONCATENATE(GOOGLETRANSLATE(B2049, ""en"", ""ja""))"),"基本アフィリエイト")</f>
        <v>基本アフィリエイト</v>
      </c>
    </row>
    <row r="2050" ht="15.75" customHeight="1">
      <c r="A2050" s="1" t="s">
        <v>3973</v>
      </c>
      <c r="B2050" s="1" t="s">
        <v>3974</v>
      </c>
      <c r="C2050" s="1" t="str">
        <f>IFERROR(__xludf.DUMMYFUNCTION("CONCATENATE(GOOGLETRANSLATE(B2050, ""en"", ""zh-cn""))"),"用户注册及首次购买")</f>
        <v>用户注册及首次购买</v>
      </c>
      <c r="D2050" s="1" t="str">
        <f>IFERROR(__xludf.DUMMYFUNCTION("CONCATENATE(GOOGLETRANSLATE(B2050, ""en"", ""ko""))"),"사용자 등록 및 첫 구매")</f>
        <v>사용자 등록 및 첫 구매</v>
      </c>
      <c r="E2050" s="2" t="str">
        <f>IFERROR(__xludf.DUMMYFUNCTION("CONCATENATE(GOOGLETRANSLATE(B2050, ""en"", ""ja""))"),"ユーザー登録と初回購入")</f>
        <v>ユーザー登録と初回購入</v>
      </c>
    </row>
    <row r="2051" ht="15.75" customHeight="1">
      <c r="A2051" s="1" t="s">
        <v>3975</v>
      </c>
      <c r="B2051" s="1" t="s">
        <v>3976</v>
      </c>
      <c r="C2051" s="1" t="str">
        <f>IFERROR(__xludf.DUMMYFUNCTION("CONCATENATE(GOOGLETRANSLATE(B2051, ""en"", ""zh-cn""))"),"产品共享联盟")</f>
        <v>产品共享联盟</v>
      </c>
      <c r="D2051" s="1" t="str">
        <f>IFERROR(__xludf.DUMMYFUNCTION("CONCATENATE(GOOGLETRANSLATE(B2051, ""en"", ""ko""))"),"제품나눔 제휴")</f>
        <v>제품나눔 제휴</v>
      </c>
      <c r="E2051" s="2" t="str">
        <f>IFERROR(__xludf.DUMMYFUNCTION("CONCATENATE(GOOGLETRANSLATE(B2051, ""en"", ""ja""))"),"製品共有アフィリエイト")</f>
        <v>製品共有アフィリエイト</v>
      </c>
    </row>
    <row r="2052" ht="15.75" customHeight="1">
      <c r="A2052" s="1" t="s">
        <v>3977</v>
      </c>
      <c r="B2052" s="1" t="s">
        <v>3978</v>
      </c>
      <c r="C2052" s="1" t="str">
        <f>IFERROR(__xludf.DUMMYFUNCTION("CONCATENATE(GOOGLETRANSLATE(B2052, ""en"", ""zh-cn""))"),"产品分享与购买")</f>
        <v>产品分享与购买</v>
      </c>
      <c r="D2052" s="1" t="str">
        <f>IFERROR(__xludf.DUMMYFUNCTION("CONCATENATE(GOOGLETRANSLATE(B2052, ""en"", ""ko""))"),"제품 공유 및 구매")</f>
        <v>제품 공유 및 구매</v>
      </c>
      <c r="E2052" s="2" t="str">
        <f>IFERROR(__xludf.DUMMYFUNCTION("CONCATENATE(GOOGLETRANSLATE(B2052, ""en"", ""ja""))"),"製品の共有と購入")</f>
        <v>製品の共有と購入</v>
      </c>
    </row>
    <row r="2053" ht="15.75" customHeight="1">
      <c r="A2053" s="1" t="s">
        <v>3979</v>
      </c>
      <c r="B2053" s="1" t="s">
        <v>3980</v>
      </c>
      <c r="C2053" s="1" t="str">
        <f>IFERROR(__xludf.DUMMYFUNCTION("CONCATENATE(GOOGLETRANSLATE(B2053, ""en"", ""zh-cn""))"),"产品共享联盟（按类别）")</f>
        <v>产品共享联盟（按类别）</v>
      </c>
      <c r="D2053" s="1" t="str">
        <f>IFERROR(__xludf.DUMMYFUNCTION("CONCATENATE(GOOGLETRANSLATE(B2053, ""en"", ""ko""))"),"상품나눔 제휴(카테고리 와이즈)")</f>
        <v>상품나눔 제휴(카테고리 와이즈)</v>
      </c>
      <c r="E2053" s="2" t="str">
        <f>IFERROR(__xludf.DUMMYFUNCTION("CONCATENATE(GOOGLETRANSLATE(B2053, ""en"", ""ja""))"),"製品共有アフィリエイト (カテゴリ別)")</f>
        <v>製品共有アフィリエイト (カテゴリ別)</v>
      </c>
    </row>
    <row r="2054" ht="15.75" customHeight="1">
      <c r="A2054" s="1" t="s">
        <v>3981</v>
      </c>
      <c r="B2054" s="1" t="s">
        <v>3982</v>
      </c>
      <c r="C2054" s="1" t="str">
        <f>IFERROR(__xludf.DUMMYFUNCTION("CONCATENATE(GOOGLETRANSLATE(B2054, ""en"", ""zh-cn""))"),"N:B：您不能同时启用单一产品共享联盟和类别明智联盟。")</f>
        <v>N:B：您不能同时启用单一产品共享联盟和类别明智联盟。</v>
      </c>
      <c r="D2054" s="1" t="str">
        <f>IFERROR(__xludf.DUMMYFUNCTION("CONCATENATE(GOOGLETRANSLATE(B2054, ""en"", ""ko""))"),"참고: 단일 제품 공유 제휴 및 Category Wise 제휴를 한 번에 활성화할 수 없습니다.")</f>
        <v>참고: 단일 제품 공유 제휴 및 Category Wise 제휴를 한 번에 활성화할 수 없습니다.</v>
      </c>
      <c r="E2054" s="2" t="str">
        <f>IFERROR(__xludf.DUMMYFUNCTION("CONCATENATE(GOOGLETRANSLATE(B2054, ""en"", ""ja""))"),"N:B: 単一製品共有アフィリエイトとカテゴリ別アフィリエイトを同時に有効にすることはできません。")</f>
        <v>N:B: 単一製品共有アフィリエイトとカテゴリ別アフィリエイトを同時に有効にすることはできません。</v>
      </c>
    </row>
    <row r="2055" ht="15.75" customHeight="1">
      <c r="A2055" s="1" t="s">
        <v>3983</v>
      </c>
      <c r="B2055" s="1" t="s">
        <v>3984</v>
      </c>
      <c r="C2055" s="1" t="str">
        <f>IFERROR(__xludf.DUMMYFUNCTION("CONCATENATE(GOOGLETRANSLATE(B2055, ""en"", ""zh-cn""))"),"联盟链接验证时间（天）")</f>
        <v>联盟链接验证时间（天）</v>
      </c>
      <c r="D2055" s="1" t="str">
        <f>IFERROR(__xludf.DUMMYFUNCTION("CONCATENATE(GOOGLETRANSLATE(B2055, ""en"", ""ko""))"),"제휴 링크 검증 시간(일)")</f>
        <v>제휴 링크 검증 시간(일)</v>
      </c>
      <c r="E2055" s="2" t="str">
        <f>IFERROR(__xludf.DUMMYFUNCTION("CONCATENATE(GOOGLETRANSLATE(B2055, ""en"", ""ja""))"),"アフィリエイト リンクの検証時間 (日)")</f>
        <v>アフィリエイト リンクの検証時間 (日)</v>
      </c>
    </row>
    <row r="2056" ht="15.75" customHeight="1">
      <c r="A2056" s="1" t="s">
        <v>3985</v>
      </c>
      <c r="B2056" s="1" t="s">
        <v>3986</v>
      </c>
      <c r="C2056" s="1" t="str">
        <f>IFERROR(__xludf.DUMMYFUNCTION("CONCATENATE(GOOGLETRANSLATE(B2056, ""en"", ""zh-cn""))"),"验证时间")</f>
        <v>验证时间</v>
      </c>
      <c r="D2056" s="1" t="str">
        <f>IFERROR(__xludf.DUMMYFUNCTION("CONCATENATE(GOOGLETRANSLATE(B2056, ""en"", ""ko""))"),"검증 시간")</f>
        <v>검증 시간</v>
      </c>
      <c r="E2056" s="2" t="str">
        <f>IFERROR(__xludf.DUMMYFUNCTION("CONCATENATE(GOOGLETRANSLATE(B2056, ""en"", ""ja""))"),"検証時間")</f>
        <v>検証時間</v>
      </c>
    </row>
    <row r="2057" ht="15.75" customHeight="1">
      <c r="A2057" s="1" t="s">
        <v>3987</v>
      </c>
      <c r="B2057" s="1" t="s">
        <v>3988</v>
      </c>
      <c r="C2057" s="1" t="str">
        <f>IFERROR(__xludf.DUMMYFUNCTION("CONCATENATE(GOOGLETRANSLATE(B2057, ""en"", ""zh-cn""))"),"您的验证请求已成功提交！")</f>
        <v>您的验证请求已成功提交！</v>
      </c>
      <c r="D2057" s="1" t="str">
        <f>IFERROR(__xludf.DUMMYFUNCTION("CONCATENATE(GOOGLETRANSLATE(B2057, ""en"", ""ko""))"),"귀하의 확인 요청이 성공적으로 제출되었습니다!")</f>
        <v>귀하의 확인 요청이 성공적으로 제출되었습니다!</v>
      </c>
      <c r="E2057" s="2" t="str">
        <f>IFERROR(__xludf.DUMMYFUNCTION("CONCATENATE(GOOGLETRANSLATE(B2057, ""en"", ""ja""))"),"確認リクエストは正常に送信されました。")</f>
        <v>確認リクエストは正常に送信されました。</v>
      </c>
    </row>
    <row r="2058" ht="15.75" customHeight="1">
      <c r="A2058" s="1" t="s">
        <v>3989</v>
      </c>
      <c r="B2058" s="1" t="s">
        <v>3990</v>
      </c>
      <c r="C2058" s="1" t="str">
        <f>IFERROR(__xludf.DUMMYFUNCTION("CONCATENATE(GOOGLETRANSLATE(B2058, ""en"", ""zh-cn""))"),"联盟用户已成功批准")</f>
        <v>联盟用户已成功批准</v>
      </c>
      <c r="D2058" s="1" t="str">
        <f>IFERROR(__xludf.DUMMYFUNCTION("CONCATENATE(GOOGLETRANSLATE(B2058, ""en"", ""ko""))"),"제휴 사용자가 성공적으로 승인되었습니다")</f>
        <v>제휴 사용자가 성공적으로 승인되었습니다</v>
      </c>
      <c r="E2058" s="2" t="str">
        <f>IFERROR(__xludf.DUMMYFUNCTION("CONCATENATE(GOOGLETRANSLATE(B2058, ""en"", ""ja""))"),"アフィリエイトユーザーが正常に承認されました")</f>
        <v>アフィリエイトユーザーが正常に承認されました</v>
      </c>
    </row>
    <row r="2059" ht="15.75" customHeight="1">
      <c r="A2059" s="1" t="s">
        <v>3991</v>
      </c>
      <c r="B2059" s="1" t="s">
        <v>3992</v>
      </c>
      <c r="C2059" s="1" t="str">
        <f>IFERROR(__xludf.DUMMYFUNCTION("CONCATENATE(GOOGLETRANSLATE(B2059, ""en"", ""zh-cn""))"),"您已经是会员用户了！")</f>
        <v>您已经是会员用户了！</v>
      </c>
      <c r="D2059" s="1" t="str">
        <f>IFERROR(__xludf.DUMMYFUNCTION("CONCATENATE(GOOGLETRANSLATE(B2059, ""en"", ""ko""))"),"당신은 이미 제휴 사용자입니다!")</f>
        <v>당신은 이미 제휴 사용자입니다!</v>
      </c>
      <c r="E2059" s="2" t="str">
        <f>IFERROR(__xludf.DUMMYFUNCTION("CONCATENATE(GOOGLETRANSLATE(B2059, ""en"", ""ja""))"),"あなたはすでにアフィリエイト ユーザーです。")</f>
        <v>あなたはすでにアフィリエイト ユーザーです。</v>
      </c>
    </row>
    <row r="2060" ht="15.75" customHeight="1">
      <c r="A2060" s="1" t="s">
        <v>3993</v>
      </c>
      <c r="B2060" s="1" t="s">
        <v>3994</v>
      </c>
      <c r="C2060" s="1" t="str">
        <f>IFERROR(__xludf.DUMMYFUNCTION("CONCATENATE(GOOGLETRANSLATE(B2060, ""en"", ""zh-cn""))"),"语言已成功删除")</f>
        <v>语言已成功删除</v>
      </c>
      <c r="D2060" s="1" t="str">
        <f>IFERROR(__xludf.DUMMYFUNCTION("CONCATENATE(GOOGLETRANSLATE(B2060, ""en"", ""ko""))"),"언어가 삭제되었습니다.")</f>
        <v>언어가 삭제되었습니다.</v>
      </c>
      <c r="E2060" s="2" t="str">
        <f>IFERROR(__xludf.DUMMYFUNCTION("CONCATENATE(GOOGLETRANSLATE(B2060, ""en"", ""ja""))"),"言語は正常に削除されました")</f>
        <v>言語は正常に削除されました</v>
      </c>
    </row>
    <row r="2061" ht="15.75" customHeight="1">
      <c r="A2061" s="1" t="s">
        <v>3995</v>
      </c>
      <c r="B2061" s="1" t="s">
        <v>3996</v>
      </c>
      <c r="C2061" s="1" t="str">
        <f>IFERROR(__xludf.DUMMYFUNCTION("CONCATENATE(GOOGLETRANSLATE(B2061, ""en"", ""zh-cn""))"),"内容..")</f>
        <v>内容..</v>
      </c>
      <c r="D2061" s="1" t="str">
        <f>IFERROR(__xludf.DUMMYFUNCTION("CONCATENATE(GOOGLETRANSLATE(B2061, ""en"", ""ko""))"),"콘텐츠..")</f>
        <v>콘텐츠..</v>
      </c>
      <c r="E2061" s="2" t="str">
        <f>IFERROR(__xludf.DUMMYFUNCTION("CONCATENATE(GOOGLETRANSLATE(B2061, ""en"", ""ja""))"),"コンテンツ..")</f>
        <v>コンテンツ..</v>
      </c>
    </row>
    <row r="2062" ht="15.75" customHeight="1">
      <c r="A2062" s="1" t="s">
        <v>3997</v>
      </c>
      <c r="B2062" s="1" t="s">
        <v>3998</v>
      </c>
      <c r="C2062" s="1" t="str">
        <f>IFERROR(__xludf.DUMMYFUNCTION("CONCATENATE(GOOGLETRANSLATE(B2062, ""en"", ""zh-cn""))"),"页面已更新成功")</f>
        <v>页面已更新成功</v>
      </c>
      <c r="D2062" s="1" t="str">
        <f>IFERROR(__xludf.DUMMYFUNCTION("CONCATENATE(GOOGLETRANSLATE(B2062, ""en"", ""ko""))"),"페이지가 성공적으로 업데이트되었습니다.")</f>
        <v>페이지가 성공적으로 업데이트되었습니다.</v>
      </c>
      <c r="E2062" s="2" t="str">
        <f>IFERROR(__xludf.DUMMYFUNCTION("CONCATENATE(GOOGLETRANSLATE(B2062, ""en"", ""ja""))"),"ページは正常に更新されました")</f>
        <v>ページは正常に更新されました</v>
      </c>
    </row>
    <row r="2063" ht="15.75" customHeight="1">
      <c r="A2063" s="1" t="s">
        <v>3999</v>
      </c>
      <c r="B2063" s="1" t="s">
        <v>4000</v>
      </c>
      <c r="C2063" s="1" t="str">
        <f>IFERROR(__xludf.DUMMYFUNCTION("CONCATENATE(GOOGLETRANSLATE(B2063, ""en"", ""zh-cn""))"),"从qq49528887下载最新版本。")</f>
        <v>从qq49528887下载最新版本。</v>
      </c>
      <c r="D2063" s="1" t="str">
        <f>IFERROR(__xludf.DUMMYFUNCTION("CONCATENATE(GOOGLETRANSLATE(B2063, ""en"", ""ko""))"),"qq49528887에서 최신 버전을 다운로드하세요.")</f>
        <v>qq49528887에서 최신 버전을 다운로드하세요.</v>
      </c>
      <c r="E2063" s="2" t="str">
        <f>IFERROR(__xludf.DUMMYFUNCTION("CONCATENATE(GOOGLETRANSLATE(B2063, ""en"", ""ja""))"),"最新バージョンを qq49528887 からダウンロードします。")</f>
        <v>最新バージョンを qq49528887 からダウンロードします。</v>
      </c>
    </row>
    <row r="2064" ht="15.75" customHeight="1">
      <c r="A2064" s="1" t="s">
        <v>4001</v>
      </c>
      <c r="B2064" s="1" t="s">
        <v>4002</v>
      </c>
      <c r="C2064" s="1" t="str">
        <f>IFERROR(__xludf.DUMMYFUNCTION("CONCATENATE(GOOGLETRANSLATE(B2064, ""en"", ""zh-cn""))"),"联系qq49528887获取最新版本。")</f>
        <v>联系qq49528887获取最新版本。</v>
      </c>
      <c r="D2064" s="1" t="str">
        <f>IFERROR(__xludf.DUMMYFUNCTION("CONCATENATE(GOOGLETRANSLATE(B2064, ""en"", ""ko""))"),"최신 버전은 qq49528887에 문의하세요.")</f>
        <v>최신 버전은 qq49528887에 문의하세요.</v>
      </c>
      <c r="E2064" s="2" t="str">
        <f>IFERROR(__xludf.DUMMYFUNCTION("CONCATENATE(GOOGLETRANSLATE(B2064, ""en"", ""ja""))"),"最新バージョンについては、qq49528887 にお問い合わせください。")</f>
        <v>最新バージョンについては、qq49528887 にお問い合わせください。</v>
      </c>
    </row>
    <row r="2065" ht="15.75" customHeight="1">
      <c r="A2065" s="1" t="s">
        <v>4003</v>
      </c>
      <c r="B2065" s="1" t="s">
        <v>4004</v>
      </c>
      <c r="C2065" s="1" t="str">
        <f>IFERROR(__xludf.DUMMYFUNCTION("CONCATENATE(GOOGLETRANSLATE(B2065, ""en"", ""zh-cn""))"),"联系qq49528887获取最新版本。")</f>
        <v>联系qq49528887获取最新版本。</v>
      </c>
      <c r="D2065" s="1" t="str">
        <f>IFERROR(__xludf.DUMMYFUNCTION("CONCATENATE(GOOGLETRANSLATE(B2065, ""en"", ""ko""))"),"联系qq49528887获取最新版本.")</f>
        <v>联系qq49528887获取最新版本.</v>
      </c>
      <c r="E2065" s="2" t="str">
        <f>IFERROR(__xludf.DUMMYFUNCTION("CONCATENATE(GOOGLETRANSLATE(B2065, ""en"", ""ja""))"),"联系qq49528887获取最新版。")</f>
        <v>联系qq49528887获取最新版。</v>
      </c>
    </row>
    <row r="2066" ht="15.75" customHeight="1">
      <c r="A2066" s="1" t="s">
        <v>4005</v>
      </c>
      <c r="B2066" s="1" t="s">
        <v>4006</v>
      </c>
      <c r="C2066" s="1" t="str">
        <f>IFERROR(__xludf.DUMMYFUNCTION("CONCATENATE(GOOGLETRANSLATE(B2066, ""en"", ""zh-cn""))"),"对不起！密码不匹配。")</f>
        <v>对不起！密码不匹配。</v>
      </c>
      <c r="D2066" s="1" t="str">
        <f>IFERROR(__xludf.DUMMYFUNCTION("CONCATENATE(GOOGLETRANSLATE(B2066, ""en"", ""ko""))"),"죄송합니다! 비밀번호가 일치하지 않습니다.")</f>
        <v>죄송합니다! 비밀번호가 일치하지 않습니다.</v>
      </c>
      <c r="E2066" s="2" t="str">
        <f>IFERROR(__xludf.DUMMYFUNCTION("CONCATENATE(GOOGLETRANSLATE(B2066, ""en"", ""ja""))"),"ごめん！パスワードが一致しませんでした。")</f>
        <v>ごめん！パスワードが一致しませんでした。</v>
      </c>
    </row>
    <row r="2067" ht="15.75" customHeight="1">
      <c r="A2067" s="1" t="s">
        <v>4007</v>
      </c>
      <c r="B2067" s="1" t="s">
        <v>4008</v>
      </c>
      <c r="C2067" s="1" t="str">
        <f>IFERROR(__xludf.DUMMYFUNCTION("CONCATENATE(GOOGLETRANSLATE(B2067, ""en"", ""zh-cn""))"),"卖家已成功更新")</f>
        <v>卖家已成功更新</v>
      </c>
      <c r="D2067" s="1" t="str">
        <f>IFERROR(__xludf.DUMMYFUNCTION("CONCATENATE(GOOGLETRANSLATE(B2067, ""en"", ""ko""))"),"판매자가 성공적으로 업데이트되었습니다.")</f>
        <v>판매자가 성공적으로 업데이트되었습니다.</v>
      </c>
      <c r="E2067" s="2" t="str">
        <f>IFERROR(__xludf.DUMMYFUNCTION("CONCATENATE(GOOGLETRANSLATE(B2067, ""en"", ""ja""))"),"販売者は正常に更新されました")</f>
        <v>販売者は正常に更新されました</v>
      </c>
    </row>
    <row r="2068" ht="15.75" customHeight="1">
      <c r="A2068" s="1" t="s">
        <v>4009</v>
      </c>
      <c r="B2068" s="1" t="s">
        <v>4010</v>
      </c>
      <c r="C2068" s="1" t="str">
        <f>IFERROR(__xludf.DUMMYFUNCTION("CONCATENATE(GOOGLETRANSLATE(B2068, ""en"", ""zh-cn""))"),"产品缺货")</f>
        <v>产品缺货</v>
      </c>
      <c r="D2068" s="1" t="str">
        <f>IFERROR(__xludf.DUMMYFUNCTION("CONCATENATE(GOOGLETRANSLATE(B2068, ""en"", ""ko""))"),"제품을 사용할 수 없음")</f>
        <v>제품을 사용할 수 없음</v>
      </c>
      <c r="E2068" s="2" t="str">
        <f>IFERROR(__xludf.DUMMYFUNCTION("CONCATENATE(GOOGLETRANSLATE(B2068, ""en"", ""ja""))"),"製品が利用できません")</f>
        <v>製品が利用できません</v>
      </c>
    </row>
    <row r="2069" ht="15.75" customHeight="1">
      <c r="A2069" s="1" t="s">
        <v>4011</v>
      </c>
      <c r="B2069" s="1" t="s">
        <v>4012</v>
      </c>
      <c r="C2069" s="1" t="str">
        <f>IFERROR(__xludf.DUMMYFUNCTION("CONCATENATE(GOOGLETRANSLATE(B2069, ""en"", ""zh-cn""))"),"线下支付已完成。请等待回复。")</f>
        <v>线下支付已完成。请等待回复。</v>
      </c>
      <c r="D2069" s="1" t="str">
        <f>IFERROR(__xludf.DUMMYFUNCTION("CONCATENATE(GOOGLETRANSLATE(B2069, ""en"", ""ko""))"),"오프라인 결제가 완료되었습니다. 응답을 기다려 주십시오.")</f>
        <v>오프라인 결제가 완료되었습니다. 응답을 기다려 주십시오.</v>
      </c>
      <c r="E2069" s="2" t="str">
        <f>IFERROR(__xludf.DUMMYFUNCTION("CONCATENATE(GOOGLETRANSLATE(B2069, ""en"", ""ja""))"),"オフライン決済が完了しました。返答をお待ちください。")</f>
        <v>オフライン決済が完了しました。返答をお待ちください。</v>
      </c>
    </row>
    <row r="2070" ht="15.75" customHeight="1">
      <c r="A2070" s="1" t="s">
        <v>4013</v>
      </c>
      <c r="B2070" s="1" t="s">
        <v>4014</v>
      </c>
      <c r="C2070" s="1" t="str">
        <f>IFERROR(__xludf.DUMMYFUNCTION("CONCATENATE(GOOGLETRANSLATE(B2070, ""en"", ""zh-cn""))"),"该卖家没有可用的付款历史记录")</f>
        <v>该卖家没有可用的付款历史记录</v>
      </c>
      <c r="D2070" s="1" t="str">
        <f>IFERROR(__xludf.DUMMYFUNCTION("CONCATENATE(GOOGLETRANSLATE(B2070, ""en"", ""ko""))"),"이 판매자에 대한 결제 내역이 없습니다.")</f>
        <v>이 판매자에 대한 결제 내역이 없습니다.</v>
      </c>
      <c r="E2070" s="2" t="str">
        <f>IFERROR(__xludf.DUMMYFUNCTION("CONCATENATE(GOOGLETRANSLATE(B2070, ""en"", ""ja""))"),"この販売者には支払い履歴がありません")</f>
        <v>この販売者には支払い履歴がありません</v>
      </c>
    </row>
    <row r="2071" ht="15.75" customHeight="1">
      <c r="A2071" s="1" t="s">
        <v>4015</v>
      </c>
      <c r="B2071" s="1" t="s">
        <v>4016</v>
      </c>
      <c r="C2071" s="1" t="str">
        <f>IFERROR(__xludf.DUMMYFUNCTION("CONCATENATE(GOOGLETRANSLATE(B2071, ""en"", ""zh-cn""))"),"打开收据")</f>
        <v>打开收据</v>
      </c>
      <c r="D2071" s="1" t="str">
        <f>IFERROR(__xludf.DUMMYFUNCTION("CONCATENATE(GOOGLETRANSLATE(B2071, ""en"", ""ko""))"),"오픈 영수증")</f>
        <v>오픈 영수증</v>
      </c>
      <c r="E2071" s="2" t="str">
        <f>IFERROR(__xludf.DUMMYFUNCTION("CONCATENATE(GOOGLETRANSLATE(B2071, ""en"", ""ja""))"),"オープンレセプト")</f>
        <v>オープンレセプト</v>
      </c>
    </row>
    <row r="2072" ht="15.75" customHeight="1">
      <c r="A2072" s="1" t="s">
        <v>4017</v>
      </c>
      <c r="B2072" s="1" t="s">
        <v>4018</v>
      </c>
      <c r="C2072" s="1" t="str">
        <f>IFERROR(__xludf.DUMMYFUNCTION("CONCATENATE(GOOGLETRANSLATE(B2072, ""en"", ""zh-cn""))"),"拒绝")</f>
        <v>拒绝</v>
      </c>
      <c r="D2072" s="1" t="str">
        <f>IFERROR(__xludf.DUMMYFUNCTION("CONCATENATE(GOOGLETRANSLATE(B2072, ""en"", ""ko""))"),"거절하다")</f>
        <v>거절하다</v>
      </c>
      <c r="E2072" s="2" t="str">
        <f>IFERROR(__xludf.DUMMYFUNCTION("CONCATENATE(GOOGLETRANSLATE(B2072, ""en"", ""ja""))"),"拒否する")</f>
        <v>拒否する</v>
      </c>
    </row>
    <row r="2073" ht="15.75" customHeight="1">
      <c r="A2073" s="1" t="s">
        <v>4019</v>
      </c>
      <c r="B2073" s="1" t="s">
        <v>4020</v>
      </c>
      <c r="C2073" s="1" t="str">
        <f>IFERROR(__xludf.DUMMYFUNCTION("CONCATENATE(GOOGLETRANSLATE(B2073, ""en"", ""zh-cn""))"),"抱歉，您正在处理提款申请")</f>
        <v>抱歉，您正在处理提款申请</v>
      </c>
      <c r="D2073" s="1" t="str">
        <f>IFERROR(__xludf.DUMMYFUNCTION("CONCATENATE(GOOGLETRANSLATE(B2073, ""en"", ""ko""))"),"죄송합니다. 탈퇴 신청이 진행 중입니다.")</f>
        <v>죄송합니다. 탈퇴 신청이 진행 중입니다.</v>
      </c>
      <c r="E2073" s="2" t="str">
        <f>IFERROR(__xludf.DUMMYFUNCTION("CONCATENATE(GOOGLETRANSLATE(B2073, ""en"", ""ja""))"),"申し訳ありませんが、出金申請が進行中です")</f>
        <v>申し訳ありませんが、出金申請が進行中です</v>
      </c>
    </row>
    <row r="2074" ht="15.75" customHeight="1">
      <c r="A2074" s="1" t="s">
        <v>4021</v>
      </c>
      <c r="B2074" s="1" t="s">
        <v>4022</v>
      </c>
      <c r="C2074" s="1" t="str">
        <f>IFERROR(__xludf.DUMMYFUNCTION("CONCATENATE(GOOGLETRANSLATE(B2074, ""en"", ""zh-cn""))")," 已确认")</f>
        <v> 已确认</v>
      </c>
      <c r="D2074" s="1" t="str">
        <f>IFERROR(__xludf.DUMMYFUNCTION("CONCATENATE(GOOGLETRANSLATE(B2074, ""en"", ""ko""))")," 확인되었습니다")</f>
        <v> 확인되었습니다</v>
      </c>
      <c r="E2074" s="2" t="str">
        <f>IFERROR(__xludf.DUMMYFUNCTION("CONCATENATE(GOOGLETRANSLATE(B2074, ""en"", ""ja""))")," 確認されました")</f>
        <v> 確認されました</v>
      </c>
    </row>
    <row r="2075" ht="15.75" customHeight="1">
      <c r="A2075" s="1" t="s">
        <v>4023</v>
      </c>
      <c r="B2075" s="1" t="s">
        <v>4024</v>
      </c>
      <c r="C2075" s="1" t="str">
        <f>IFERROR(__xludf.DUMMYFUNCTION("CONCATENATE(GOOGLETRANSLATE(B2075, ""en"", ""zh-cn""))")," 已交付")</f>
        <v> 已交付</v>
      </c>
      <c r="D2075" s="1" t="str">
        <f>IFERROR(__xludf.DUMMYFUNCTION("CONCATENATE(GOOGLETRANSLATE(B2075, ""en"", ""ko""))")," 배달되었습니다")</f>
        <v> 배달되었습니다</v>
      </c>
      <c r="E2075" s="2" t="str">
        <f>IFERROR(__xludf.DUMMYFUNCTION("CONCATENATE(GOOGLETRANSLATE(B2075, ""en"", ""ja""))")," 配達されました")</f>
        <v> 配達されました</v>
      </c>
    </row>
    <row r="2076" ht="15.75" customHeight="1">
      <c r="A2076" s="1" t="s">
        <v>4025</v>
      </c>
      <c r="B2076" s="1" t="s">
        <v>4026</v>
      </c>
      <c r="C2076" s="1" t="str">
        <f>IFERROR(__xludf.DUMMYFUNCTION("CONCATENATE(GOOGLETRANSLATE(B2076, ""en"", ""zh-cn""))"),"订单已删除")</f>
        <v>订单已删除</v>
      </c>
      <c r="D2076" s="1" t="str">
        <f>IFERROR(__xludf.DUMMYFUNCTION("CONCATENATE(GOOGLETRANSLATE(B2076, ""en"", ""ko""))"),"주문이 삭제되었습니다.")</f>
        <v>주문이 삭제되었습니다.</v>
      </c>
      <c r="E2076" s="2" t="str">
        <f>IFERROR(__xludf.DUMMYFUNCTION("CONCATENATE(GOOGLETRANSLATE(B2076, ""en"", ""ja""))"),"注文が削除されました")</f>
        <v>注文が削除されました</v>
      </c>
    </row>
    <row r="2077" ht="15.75" customHeight="1">
      <c r="A2077" s="1" t="s">
        <v>4027</v>
      </c>
      <c r="B2077" s="1" t="s">
        <v>4028</v>
      </c>
      <c r="C2077" s="1" t="str">
        <f>IFERROR(__xludf.DUMMYFUNCTION("CONCATENATE(GOOGLETRANSLATE(B2077, ""en"", ""zh-cn""))"),"该用户已经是卖家")</f>
        <v>该用户已经是卖家</v>
      </c>
      <c r="D2077" s="1" t="str">
        <f>IFERROR(__xludf.DUMMYFUNCTION("CONCATENATE(GOOGLETRANSLATE(B2077, ""en"", ""ko""))"),"이 사용자는 이미 판매자입니다.")</f>
        <v>이 사용자는 이미 판매자입니다.</v>
      </c>
      <c r="E2077" s="2" t="str">
        <f>IFERROR(__xludf.DUMMYFUNCTION("CONCATENATE(GOOGLETRANSLATE(B2077, ""en"", ""ja""))"),"このユーザーはすでに販売者です")</f>
        <v>このユーザーはすでに販売者です</v>
      </c>
    </row>
    <row r="2078" ht="15.75" customHeight="1">
      <c r="A2078" s="1" t="s">
        <v>4029</v>
      </c>
      <c r="B2078" s="1" t="s">
        <v>4030</v>
      </c>
      <c r="C2078" s="1" t="str">
        <f>IFERROR(__xludf.DUMMYFUNCTION("CONCATENATE(GOOGLETRANSLATE(B2078, ""en"", ""zh-cn""))"),"身份证正面")</f>
        <v>身份证正面</v>
      </c>
      <c r="D2078" s="1" t="str">
        <f>IFERROR(__xludf.DUMMYFUNCTION("CONCATENATE(GOOGLETRANSLATE(B2078, ""en"", ""ko""))"),"신분증 앞면")</f>
        <v>신분증 앞면</v>
      </c>
      <c r="E2078" s="2" t="str">
        <f>IFERROR(__xludf.DUMMYFUNCTION("CONCATENATE(GOOGLETRANSLATE(B2078, ""en"", ""ja""))"),"身分証明書の表面")</f>
        <v>身分証明書の表面</v>
      </c>
    </row>
    <row r="2079" ht="15.75" customHeight="1">
      <c r="A2079" s="1" t="s">
        <v>4031</v>
      </c>
      <c r="B2079" s="1" t="s">
        <v>4032</v>
      </c>
      <c r="C2079" s="1" t="str">
        <f>IFERROR(__xludf.DUMMYFUNCTION("CONCATENATE(GOOGLETRANSLATE(B2079, ""en"", ""zh-cn""))"),"身份证背面")</f>
        <v>身份证背面</v>
      </c>
      <c r="D2079" s="1" t="str">
        <f>IFERROR(__xludf.DUMMYFUNCTION("CONCATENATE(GOOGLETRANSLATE(B2079, ""en"", ""ko""))"),"신분증 뒷면")</f>
        <v>신분증 뒷면</v>
      </c>
      <c r="E2079" s="2" t="str">
        <f>IFERROR(__xludf.DUMMYFUNCTION("CONCATENATE(GOOGLETRANSLATE(B2079, ""en"", ""ja""))"),"身分証明書の裏面")</f>
        <v>身分証明書の裏面</v>
      </c>
    </row>
    <row r="2080" ht="15.75" customHeight="1">
      <c r="A2080" s="1" t="s">
        <v>4033</v>
      </c>
      <c r="B2080" s="1" t="s">
        <v>4034</v>
      </c>
      <c r="C2080" s="1" t="str">
        <f>IFERROR(__xludf.DUMMYFUNCTION("CONCATENATE(GOOGLETRANSLATE(B2080, ""en"", ""zh-cn""))"),"电子邮件或电话已存在。")</f>
        <v>电子邮件或电话已存在。</v>
      </c>
      <c r="D2080" s="1" t="str">
        <f>IFERROR(__xludf.DUMMYFUNCTION("CONCATENATE(GOOGLETRANSLATE(B2080, ""en"", ""ko""))"),"이메일 또는 전화번호가 이미 존재합니다.")</f>
        <v>이메일 또는 전화번호가 이미 존재합니다.</v>
      </c>
      <c r="E2080" s="2" t="str">
        <f>IFERROR(__xludf.DUMMYFUNCTION("CONCATENATE(GOOGLETRANSLATE(B2080, ""en"", ""ja""))"),"電子メールまたは電話はすでに存在します。")</f>
        <v>電子メールまたは電話はすでに存在します。</v>
      </c>
    </row>
    <row r="2081" ht="15.75" customHeight="1">
      <c r="A2081" s="1" t="s">
        <v>4035</v>
      </c>
      <c r="B2081" s="1" t="s">
        <v>4036</v>
      </c>
      <c r="C2081" s="1" t="str">
        <f>IFERROR(__xludf.DUMMYFUNCTION("CONCATENATE(GOOGLETRANSLATE(B2081, ""en"", ""zh-cn""))"),"还没有添加任何东西")</f>
        <v>还没有添加任何东西</v>
      </c>
      <c r="D2081" s="1" t="str">
        <f>IFERROR(__xludf.DUMMYFUNCTION("CONCATENATE(GOOGLETRANSLATE(B2081, ""en"", ""ko""))"),"아직 추가된 내용이 없습니다.")</f>
        <v>아직 추가된 내용이 없습니다.</v>
      </c>
      <c r="E2081" s="2" t="str">
        <f>IFERROR(__xludf.DUMMYFUNCTION("CONCATENATE(GOOGLETRANSLATE(B2081, ""en"", ""ja""))"),"まだ何も追加されていません")</f>
        <v>まだ何も追加されていません</v>
      </c>
    </row>
    <row r="2082" ht="15.75" customHeight="1">
      <c r="A2082" s="1" t="s">
        <v>4037</v>
      </c>
      <c r="B2082" s="1" t="s">
        <v>4038</v>
      </c>
      <c r="C2082" s="1" t="str">
        <f>IFERROR(__xludf.DUMMYFUNCTION("CONCATENATE(GOOGLETRANSLATE(B2082, ""en"", ""zh-cn""))"),"身份证正面不允许为空！")</f>
        <v>身份证正面不允许为空！</v>
      </c>
      <c r="D2082" s="1" t="str">
        <f>IFERROR(__xludf.DUMMYFUNCTION("CONCATENATE(GOOGLETRANSLATE(B2082, ""en"", ""ko""))"),"신분증 앞면은 비워둘 수 없습니다!")</f>
        <v>신분증 앞면은 비워둘 수 없습니다!</v>
      </c>
      <c r="E2082" s="2" t="str">
        <f>IFERROR(__xludf.DUMMYFUNCTION("CONCATENATE(GOOGLETRANSLATE(B2082, ""en"", ""ja""))"),"身分証明書の前面を空にすることはできません!")</f>
        <v>身分証明書の前面を空にすることはできません!</v>
      </c>
    </row>
    <row r="2083" ht="15.75" customHeight="1">
      <c r="A2083" s="1" t="s">
        <v>4039</v>
      </c>
      <c r="B2083" s="1" t="s">
        <v>4040</v>
      </c>
      <c r="C2083" s="1" t="str">
        <f>IFERROR(__xludf.DUMMYFUNCTION("CONCATENATE(GOOGLETRANSLATE(B2083, ""en"", ""zh-cn""))"),"客户已删除成功")</f>
        <v>客户已删除成功</v>
      </c>
      <c r="D2083" s="1" t="str">
        <f>IFERROR(__xludf.DUMMYFUNCTION("CONCATENATE(GOOGLETRANSLATE(B2083, ""en"", ""ko""))"),"고객이 성공적으로 삭제되었습니다.")</f>
        <v>고객이 성공적으로 삭제되었습니다.</v>
      </c>
      <c r="E2083" s="2" t="str">
        <f>IFERROR(__xludf.DUMMYFUNCTION("CONCATENATE(GOOGLETRANSLATE(B2083, ""en"", ""ja""))"),"顧客は正常に削除されました")</f>
        <v>顧客は正常に削除されました</v>
      </c>
    </row>
    <row r="2084" ht="15.75" customHeight="1">
      <c r="A2084" s="1" t="s">
        <v>4041</v>
      </c>
      <c r="B2084" s="1" t="s">
        <v>4042</v>
      </c>
      <c r="C2084" s="1" t="str">
        <f>IFERROR(__xludf.DUMMYFUNCTION("CONCATENATE(GOOGLETRANSLATE(B2084, ""en"", ""zh-cn""))"),"操作员")</f>
        <v>操作员</v>
      </c>
      <c r="D2084" s="1" t="str">
        <f>IFERROR(__xludf.DUMMYFUNCTION("CONCATENATE(GOOGLETRANSLATE(B2084, ""en"", ""ko""))"),"연산자")</f>
        <v>연산자</v>
      </c>
      <c r="E2084" s="2" t="str">
        <f>IFERROR(__xludf.DUMMYFUNCTION("CONCATENATE(GOOGLETRANSLATE(B2084, ""en"", ""ja""))"),"オペレーター")</f>
        <v>オペレーター</v>
      </c>
    </row>
    <row r="2085" ht="15.75" customHeight="1">
      <c r="A2085" s="1" t="s">
        <v>4043</v>
      </c>
      <c r="B2085" s="1" t="s">
        <v>4044</v>
      </c>
      <c r="C2085" s="1" t="str">
        <f>IFERROR(__xludf.DUMMYFUNCTION("CONCATENATE(GOOGLETRANSLATE(B2085, ""en"", ""zh-cn""))"),"文件名")</f>
        <v>文件名</v>
      </c>
      <c r="D2085" s="1" t="str">
        <f>IFERROR(__xludf.DUMMYFUNCTION("CONCATENATE(GOOGLETRANSLATE(B2085, ""en"", ""ko""))"),"파일 이름")</f>
        <v>파일 이름</v>
      </c>
      <c r="E2085" s="2" t="str">
        <f>IFERROR(__xludf.DUMMYFUNCTION("CONCATENATE(GOOGLETRANSLATE(B2085, ""en"", ""ja""))"),"ファイル名")</f>
        <v>ファイル名</v>
      </c>
    </row>
    <row r="2086" ht="15.75" customHeight="1">
      <c r="A2086" s="1" t="s">
        <v>4045</v>
      </c>
      <c r="B2086" s="1" t="s">
        <v>4046</v>
      </c>
      <c r="C2086" s="1" t="str">
        <f>IFERROR(__xludf.DUMMYFUNCTION("CONCATENATE(GOOGLETRANSLATE(B2086, ""en"", ""zh-cn""))"),"文件类型")</f>
        <v>文件类型</v>
      </c>
      <c r="D2086" s="1" t="str">
        <f>IFERROR(__xludf.DUMMYFUNCTION("CONCATENATE(GOOGLETRANSLATE(B2086, ""en"", ""ko""))"),"파일 유형")</f>
        <v>파일 유형</v>
      </c>
      <c r="E2086" s="2" t="str">
        <f>IFERROR(__xludf.DUMMYFUNCTION("CONCATENATE(GOOGLETRANSLATE(B2086, ""en"", ""ja""))"),"ファイルの種類")</f>
        <v>ファイルの種類</v>
      </c>
    </row>
    <row r="2087" ht="15.75" customHeight="1">
      <c r="A2087" s="1" t="s">
        <v>4047</v>
      </c>
      <c r="B2087" s="1" t="s">
        <v>4048</v>
      </c>
      <c r="C2087" s="1" t="str">
        <f>IFERROR(__xludf.DUMMYFUNCTION("CONCATENATE(GOOGLETRANSLATE(B2087, ""en"", ""zh-cn""))"),"文件大小")</f>
        <v>文件大小</v>
      </c>
      <c r="D2087" s="1" t="str">
        <f>IFERROR(__xludf.DUMMYFUNCTION("CONCATENATE(GOOGLETRANSLATE(B2087, ""en"", ""ko""))"),"파일 크기")</f>
        <v>파일 크기</v>
      </c>
      <c r="E2087" s="2" t="str">
        <f>IFERROR(__xludf.DUMMYFUNCTION("CONCATENATE(GOOGLETRANSLATE(B2087, ""en"", ""ja""))"),"ファイルサイズ")</f>
        <v>ファイルサイズ</v>
      </c>
    </row>
    <row r="2088" ht="15.75" customHeight="1">
      <c r="A2088" s="1" t="s">
        <v>4049</v>
      </c>
      <c r="B2088" s="1" t="s">
        <v>4050</v>
      </c>
      <c r="C2088" s="1" t="str">
        <f>IFERROR(__xludf.DUMMYFUNCTION("CONCATENATE(GOOGLETRANSLATE(B2088, ""en"", ""zh-cn""))"),"委员会历史报告")</f>
        <v>委员会历史报告</v>
      </c>
      <c r="D2088" s="1" t="str">
        <f>IFERROR(__xludf.DUMMYFUNCTION("CONCATENATE(GOOGLETRANSLATE(B2088, ""en"", ""ko""))"),"커미션 내역 보고서")</f>
        <v>커미션 내역 보고서</v>
      </c>
      <c r="E2088" s="2" t="str">
        <f>IFERROR(__xludf.DUMMYFUNCTION("CONCATENATE(GOOGLETRANSLATE(B2088, ""en"", ""ja""))"),"委員会履歴レポート")</f>
        <v>委員会履歴レポート</v>
      </c>
    </row>
    <row r="2089" ht="15.75" customHeight="1">
      <c r="A2089" s="1" t="s">
        <v>4051</v>
      </c>
      <c r="B2089" s="1" t="s">
        <v>4052</v>
      </c>
      <c r="C2089" s="1" t="str">
        <f>IFERROR(__xludf.DUMMYFUNCTION("CONCATENATE(GOOGLETRANSLATE(B2089, ""en"", ""zh-cn""))"),"选择卖家")</f>
        <v>选择卖家</v>
      </c>
      <c r="D2089" s="1" t="str">
        <f>IFERROR(__xludf.DUMMYFUNCTION("CONCATENATE(GOOGLETRANSLATE(B2089, ""en"", ""ko""))"),"판매자 선택")</f>
        <v>판매자 선택</v>
      </c>
      <c r="E2089" s="2" t="str">
        <f>IFERROR(__xludf.DUMMYFUNCTION("CONCATENATE(GOOGLETRANSLATE(B2089, ""en"", ""ja""))"),"販売者の選択")</f>
        <v>販売者の選択</v>
      </c>
    </row>
    <row r="2090" ht="15.75" customHeight="1">
      <c r="A2090" s="1" t="s">
        <v>4053</v>
      </c>
      <c r="B2090" s="1" t="s">
        <v>4054</v>
      </c>
      <c r="C2090" s="1" t="str">
        <f>IFERROR(__xludf.DUMMYFUNCTION("CONCATENATE(GOOGLETRANSLATE(B2090, ""en"", ""zh-cn""))"),"卖家收入")</f>
        <v>卖家收入</v>
      </c>
      <c r="D2090" s="1" t="str">
        <f>IFERROR(__xludf.DUMMYFUNCTION("CONCATENATE(GOOGLETRANSLATE(B2090, ""en"", ""ko""))"),"판매자 수익")</f>
        <v>판매자 수익</v>
      </c>
      <c r="E2090" s="2" t="str">
        <f>IFERROR(__xludf.DUMMYFUNCTION("CONCATENATE(GOOGLETRANSLATE(B2090, ""en"", ""ja""))"),"売り手の収益")</f>
        <v>売り手の収益</v>
      </c>
    </row>
    <row r="2091" ht="15.75" customHeight="1">
      <c r="A2091" s="1" t="s">
        <v>4055</v>
      </c>
      <c r="B2091" s="1" t="s">
        <v>4056</v>
      </c>
      <c r="C2091" s="1" t="str">
        <f>IFERROR(__xludf.DUMMYFUNCTION("CONCATENATE(GOOGLETRANSLATE(B2091, ""en"", ""zh-cn""))")," 已在路上")</f>
        <v> 已在路上</v>
      </c>
      <c r="D2091" s="1" t="str">
        <f>IFERROR(__xludf.DUMMYFUNCTION("CONCATENATE(GOOGLETRANSLATE(B2091, ""en"", ""ko""))")," 이동 중입니다")</f>
        <v> 이동 중입니다</v>
      </c>
      <c r="E2091" s="2" t="str">
        <f>IFERROR(__xludf.DUMMYFUNCTION("CONCATENATE(GOOGLETRANSLATE(B2091, ""en"", ""ja""))")," 途中です")</f>
        <v> 途中です</v>
      </c>
    </row>
    <row r="2092" ht="15.75" customHeight="1">
      <c r="A2092" s="1" t="s">
        <v>4057</v>
      </c>
      <c r="B2092" s="1" t="s">
        <v>4058</v>
      </c>
      <c r="C2092" s="1" t="str">
        <f>IFERROR(__xludf.DUMMYFUNCTION("CONCATENATE(GOOGLETRANSLATE(B2092, ""en"", ""zh-cn""))"),"卖家保证")</f>
        <v>卖家保证</v>
      </c>
      <c r="D2092" s="1" t="str">
        <f>IFERROR(__xludf.DUMMYFUNCTION("CONCATENATE(GOOGLETRANSLATE(B2092, ""en"", ""ko""))"),"판매자 보증")</f>
        <v>판매자 보증</v>
      </c>
      <c r="E2092" s="2" t="str">
        <f>IFERROR(__xludf.DUMMYFUNCTION("CONCATENATE(GOOGLETRANSLATE(B2092, ""en"", ""ja""))"),"販売者の保証")</f>
        <v>販売者の保証</v>
      </c>
    </row>
    <row r="2093" ht="15.75" customHeight="1">
      <c r="A2093" s="1" t="s">
        <v>4059</v>
      </c>
      <c r="B2093" s="1" t="s">
        <v>4060</v>
      </c>
      <c r="C2093" s="1" t="str">
        <f>IFERROR(__xludf.DUMMYFUNCTION("CONCATENATE(GOOGLETRANSLATE(B2093, ""en"", ""zh-cn""))"),"已验证卖家")</f>
        <v>已验证卖家</v>
      </c>
      <c r="D2093" s="1" t="str">
        <f>IFERROR(__xludf.DUMMYFUNCTION("CONCATENATE(GOOGLETRANSLATE(B2093, ""en"", ""ko""))"),"검증된 판매자")</f>
        <v>검증된 판매자</v>
      </c>
      <c r="E2093" s="2" t="str">
        <f>IFERROR(__xludf.DUMMYFUNCTION("CONCATENATE(GOOGLETRANSLATE(B2093, ""en"", ""ja""))"),"確認された販売者")</f>
        <v>確認された販売者</v>
      </c>
    </row>
    <row r="2094" ht="15.75" customHeight="1">
      <c r="A2094" s="1" t="s">
        <v>4061</v>
      </c>
      <c r="B2094" s="1" t="s">
        <v>4061</v>
      </c>
      <c r="C2094" s="1" t="str">
        <f>IFERROR(__xludf.DUMMYFUNCTION("CONCATENATE(GOOGLETRANSLATE(B2094, ""en"", ""zh-cn""))"),"22222")</f>
        <v>22222</v>
      </c>
      <c r="D2094" s="1" t="str">
        <f>IFERROR(__xludf.DUMMYFUNCTION("CONCATENATE(GOOGLETRANSLATE(B2094, ""en"", ""ko""))"),"22222")</f>
        <v>22222</v>
      </c>
      <c r="E2094" s="2" t="str">
        <f>IFERROR(__xludf.DUMMYFUNCTION("CONCATENATE(GOOGLETRANSLATE(B2094, ""en"", ""ja""))"),"22222")</f>
        <v>22222</v>
      </c>
    </row>
    <row r="2095" ht="15.75" customHeight="1">
      <c r="A2095" s="1" t="s">
        <v>4062</v>
      </c>
      <c r="B2095" s="1" t="s">
        <v>4062</v>
      </c>
      <c r="C2095" s="1" t="str">
        <f>IFERROR(__xludf.DUMMYFUNCTION("CONCATENATE(GOOGLETRANSLATE(B2095, ""en"", ""zh-cn""))"),"000000")</f>
        <v>000000</v>
      </c>
      <c r="D2095" s="1" t="str">
        <f>IFERROR(__xludf.DUMMYFUNCTION("CONCATENATE(GOOGLETRANSLATE(B2095, ""en"", ""ko""))"),"000000")</f>
        <v>000000</v>
      </c>
      <c r="E2095" s="2" t="str">
        <f>IFERROR(__xludf.DUMMYFUNCTION("CONCATENATE(GOOGLETRANSLATE(B2095, ""en"", ""ja""))"),"000000")</f>
        <v>000000</v>
      </c>
    </row>
    <row r="2096" ht="15.75" customHeight="1">
      <c r="A2096" s="1" t="s">
        <v>4063</v>
      </c>
      <c r="B2096" s="1" t="s">
        <v>4064</v>
      </c>
      <c r="C2096" s="1" t="str">
        <f>IFERROR(__xludf.DUMMYFUNCTION("CONCATENATE(GOOGLETRANSLATE(B2096, ""en"", ""zh-cn""))"),"意见")</f>
        <v>意见</v>
      </c>
      <c r="D2096" s="1" t="str">
        <f>IFERROR(__xludf.DUMMYFUNCTION("CONCATENATE(GOOGLETRANSLATE(B2096, ""en"", ""ko""))"),"조회수")</f>
        <v>조회수</v>
      </c>
      <c r="E2096" s="2" t="str">
        <f>IFERROR(__xludf.DUMMYFUNCTION("CONCATENATE(GOOGLETRANSLATE(B2096, ""en"", ""ja""))"),"ビュー")</f>
        <v>ビュー</v>
      </c>
    </row>
    <row r="2097" ht="15.75" customHeight="1">
      <c r="A2097" s="1" t="s">
        <v>4065</v>
      </c>
      <c r="B2097" s="1" t="s">
        <v>4066</v>
      </c>
      <c r="C2097" s="1" t="str">
        <f>IFERROR(__xludf.DUMMYFUNCTION("CONCATENATE(GOOGLETRANSLATE(B2097, ""en"", ""zh-cn""))"),"今日浏览量")</f>
        <v>今日浏览量</v>
      </c>
      <c r="D2097" s="1" t="str">
        <f>IFERROR(__xludf.DUMMYFUNCTION("CONCATENATE(GOOGLETRANSLATE(B2097, ""en"", ""ko""))"),"오늘 조회수")</f>
        <v>오늘 조회수</v>
      </c>
      <c r="E2097" s="2" t="str">
        <f>IFERROR(__xludf.DUMMYFUNCTION("CONCATENATE(GOOGLETRANSLATE(B2097, ""en"", ""ja""))"),"今日のビュー")</f>
        <v>今日のビュー</v>
      </c>
    </row>
    <row r="2098" ht="15.75" customHeight="1">
      <c r="A2098" s="1" t="s">
        <v>4067</v>
      </c>
      <c r="B2098" s="1" t="s">
        <v>4068</v>
      </c>
      <c r="C2098" s="1" t="str">
        <f>IFERROR(__xludf.DUMMYFUNCTION("CONCATENATE(GOOGLETRANSLATE(B2098, ""en"", ""zh-cn""))"),"推销员")</f>
        <v>推销员</v>
      </c>
      <c r="D2098" s="1" t="str">
        <f>IFERROR(__xludf.DUMMYFUNCTION("CONCATENATE(GOOGLETRANSLATE(B2098, ""en"", ""ko""))"),"세일즈맨")</f>
        <v>세일즈맨</v>
      </c>
      <c r="E2098" s="2" t="str">
        <f>IFERROR(__xludf.DUMMYFUNCTION("CONCATENATE(GOOGLETRANSLATE(B2098, ""en"", ""ja""))"),"セールスマン")</f>
        <v>セールスマン</v>
      </c>
    </row>
    <row r="2099" ht="15.75" customHeight="1">
      <c r="A2099" s="1" t="s">
        <v>4069</v>
      </c>
      <c r="B2099" s="1" t="s">
        <v>4070</v>
      </c>
      <c r="C2099" s="1" t="str">
        <f>IFERROR(__xludf.DUMMYFUNCTION("CONCATENATE(GOOGLETRANSLATE(B2099, ""en"", ""zh-cn""))"),"所有业务员")</f>
        <v>所有业务员</v>
      </c>
      <c r="D2099" s="1" t="str">
        <f>IFERROR(__xludf.DUMMYFUNCTION("CONCATENATE(GOOGLETRANSLATE(B2099, ""en"", ""ko""))"),"모든 세일즈맨")</f>
        <v>모든 세일즈맨</v>
      </c>
      <c r="E2099" s="2" t="str">
        <f>IFERROR(__xludf.DUMMYFUNCTION("CONCATENATE(GOOGLETRANSLATE(B2099, ""en"", ""ja""))"),"営業マンの皆さん")</f>
        <v>営業マンの皆さん</v>
      </c>
    </row>
    <row r="2100" ht="15.75" customHeight="1">
      <c r="A2100" s="1" t="s">
        <v>4071</v>
      </c>
      <c r="B2100" s="1" t="s">
        <v>4072</v>
      </c>
      <c r="C2100" s="1" t="str">
        <f>IFERROR(__xludf.DUMMYFUNCTION("CONCATENATE(GOOGLETRANSLATE(B2100, ""en"", ""zh-cn""))"),"业务员名单")</f>
        <v>业务员名单</v>
      </c>
      <c r="D2100" s="1" t="str">
        <f>IFERROR(__xludf.DUMMYFUNCTION("CONCATENATE(GOOGLETRANSLATE(B2100, ""en"", ""ko""))"),"세일즈맨 목록")</f>
        <v>세일즈맨 목록</v>
      </c>
      <c r="E2100" s="2" t="str">
        <f>IFERROR(__xludf.DUMMYFUNCTION("CONCATENATE(GOOGLETRANSLATE(B2100, ""en"", ""ja""))"),"営業マン一覧")</f>
        <v>営業マン一覧</v>
      </c>
    </row>
    <row r="2101" ht="15.75" customHeight="1">
      <c r="A2101" s="1" t="s">
        <v>4073</v>
      </c>
      <c r="B2101" s="1" t="s">
        <v>4074</v>
      </c>
      <c r="C2101" s="1" t="str">
        <f>IFERROR(__xludf.DUMMYFUNCTION("CONCATENATE(GOOGLETRANSLATE(B2101, ""en"", ""zh-cn""))"),"您真的要禁止该推销员吗？")</f>
        <v>您真的要禁止该推销员吗？</v>
      </c>
      <c r="D2101" s="1" t="str">
        <f>IFERROR(__xludf.DUMMYFUNCTION("CONCATENATE(GOOGLETRANSLATE(B2101, ""en"", ""ko""))"),"정말로 이 세일즈맨을 금지하시겠습니까?")</f>
        <v>정말로 이 세일즈맨을 금지하시겠습니까?</v>
      </c>
      <c r="E2101" s="2" t="str">
        <f>IFERROR(__xludf.DUMMYFUNCTION("CONCATENATE(GOOGLETRANSLATE(B2101, ""en"", ""ja""))"),"このセールスマンを本当に禁止したいですか?")</f>
        <v>このセールスマンを本当に禁止したいですか?</v>
      </c>
    </row>
    <row r="2102" ht="15.75" customHeight="1">
      <c r="A2102" s="1" t="s">
        <v>4075</v>
      </c>
      <c r="B2102" s="1" t="s">
        <v>4076</v>
      </c>
      <c r="C2102" s="1" t="str">
        <f>IFERROR(__xludf.DUMMYFUNCTION("CONCATENATE(GOOGLETRANSLATE(B2102, ""en"", ""zh-cn""))"),"您真的要解封这位推销员吗？")</f>
        <v>您真的要解封这位推销员吗？</v>
      </c>
      <c r="D2102" s="1" t="str">
        <f>IFERROR(__xludf.DUMMYFUNCTION("CONCATENATE(GOOGLETRANSLATE(B2102, ""en"", ""ko""))"),"정말로 이 세일즈맨의 금지를 해제하시겠습니까?")</f>
        <v>정말로 이 세일즈맨의 금지를 해제하시겠습니까?</v>
      </c>
      <c r="E2102" s="2" t="str">
        <f>IFERROR(__xludf.DUMMYFUNCTION("CONCATENATE(GOOGLETRANSLATE(B2102, ""en"", ""ja""))"),"本当にこのセールスマンの禁止を解除したいですか?")</f>
        <v>本当にこのセールスマンの禁止を解除したいですか?</v>
      </c>
    </row>
    <row r="2103" ht="15.75" customHeight="1">
      <c r="A2103" s="1" t="s">
        <v>4077</v>
      </c>
      <c r="B2103" s="1" t="s">
        <v>4078</v>
      </c>
      <c r="C2103" s="1" t="str">
        <f>IFERROR(__xludf.DUMMYFUNCTION("CONCATENATE(GOOGLETRANSLATE(B2103, ""en"", ""zh-cn""))"),"添加新推销员")</f>
        <v>添加新推销员</v>
      </c>
      <c r="D2103" s="1" t="str">
        <f>IFERROR(__xludf.DUMMYFUNCTION("CONCATENATE(GOOGLETRANSLATE(B2103, ""en"", ""ko""))"),"새로운 세일즈맨 추가")</f>
        <v>새로운 세일즈맨 추가</v>
      </c>
      <c r="E2103" s="2" t="str">
        <f>IFERROR(__xludf.DUMMYFUNCTION("CONCATENATE(GOOGLETRANSLATE(B2103, ""en"", ""ja""))"),"新しいセールスマンを追加する")</f>
        <v>新しいセールスマンを追加する</v>
      </c>
    </row>
    <row r="2104" ht="15.75" customHeight="1">
      <c r="A2104" s="1" t="s">
        <v>4079</v>
      </c>
      <c r="B2104" s="1" t="s">
        <v>4080</v>
      </c>
      <c r="C2104" s="1" t="str">
        <f>IFERROR(__xludf.DUMMYFUNCTION("CONCATENATE(GOOGLETRANSLATE(B2104, ""en"", ""zh-cn""))"),"业务员信息")</f>
        <v>业务员信息</v>
      </c>
      <c r="D2104" s="1" t="str">
        <f>IFERROR(__xludf.DUMMYFUNCTION("CONCATENATE(GOOGLETRANSLATE(B2104, ""en"", ""ko""))"),"세일즈맨 정보")</f>
        <v>세일즈맨 정보</v>
      </c>
      <c r="E2104" s="2" t="str">
        <f>IFERROR(__xludf.DUMMYFUNCTION("CONCATENATE(GOOGLETRANSLATE(B2104, ""en"", ""ja""))"),"営業マン情報")</f>
        <v>営業マン情報</v>
      </c>
    </row>
    <row r="2105" ht="15.75" customHeight="1">
      <c r="A2105" s="1" t="s">
        <v>4081</v>
      </c>
      <c r="B2105" s="1" t="s">
        <v>4082</v>
      </c>
      <c r="C2105" s="1" t="str">
        <f>IFERROR(__xludf.DUMMYFUNCTION("CONCATENATE(GOOGLETRANSLATE(B2105, ""en"", ""zh-cn""))"),"电子邮件已被使用")</f>
        <v>电子邮件已被使用</v>
      </c>
      <c r="D2105" s="1" t="str">
        <f>IFERROR(__xludf.DUMMYFUNCTION("CONCATENATE(GOOGLETRANSLATE(B2105, ""en"", ""ko""))"),"이미 사용된 이메일")</f>
        <v>이미 사용된 이메일</v>
      </c>
      <c r="E2105" s="2" t="str">
        <f>IFERROR(__xludf.DUMMYFUNCTION("CONCATENATE(GOOGLETRANSLATE(B2105, ""en"", ""ja""))"),"すでに使用されているメールアドレス")</f>
        <v>すでに使用されているメールアドレス</v>
      </c>
    </row>
    <row r="2106" ht="15.75" customHeight="1">
      <c r="A2106" s="1" t="s">
        <v>4083</v>
      </c>
      <c r="B2106" s="1" t="s">
        <v>4084</v>
      </c>
      <c r="C2106" s="1" t="str">
        <f>IFERROR(__xludf.DUMMYFUNCTION("CONCATENATE(GOOGLETRANSLATE(B2106, ""en"", ""zh-cn""))"),"业务员已成功插入")</f>
        <v>业务员已成功插入</v>
      </c>
      <c r="D2106" s="1" t="str">
        <f>IFERROR(__xludf.DUMMYFUNCTION("CONCATENATE(GOOGLETRANSLATE(B2106, ""en"", ""ko""))"),"세일즈맨이 성공적으로 삽입되었습니다.")</f>
        <v>세일즈맨이 성공적으로 삽입되었습니다.</v>
      </c>
      <c r="E2106" s="2" t="str">
        <f>IFERROR(__xludf.DUMMYFUNCTION("CONCATENATE(GOOGLETRANSLATE(B2106, ""en"", ""ja""))"),"Salesman が正常に挿入されました")</f>
        <v>Salesman が正常に挿入されました</v>
      </c>
    </row>
    <row r="2107" ht="15.75" customHeight="1">
      <c r="A2107" s="1" t="s">
        <v>4085</v>
      </c>
      <c r="B2107" s="1" t="s">
        <v>4086</v>
      </c>
      <c r="C2107" s="1" t="str">
        <f>IFERROR(__xludf.DUMMYFUNCTION("CONCATENATE(GOOGLETRANSLATE(B2107, ""en"", ""zh-cn""))"),"业务员已更新成功")</f>
        <v>业务员已更新成功</v>
      </c>
      <c r="D2107" s="1" t="str">
        <f>IFERROR(__xludf.DUMMYFUNCTION("CONCATENATE(GOOGLETRANSLATE(B2107, ""en"", ""ko""))"),"세일즈맨이 성공적으로 업데이트되었습니다.")</f>
        <v>세일즈맨이 성공적으로 업데이트되었습니다.</v>
      </c>
      <c r="E2107" s="2" t="str">
        <f>IFERROR(__xludf.DUMMYFUNCTION("CONCATENATE(GOOGLETRANSLATE(B2107, ""en"", ""ja""))"),"セールスマンは正常に更新されました")</f>
        <v>セールスマンは正常に更新されました</v>
      </c>
    </row>
    <row r="2108" ht="15.75" customHeight="1">
      <c r="A2108" s="1" t="s">
        <v>4087</v>
      </c>
      <c r="B2108" s="1" t="s">
        <v>4088</v>
      </c>
      <c r="C2108" s="1" t="str">
        <f>IFERROR(__xludf.DUMMYFUNCTION("CONCATENATE(GOOGLETRANSLATE(B2108, ""en"", ""zh-cn""))"),"邀请链接")</f>
        <v>邀请链接</v>
      </c>
      <c r="D2108" s="1" t="str">
        <f>IFERROR(__xludf.DUMMYFUNCTION("CONCATENATE(GOOGLETRANSLATE(B2108, ""en"", ""ko""))"),"초대링크")</f>
        <v>초대링크</v>
      </c>
      <c r="E2108" s="2" t="str">
        <f>IFERROR(__xludf.DUMMYFUNCTION("CONCATENATE(GOOGLETRANSLATE(B2108, ""en"", ""ja""))"),"招待リンク")</f>
        <v>招待リンク</v>
      </c>
    </row>
    <row r="2109" ht="15.75" customHeight="1">
      <c r="A2109" s="1" t="s">
        <v>4089</v>
      </c>
      <c r="B2109" s="1" t="s">
        <v>4090</v>
      </c>
      <c r="C2109" s="1" t="str">
        <f>IFERROR(__xludf.DUMMYFUNCTION("CONCATENATE(GOOGLETRANSLATE(B2109, ""en"", ""zh-cn""))"),"没有任何")</f>
        <v>没有任何</v>
      </c>
      <c r="D2109" s="1" t="str">
        <f>IFERROR(__xludf.DUMMYFUNCTION("CONCATENATE(GOOGLETRANSLATE(B2109, ""en"", ""ko""))"),"없음")</f>
        <v>없음</v>
      </c>
      <c r="E2109" s="2" t="str">
        <f>IFERROR(__xludf.DUMMYFUNCTION("CONCATENATE(GOOGLETRANSLATE(B2109, ""en"", ""ja""))"),"なし")</f>
        <v>なし</v>
      </c>
    </row>
    <row r="2110" ht="15.75" customHeight="1">
      <c r="A2110" s="1" t="s">
        <v>4091</v>
      </c>
      <c r="B2110" s="1" t="s">
        <v>4092</v>
      </c>
      <c r="C2110" s="1" t="str">
        <f>IFERROR(__xludf.DUMMYFUNCTION("CONCATENATE(GOOGLETRANSLATE(B2110, ""en"", ""zh-cn""))"),"客人")</f>
        <v>客人</v>
      </c>
      <c r="D2110" s="1" t="str">
        <f>IFERROR(__xludf.DUMMYFUNCTION("CONCATENATE(GOOGLETRANSLATE(B2110, ""en"", ""ko""))"),"손님")</f>
        <v>손님</v>
      </c>
      <c r="E2110" s="2" t="str">
        <f>IFERROR(__xludf.DUMMYFUNCTION("CONCATENATE(GOOGLETRANSLATE(B2110, ""en"", ""ja""))"),"ゲスト")</f>
        <v>ゲスト</v>
      </c>
    </row>
    <row r="2111" ht="15.75" customHeight="1">
      <c r="A2111" s="1" t="s">
        <v>4093</v>
      </c>
      <c r="B2111" s="1" t="s">
        <v>4094</v>
      </c>
      <c r="C2111" s="1" t="str">
        <f>IFERROR(__xludf.DUMMYFUNCTION("CONCATENATE(GOOGLETRANSLATE(B2111, ""en"", ""zh-cn""))"),"上传于")</f>
        <v>上传于</v>
      </c>
      <c r="D2111" s="1" t="str">
        <f>IFERROR(__xludf.DUMMYFUNCTION("CONCATENATE(GOOGLETRANSLATE(B2111, ""en"", ""ko""))"),"업로드 시간")</f>
        <v>업로드 시간</v>
      </c>
      <c r="E2111" s="2" t="str">
        <f>IFERROR(__xludf.DUMMYFUNCTION("CONCATENATE(GOOGLETRANSLATE(B2111, ""en"", ""ja""))"),"アップロード先")</f>
        <v>アップロード先</v>
      </c>
    </row>
    <row r="2112" ht="15.75" customHeight="1">
      <c r="A2112" s="1" t="s">
        <v>4095</v>
      </c>
      <c r="B2112" s="1" t="s">
        <v>4096</v>
      </c>
      <c r="C2112" s="1" t="str">
        <f>IFERROR(__xludf.DUMMYFUNCTION("CONCATENATE(GOOGLETRANSLATE(B2112, ""en"", ""zh-cn""))"),"方法已更新成功")</f>
        <v>方法已更新成功</v>
      </c>
      <c r="D2112" s="1" t="str">
        <f>IFERROR(__xludf.DUMMYFUNCTION("CONCATENATE(GOOGLETRANSLATE(B2112, ""en"", ""ko""))"),"메소드가 성공적으로 업데이트되었습니다.")</f>
        <v>메소드가 성공적으로 업데이트되었습니다.</v>
      </c>
      <c r="E2112" s="2" t="str">
        <f>IFERROR(__xludf.DUMMYFUNCTION("CONCATENATE(GOOGLETRANSLATE(B2112, ""en"", ""ja""))"),"メソッドが正常に更新されました")</f>
        <v>メソッドが正常に更新されました</v>
      </c>
    </row>
    <row r="2113" ht="15.75" customHeight="1">
      <c r="A2113" s="1" t="s">
        <v>4097</v>
      </c>
      <c r="B2113" s="1" t="s">
        <v>4098</v>
      </c>
      <c r="C2113" s="1" t="str">
        <f>IFERROR(__xludf.DUMMYFUNCTION("CONCATENATE(GOOGLETRANSLATE(B2113, ""en"", ""zh-cn""))"),"卖家POS功能被禁用！！！")</f>
        <v>卖家POS功能被禁用！！！</v>
      </c>
      <c r="D2113" s="1" t="str">
        <f>IFERROR(__xludf.DUMMYFUNCTION("CONCATENATE(GOOGLETRANSLATE(B2113, ""en"", ""ko""))"),"판매자는 POS를 사용할 수 없습니다!!!")</f>
        <v>판매자는 POS를 사용할 수 없습니다!!!</v>
      </c>
      <c r="E2113" s="2" t="str">
        <f>IFERROR(__xludf.DUMMYFUNCTION("CONCATENATE(GOOGLETRANSLATE(B2113, ""en"", ""ja""))"),"POS は販売者に対して無効になっています。")</f>
        <v>POS は販売者に対して無効になっています。</v>
      </c>
    </row>
    <row r="2114" ht="15.75" customHeight="1">
      <c r="A2114" s="1" t="s">
        <v>4099</v>
      </c>
      <c r="B2114" s="1" t="s">
        <v>4100</v>
      </c>
      <c r="C2114" s="1" t="str">
        <f>IFERROR(__xludf.DUMMYFUNCTION("CONCATENATE(GOOGLETRANSLATE(B2114, ""en"", ""zh-cn""))"),"客服链接")</f>
        <v>客服链接</v>
      </c>
      <c r="D2114" s="1" t="str">
        <f>IFERROR(__xludf.DUMMYFUNCTION("CONCATENATE(GOOGLETRANSLATE(B2114, ""en"", ""ko""))"),"고객 서비스 링크")</f>
        <v>고객 서비스 링크</v>
      </c>
      <c r="E2114" s="2" t="str">
        <f>IFERROR(__xludf.DUMMYFUNCTION("CONCATENATE(GOOGLETRANSLATE(B2114, ""en"", ""ja""))"),"カスタマーサービスリンク")</f>
        <v>カスタマーサービスリンク</v>
      </c>
    </row>
    <row r="2115" ht="15.75" customHeight="1">
      <c r="A2115" s="1" t="s">
        <v>4101</v>
      </c>
      <c r="B2115" s="1" t="s">
        <v>4102</v>
      </c>
      <c r="C2115" s="1" t="str">
        <f>IFERROR(__xludf.DUMMYFUNCTION("CONCATENATE(GOOGLETRANSLATE(B2115, ""en"", ""zh-cn""))"),"对不起！演示中不允许执行该操作 ")</f>
        <v>对不起！演示中不允许执行该操作 </v>
      </c>
      <c r="D2115" s="1" t="str">
        <f>IFERROR(__xludf.DUMMYFUNCTION("CONCATENATE(GOOGLETRANSLATE(B2115, ""en"", ""ko""))"),"죄송합니다! 데모에서는 해당 작업이 허용되지 않습니다 ")</f>
        <v>죄송합니다! 데모에서는 해당 작업이 허용되지 않습니다 </v>
      </c>
      <c r="E2115" s="2" t="str">
        <f>IFERROR(__xludf.DUMMYFUNCTION("CONCATENATE(GOOGLETRANSLATE(B2115, ""en"", ""ja""))"),"ごめん！デモではそのアクションは許可されていません ")</f>
        <v>ごめん！デモではそのアクションは許可されていません </v>
      </c>
    </row>
    <row r="2116" ht="15.75" customHeight="1">
      <c r="A2116" s="1" t="s">
        <v>4103</v>
      </c>
      <c r="B2116" s="1" t="s">
        <v>4104</v>
      </c>
      <c r="C2116" s="1" t="str">
        <f>IFERROR(__xludf.DUMMYFUNCTION("CONCATENATE(GOOGLETRANSLATE(B2116, ""en"", ""zh-cn""))"),"输入并按 Enter 键")</f>
        <v>输入并按 Enter 键</v>
      </c>
      <c r="D2116" s="1" t="str">
        <f>IFERROR(__xludf.DUMMYFUNCTION("CONCATENATE(GOOGLETRANSLATE(B2116, ""en"", ""ko""))"),"입력하고 Enter 키를 누르세요.")</f>
        <v>입력하고 Enter 키를 누르세요.</v>
      </c>
      <c r="E2116" s="2" t="str">
        <f>IFERROR(__xludf.DUMMYFUNCTION("CONCATENATE(GOOGLETRANSLATE(B2116, ""en"", ""ja""))"),"と入力して Enter キーを押します")</f>
        <v>と入力して Enter キーを押します</v>
      </c>
    </row>
    <row r="2117" ht="15.75" customHeight="1">
      <c r="A2117" s="1" t="s">
        <v>4105</v>
      </c>
      <c r="B2117" s="1" t="s">
        <v>4106</v>
      </c>
      <c r="C2117" s="1" t="str">
        <f>IFERROR(__xludf.DUMMYFUNCTION("CONCATENATE(GOOGLETRANSLATE(B2117, ""en"", ""zh-cn""))"),"已取消")</f>
        <v>已取消</v>
      </c>
      <c r="D2117" s="1" t="str">
        <f>IFERROR(__xludf.DUMMYFUNCTION("CONCATENATE(GOOGLETRANSLATE(B2117, ""en"", ""ko""))"),"취소되었습니다")</f>
        <v>취소되었습니다</v>
      </c>
      <c r="E2117" s="2" t="str">
        <f>IFERROR(__xludf.DUMMYFUNCTION("CONCATENATE(GOOGLETRANSLATE(B2117, ""en"", ""ja""))"),"キャンセルされました")</f>
        <v>キャンセルされました</v>
      </c>
    </row>
    <row r="2118" ht="15.75" customHeight="1">
      <c r="A2118" s="1" t="s">
        <v>4107</v>
      </c>
      <c r="B2118" s="1" t="s">
        <v>4108</v>
      </c>
      <c r="C2118" s="1" t="str">
        <f>IFERROR(__xludf.DUMMYFUNCTION("CONCATENATE(GOOGLETRANSLATE(B2118, ""en"", ""zh-cn""))"),"添加虚拟卖家")</f>
        <v>添加虚拟卖家</v>
      </c>
      <c r="D2118" s="1" t="str">
        <f>IFERROR(__xludf.DUMMYFUNCTION("CONCATENATE(GOOGLETRANSLATE(B2118, ""en"", ""ko""))"),"가상 판매자 추가")</f>
        <v>가상 판매자 추가</v>
      </c>
      <c r="E2118" s="2" t="str">
        <f>IFERROR(__xludf.DUMMYFUNCTION("CONCATENATE(GOOGLETRANSLATE(B2118, ""en"", ""ja""))"),"仮想販売者の追加")</f>
        <v>仮想販売者の追加</v>
      </c>
    </row>
    <row r="2119" ht="15.75" customHeight="1">
      <c r="A2119" s="1" t="s">
        <v>4109</v>
      </c>
      <c r="B2119" s="1" t="s">
        <v>4110</v>
      </c>
      <c r="C2119" s="1" t="str">
        <f>IFERROR(__xludf.DUMMYFUNCTION("CONCATENATE(GOOGLETRANSLATE(B2119, ""en"", ""zh-cn""))"),"虚拟卖家名称")</f>
        <v>虚拟卖家名称</v>
      </c>
      <c r="D2119" s="1" t="str">
        <f>IFERROR(__xludf.DUMMYFUNCTION("CONCATENATE(GOOGLETRANSLATE(B2119, ""en"", ""ko""))"),"가상 판매자 이름")</f>
        <v>가상 판매자 이름</v>
      </c>
      <c r="E2119" s="2" t="str">
        <f>IFERROR(__xludf.DUMMYFUNCTION("CONCATENATE(GOOGLETRANSLATE(B2119, ""en"", ""ja""))"),"仮想販売者名")</f>
        <v>仮想販売者名</v>
      </c>
    </row>
    <row r="2120" ht="15.75" customHeight="1">
      <c r="A2120" s="1" t="s">
        <v>4111</v>
      </c>
      <c r="B2120" s="1" t="s">
        <v>4112</v>
      </c>
      <c r="C2120" s="1" t="str">
        <f>IFERROR(__xludf.DUMMYFUNCTION("CONCATENATE(GOOGLETRANSLATE(B2120, ""en"", ""zh-cn""))"),"虚拟卖家电子邮件")</f>
        <v>虚拟卖家电子邮件</v>
      </c>
      <c r="D2120" s="1" t="str">
        <f>IFERROR(__xludf.DUMMYFUNCTION("CONCATENATE(GOOGLETRANSLATE(B2120, ""en"", ""ko""))"),"가상 판매자 이메일")</f>
        <v>가상 판매자 이메일</v>
      </c>
      <c r="E2120" s="2" t="str">
        <f>IFERROR(__xludf.DUMMYFUNCTION("CONCATENATE(GOOGLETRANSLATE(B2120, ""en"", ""ja""))"),"仮想販売者のメールアドレス")</f>
        <v>仮想販売者のメールアドレス</v>
      </c>
    </row>
    <row r="2121" ht="15.75" customHeight="1">
      <c r="A2121" s="1" t="s">
        <v>4113</v>
      </c>
      <c r="B2121" s="1" t="s">
        <v>4114</v>
      </c>
      <c r="C2121" s="1" t="str">
        <f>IFERROR(__xludf.DUMMYFUNCTION("CONCATENATE(GOOGLETRANSLATE(B2121, ""en"", ""zh-cn""))"),"虚拟卖家密码")</f>
        <v>虚拟卖家密码</v>
      </c>
      <c r="D2121" s="1" t="str">
        <f>IFERROR(__xludf.DUMMYFUNCTION("CONCATENATE(GOOGLETRANSLATE(B2121, ""en"", ""ko""))"),"가상 판매자 비밀번호")</f>
        <v>가상 판매자 비밀번호</v>
      </c>
      <c r="E2121" s="2" t="str">
        <f>IFERROR(__xludf.DUMMYFUNCTION("CONCATENATE(GOOGLETRANSLATE(B2121, ""en"", ""ja""))"),"仮想販売者のパスワード")</f>
        <v>仮想販売者のパスワード</v>
      </c>
    </row>
    <row r="2122" ht="15.75" customHeight="1">
      <c r="A2122" s="1" t="s">
        <v>4115</v>
      </c>
      <c r="B2122" s="1" t="s">
        <v>4116</v>
      </c>
      <c r="C2122" s="1" t="str">
        <f>IFERROR(__xludf.DUMMYFUNCTION("CONCATENATE(GOOGLETRANSLATE(B2122, ""en"", ""zh-cn""))"),"虚拟的")</f>
        <v>虚拟的</v>
      </c>
      <c r="D2122" s="1" t="str">
        <f>IFERROR(__xludf.DUMMYFUNCTION("CONCATENATE(GOOGLETRANSLATE(B2122, ""en"", ""ko""))"),"가상")</f>
        <v>가상</v>
      </c>
      <c r="E2122" s="2" t="str">
        <f>IFERROR(__xludf.DUMMYFUNCTION("CONCATENATE(GOOGLETRANSLATE(B2122, ""en"", ""ja""))"),"バーチャル")</f>
        <v>バーチャル</v>
      </c>
    </row>
    <row r="2123" ht="15.75" customHeight="1">
      <c r="A2123" s="1" t="s">
        <v>4117</v>
      </c>
      <c r="B2123" s="1" t="s">
        <v>4118</v>
      </c>
      <c r="C2123" s="1" t="str">
        <f>IFERROR(__xludf.DUMMYFUNCTION("CONCATENATE(GOOGLETRANSLATE(B2123, ""en"", ""zh-cn""))"),"虚拟卖家已创建成功！")</f>
        <v>虚拟卖家已创建成功！</v>
      </c>
      <c r="D2123" s="1" t="str">
        <f>IFERROR(__xludf.DUMMYFUNCTION("CONCATENATE(GOOGLETRANSLATE(B2123, ""en"", ""ko""))"),"가상 판매자가 성공적으로 생성되었습니다!")</f>
        <v>가상 판매자가 성공적으로 생성되었습니다!</v>
      </c>
      <c r="E2123" s="2" t="str">
        <f>IFERROR(__xludf.DUMMYFUNCTION("CONCATENATE(GOOGLETRANSLATE(B2123, ""en"", ""ja""))"),"仮想販売者が正常に作成されました。")</f>
        <v>仮想販売者が正常に作成されました。</v>
      </c>
    </row>
    <row r="2124" ht="15.75" customHeight="1">
      <c r="A2124" s="1" t="s">
        <v>4119</v>
      </c>
      <c r="B2124" s="1" t="s">
        <v>4120</v>
      </c>
      <c r="C2124" s="1" t="str">
        <f>IFERROR(__xludf.DUMMYFUNCTION("CONCATENATE(GOOGLETRANSLATE(B2124, ""en"", ""zh-cn""))"),"添加虚拟账户")</f>
        <v>添加虚拟账户</v>
      </c>
      <c r="D2124" s="1" t="str">
        <f>IFERROR(__xludf.DUMMYFUNCTION("CONCATENATE(GOOGLETRANSLATE(B2124, ""en"", ""ko""))"),"가상계좌 추가")</f>
        <v>가상계좌 추가</v>
      </c>
      <c r="E2124" s="2" t="str">
        <f>IFERROR(__xludf.DUMMYFUNCTION("CONCATENATE(GOOGLETRANSLATE(B2124, ""en"", ""ja""))"),"バーチャルアカウントの追加")</f>
        <v>バーチャルアカウントの追加</v>
      </c>
    </row>
    <row r="2125" ht="15.75" customHeight="1">
      <c r="A2125" s="1" t="s">
        <v>4121</v>
      </c>
      <c r="B2125" s="1" t="s">
        <v>4122</v>
      </c>
      <c r="C2125" s="1" t="str">
        <f>IFERROR(__xludf.DUMMYFUNCTION("CONCATENATE(GOOGLETRANSLATE(B2125, ""en"", ""zh-cn""))"),"创建虚拟账户")</f>
        <v>创建虚拟账户</v>
      </c>
      <c r="D2125" s="1" t="str">
        <f>IFERROR(__xludf.DUMMYFUNCTION("CONCATENATE(GOOGLETRANSLATE(B2125, ""en"", ""ko""))"),"가상계좌 생성")</f>
        <v>가상계좌 생성</v>
      </c>
      <c r="E2125" s="2" t="str">
        <f>IFERROR(__xludf.DUMMYFUNCTION("CONCATENATE(GOOGLETRANSLATE(B2125, ""en"", ""ja""))"),"バーチャルアカウントの作成")</f>
        <v>バーチャルアカウントの作成</v>
      </c>
    </row>
    <row r="2126" ht="15.75" customHeight="1">
      <c r="A2126" s="1" t="s">
        <v>4123</v>
      </c>
      <c r="B2126" s="1" t="s">
        <v>4124</v>
      </c>
      <c r="C2126" s="1" t="str">
        <f>IFERROR(__xludf.DUMMYFUNCTION("CONCATENATE(GOOGLETRANSLATE(B2126, ""en"", ""zh-cn""))"),"平衡")</f>
        <v>平衡</v>
      </c>
      <c r="D2126" s="1" t="str">
        <f>IFERROR(__xludf.DUMMYFUNCTION("CONCATENATE(GOOGLETRANSLATE(B2126, ""en"", ""ko""))"),"균형")</f>
        <v>균형</v>
      </c>
      <c r="E2126" s="2" t="str">
        <f>IFERROR(__xludf.DUMMYFUNCTION("CONCATENATE(GOOGLETRANSLATE(B2126, ""en"", ""ja""))"),"バランス")</f>
        <v>バランス</v>
      </c>
    </row>
    <row r="2127" ht="15.75" customHeight="1">
      <c r="A2127" s="1" t="s">
        <v>4125</v>
      </c>
      <c r="B2127" s="1" t="s">
        <v>4126</v>
      </c>
      <c r="C2127" s="1" t="str">
        <f>IFERROR(__xludf.DUMMYFUNCTION("CONCATENATE(GOOGLETRANSLATE(B2127, ""en"", ""zh-cn""))"),"添加成功。")</f>
        <v>添加成功。</v>
      </c>
      <c r="D2127" s="1" t="str">
        <f>IFERROR(__xludf.DUMMYFUNCTION("CONCATENATE(GOOGLETRANSLATE(B2127, ""en"", ""ko""))"),"추가에 성공했습니다.")</f>
        <v>추가에 성공했습니다.</v>
      </c>
      <c r="E2127" s="2" t="str">
        <f>IFERROR(__xludf.DUMMYFUNCTION("CONCATENATE(GOOGLETRANSLATE(B2127, ""en"", ""ja""))"),"追加が成功しました。")</f>
        <v>追加が成功しました。</v>
      </c>
    </row>
    <row r="2128" ht="15.75" customHeight="1">
      <c r="A2128" s="1" t="s">
        <v>4127</v>
      </c>
      <c r="B2128" s="1" t="s">
        <v>4128</v>
      </c>
      <c r="C2128" s="1" t="str">
        <f>IFERROR(__xludf.DUMMYFUNCTION("CONCATENATE(GOOGLETRANSLATE(B2128, ""en"", ""zh-cn""))"),"客户被成功禁止")</f>
        <v>客户被成功禁止</v>
      </c>
      <c r="D2128" s="1" t="str">
        <f>IFERROR(__xludf.DUMMYFUNCTION("CONCATENATE(GOOGLETRANSLATE(B2128, ""en"", ""ko""))"),"고객이 성공적으로 차단되었습니다.")</f>
        <v>고객이 성공적으로 차단되었습니다.</v>
      </c>
      <c r="E2128" s="2" t="str">
        <f>IFERROR(__xludf.DUMMYFUNCTION("CONCATENATE(GOOGLETRANSLATE(B2128, ""en"", ""ja""))"),"顧客は正常に禁止されました")</f>
        <v>顧客は正常に禁止されました</v>
      </c>
    </row>
    <row r="2129" ht="15.75" customHeight="1">
      <c r="A2129" s="1" t="s">
        <v>4129</v>
      </c>
      <c r="B2129" s="1" t="s">
        <v>4130</v>
      </c>
      <c r="C2129" s="1" t="str">
        <f>IFERROR(__xludf.DUMMYFUNCTION("CONCATENATE(GOOGLETRANSLATE(B2129, ""en"", ""zh-cn""))"),"取消禁止该客户")</f>
        <v>取消禁止该客户</v>
      </c>
      <c r="D2129" s="1" t="str">
        <f>IFERROR(__xludf.DUMMYFUNCTION("CONCATENATE(GOOGLETRANSLATE(B2129, ""en"", ""ko""))"),"이 고객 차단 해제")</f>
        <v>이 고객 차단 해제</v>
      </c>
      <c r="E2129" s="2" t="str">
        <f>IFERROR(__xludf.DUMMYFUNCTION("CONCATENATE(GOOGLETRANSLATE(B2129, ""en"", ""ja""))"),"この顧客の禁止を解除する")</f>
        <v>この顧客の禁止を解除する</v>
      </c>
    </row>
    <row r="2130" ht="15.75" customHeight="1">
      <c r="A2130" s="1" t="s">
        <v>4131</v>
      </c>
      <c r="B2130" s="1" t="s">
        <v>4132</v>
      </c>
      <c r="C2130" s="1" t="str">
        <f>IFERROR(__xludf.DUMMYFUNCTION("CONCATENATE(GOOGLETRANSLATE(B2130, ""en"", ""zh-cn""))"),"客户解封成功")</f>
        <v>客户解封成功</v>
      </c>
      <c r="D2130" s="1" t="str">
        <f>IFERROR(__xludf.DUMMYFUNCTION("CONCATENATE(GOOGLETRANSLATE(B2130, ""en"", ""ko""))"),"고객 차단이 성공적으로 해제되었습니다.")</f>
        <v>고객 차단이 성공적으로 해제되었습니다.</v>
      </c>
      <c r="E2130" s="2" t="str">
        <f>IFERROR(__xludf.DUMMYFUNCTION("CONCATENATE(GOOGLETRANSLATE(B2130, ""en"", ""ja""))"),"顧客の禁止が正常に解除されました")</f>
        <v>顧客の禁止が正常に解除されました</v>
      </c>
    </row>
    <row r="2131" ht="15.75" customHeight="1">
      <c r="A2131" s="1" t="s">
        <v>4133</v>
      </c>
      <c r="B2131" s="1" t="s">
        <v>4134</v>
      </c>
      <c r="C2131" s="1" t="str">
        <f>IFERROR(__xludf.DUMMYFUNCTION("CONCATENATE(GOOGLETRANSLATE(B2131, ""en"", ""zh-cn""))"),"对此卖家有任何疑问")</f>
        <v>对此卖家有任何疑问</v>
      </c>
      <c r="D2131" s="1" t="str">
        <f>IFERROR(__xludf.DUMMYFUNCTION("CONCATENATE(GOOGLETRANSLATE(B2131, ""en"", ""ko""))"),"이 판매자에 대한 모든 문의사항")</f>
        <v>이 판매자에 대한 모든 문의사항</v>
      </c>
      <c r="E2131" s="2" t="str">
        <f>IFERROR(__xludf.DUMMYFUNCTION("CONCATENATE(GOOGLETRANSLATE(B2131, ""en"", ""ja""))"),"この販売者に関するお問い合わせ")</f>
        <v>この販売者に関するお問い合わせ</v>
      </c>
    </row>
    <row r="2132" ht="15.75" customHeight="1">
      <c r="A2132" s="1" t="s">
        <v>4135</v>
      </c>
      <c r="B2132" s="1" t="s">
        <v>4136</v>
      </c>
      <c r="C2132" s="1" t="str">
        <f>IFERROR(__xludf.DUMMYFUNCTION("CONCATENATE(GOOGLETRANSLATE(B2132, ""en"", ""zh-cn""))")," 已取消")</f>
        <v> 已取消</v>
      </c>
      <c r="D2132" s="1" t="str">
        <f>IFERROR(__xludf.DUMMYFUNCTION("CONCATENATE(GOOGLETRANSLATE(B2132, ""en"", ""ko""))")," 취소되었습니다")</f>
        <v> 취소되었습니다</v>
      </c>
      <c r="E2132" s="2" t="str">
        <f>IFERROR(__xludf.DUMMYFUNCTION("CONCATENATE(GOOGLETRANSLATE(B2132, ""en"", ""ja""))")," キャンセルされました")</f>
        <v> キャンセルされました</v>
      </c>
    </row>
    <row r="2133" ht="15.75" customHeight="1">
      <c r="A2133" s="1" t="s">
        <v>4137</v>
      </c>
      <c r="B2133" s="1" t="s">
        <v>4138</v>
      </c>
      <c r="C2133" s="1" t="str">
        <f>IFERROR(__xludf.DUMMYFUNCTION("CONCATENATE(GOOGLETRANSLATE(B2133, ""en"", ""zh-cn""))"),"您的店铺验证请求已成功提交！")</f>
        <v>您的店铺验证请求已成功提交！</v>
      </c>
      <c r="D2133" s="1" t="str">
        <f>IFERROR(__xludf.DUMMYFUNCTION("CONCATENATE(GOOGLETRANSLATE(B2133, ""en"", ""ko""))"),"귀하의 매장 확인 요청이 성공적으로 제출되었습니다!")</f>
        <v>귀하의 매장 확인 요청이 성공적으로 제출되었습니다!</v>
      </c>
      <c r="E2133" s="2" t="str">
        <f>IFERROR(__xludf.DUMMYFUNCTION("CONCATENATE(GOOGLETRANSLATE(B2133, ""en"", ""ja""))"),"ショップ認証リクエストは正常に送信されました。")</f>
        <v>ショップ認証リクエストは正常に送信されました。</v>
      </c>
    </row>
    <row r="2134" ht="15.75" customHeight="1">
      <c r="A2134" s="1" t="s">
        <v>4139</v>
      </c>
      <c r="B2134" s="1" t="s">
        <v>4140</v>
      </c>
      <c r="C2134" s="1" t="str">
        <f>IFERROR(__xludf.DUMMYFUNCTION("CONCATENATE(GOOGLETRANSLATE(B2134, ""en"", ""zh-cn""))"),"对不起！您已经发送了验证请求。")</f>
        <v>对不起！您已经发送了验证请求。</v>
      </c>
      <c r="D2134" s="1" t="str">
        <f>IFERROR(__xludf.DUMMYFUNCTION("CONCATENATE(GOOGLETRANSLATE(B2134, ""en"", ""ko""))"),"죄송합니다! 이미 확인 요청을 보냈습니다.")</f>
        <v>죄송합니다! 이미 확인 요청을 보냈습니다.</v>
      </c>
      <c r="E2134" s="2" t="str">
        <f>IFERROR(__xludf.DUMMYFUNCTION("CONCATENATE(GOOGLETRANSLATE(B2134, ""en"", ""ja""))"),"ごめん！すでに確認リクエストを送信しました。")</f>
        <v>ごめん！すでに確認リクエストを送信しました。</v>
      </c>
    </row>
    <row r="2135" ht="15.75" customHeight="1">
      <c r="A2135" s="1" t="s">
        <v>4141</v>
      </c>
      <c r="B2135" s="1" t="s">
        <v>4142</v>
      </c>
      <c r="C2135" s="1" t="str">
        <f>IFERROR(__xludf.DUMMYFUNCTION("CONCATENATE(GOOGLETRANSLATE(B2135, ""en"", ""zh-cn""))"),"顾客不能是卖家")</f>
        <v>顾客不能是卖家</v>
      </c>
      <c r="D2135" s="1" t="str">
        <f>IFERROR(__xludf.DUMMYFUNCTION("CONCATENATE(GOOGLETRANSLATE(B2135, ""en"", ""ko""))"),"고객은 판매자가 될 수 없습니다.")</f>
        <v>고객은 판매자가 될 수 없습니다.</v>
      </c>
      <c r="E2135" s="2" t="str">
        <f>IFERROR(__xludf.DUMMYFUNCTION("CONCATENATE(GOOGLETRANSLATE(B2135, ""en"", ""ja""))"),"顧客は販売者になることはできません")</f>
        <v>顧客は販売者になることはできません</v>
      </c>
    </row>
    <row r="2136" ht="15.75" customHeight="1">
      <c r="A2136" s="1" t="s">
        <v>4143</v>
      </c>
      <c r="B2136" s="1" t="s">
        <v>4144</v>
      </c>
      <c r="C2136" s="1" t="str">
        <f>IFERROR(__xludf.DUMMYFUNCTION("CONCATENATE(GOOGLETRANSLATE(B2136, ""en"", ""zh-cn""))"),"销售员 POS 激活")</f>
        <v>销售员 POS 激活</v>
      </c>
      <c r="D2136" s="1" t="str">
        <f>IFERROR(__xludf.DUMMYFUNCTION("CONCATENATE(GOOGLETRANSLATE(B2136, ""en"", ""ko""))"),"세일즈맨을 위한 POS 활성화")</f>
        <v>세일즈맨을 위한 POS 활성화</v>
      </c>
      <c r="E2136" s="2" t="str">
        <f>IFERROR(__xludf.DUMMYFUNCTION("CONCATENATE(GOOGLETRANSLATE(B2136, ""en"", ""ja""))"),"セールスマン向けのPOSアクティベーション")</f>
        <v>セールスマン向けのPOSアクティベーション</v>
      </c>
    </row>
    <row r="2137" ht="15.75" customHeight="1">
      <c r="A2137" s="1" t="s">
        <v>4145</v>
      </c>
      <c r="B2137" s="1" t="s">
        <v>4146</v>
      </c>
      <c r="C2137" s="1" t="str">
        <f>IFERROR(__xludf.DUMMYFUNCTION("CONCATENATE(GOOGLETRANSLATE(B2137, ""en"", ""zh-cn""))"),"产品导入成功")</f>
        <v>产品导入成功</v>
      </c>
      <c r="D2137" s="1" t="str">
        <f>IFERROR(__xludf.DUMMYFUNCTION("CONCATENATE(GOOGLETRANSLATE(B2137, ""en"", ""ko""))"),"제품을 성공적으로 가져왔습니다.")</f>
        <v>제품을 성공적으로 가져왔습니다.</v>
      </c>
      <c r="E2137" s="2" t="str">
        <f>IFERROR(__xludf.DUMMYFUNCTION("CONCATENATE(GOOGLETRANSLATE(B2137, ""en"", ""ja""))"),"製品は正常にインポートされました")</f>
        <v>製品は正常にインポートされました</v>
      </c>
    </row>
    <row r="2138" ht="15.75" customHeight="1">
      <c r="A2138" s="1" t="s">
        <v>4147</v>
      </c>
      <c r="B2138" s="1" t="s">
        <v>4148</v>
      </c>
      <c r="C2138" s="1" t="str">
        <f>IFERROR(__xludf.DUMMYFUNCTION("CONCATENATE(GOOGLETRANSLATE(B2138, ""en"", ""zh-cn""))"),"ID")</f>
        <v>ID</v>
      </c>
      <c r="D2138" s="1" t="str">
        <f>IFERROR(__xludf.DUMMYFUNCTION("CONCATENATE(GOOGLETRANSLATE(B2138, ""en"", ""ko""))"),"ID")</f>
        <v>ID</v>
      </c>
      <c r="E2138" s="2" t="str">
        <f>IFERROR(__xludf.DUMMYFUNCTION("CONCATENATE(GOOGLETRANSLATE(B2138, ""en"", ""ja""))"),"ID")</f>
        <v>ID</v>
      </c>
    </row>
    <row r="2139" ht="15.75" customHeight="1">
      <c r="A2139" s="1" t="s">
        <v>4149</v>
      </c>
      <c r="B2139" s="1" t="s">
        <v>4150</v>
      </c>
      <c r="C2139" s="1" t="str">
        <f>IFERROR(__xludf.DUMMYFUNCTION("CONCATENATE(GOOGLETRANSLATE(B2139, ""en"", ""zh-cn""))"),"品牌名称")</f>
        <v>品牌名称</v>
      </c>
      <c r="D2139" s="1" t="str">
        <f>IFERROR(__xludf.DUMMYFUNCTION("CONCATENATE(GOOGLETRANSLATE(B2139, ""en"", ""ko""))"),"브랜드 이름")</f>
        <v>브랜드 이름</v>
      </c>
      <c r="E2139" s="2" t="str">
        <f>IFERROR(__xludf.DUMMYFUNCTION("CONCATENATE(GOOGLETRANSLATE(B2139, ""en"", ""ja""))"),"ブランド名")</f>
        <v>ブランド名</v>
      </c>
    </row>
    <row r="2140" ht="15.75" customHeight="1">
      <c r="A2140" s="1" t="s">
        <v>4151</v>
      </c>
      <c r="B2140" s="1" t="s">
        <v>4152</v>
      </c>
      <c r="C2140" s="1" t="str">
        <f>IFERROR(__xludf.DUMMYFUNCTION("CONCATENATE(GOOGLETRANSLATE(B2140, ""en"", ""zh-cn""))"),"属性详细信息")</f>
        <v>属性详细信息</v>
      </c>
      <c r="D2140" s="1" t="str">
        <f>IFERROR(__xludf.DUMMYFUNCTION("CONCATENATE(GOOGLETRANSLATE(B2140, ""en"", ""ko""))"),"속성 세부정보")</f>
        <v>속성 세부정보</v>
      </c>
      <c r="E2140" s="2" t="str">
        <f>IFERROR(__xludf.DUMMYFUNCTION("CONCATENATE(GOOGLETRANSLATE(B2140, ""en"", ""ja""))"),"属性の詳細")</f>
        <v>属性の詳細</v>
      </c>
    </row>
    <row r="2141" ht="15.75" customHeight="1">
      <c r="A2141" s="1" t="s">
        <v>4153</v>
      </c>
      <c r="B2141" s="1" t="s">
        <v>4154</v>
      </c>
      <c r="C2141" s="1" t="str">
        <f>IFERROR(__xludf.DUMMYFUNCTION("CONCATENATE(GOOGLETRANSLATE(B2141, ""en"", ""zh-cn""))"),"添加新属性值")</f>
        <v>添加新属性值</v>
      </c>
      <c r="D2141" s="1" t="str">
        <f>IFERROR(__xludf.DUMMYFUNCTION("CONCATENATE(GOOGLETRANSLATE(B2141, ""en"", ""ko""))"),"새 속성 값 추가")</f>
        <v>새 속성 값 추가</v>
      </c>
      <c r="E2141" s="2" t="str">
        <f>IFERROR(__xludf.DUMMYFUNCTION("CONCATENATE(GOOGLETRANSLATE(B2141, ""en"", ""ja""))"),"新しい属性値の追加")</f>
        <v>新しい属性値の追加</v>
      </c>
    </row>
    <row r="2142" ht="15.75" customHeight="1">
      <c r="A2142" s="1" t="s">
        <v>4155</v>
      </c>
      <c r="B2142" s="1" t="s">
        <v>4156</v>
      </c>
      <c r="C2142" s="1" t="str">
        <f>IFERROR(__xludf.DUMMYFUNCTION("CONCATENATE(GOOGLETRANSLATE(B2142, ""en"", ""zh-cn""))"),"属性名称")</f>
        <v>属性名称</v>
      </c>
      <c r="D2142" s="1" t="str">
        <f>IFERROR(__xludf.DUMMYFUNCTION("CONCATENATE(GOOGLETRANSLATE(B2142, ""en"", ""ko""))"),"속성 이름")</f>
        <v>속성 이름</v>
      </c>
      <c r="E2142" s="2" t="str">
        <f>IFERROR(__xludf.DUMMYFUNCTION("CONCATENATE(GOOGLETRANSLATE(B2142, ""en"", ""ja""))"),"属性名")</f>
        <v>属性名</v>
      </c>
    </row>
    <row r="2143" ht="15.75" customHeight="1">
      <c r="A2143" s="1" t="s">
        <v>4157</v>
      </c>
      <c r="B2143" s="1" t="s">
        <v>4158</v>
      </c>
      <c r="C2143" s="1" t="str">
        <f>IFERROR(__xludf.DUMMYFUNCTION("CONCATENATE(GOOGLETRANSLATE(B2143, ""en"", ""zh-cn""))"),"属性值")</f>
        <v>属性值</v>
      </c>
      <c r="D2143" s="1" t="str">
        <f>IFERROR(__xludf.DUMMYFUNCTION("CONCATENATE(GOOGLETRANSLATE(B2143, ""en"", ""ko""))"),"속성 값")</f>
        <v>속성 값</v>
      </c>
      <c r="E2143" s="2" t="str">
        <f>IFERROR(__xludf.DUMMYFUNCTION("CONCATENATE(GOOGLETRANSLATE(B2143, ""en"", ""ja""))"),"属性値")</f>
        <v>属性値</v>
      </c>
    </row>
    <row r="2144" ht="15.75" customHeight="1">
      <c r="A2144" s="1" t="s">
        <v>4159</v>
      </c>
      <c r="B2144" s="1" t="s">
        <v>4160</v>
      </c>
      <c r="C2144" s="1" t="str">
        <f>IFERROR(__xludf.DUMMYFUNCTION("CONCATENATE(GOOGLETRANSLATE(B2144, ""en"", ""zh-cn""))"),"属性值已成功插入")</f>
        <v>属性值已成功插入</v>
      </c>
      <c r="D2144" s="1" t="str">
        <f>IFERROR(__xludf.DUMMYFUNCTION("CONCATENATE(GOOGLETRANSLATE(B2144, ""en"", ""ko""))"),"속성 값이 성공적으로 삽입되었습니다.")</f>
        <v>속성 값이 성공적으로 삽입되었습니다.</v>
      </c>
      <c r="E2144" s="2" t="str">
        <f>IFERROR(__xludf.DUMMYFUNCTION("CONCATENATE(GOOGLETRANSLATE(B2144, ""en"", ""ja""))"),"属性値が正常に挿入されました")</f>
        <v>属性値が正常に挿入されました</v>
      </c>
    </row>
    <row r="2145" ht="15.75" customHeight="1">
      <c r="A2145" s="1" t="s">
        <v>4161</v>
      </c>
      <c r="B2145" s="1" t="s">
        <v>4162</v>
      </c>
      <c r="C2145" s="1" t="str">
        <f>IFERROR(__xludf.DUMMYFUNCTION("CONCATENATE(GOOGLETRANSLATE(B2145, ""en"", ""zh-cn""))"),"颜色信息")</f>
        <v>颜色信息</v>
      </c>
      <c r="D2145" s="1" t="str">
        <f>IFERROR(__xludf.DUMMYFUNCTION("CONCATENATE(GOOGLETRANSLATE(B2145, ""en"", ""ko""))"),"색상 정보")</f>
        <v>색상 정보</v>
      </c>
      <c r="E2145" s="2" t="str">
        <f>IFERROR(__xludf.DUMMYFUNCTION("CONCATENATE(GOOGLETRANSLATE(B2145, ""en"", ""ja""))"),"色の情報")</f>
        <v>色の情報</v>
      </c>
    </row>
    <row r="2146" ht="15.75" customHeight="1">
      <c r="A2146" s="1" t="s">
        <v>4163</v>
      </c>
      <c r="B2146" s="1" t="s">
        <v>4164</v>
      </c>
      <c r="C2146" s="1" t="str">
        <f>IFERROR(__xludf.DUMMYFUNCTION("CONCATENATE(GOOGLETRANSLATE(B2146, ""en"", ""zh-cn""))"),"未找到订单")</f>
        <v>未找到订单</v>
      </c>
      <c r="D2146" s="1" t="str">
        <f>IFERROR(__xludf.DUMMYFUNCTION("CONCATENATE(GOOGLETRANSLATE(B2146, ""en"", ""ko""))"),"주문을 찾을 수 없습니다")</f>
        <v>주문을 찾을 수 없습니다</v>
      </c>
      <c r="E2146" s="2" t="str">
        <f>IFERROR(__xludf.DUMMYFUNCTION("CONCATENATE(GOOGLETRANSLATE(B2146, ""en"", ""ja""))"),"注文が見つかりません")</f>
        <v>注文が見つかりません</v>
      </c>
    </row>
    <row r="2147" ht="15.75" customHeight="1">
      <c r="A2147" s="1" t="s">
        <v>4165</v>
      </c>
      <c r="B2147" s="1" t="s">
        <v>4166</v>
      </c>
      <c r="C2147" s="1" t="str">
        <f>IFERROR(__xludf.DUMMYFUNCTION("CONCATENATE(GOOGLETRANSLATE(B2147, ""en"", ""zh-cn""))"),"未知")</f>
        <v>未知</v>
      </c>
      <c r="D2147" s="1" t="str">
        <f>IFERROR(__xludf.DUMMYFUNCTION("CONCATENATE(GOOGLETRANSLATE(B2147, ""en"", ""ko""))"),"알려지지 않은")</f>
        <v>알려지지 않은</v>
      </c>
      <c r="E2147" s="2" t="str">
        <f>IFERROR(__xludf.DUMMYFUNCTION("CONCATENATE(GOOGLETRANSLATE(B2147, ""en"", ""ja""))"),"未知")</f>
        <v>未知</v>
      </c>
    </row>
    <row r="2148" ht="15.75" customHeight="1">
      <c r="A2148" s="1" t="s">
        <v>4167</v>
      </c>
      <c r="B2148" s="1" t="s">
        <v>4168</v>
      </c>
      <c r="C2148" s="1" t="str">
        <f>IFERROR(__xludf.DUMMYFUNCTION("CONCATENATE(GOOGLETRANSLATE(B2148, ""en"", ""zh-cn""))"),"您的订单： ")</f>
        <v>您的订单： </v>
      </c>
      <c r="D2148" s="1" t="str">
        <f>IFERROR(__xludf.DUMMYFUNCTION("CONCATENATE(GOOGLETRANSLATE(B2148, ""en"", ""ko""))"),"귀하의 주문: ")</f>
        <v>귀하의 주문: </v>
      </c>
      <c r="E2148" s="2" t="str">
        <f>IFERROR(__xludf.DUMMYFUNCTION("CONCATENATE(GOOGLETRANSLATE(B2148, ""en"", ""ja""))"),"ご注文: ")</f>
        <v>ご注文: </v>
      </c>
    </row>
    <row r="2149" ht="15.75" customHeight="1">
      <c r="A2149" s="1" t="s">
        <v>4169</v>
      </c>
      <c r="B2149" s="1" t="s">
        <v>4170</v>
      </c>
      <c r="C2149" s="1" t="str">
        <f>IFERROR(__xludf.DUMMYFUNCTION("CONCATENATE(GOOGLETRANSLATE(B2149, ""en"", ""zh-cn""))"),"您已订阅成功")</f>
        <v>您已订阅成功</v>
      </c>
      <c r="D2149" s="1" t="str">
        <f>IFERROR(__xludf.DUMMYFUNCTION("CONCATENATE(GOOGLETRANSLATE(B2149, ""en"", ""ko""))"),"성공적으로 구독했습니다")</f>
        <v>성공적으로 구독했습니다</v>
      </c>
      <c r="E2149" s="2" t="str">
        <f>IFERROR(__xludf.DUMMYFUNCTION("CONCATENATE(GOOGLETRANSLATE(B2149, ""en"", ""ja""))"),"正常に購読されました")</f>
        <v>正常に購読されました</v>
      </c>
    </row>
    <row r="2150" ht="15.75" customHeight="1">
      <c r="A2150" s="1" t="s">
        <v>4171</v>
      </c>
      <c r="B2150" s="1" t="s">
        <v>4172</v>
      </c>
      <c r="C2150" s="1" t="str">
        <f>IFERROR(__xludf.DUMMYFUNCTION("CONCATENATE(GOOGLETRANSLATE(B2150, ""en"", ""zh-cn""))"),"产品收集")</f>
        <v>产品收集</v>
      </c>
      <c r="D2150" s="1" t="str">
        <f>IFERROR(__xludf.DUMMYFUNCTION("CONCATENATE(GOOGLETRANSLATE(B2150, ""en"", ""ko""))"),"제품 수집")</f>
        <v>제품 수집</v>
      </c>
      <c r="E2150" s="2" t="str">
        <f>IFERROR(__xludf.DUMMYFUNCTION("CONCATENATE(GOOGLETRANSLATE(B2150, ""en"", ""ja""))"),"製品の収集")</f>
        <v>製品の収集</v>
      </c>
    </row>
    <row r="2151" ht="15.75" customHeight="1">
      <c r="A2151" s="1" t="s">
        <v>4173</v>
      </c>
      <c r="B2151" s="1" t="s">
        <v>4174</v>
      </c>
      <c r="C2151" s="1" t="str">
        <f>IFERROR(__xludf.DUMMYFUNCTION("CONCATENATE(GOOGLETRANSLATE(B2151, ""en"", ""zh-cn""))"),"来源")</f>
        <v>来源</v>
      </c>
      <c r="D2151" s="1" t="str">
        <f>IFERROR(__xludf.DUMMYFUNCTION("CONCATENATE(GOOGLETRANSLATE(B2151, ""en"", ""ko""))"),"원천")</f>
        <v>원천</v>
      </c>
      <c r="E2151" s="2" t="str">
        <f>IFERROR(__xludf.DUMMYFUNCTION("CONCATENATE(GOOGLETRANSLATE(B2151, ""en"", ""ja""))"),"ソース")</f>
        <v>ソース</v>
      </c>
    </row>
    <row r="2152" ht="15.75" customHeight="1">
      <c r="A2152" s="1" t="s">
        <v>4175</v>
      </c>
      <c r="B2152" s="1" t="s">
        <v>4176</v>
      </c>
      <c r="C2152" s="1" t="str">
        <f>IFERROR(__xludf.DUMMYFUNCTION("CONCATENATE(GOOGLETRANSLATE(B2152, ""en"", ""zh-cn""))"),"速度")</f>
        <v>速度</v>
      </c>
      <c r="D2152" s="1" t="str">
        <f>IFERROR(__xludf.DUMMYFUNCTION("CONCATENATE(GOOGLETRANSLATE(B2152, ""en"", ""ko""))"),"비율")</f>
        <v>비율</v>
      </c>
      <c r="E2152" s="2" t="str">
        <f>IFERROR(__xludf.DUMMYFUNCTION("CONCATENATE(GOOGLETRANSLATE(B2152, ""en"", ""ja""))"),"レート")</f>
        <v>レート</v>
      </c>
    </row>
    <row r="2153" ht="15.75" customHeight="1">
      <c r="A2153" s="1" t="s">
        <v>4177</v>
      </c>
      <c r="B2153" s="1" t="s">
        <v>4178</v>
      </c>
      <c r="C2153" s="1" t="str">
        <f>IFERROR(__xludf.DUMMYFUNCTION("CONCATENATE(GOOGLETRANSLATE(B2153, ""en"", ""zh-cn""))"),"产品储存")</f>
        <v>产品储存</v>
      </c>
      <c r="D2153" s="1" t="str">
        <f>IFERROR(__xludf.DUMMYFUNCTION("CONCATENATE(GOOGLETRANSLATE(B2153, ""en"", ""ko""))"),"제품 보관")</f>
        <v>제품 보관</v>
      </c>
      <c r="E2153" s="2" t="str">
        <f>IFERROR(__xludf.DUMMYFUNCTION("CONCATENATE(GOOGLETRANSLATE(B2153, ""en"", ""ja""))"),"製品保管")</f>
        <v>製品保管</v>
      </c>
    </row>
    <row r="2154" ht="15.75" customHeight="1">
      <c r="A2154" s="1" t="s">
        <v>4179</v>
      </c>
      <c r="B2154" s="1" t="s">
        <v>4180</v>
      </c>
      <c r="C2154" s="1" t="str">
        <f>IFERROR(__xludf.DUMMYFUNCTION("CONCATENATE(GOOGLETRANSLATE(B2154, ""en"", ""zh-cn""))"),"产品删除")</f>
        <v>产品删除</v>
      </c>
      <c r="D2154" s="1" t="str">
        <f>IFERROR(__xludf.DUMMYFUNCTION("CONCATENATE(GOOGLETRANSLATE(B2154, ""en"", ""ko""))"),"상품삭제")</f>
        <v>상품삭제</v>
      </c>
      <c r="E2154" s="2" t="str">
        <f>IFERROR(__xludf.DUMMYFUNCTION("CONCATENATE(GOOGLETRANSLATE(B2154, ""en"", ""ja""))"),"製品の削除")</f>
        <v>製品の削除</v>
      </c>
    </row>
    <row r="2155" ht="15.75" customHeight="1">
      <c r="A2155" s="1" t="s">
        <v>4181</v>
      </c>
      <c r="B2155" s="1" t="s">
        <v>4182</v>
      </c>
      <c r="C2155" s="1" t="str">
        <f>IFERROR(__xludf.DUMMYFUNCTION("CONCATENATE(GOOGLETRANSLATE(B2155, ""en"", ""zh-cn""))"),"属性信息")</f>
        <v>属性信息</v>
      </c>
      <c r="D2155" s="1" t="str">
        <f>IFERROR(__xludf.DUMMYFUNCTION("CONCATENATE(GOOGLETRANSLATE(B2155, ""en"", ""ko""))"),"속성정보")</f>
        <v>속성정보</v>
      </c>
      <c r="E2155" s="2" t="str">
        <f>IFERROR(__xludf.DUMMYFUNCTION("CONCATENATE(GOOGLETRANSLATE(B2155, ""en"", ""ja""))"),"属性情報")</f>
        <v>属性情報</v>
      </c>
    </row>
    <row r="2156" ht="15.75" customHeight="1">
      <c r="A2156" s="1" t="s">
        <v>4183</v>
      </c>
      <c r="B2156" s="1" t="s">
        <v>4184</v>
      </c>
      <c r="C2156" s="1" t="str">
        <f>IFERROR(__xludf.DUMMYFUNCTION("CONCATENATE(GOOGLETRANSLATE(B2156, ""en"", ""zh-cn""))"),"分布配置")</f>
        <v>分布配置</v>
      </c>
      <c r="D2156" s="1" t="str">
        <f>IFERROR(__xludf.DUMMYFUNCTION("CONCATENATE(GOOGLETRANSLATE(B2156, ""en"", ""ko""))"),"배포 구성")</f>
        <v>배포 구성</v>
      </c>
      <c r="E2156" s="2" t="str">
        <f>IFERROR(__xludf.DUMMYFUNCTION("CONCATENATE(GOOGLETRANSLATE(B2156, ""en"", ""ja""))"),"配布構成")</f>
        <v>配布構成</v>
      </c>
    </row>
    <row r="2157" ht="15.75" customHeight="1">
      <c r="A2157" s="1" t="s">
        <v>4185</v>
      </c>
      <c r="B2157" s="1" t="s">
        <v>4186</v>
      </c>
      <c r="C2157" s="1" t="str">
        <f>IFERROR(__xludf.DUMMYFUNCTION("CONCATENATE(GOOGLETRANSLATE(B2157, ""en"", ""zh-cn""))"),"一级佣金比例")</f>
        <v>一级佣金比例</v>
      </c>
      <c r="D2157" s="1" t="str">
        <f>IFERROR(__xludf.DUMMYFUNCTION("CONCATENATE(GOOGLETRANSLATE(B2157, ""en"", ""ko""))"),"一级佣金比例")</f>
        <v>一级佣金比例</v>
      </c>
      <c r="E2157" s="2" t="str">
        <f>IFERROR(__xludf.DUMMYFUNCTION("CONCATENATE(GOOGLETRANSLATE(B2157, ""en"", ""ja""))"),"一级佣金比率")</f>
        <v>一级佣金比率</v>
      </c>
    </row>
    <row r="2158" ht="15.75" customHeight="1">
      <c r="A2158" s="1" t="s">
        <v>4187</v>
      </c>
      <c r="B2158" s="1" t="s">
        <v>4188</v>
      </c>
      <c r="C2158" s="1" t="str">
        <f>IFERROR(__xludf.DUMMYFUNCTION("CONCATENATE(GOOGLETRANSLATE(B2158, ""en"", ""zh-cn""))"),"所有类别")</f>
        <v>所有类别</v>
      </c>
      <c r="D2158" s="1" t="str">
        <f>IFERROR(__xludf.DUMMYFUNCTION("CONCATENATE(GOOGLETRANSLATE(B2158, ""en"", ""ko""))"),"모든 카테고리")</f>
        <v>모든 카테고리</v>
      </c>
      <c r="E2158" s="2" t="str">
        <f>IFERROR(__xludf.DUMMYFUNCTION("CONCATENATE(GOOGLETRANSLATE(B2158, ""en"", ""ja""))"),"すべてのカテゴリ")</f>
        <v>すべてのカテゴリ</v>
      </c>
    </row>
    <row r="2159" ht="15.75" customHeight="1">
      <c r="A2159" s="1" t="s">
        <v>4189</v>
      </c>
      <c r="B2159" s="1" t="s">
        <v>4190</v>
      </c>
      <c r="C2159" s="1" t="str">
        <f>IFERROR(__xludf.DUMMYFUNCTION("CONCATENATE(GOOGLETRANSLATE(B2159, ""en"", ""zh-cn""))"),"总卖家")</f>
        <v>总卖家</v>
      </c>
      <c r="D2159" s="1" t="str">
        <f>IFERROR(__xludf.DUMMYFUNCTION("CONCATENATE(GOOGLETRANSLATE(B2159, ""en"", ""ko""))"),"총판매자")</f>
        <v>총판매자</v>
      </c>
      <c r="E2159" s="2" t="str">
        <f>IFERROR(__xludf.DUMMYFUNCTION("CONCATENATE(GOOGLETRANSLATE(B2159, ""en"", ""ja""))"),"総売り手")</f>
        <v>総売り手</v>
      </c>
    </row>
    <row r="2160" ht="15.75" customHeight="1">
      <c r="A2160" s="1" t="s">
        <v>4191</v>
      </c>
      <c r="B2160" s="1" t="s">
        <v>4192</v>
      </c>
      <c r="C2160" s="1" t="str">
        <f>IFERROR(__xludf.DUMMYFUNCTION("CONCATENATE(GOOGLETRANSLATE(B2160, ""en"", ""zh-cn""))"),"总经纪业务")</f>
        <v>总经纪业务</v>
      </c>
      <c r="D2160" s="1" t="str">
        <f>IFERROR(__xludf.DUMMYFUNCTION("CONCATENATE(GOOGLETRANSLATE(B2160, ""en"", ""ko""))"),"총중개")</f>
        <v>총중개</v>
      </c>
      <c r="E2160" s="2" t="str">
        <f>IFERROR(__xludf.DUMMYFUNCTION("CONCATENATE(GOOGLETRANSLATE(B2160, ""en"", ""ja""))"),"総合仲介")</f>
        <v>総合仲介</v>
      </c>
    </row>
    <row r="2161" ht="15.75" customHeight="1">
      <c r="A2161" s="1" t="s">
        <v>4193</v>
      </c>
      <c r="B2161" s="1" t="s">
        <v>4194</v>
      </c>
      <c r="C2161" s="1" t="str">
        <f>IFERROR(__xludf.DUMMYFUNCTION("CONCATENATE(GOOGLETRANSLATE(B2161, ""en"", ""zh-cn""))")," 已被拾取")</f>
        <v> 已被拾取</v>
      </c>
      <c r="D2161" s="1" t="str">
        <f>IFERROR(__xludf.DUMMYFUNCTION("CONCATENATE(GOOGLETRANSLATE(B2161, ""en"", ""ko""))")," 픽업되었습니다")</f>
        <v> 픽업되었습니다</v>
      </c>
      <c r="E2161" s="2" t="str">
        <f>IFERROR(__xludf.DUMMYFUNCTION("CONCATENATE(GOOGLETRANSLATE(B2161, ""en"", ""ja""))")," ピックアップされました")</f>
        <v> ピックアップされました</v>
      </c>
    </row>
    <row r="2162" ht="15.75" customHeight="1">
      <c r="A2162" s="1" t="s">
        <v>4195</v>
      </c>
      <c r="B2162" s="1" t="s">
        <v>4196</v>
      </c>
      <c r="C2162" s="1" t="str">
        <f>IFERROR(__xludf.DUMMYFUNCTION("CONCATENATE(GOOGLETRANSLATE(B2162, ""en"", ""zh-cn""))")," 已待处理")</f>
        <v> 已待处理</v>
      </c>
      <c r="D2162" s="1" t="str">
        <f>IFERROR(__xludf.DUMMYFUNCTION("CONCATENATE(GOOGLETRANSLATE(B2162, ""en"", ""ko""))")," 보류 중입니다")</f>
        <v> 보류 중입니다</v>
      </c>
      <c r="E2162" s="2" t="str">
        <f>IFERROR(__xludf.DUMMYFUNCTION("CONCATENATE(GOOGLETRANSLATE(B2162, ""en"", ""ja""))")," 保留中です")</f>
        <v> 保留中です</v>
      </c>
    </row>
    <row r="2163" ht="15.75" customHeight="1">
      <c r="A2163" s="1" t="s">
        <v>4197</v>
      </c>
      <c r="B2163" s="1" t="s">
        <v>4198</v>
      </c>
      <c r="C2163" s="1" t="str">
        <f>IFERROR(__xludf.DUMMYFUNCTION("CONCATENATE(GOOGLETRANSLATE(B2163, ""en"", ""zh-cn""))"),"由于管理员")</f>
        <v>由于管理员</v>
      </c>
      <c r="D2163" s="1" t="str">
        <f>IFERROR(__xludf.DUMMYFUNCTION("CONCATENATE(GOOGLETRANSLATE(B2163, ""en"", ""ko""))"),"관리자로 인해")</f>
        <v>관리자로 인해</v>
      </c>
      <c r="E2163" s="2" t="str">
        <f>IFERROR(__xludf.DUMMYFUNCTION("CONCATENATE(GOOGLETRANSLATE(B2163, ""en"", ""ja""))"),"管理者のせいで")</f>
        <v>管理者のせいで</v>
      </c>
    </row>
    <row r="2164" ht="15.75" customHeight="1">
      <c r="A2164" s="1" t="s">
        <v>4199</v>
      </c>
      <c r="B2164" s="1" t="s">
        <v>4200</v>
      </c>
      <c r="C2164" s="1" t="str">
        <f>IFERROR(__xludf.DUMMYFUNCTION("CONCATENATE(GOOGLETRANSLATE(B2164, ""en"", ""zh-cn""))"),"订单号")</f>
        <v>订单号</v>
      </c>
      <c r="D2164" s="1" t="str">
        <f>IFERROR(__xludf.DUMMYFUNCTION("CONCATENATE(GOOGLETRANSLATE(B2164, ""en"", ""ko""))"),"주문 번호")</f>
        <v>주문 번호</v>
      </c>
      <c r="E2164" s="2" t="str">
        <f>IFERROR(__xludf.DUMMYFUNCTION("CONCATENATE(GOOGLETRANSLATE(B2164, ""en"", ""ja""))"),"注文番号")</f>
        <v>注文番号</v>
      </c>
    </row>
    <row r="2165" ht="15.75" customHeight="1">
      <c r="A2165" s="1" t="s">
        <v>4201</v>
      </c>
      <c r="B2165" s="1" t="s">
        <v>4202</v>
      </c>
      <c r="C2165" s="1" t="str">
        <f>IFERROR(__xludf.DUMMYFUNCTION("CONCATENATE(GOOGLETRANSLATE(B2165, ""en"", ""zh-cn""))"),"经纪金额")</f>
        <v>经纪金额</v>
      </c>
      <c r="D2165" s="1" t="str">
        <f>IFERROR(__xludf.DUMMYFUNCTION("CONCATENATE(GOOGLETRANSLATE(B2165, ""en"", ""ko""))"),"중개금액")</f>
        <v>중개금액</v>
      </c>
      <c r="E2165" s="2" t="str">
        <f>IFERROR(__xludf.DUMMYFUNCTION("CONCATENATE(GOOGLETRANSLATE(B2165, ""en"", ""ja""))"),"仲介金額")</f>
        <v>仲介金額</v>
      </c>
    </row>
    <row r="2166" ht="15.75" customHeight="1">
      <c r="A2166" s="1" t="s">
        <v>4203</v>
      </c>
      <c r="B2166" s="1" t="s">
        <v>4204</v>
      </c>
      <c r="C2166" s="1" t="str">
        <f>IFERROR(__xludf.DUMMYFUNCTION("CONCATENATE(GOOGLETRANSLATE(B2166, ""en"", ""zh-cn""))"),"卖家价差套餐")</f>
        <v>卖家价差套餐</v>
      </c>
      <c r="D2166" s="1" t="str">
        <f>IFERROR(__xludf.DUMMYFUNCTION("CONCATENATE(GOOGLETRANSLATE(B2166, ""en"", ""ko""))"),"판매자 스프레드 패키지")</f>
        <v>판매자 스프레드 패키지</v>
      </c>
      <c r="E2166" s="2" t="str">
        <f>IFERROR(__xludf.DUMMYFUNCTION("CONCATENATE(GOOGLETRANSLATE(B2166, ""en"", ""ja""))"),"セラースプレッドパッケージ")</f>
        <v>セラースプレッドパッケージ</v>
      </c>
    </row>
    <row r="2167" ht="15.75" customHeight="1">
      <c r="A2167" s="1" t="s">
        <v>4205</v>
      </c>
      <c r="B2167" s="1" t="s">
        <v>4206</v>
      </c>
      <c r="C2167" s="1" t="str">
        <f>IFERROR(__xludf.DUMMYFUNCTION("CONCATENATE(GOOGLETRANSLATE(B2167, ""en"", ""zh-cn""))"),"产品点差限制")</f>
        <v>产品点差限制</v>
      </c>
      <c r="D2167" s="1" t="str">
        <f>IFERROR(__xludf.DUMMYFUNCTION("CONCATENATE(GOOGLETRANSLATE(B2167, ""en"", ""ko""))"),"제품 스프레드 한도")</f>
        <v>제품 스프레드 한도</v>
      </c>
      <c r="E2167" s="2" t="str">
        <f>IFERROR(__xludf.DUMMYFUNCTION("CONCATENATE(GOOGLETRANSLATE(B2167, ""en"", ""ja""))"),"製品の普及制限")</f>
        <v>製品の普及制限</v>
      </c>
    </row>
    <row r="2168" ht="15.75" customHeight="1">
      <c r="A2168" s="1" t="s">
        <v>4207</v>
      </c>
      <c r="B2168" s="1" t="s">
        <v>4208</v>
      </c>
      <c r="C2168" s="1" t="str">
        <f>IFERROR(__xludf.DUMMYFUNCTION("CONCATENATE(GOOGLETRANSLATE(B2168, ""en"", ""zh-cn""))"),"自定义文本")</f>
        <v>自定义文本</v>
      </c>
      <c r="D2168" s="1" t="str">
        <f>IFERROR(__xludf.DUMMYFUNCTION("CONCATENATE(GOOGLETRANSLATE(B2168, ""en"", ""ko""))"),"맞춤 텍스트")</f>
        <v>맞춤 텍스트</v>
      </c>
      <c r="E2168" s="2" t="str">
        <f>IFERROR(__xludf.DUMMYFUNCTION("CONCATENATE(GOOGLETRANSLATE(B2168, ""en"", ""ja""))"),"カスタムテキスト")</f>
        <v>カスタムテキスト</v>
      </c>
    </row>
    <row r="2169" ht="15.75" customHeight="1">
      <c r="A2169" s="1" t="s">
        <v>4209</v>
      </c>
      <c r="B2169" s="1" t="s">
        <v>4210</v>
      </c>
      <c r="C2169" s="1" t="str">
        <f>IFERROR(__xludf.DUMMYFUNCTION("CONCATENATE(GOOGLETRANSLATE(B2169, ""en"", ""zh-cn""))"),"传播套餐")</f>
        <v>传播套餐</v>
      </c>
      <c r="D2169" s="1" t="str">
        <f>IFERROR(__xludf.DUMMYFUNCTION("CONCATENATE(GOOGLETRANSLATE(B2169, ""en"", ""ko""))"),"스프레드 패키지")</f>
        <v>스프레드 패키지</v>
      </c>
      <c r="E2169" s="2" t="str">
        <f>IFERROR(__xludf.DUMMYFUNCTION("CONCATENATE(GOOGLETRANSLATE(B2169, ""en"", ""ja""))"),"スプレッドパッケージ")</f>
        <v>スプレッドパッケージ</v>
      </c>
    </row>
    <row r="2170" ht="15.75" customHeight="1">
      <c r="A2170" s="1" t="s">
        <v>4211</v>
      </c>
      <c r="B2170" s="1" t="s">
        <v>4212</v>
      </c>
      <c r="C2170" s="1" t="str">
        <f>IFERROR(__xludf.DUMMYFUNCTION("CONCATENATE(GOOGLETRANSLATE(B2170, ""en"", ""zh-cn""))"),"购买价差套餐")</f>
        <v>购买价差套餐</v>
      </c>
      <c r="D2170" s="1" t="str">
        <f>IFERROR(__xludf.DUMMYFUNCTION("CONCATENATE(GOOGLETRANSLATE(B2170, ""en"", ""ko""))"),"스프레드 패키지 구매")</f>
        <v>스프레드 패키지 구매</v>
      </c>
      <c r="E2170" s="2" t="str">
        <f>IFERROR(__xludf.DUMMYFUNCTION("CONCATENATE(GOOGLETRANSLATE(B2170, ""en"", ""ja""))"),"スプレッドパッケージを購入する")</f>
        <v>スプレッドパッケージを購入する</v>
      </c>
    </row>
    <row r="2171" ht="15.75" customHeight="1">
      <c r="A2171" s="1" t="s">
        <v>4213</v>
      </c>
      <c r="B2171" s="1" t="s">
        <v>4214</v>
      </c>
      <c r="C2171" s="1" t="str">
        <f>IFERROR(__xludf.DUMMYFUNCTION("CONCATENATE(GOOGLETRANSLATE(B2171, ""en"", ""zh-cn""))"),"线下卖家价差套餐付款")</f>
        <v>线下卖家价差套餐付款</v>
      </c>
      <c r="D2171" s="1" t="str">
        <f>IFERROR(__xludf.DUMMYFUNCTION("CONCATENATE(GOOGLETRANSLATE(B2171, ""en"", ""ko""))"),"오프라인 판매자 스프레드 패키지 결제")</f>
        <v>오프라인 판매자 스프레드 패키지 결제</v>
      </c>
      <c r="E2171" s="2" t="str">
        <f>IFERROR(__xludf.DUMMYFUNCTION("CONCATENATE(GOOGLETRANSLATE(B2171, ""en"", ""ja""))"),"オフライン販売者のスプレッドパッケージ支払い")</f>
        <v>オフライン販売者のスプレッドパッケージ支払い</v>
      </c>
    </row>
    <row r="2172" ht="15.75" customHeight="1">
      <c r="A2172" s="1" t="s">
        <v>4215</v>
      </c>
      <c r="B2172" s="1" t="s">
        <v>4216</v>
      </c>
      <c r="C2172" s="1" t="str">
        <f>IFERROR(__xludf.DUMMYFUNCTION("CONCATENATE(GOOGLETRANSLATE(B2172, ""en"", ""zh-cn""))"),"购买点差套餐清单")</f>
        <v>购买点差套餐清单</v>
      </c>
      <c r="D2172" s="1" t="str">
        <f>IFERROR(__xludf.DUMMYFUNCTION("CONCATENATE(GOOGLETRANSLATE(B2172, ""en"", ""ko""))"),"스프레드 패키지 목록 구매")</f>
        <v>스프레드 패키지 목록 구매</v>
      </c>
      <c r="E2172" s="2" t="str">
        <f>IFERROR(__xludf.DUMMYFUNCTION("CONCATENATE(GOOGLETRANSLATE(B2172, ""en"", ""ja""))"),"購入スプレッドパッケージリスト")</f>
        <v>購入スプレッドパッケージリスト</v>
      </c>
    </row>
    <row r="2173" ht="15.75" customHeight="1">
      <c r="A2173" s="1" t="s">
        <v>4217</v>
      </c>
      <c r="B2173" s="1" t="s">
        <v>4218</v>
      </c>
      <c r="C2173" s="1" t="str">
        <f>IFERROR(__xludf.DUMMYFUNCTION("CONCATENATE(GOOGLETRANSLATE(B2173, ""en"", ""zh-cn""))"),"全部购买价差套餐")</f>
        <v>全部购买价差套餐</v>
      </c>
      <c r="D2173" s="1" t="str">
        <f>IFERROR(__xludf.DUMMYFUNCTION("CONCATENATE(GOOGLETRANSLATE(B2173, ""en"", ""ko""))"),"모든 구매 확산 패키지")</f>
        <v>모든 구매 확산 패키지</v>
      </c>
      <c r="E2173" s="2" t="str">
        <f>IFERROR(__xludf.DUMMYFUNCTION("CONCATENATE(GOOGLETRANSLATE(B2173, ""en"", ""ja""))"),"全購入スプレッドパッケージ")</f>
        <v>全購入スプレッドパッケージ</v>
      </c>
    </row>
    <row r="2174" ht="15.75" customHeight="1">
      <c r="A2174" s="1" t="s">
        <v>4219</v>
      </c>
      <c r="B2174" s="1" t="s">
        <v>4220</v>
      </c>
      <c r="C2174" s="1" t="str">
        <f>IFERROR(__xludf.DUMMYFUNCTION("CONCATENATE(GOOGLETRANSLATE(B2174, ""en"", ""zh-cn""))"),"选择价差套餐")</f>
        <v>选择价差套餐</v>
      </c>
      <c r="D2174" s="1" t="str">
        <f>IFERROR(__xludf.DUMMYFUNCTION("CONCATENATE(GOOGLETRANSLATE(B2174, ""en"", ""ko""))"),"스프레드 패키지 선택")</f>
        <v>스프레드 패키지 선택</v>
      </c>
      <c r="E2174" s="2" t="str">
        <f>IFERROR(__xludf.DUMMYFUNCTION("CONCATENATE(GOOGLETRANSLATE(B2174, ""en"", ""ja""))"),"スプレッドパッケージの選択")</f>
        <v>スプレッドパッケージの選択</v>
      </c>
    </row>
    <row r="2175" ht="15.75" customHeight="1">
      <c r="A2175" s="1" t="s">
        <v>4221</v>
      </c>
      <c r="B2175" s="1" t="s">
        <v>4222</v>
      </c>
      <c r="C2175" s="1" t="str">
        <f>IFERROR(__xludf.DUMMYFUNCTION("CONCATENATE(GOOGLETRANSLATE(B2175, ""en"", ""zh-cn""))"),"传播套餐")</f>
        <v>传播套餐</v>
      </c>
      <c r="D2175" s="1" t="str">
        <f>IFERROR(__xludf.DUMMYFUNCTION("CONCATENATE(GOOGLETRANSLATE(B2175, ""en"", ""ko""))"),"스프레드 패키지")</f>
        <v>스프레드 패키지</v>
      </c>
      <c r="E2175" s="2" t="str">
        <f>IFERROR(__xludf.DUMMYFUNCTION("CONCATENATE(GOOGLETRANSLATE(B2175, ""en"", ""ja""))"),"スプレッドパッケージ")</f>
        <v>スプレッドパッケージ</v>
      </c>
    </row>
    <row r="2176" ht="15.75" customHeight="1">
      <c r="A2176" s="1" t="s">
        <v>4223</v>
      </c>
      <c r="B2176" s="1" t="s">
        <v>4224</v>
      </c>
      <c r="C2176" s="1" t="str">
        <f>IFERROR(__xludf.DUMMYFUNCTION("CONCATENATE(GOOGLETRANSLATE(B2176, ""en"", ""zh-cn""))"),"产品已成功推广")</f>
        <v>产品已成功推广</v>
      </c>
      <c r="D2176" s="1" t="str">
        <f>IFERROR(__xludf.DUMMYFUNCTION("CONCATENATE(GOOGLETRANSLATE(B2176, ""en"", ""ko""))"),"제품이 성공적으로 배포되었습니다.")</f>
        <v>제품이 성공적으로 배포되었습니다.</v>
      </c>
      <c r="E2176" s="2" t="str">
        <f>IFERROR(__xludf.DUMMYFUNCTION("CONCATENATE(GOOGLETRANSLATE(B2176, ""en"", ""ja""))"),"製品の普及に成功しました")</f>
        <v>製品の普及に成功しました</v>
      </c>
    </row>
    <row r="2177" ht="15.75" customHeight="1">
      <c r="A2177" s="1" t="s">
        <v>4225</v>
      </c>
      <c r="B2177" s="1" t="s">
        <v>4225</v>
      </c>
      <c r="C2177" s="1" t="str">
        <f>IFERROR(__xludf.DUMMYFUNCTION("CONCATENATE(GOOGLETRANSLATE(B2177, ""en"", ""zh-cn""))"),"提取")</f>
        <v>提取</v>
      </c>
      <c r="D2177" s="1" t="str">
        <f>IFERROR(__xludf.DUMMYFUNCTION("CONCATENATE(GOOGLETRANSLATE(B2177, ""en"", ""ko""))"),"철회하다")</f>
        <v>철회하다</v>
      </c>
      <c r="E2177" s="2" t="str">
        <f>IFERROR(__xludf.DUMMYFUNCTION("CONCATENATE(GOOGLETRANSLATE(B2177, ""en"", ""ja""))"),"撤回する")</f>
        <v>撤回する</v>
      </c>
    </row>
    <row r="2178" ht="15.75" customHeight="1">
      <c r="A2178" s="1" t="s">
        <v>4226</v>
      </c>
      <c r="B2178" s="1" t="s">
        <v>6</v>
      </c>
      <c r="C2178" s="1" t="str">
        <f>IFERROR(__xludf.DUMMYFUNCTION("CONCATENATE(GOOGLETRANSLATE(B2178, ""en"", ""zh-cn""))"),"提款请求")</f>
        <v>提款请求</v>
      </c>
      <c r="D2178" s="1" t="str">
        <f>IFERROR(__xludf.DUMMYFUNCTION("CONCATENATE(GOOGLETRANSLATE(B2178, ""en"", ""ko""))"),"출금요청")</f>
        <v>출금요청</v>
      </c>
      <c r="E2178" s="2" t="str">
        <f>IFERROR(__xludf.DUMMYFUNCTION("CONCATENATE(GOOGLETRANSLATE(B2178, ""en"", ""ja""))"),"出金リクエスト")</f>
        <v>出金リクエスト</v>
      </c>
    </row>
    <row r="2179" ht="15.75" customHeight="1">
      <c r="A2179" s="1" t="s">
        <v>4227</v>
      </c>
      <c r="B2179" s="1" t="s">
        <v>4228</v>
      </c>
      <c r="C2179" s="1" t="str">
        <f>IFERROR(__xludf.DUMMYFUNCTION("CONCATENATE(GOOGLETRANSLATE(B2179, ""en"", ""zh-cn""))"),"推销员评论开关")</f>
        <v>推销员评论开关</v>
      </c>
      <c r="D2179" s="1" t="str">
        <f>IFERROR(__xludf.DUMMYFUNCTION("CONCATENATE(GOOGLETRANSLATE(B2179, ""en"", ""ko""))"),"세일즈맨 리뷰 스위치")</f>
        <v>세일즈맨 리뷰 스위치</v>
      </c>
      <c r="E2179" s="2" t="str">
        <f>IFERROR(__xludf.DUMMYFUNCTION("CONCATENATE(GOOGLETRANSLATE(B2179, ""en"", ""ja""))"),"セールスマンレビュースイッチ")</f>
        <v>セールスマンレビュースイッチ</v>
      </c>
    </row>
    <row r="2180" ht="15.75" customHeight="1">
      <c r="A2180" s="1" t="s">
        <v>4229</v>
      </c>
      <c r="B2180" s="1" t="s">
        <v>4229</v>
      </c>
      <c r="C2180" s="1" t="str">
        <f>IFERROR(__xludf.DUMMYFUNCTION("CONCATENATE(GOOGLETRANSLATE(B2180, ""en"", ""zh-cn""))"),"身份证")</f>
        <v>身份证</v>
      </c>
      <c r="D2180" s="1" t="str">
        <f>IFERROR(__xludf.DUMMYFUNCTION("CONCATENATE(GOOGLETRANSLATE(B2180, ""en"", ""ko""))"),"신분증")</f>
        <v>신분증</v>
      </c>
      <c r="E2180" s="2" t="str">
        <f>IFERROR(__xludf.DUMMYFUNCTION("CONCATENATE(GOOGLETRANSLATE(B2180, ""en"", ""ja""))"),"IDカード")</f>
        <v>IDカード</v>
      </c>
    </row>
    <row r="2181" ht="15.75" customHeight="1">
      <c r="A2181" s="1" t="s">
        <v>4230</v>
      </c>
      <c r="B2181" s="1" t="s">
        <v>4231</v>
      </c>
      <c r="C2181" s="1" t="str">
        <f>IFERROR(__xludf.DUMMYFUNCTION("CONCATENATE(GOOGLETRANSLATE(B2181, ""en"", ""zh-cn""))"),"更新货币")</f>
        <v>更新货币</v>
      </c>
      <c r="D2181" s="1" t="str">
        <f>IFERROR(__xludf.DUMMYFUNCTION("CONCATENATE(GOOGLETRANSLATE(B2181, ""en"", ""ko""))"),"통화 업데이트")</f>
        <v>통화 업데이트</v>
      </c>
      <c r="E2181" s="2" t="str">
        <f>IFERROR(__xludf.DUMMYFUNCTION("CONCATENATE(GOOGLETRANSLATE(B2181, ""en"", ""ja""))"),"通貨の更新")</f>
        <v>通貨の更新</v>
      </c>
    </row>
    <row r="2182" ht="15.75" customHeight="1">
      <c r="A2182" s="1" t="s">
        <v>4232</v>
      </c>
      <c r="B2182" s="1" t="s">
        <v>4233</v>
      </c>
      <c r="C2182" s="1" t="str">
        <f>IFERROR(__xludf.DUMMYFUNCTION("CONCATENATE(GOOGLETRANSLATE(B2182, ""en"", ""zh-cn""))"),"货币更新成功")</f>
        <v>货币更新成功</v>
      </c>
      <c r="D2182" s="1" t="str">
        <f>IFERROR(__xludf.DUMMYFUNCTION("CONCATENATE(GOOGLETRANSLATE(B2182, ""en"", ""ko""))"),"통화가 업데이트되었습니다.")</f>
        <v>통화가 업데이트되었습니다.</v>
      </c>
      <c r="E2182" s="2" t="str">
        <f>IFERROR(__xludf.DUMMYFUNCTION("CONCATENATE(GOOGLETRANSLATE(B2182, ""en"", ""ja""))"),"通貨が正常に更新されました")</f>
        <v>通貨が正常に更新されました</v>
      </c>
    </row>
    <row r="2183" ht="15.75" customHeight="1">
      <c r="A2183" s="1" t="s">
        <v>4234</v>
      </c>
      <c r="B2183" s="1" t="s">
        <v>4235</v>
      </c>
      <c r="C2183" s="1" t="str">
        <f>IFERROR(__xludf.DUMMYFUNCTION("CONCATENATE(GOOGLETRANSLATE(B2183, ""en"", ""zh-cn""))"),"象征")</f>
        <v>象征</v>
      </c>
      <c r="D2183" s="1" t="str">
        <f>IFERROR(__xludf.DUMMYFUNCTION("CONCATENATE(GOOGLETRANSLATE(B2183, ""en"", ""ko""))"),"상징")</f>
        <v>상징</v>
      </c>
      <c r="E2183" s="2" t="str">
        <f>IFERROR(__xludf.DUMMYFUNCTION("CONCATENATE(GOOGLETRANSLATE(B2183, ""en"", ""ja""))"),"シンボル")</f>
        <v>シンボル</v>
      </c>
    </row>
    <row r="2184" ht="15.75" customHeight="1">
      <c r="A2184" s="1" t="s">
        <v>4236</v>
      </c>
      <c r="B2184" s="1" t="s">
        <v>4237</v>
      </c>
      <c r="C2184" s="1" t="str">
        <f>IFERROR(__xludf.DUMMYFUNCTION("CONCATENATE(GOOGLETRANSLATE(B2184, ""en"", ""zh-cn""))"),"您的保证余额：")</f>
        <v>您的保证余额：</v>
      </c>
      <c r="D2184" s="1" t="str">
        <f>IFERROR(__xludf.DUMMYFUNCTION("CONCATENATE(GOOGLETRANSLATE(B2184, ""en"", ""ko""))"),"보증 잔액:")</f>
        <v>보증 잔액:</v>
      </c>
      <c r="E2184" s="2" t="str">
        <f>IFERROR(__xludf.DUMMYFUNCTION("CONCATENATE(GOOGLETRANSLATE(B2184, ""en"", ""ja""))"),"保証残高:")</f>
        <v>保証残高:</v>
      </c>
    </row>
    <row r="2185" ht="15.75" customHeight="1">
      <c r="A2185" s="1" t="s">
        <v>4238</v>
      </c>
      <c r="B2185" s="1" t="s">
        <v>4239</v>
      </c>
      <c r="C2185" s="1" t="str">
        <f>IFERROR(__xludf.DUMMYFUNCTION("CONCATENATE(GOOGLETRANSLATE(B2185, ""en"", ""zh-cn""))"),"用户余额")</f>
        <v>用户余额</v>
      </c>
      <c r="D2185" s="1" t="str">
        <f>IFERROR(__xludf.DUMMYFUNCTION("CONCATENATE(GOOGLETRANSLATE(B2185, ""en"", ""ko""))"),"사용자 잔액")</f>
        <v>사용자 잔액</v>
      </c>
      <c r="E2185" s="2" t="str">
        <f>IFERROR(__xludf.DUMMYFUNCTION("CONCATENATE(GOOGLETRANSLATE(B2185, ""en"", ""ja""))"),"ユーザー残高")</f>
        <v>ユーザー残高</v>
      </c>
    </row>
    <row r="2186" ht="15.75" customHeight="1">
      <c r="A2186" s="1" t="s">
        <v>4240</v>
      </c>
      <c r="B2186" s="1" t="s">
        <v>4241</v>
      </c>
      <c r="C2186" s="1" t="str">
        <f>IFERROR(__xludf.DUMMYFUNCTION("CONCATENATE(GOOGLETRANSLATE(B2186, ""en"", ""zh-cn""))"),"歌剧类型")</f>
        <v>歌剧类型</v>
      </c>
      <c r="D2186" s="1" t="str">
        <f>IFERROR(__xludf.DUMMYFUNCTION("CONCATENATE(GOOGLETRANSLATE(B2186, ""en"", ""ko""))"),"오페라 종류")</f>
        <v>오페라 종류</v>
      </c>
      <c r="E2186" s="2" t="str">
        <f>IFERROR(__xludf.DUMMYFUNCTION("CONCATENATE(GOOGLETRANSLATE(B2186, ""en"", ""ja""))"),"オペラタイプ")</f>
        <v>オペラタイプ</v>
      </c>
    </row>
    <row r="2187" ht="15.75" customHeight="1">
      <c r="A2187" s="1" t="s">
        <v>4242</v>
      </c>
      <c r="B2187" s="1" t="s">
        <v>4243</v>
      </c>
      <c r="C2187" s="1" t="str">
        <f>IFERROR(__xludf.DUMMYFUNCTION("CONCATENATE(GOOGLETRANSLATE(B2187, ""en"", ""zh-cn""))"),"社会保障卡")</f>
        <v>社会保障卡</v>
      </c>
      <c r="D2187" s="1" t="str">
        <f>IFERROR(__xludf.DUMMYFUNCTION("CONCATENATE(GOOGLETRANSLATE(B2187, ""en"", ""ko""))"),"사회 보장 카드")</f>
        <v>사회 보장 카드</v>
      </c>
      <c r="E2187" s="2" t="str">
        <f>IFERROR(__xludf.DUMMYFUNCTION("CONCATENATE(GOOGLETRANSLATE(B2187, ""en"", ""ja""))"),"社会保障カード")</f>
        <v>社会保障カード</v>
      </c>
    </row>
    <row r="2188" ht="15.75" customHeight="1">
      <c r="A2188" s="1" t="s">
        <v>4244</v>
      </c>
      <c r="B2188" s="1" t="s">
        <v>4245</v>
      </c>
      <c r="C2188" s="1" t="str">
        <f>IFERROR(__xludf.DUMMYFUNCTION("CONCATENATE(GOOGLETRANSLATE(B2188, ""en"", ""zh-cn""))"),"驾驶执照")</f>
        <v>驾驶执照</v>
      </c>
      <c r="D2188" s="1" t="str">
        <f>IFERROR(__xludf.DUMMYFUNCTION("CONCATENATE(GOOGLETRANSLATE(B2188, ""en"", ""ko""))"),"운전면허증")</f>
        <v>운전면허증</v>
      </c>
      <c r="E2188" s="2" t="str">
        <f>IFERROR(__xludf.DUMMYFUNCTION("CONCATENATE(GOOGLETRANSLATE(B2188, ""en"", ""ja""))"),"運転免許証")</f>
        <v>運転免許証</v>
      </c>
    </row>
    <row r="2189" ht="15.75" customHeight="1">
      <c r="A2189" s="1" t="s">
        <v>4246</v>
      </c>
      <c r="B2189" s="1" t="s">
        <v>4246</v>
      </c>
      <c r="C2189" s="1" t="str">
        <f>IFERROR(__xludf.DUMMYFUNCTION("CONCATENATE(GOOGLETRANSLATE(B2189, ""en"", ""zh-cn""))"),"护照")</f>
        <v>护照</v>
      </c>
      <c r="D2189" s="1" t="str">
        <f>IFERROR(__xludf.DUMMYFUNCTION("CONCATENATE(GOOGLETRANSLATE(B2189, ""en"", ""ko""))"),"여권")</f>
        <v>여권</v>
      </c>
      <c r="E2189" s="2" t="str">
        <f>IFERROR(__xludf.DUMMYFUNCTION("CONCATENATE(GOOGLETRANSLATE(B2189, ""en"", ""ja""))"),"パスポート")</f>
        <v>パスポート</v>
      </c>
    </row>
    <row r="2190" ht="15.75" customHeight="1">
      <c r="A2190" s="1" t="s">
        <v>4247</v>
      </c>
      <c r="B2190" s="1" t="s">
        <v>4248</v>
      </c>
      <c r="C2190" s="1" t="str">
        <f>IFERROR(__xludf.DUMMYFUNCTION("CONCATENATE(GOOGLETRANSLATE(B2190, ""en"", ""zh-cn""))"),"身份证")</f>
        <v>身份证</v>
      </c>
      <c r="D2190" s="1" t="str">
        <f>IFERROR(__xludf.DUMMYFUNCTION("CONCATENATE(GOOGLETRANSLATE(B2190, ""en"", ""ko""))"),"신분증")</f>
        <v>신분증</v>
      </c>
      <c r="E2190" s="2" t="str">
        <f>IFERROR(__xludf.DUMMYFUNCTION("CONCATENATE(GOOGLETRANSLATE(B2190, ""en"", ""ja""))"),"身分証明書")</f>
        <v>身分証明書</v>
      </c>
    </row>
    <row r="2191" ht="15.75" customHeight="1">
      <c r="A2191" s="1" t="s">
        <v>4249</v>
      </c>
      <c r="B2191" s="1" t="s">
        <v>4250</v>
      </c>
      <c r="C2191" s="1" t="str">
        <f>IFERROR(__xludf.DUMMYFUNCTION("CONCATENATE(GOOGLETRANSLATE(B2191, ""en"", ""zh-cn""))"),"证书类型")</f>
        <v>证书类型</v>
      </c>
      <c r="D2191" s="1" t="str">
        <f>IFERROR(__xludf.DUMMYFUNCTION("CONCATENATE(GOOGLETRANSLATE(B2191, ""en"", ""ko""))"),"인증서 유형")</f>
        <v>인증서 유형</v>
      </c>
      <c r="E2191" s="2" t="str">
        <f>IFERROR(__xludf.DUMMYFUNCTION("CONCATENATE(GOOGLETRANSLATE(B2191, ""en"", ""ja""))"),"証明書の種類")</f>
        <v>証明書の種類</v>
      </c>
    </row>
    <row r="2192" ht="15.75" customHeight="1">
      <c r="A2192" s="1" t="s">
        <v>4251</v>
      </c>
      <c r="B2192" s="1" t="s">
        <v>4252</v>
      </c>
      <c r="C2192" s="1" t="str">
        <f>IFERROR(__xludf.DUMMYFUNCTION("CONCATENATE(GOOGLETRANSLATE(B2192, ""en"", ""zh-cn""))"),"证书返回")</f>
        <v>证书返回</v>
      </c>
      <c r="D2192" s="1" t="str">
        <f>IFERROR(__xludf.DUMMYFUNCTION("CONCATENATE(GOOGLETRANSLATE(B2192, ""en"", ""ko""))"),"인증서 뒤로")</f>
        <v>인증서 뒤로</v>
      </c>
      <c r="E2192" s="2" t="str">
        <f>IFERROR(__xludf.DUMMYFUNCTION("CONCATENATE(GOOGLETRANSLATE(B2192, ""en"", ""ja""))"),"証明書バック")</f>
        <v>証明書バック</v>
      </c>
    </row>
    <row r="2193" ht="15.75" customHeight="1">
      <c r="A2193" s="1" t="s">
        <v>4253</v>
      </c>
      <c r="B2193" s="1" t="s">
        <v>4254</v>
      </c>
      <c r="C2193" s="1" t="str">
        <f>IFERROR(__xludf.DUMMYFUNCTION("CONCATENATE(GOOGLETRANSLATE(B2193, ""en"", ""zh-cn""))"),"证书正面")</f>
        <v>证书正面</v>
      </c>
      <c r="D2193" s="1" t="str">
        <f>IFERROR(__xludf.DUMMYFUNCTION("CONCATENATE(GOOGLETRANSLATE(B2193, ""en"", ""ko""))"),"인증서 앞")</f>
        <v>인증서 앞</v>
      </c>
      <c r="E2193" s="2" t="str">
        <f>IFERROR(__xludf.DUMMYFUNCTION("CONCATENATE(GOOGLETRANSLATE(B2193, ""en"", ""ja""))"),"証明書の表面")</f>
        <v>証明書の表面</v>
      </c>
    </row>
    <row r="2194" ht="15.75" customHeight="1">
      <c r="A2194" s="1" t="s">
        <v>4255</v>
      </c>
      <c r="B2194" s="1" t="s">
        <v>4256</v>
      </c>
      <c r="C2194" s="1" t="str">
        <f>IFERROR(__xludf.DUMMYFUNCTION("CONCATENATE(GOOGLETRANSLATE(B2194, ""en"", ""zh-cn""))"),"保证付款关闭？")</f>
        <v>保证付款关闭？</v>
      </c>
      <c r="D2194" s="1" t="str">
        <f>IFERROR(__xludf.DUMMYFUNCTION("CONCATENATE(GOOGLETRANSLATE(B2194, ""en"", ""ko""))"),"보장 급여 마감?")</f>
        <v>보장 급여 마감?</v>
      </c>
      <c r="E2194" s="2" t="str">
        <f>IFERROR(__xludf.DUMMYFUNCTION("CONCATENATE(GOOGLETRANSLATE(B2194, ""en"", ""ja""))"),"支払い完了を保証しますか?")</f>
        <v>支払い完了を保証しますか?</v>
      </c>
    </row>
    <row r="2195" ht="15.75" customHeight="1">
      <c r="A2195" s="1" t="s">
        <v>4257</v>
      </c>
      <c r="B2195" s="1" t="s">
        <v>4258</v>
      </c>
      <c r="C2195" s="1" t="str">
        <f>IFERROR(__xludf.DUMMYFUNCTION("CONCATENATE(GOOGLETRANSLATE(B2195, ""en"", ""zh-cn""))"),"您应支付保证金")</f>
        <v>您应支付保证金</v>
      </c>
      <c r="D2195" s="1" t="str">
        <f>IFERROR(__xludf.DUMMYFUNCTION("CONCATENATE(GOOGLETRANSLATE(B2195, ""en"", ""ko""))"),"당신은 지불 보증 돈을 가지고")</f>
        <v>당신은 지불 보증 돈을 가지고</v>
      </c>
      <c r="E2195" s="2" t="str">
        <f>IFERROR(__xludf.DUMMYFUNCTION("CONCATENATE(GOOGLETRANSLATE(B2195, ""en"", ""ja""))"),"保証金をお支払いください")</f>
        <v>保証金をお支払いください</v>
      </c>
    </row>
    <row r="2196" ht="15.75" customHeight="1">
      <c r="A2196" s="1" t="s">
        <v>4259</v>
      </c>
      <c r="B2196" s="1" t="s">
        <v>4260</v>
      </c>
      <c r="C2196" s="1" t="str">
        <f>IFERROR(__xludf.DUMMYFUNCTION("CONCATENATE(GOOGLETRANSLATE(B2196, ""en"", ""zh-cn""))"),"前往付款")</f>
        <v>前往付款</v>
      </c>
      <c r="D2196" s="1" t="str">
        <f>IFERROR(__xludf.DUMMYFUNCTION("CONCATENATE(GOOGLETRANSLATE(B2196, ""en"", ""ko""))"),"결제하러 가기")</f>
        <v>결제하러 가기</v>
      </c>
      <c r="E2196" s="2" t="str">
        <f>IFERROR(__xludf.DUMMYFUNCTION("CONCATENATE(GOOGLETRANSLATE(B2196, ""en"", ""ja""))"),"支払いに行く")</f>
        <v>支払いに行く</v>
      </c>
    </row>
    <row r="2197" ht="15.75" customHeight="1">
      <c r="A2197" s="1" t="s">
        <v>4261</v>
      </c>
      <c r="B2197" s="1" t="s">
        <v>4262</v>
      </c>
      <c r="C2197" s="1" t="str">
        <f>IFERROR(__xludf.DUMMYFUNCTION("CONCATENATE(GOOGLETRANSLATE(B2197, ""en"", ""zh-cn""))"),"前往")</f>
        <v>前往</v>
      </c>
      <c r="D2197" s="1" t="str">
        <f>IFERROR(__xludf.DUMMYFUNCTION("CONCATENATE(GOOGLETRANSLATE(B2197, ""en"", ""ko""))"),"이동")</f>
        <v>이동</v>
      </c>
      <c r="E2197" s="2" t="str">
        <f>IFERROR(__xludf.DUMMYFUNCTION("CONCATENATE(GOOGLETRANSLATE(B2197, ""en"", ""ja""))"),"移動")</f>
        <v>移動</v>
      </c>
    </row>
    <row r="2198" ht="15.75" customHeight="1">
      <c r="A2198" s="1" t="s">
        <v>4263</v>
      </c>
      <c r="B2198" s="1" t="s">
        <v>4264</v>
      </c>
      <c r="C2198" s="1" t="str">
        <f>IFERROR(__xludf.DUMMYFUNCTION("CONCATENATE(GOOGLETRANSLATE(B2198, ""en"", ""zh-cn""))"),"您应该支付保证金吗？")</f>
        <v>您应该支付保证金吗？</v>
      </c>
      <c r="D2198" s="1" t="str">
        <f>IFERROR(__xludf.DUMMYFUNCTION("CONCATENATE(GOOGLETRANSLATE(B2198, ""en"", ""ko""))"),"당신은 유료 보증 돈을 가지고 있습니까?")</f>
        <v>당신은 유료 보증 돈을 가지고 있습니까?</v>
      </c>
      <c r="E2198" s="2" t="str">
        <f>IFERROR(__xludf.DUMMYFUNCTION("CONCATENATE(GOOGLETRANSLATE(B2198, ""en"", ""ja""))"),"保証金を支払うべきですか？")</f>
        <v>保証金を支払うべきですか？</v>
      </c>
    </row>
    <row r="2199" ht="15.75" customHeight="1">
      <c r="A2199" s="1" t="s">
        <v>4265</v>
      </c>
      <c r="B2199" s="1" t="s">
        <v>4266</v>
      </c>
      <c r="C2199" s="1" t="str">
        <f>IFERROR(__xludf.DUMMYFUNCTION("CONCATENATE(GOOGLETRANSLATE(B2199, ""en"", ""zh-cn""))"),"余额充值")</f>
        <v>余额充值</v>
      </c>
      <c r="D2199" s="1" t="str">
        <f>IFERROR(__xludf.DUMMYFUNCTION("CONCATENATE(GOOGLETRANSLATE(B2199, ""en"", ""ko""))"),"잔액 충전")</f>
        <v>잔액 충전</v>
      </c>
      <c r="E2199" s="2" t="str">
        <f>IFERROR(__xludf.DUMMYFUNCTION("CONCATENATE(GOOGLETRANSLATE(B2199, ""en"", ""ja""))"),"バランスリチャージ")</f>
        <v>バランスリチャージ</v>
      </c>
    </row>
    <row r="2200" ht="15.75" customHeight="1">
      <c r="A2200" s="1" t="s">
        <v>4267</v>
      </c>
      <c r="B2200" s="1" t="s">
        <v>4268</v>
      </c>
      <c r="C2200" s="1" t="str">
        <f>IFERROR(__xludf.DUMMYFUNCTION("CONCATENATE(GOOGLETRANSLATE(B2200, ""en"", ""zh-cn""))"),"保证充值")</f>
        <v>保证充值</v>
      </c>
      <c r="D2200" s="1" t="str">
        <f>IFERROR(__xludf.DUMMYFUNCTION("CONCATENATE(GOOGLETRANSLATE(B2200, ""en"", ""ko""))"),"충전 보장")</f>
        <v>충전 보장</v>
      </c>
      <c r="E2200" s="2" t="str">
        <f>IFERROR(__xludf.DUMMYFUNCTION("CONCATENATE(GOOGLETRANSLATE(B2200, ""en"", ""ja""))"),"保証リチャージ")</f>
        <v>保証リチャージ</v>
      </c>
    </row>
    <row r="2201" ht="15.75" customHeight="1">
      <c r="A2201" s="1" t="s">
        <v>4269</v>
      </c>
      <c r="B2201" s="1" t="s">
        <v>4269</v>
      </c>
      <c r="C2201" s="1" t="str">
        <f>IFERROR(__xludf.DUMMYFUNCTION("CONCATENATE(GOOGLETRANSLATE(B2201, ""en"", ""zh-cn""))"),"成功地")</f>
        <v>成功地</v>
      </c>
      <c r="D2201" s="1" t="str">
        <f>IFERROR(__xludf.DUMMYFUNCTION("CONCATENATE(GOOGLETRANSLATE(B2201, ""en"", ""ko""))"),"성공적으로")</f>
        <v>성공적으로</v>
      </c>
      <c r="E2201" s="2" t="str">
        <f>IFERROR(__xludf.DUMMYFUNCTION("CONCATENATE(GOOGLETRANSLATE(B2201, ""en"", ""ja""))"),"無事に")</f>
        <v>無事に</v>
      </c>
    </row>
    <row r="2202" ht="15.75" customHeight="1">
      <c r="A2202" s="1" t="s">
        <v>4270</v>
      </c>
      <c r="B2202" s="1" t="s">
        <v>4271</v>
      </c>
      <c r="C2202" s="1" t="str">
        <f>IFERROR(__xludf.DUMMYFUNCTION("CONCATENATE(GOOGLETRANSLATE(B2202, ""en"", ""zh-cn""))"),"是默认的")</f>
        <v>是默认的</v>
      </c>
      <c r="D2202" s="1" t="str">
        <f>IFERROR(__xludf.DUMMYFUNCTION("CONCATENATE(GOOGLETRANSLATE(B2202, ""en"", ""ko""))"),"기본값")</f>
        <v>기본값</v>
      </c>
      <c r="E2202" s="2" t="str">
        <f>IFERROR(__xludf.DUMMYFUNCTION("CONCATENATE(GOOGLETRANSLATE(B2202, ""en"", ""ja""))"),"デフォルトです")</f>
        <v>デフォルトです</v>
      </c>
    </row>
    <row r="2203" ht="15.75" customHeight="1">
      <c r="A2203" s="1" t="s">
        <v>4272</v>
      </c>
      <c r="B2203" s="1" t="s">
        <v>4273</v>
      </c>
      <c r="C2203" s="1" t="str">
        <f>IFERROR(__xludf.DUMMYFUNCTION("CONCATENATE(GOOGLETRANSLATE(B2203, ""en"", ""zh-cn""))"),"设置默认值")</f>
        <v>设置默认值</v>
      </c>
      <c r="D2203" s="1" t="str">
        <f>IFERROR(__xludf.DUMMYFUNCTION("CONCATENATE(GOOGLETRANSLATE(B2203, ""en"", ""ko""))"),"기본값 설정")</f>
        <v>기본값 설정</v>
      </c>
      <c r="E2203" s="2" t="str">
        <f>IFERROR(__xludf.DUMMYFUNCTION("CONCATENATE(GOOGLETRANSLATE(B2203, ""en"", ""ja""))"),"デフォルトの設定")</f>
        <v>デフォルトの設定</v>
      </c>
    </row>
    <row r="2204" ht="15.75" customHeight="1">
      <c r="A2204" s="1" t="s">
        <v>4274</v>
      </c>
      <c r="B2204" s="1" t="s">
        <v>4275</v>
      </c>
      <c r="C2204" s="1" t="str">
        <f>IFERROR(__xludf.DUMMYFUNCTION("CONCATENATE(GOOGLETRANSLATE(B2204, ""en"", ""zh-cn""))"),"成功")</f>
        <v>成功</v>
      </c>
      <c r="D2204" s="1" t="str">
        <f>IFERROR(__xludf.DUMMYFUNCTION("CONCATENATE(GOOGLETRANSLATE(B2204, ""en"", ""ko""))"),"성공")</f>
        <v>성공</v>
      </c>
      <c r="E2204" s="2" t="str">
        <f>IFERROR(__xludf.DUMMYFUNCTION("CONCATENATE(GOOGLETRANSLATE(B2204, ""en"", ""ja""))"),"成功")</f>
        <v>成功</v>
      </c>
    </row>
    <row r="2205" ht="15.75" customHeight="1">
      <c r="A2205" s="1" t="s">
        <v>4276</v>
      </c>
      <c r="B2205" s="1" t="s">
        <v>4277</v>
      </c>
      <c r="C2205" s="1" t="str">
        <f>IFERROR(__xludf.DUMMYFUNCTION("CONCATENATE(GOOGLETRANSLATE(B2205, ""en"", ""zh-cn""))"),"一定要保证吗？")</f>
        <v>一定要保证吗？</v>
      </c>
      <c r="D2205" s="1" t="str">
        <f>IFERROR(__xludf.DUMMYFUNCTION("CONCATENATE(GOOGLETRANSLATE(B2205, ""en"", ""ko""))"),"보증해야 합니까?")</f>
        <v>보증해야 합니까?</v>
      </c>
      <c r="E2205" s="2" t="str">
        <f>IFERROR(__xludf.DUMMYFUNCTION("CONCATENATE(GOOGLETRANSLATE(B2205, ""en"", ""ja""))"),"保証しなければなりませんか?")</f>
        <v>保証しなければなりませんか?</v>
      </c>
    </row>
    <row r="2206" ht="15.75" customHeight="1">
      <c r="A2206" s="1" t="s">
        <v>4278</v>
      </c>
      <c r="B2206" s="1" t="s">
        <v>4279</v>
      </c>
      <c r="C2206" s="1" t="str">
        <f>IFERROR(__xludf.DUMMYFUNCTION("CONCATENATE(GOOGLETRANSLATE(B2206, ""en"", ""zh-cn""))"),"保证金")</f>
        <v>保证金</v>
      </c>
      <c r="D2206" s="1" t="str">
        <f>IFERROR(__xludf.DUMMYFUNCTION("CONCATENATE(GOOGLETRANSLATE(B2206, ""en"", ""ko""))"),"보증금")</f>
        <v>보증금</v>
      </c>
      <c r="E2206" s="2" t="str">
        <f>IFERROR(__xludf.DUMMYFUNCTION("CONCATENATE(GOOGLETRANSLATE(B2206, ""en"", ""ja""))"),"保証金")</f>
        <v>保証金</v>
      </c>
    </row>
    <row r="2207" ht="15.75" customHeight="1">
      <c r="A2207" s="1" t="s">
        <v>4280</v>
      </c>
      <c r="B2207" s="1" t="s">
        <v>4281</v>
      </c>
      <c r="C2207" s="1" t="str">
        <f>IFERROR(__xludf.DUMMYFUNCTION("CONCATENATE(GOOGLETRANSLATE(B2207, ""en"", ""zh-cn""))"),"保证")</f>
        <v>保证</v>
      </c>
      <c r="D2207" s="1" t="str">
        <f>IFERROR(__xludf.DUMMYFUNCTION("CONCATENATE(GOOGLETRANSLATE(B2207, ""en"", ""ko""))"),"보장하다")</f>
        <v>보장하다</v>
      </c>
      <c r="E2207" s="2" t="str">
        <f>IFERROR(__xludf.DUMMYFUNCTION("CONCATENATE(GOOGLETRANSLATE(B2207, ""en"", ""ja""))"),"保証")</f>
        <v>保証</v>
      </c>
    </row>
    <row r="2208" ht="15.75" customHeight="1">
      <c r="A2208" s="1" t="s">
        <v>4282</v>
      </c>
      <c r="B2208" s="1" t="s">
        <v>4283</v>
      </c>
      <c r="C2208" s="1" t="str">
        <f>IFERROR(__xludf.DUMMYFUNCTION("CONCATENATE(GOOGLETRANSLATE(B2208, ""en"", ""zh-cn""))"),"您没有足够的保证余额来发送提款请求")</f>
        <v>您没有足够的保证余额来发送提款请求</v>
      </c>
      <c r="D2208" s="1" t="str">
        <f>IFERROR(__xludf.DUMMYFUNCTION("CONCATENATE(GOOGLETRANSLATE(B2208, ""en"", ""ko""))"),"출금 요청을 보낼 수 있는 보증 잔액이 충분하지 않습니다.")</f>
        <v>출금 요청을 보낼 수 있는 보증 잔액이 충분하지 않습니다.</v>
      </c>
      <c r="E2208" s="2" t="str">
        <f>IFERROR(__xludf.DUMMYFUNCTION("CONCATENATE(GOOGLETRANSLATE(B2208, ""en"", ""ja""))"),"出金リクエストを送信するのに十分な保証残高がありません")</f>
        <v>出金リクエストを送信するのに十分な保証残高がありません</v>
      </c>
    </row>
    <row r="2209" ht="15.75" customHeight="1">
      <c r="A2209" s="1" t="s">
        <v>4284</v>
      </c>
      <c r="B2209" s="1" t="s">
        <v>4285</v>
      </c>
      <c r="C2209" s="1" t="str">
        <f>IFERROR(__xludf.DUMMYFUNCTION("CONCATENATE(GOOGLETRANSLATE(B2209, ""en"", ""zh-cn""))"),"选拨开关")</f>
        <v>选拨开关</v>
      </c>
      <c r="D2209" s="1" t="str">
        <f>IFERROR(__xludf.DUMMYFUNCTION("CONCATENATE(GOOGLETRANSLATE(B2209, ""en"", ""ko""))"),"피킹 스위치")</f>
        <v>피킹 스위치</v>
      </c>
      <c r="E2209" s="2" t="str">
        <f>IFERROR(__xludf.DUMMYFUNCTION("CONCATENATE(GOOGLETRANSLATE(B2209, ""en"", ""ja""))"),"ピッキングスイッチ")</f>
        <v>ピッキングスイッチ</v>
      </c>
    </row>
    <row r="2210" ht="15.75" customHeight="1">
      <c r="A2210" s="1" t="s">
        <v>4286</v>
      </c>
      <c r="B2210" s="1" t="s">
        <v>4287</v>
      </c>
      <c r="C2210" s="1" t="str">
        <f>IFERROR(__xludf.DUMMYFUNCTION("CONCATENATE(GOOGLETRANSLATE(B2210, ""en"", ""zh-cn""))"),"已未付款")</f>
        <v>已未付款</v>
      </c>
      <c r="D2210" s="1" t="str">
        <f>IFERROR(__xludf.DUMMYFUNCTION("CONCATENATE(GOOGLETRANSLATE(B2210, ""en"", ""ko""))"),"미지급되었습니다")</f>
        <v>미지급되었습니다</v>
      </c>
      <c r="E2210" s="2" t="str">
        <f>IFERROR(__xludf.DUMMYFUNCTION("CONCATENATE(GOOGLETRANSLATE(B2210, ""en"", ""ja""))"),"未払いになっている")</f>
        <v>未払いになっている</v>
      </c>
    </row>
    <row r="2211" ht="15.75" customHeight="1">
      <c r="A2211" s="1" t="s">
        <v>4288</v>
      </c>
      <c r="B2211" s="1" t="s">
        <v>4289</v>
      </c>
      <c r="C2211" s="1" t="str">
        <f>IFERROR(__xludf.DUMMYFUNCTION("CONCATENATE(GOOGLETRANSLATE(B2211, ""en"", ""zh-cn""))"),"已付款")</f>
        <v>已付款</v>
      </c>
      <c r="D2211" s="1" t="str">
        <f>IFERROR(__xludf.DUMMYFUNCTION("CONCATENATE(GOOGLETRANSLATE(B2211, ""en"", ""ko""))"),"지불되었습니다")</f>
        <v>지불되었습니다</v>
      </c>
      <c r="E2211" s="2" t="str">
        <f>IFERROR(__xludf.DUMMYFUNCTION("CONCATENATE(GOOGLETRANSLATE(B2211, ""en"", ""ja""))"),"支払われました")</f>
        <v>支払われました</v>
      </c>
    </row>
    <row r="2212" ht="15.75" customHeight="1">
      <c r="A2212" s="1" t="s">
        <v>4290</v>
      </c>
      <c r="B2212" s="1" t="s">
        <v>4291</v>
      </c>
      <c r="C2212" s="1" t="str">
        <f>IFERROR(__xludf.DUMMYFUNCTION("CONCATENATE(GOOGLETRANSLATE(B2212, ""en"", ""zh-cn""))"),"税务信息")</f>
        <v>税务信息</v>
      </c>
      <c r="D2212" s="1" t="str">
        <f>IFERROR(__xludf.DUMMYFUNCTION("CONCATENATE(GOOGLETRANSLATE(B2212, ""en"", ""ko""))"),"세금 정보")</f>
        <v>세금 정보</v>
      </c>
      <c r="E2212" s="2" t="str">
        <f>IFERROR(__xludf.DUMMYFUNCTION("CONCATENATE(GOOGLETRANSLATE(B2212, ""en"", ""ja""))"),"税金に関する情報")</f>
        <v>税金に関する情報</v>
      </c>
    </row>
    <row r="2213" ht="15.75" customHeight="1">
      <c r="A2213" s="1" t="s">
        <v>4292</v>
      </c>
      <c r="B2213" s="1" t="s">
        <v>4293</v>
      </c>
      <c r="C2213" s="1" t="str">
        <f>IFERROR(__xludf.DUMMYFUNCTION("CONCATENATE(GOOGLETRANSLATE(B2213, ""en"", ""zh-cn""))"),"更新税务信息")</f>
        <v>更新税务信息</v>
      </c>
      <c r="D2213" s="1" t="str">
        <f>IFERROR(__xludf.DUMMYFUNCTION("CONCATENATE(GOOGLETRANSLATE(B2213, ""en"", ""ko""))"),"세금 정보 업데이트")</f>
        <v>세금 정보 업데이트</v>
      </c>
      <c r="E2213" s="2" t="str">
        <f>IFERROR(__xludf.DUMMYFUNCTION("CONCATENATE(GOOGLETRANSLATE(B2213, ""en"", ""ja""))"),"税務情報を更新する")</f>
        <v>税務情報を更新する</v>
      </c>
    </row>
    <row r="2214" ht="15.75" customHeight="1">
      <c r="A2214" s="1" t="s">
        <v>4294</v>
      </c>
      <c r="B2214" s="1" t="s">
        <v>4295</v>
      </c>
      <c r="C2214" s="1" t="str">
        <f>IFERROR(__xludf.DUMMYFUNCTION("CONCATENATE(GOOGLETRANSLATE(B2214, ""en"", ""zh-cn""))"),"卖家功能")</f>
        <v>卖家功能</v>
      </c>
      <c r="D2214" s="1" t="str">
        <f>IFERROR(__xludf.DUMMYFUNCTION("CONCATENATE(GOOGLETRANSLATE(B2214, ""en"", ""ko""))"),"판매자 기능")</f>
        <v>판매자 기능</v>
      </c>
      <c r="E2214" s="2" t="str">
        <f>IFERROR(__xludf.DUMMYFUNCTION("CONCATENATE(GOOGLETRANSLATE(B2214, ""en"", ""ja""))"),"販売者の機能")</f>
        <v>販売者の機能</v>
      </c>
    </row>
    <row r="2215" ht="15.75" customHeight="1">
      <c r="A2215" s="1" t="s">
        <v>4296</v>
      </c>
      <c r="B2215" s="1" t="s">
        <v>4297</v>
      </c>
      <c r="C2215" s="1" t="str">
        <f>IFERROR(__xludf.DUMMYFUNCTION("CONCATENATE(GOOGLETRANSLATE(B2215, ""en"", ""zh-cn""))"),"二级推荐人")</f>
        <v>二级推荐人</v>
      </c>
      <c r="D2215" s="1" t="str">
        <f>IFERROR(__xludf.DUMMYFUNCTION("CONCATENATE(GOOGLETRANSLATE(B2215, ""en"", ""ko""))"),"2단계 추천자")</f>
        <v>2단계 추천자</v>
      </c>
      <c r="E2215" s="2" t="str">
        <f>IFERROR(__xludf.DUMMYFUNCTION("CONCATENATE(GOOGLETRANSLATE(B2215, ""en"", ""ja""))"),"第 2 レベルの推奨者")</f>
        <v>第 2 レベルの推奨者</v>
      </c>
    </row>
    <row r="2216" ht="15.75" customHeight="1">
      <c r="A2216" s="1" t="s">
        <v>4298</v>
      </c>
      <c r="B2216" s="1" t="s">
        <v>4299</v>
      </c>
      <c r="C2216" s="1" t="str">
        <f>IFERROR(__xludf.DUMMYFUNCTION("CONCATENATE(GOOGLETRANSLATE(B2216, ""en"", ""zh-cn""))"),"三级推荐人")</f>
        <v>三级推荐人</v>
      </c>
      <c r="D2216" s="1" t="str">
        <f>IFERROR(__xludf.DUMMYFUNCTION("CONCATENATE(GOOGLETRANSLATE(B2216, ""en"", ""ko""))"),"3급 추천인")</f>
        <v>3급 추천인</v>
      </c>
      <c r="E2216" s="2" t="str">
        <f>IFERROR(__xludf.DUMMYFUNCTION("CONCATENATE(GOOGLETRANSLATE(B2216, ""en"", ""ja""))"),"第 3 レベルの推奨者")</f>
        <v>第 3 レベルの推奨者</v>
      </c>
    </row>
    <row r="2217" ht="15.75" customHeight="1">
      <c r="A2217" s="1" t="s">
        <v>4300</v>
      </c>
      <c r="B2217" s="1" t="s">
        <v>4301</v>
      </c>
      <c r="C2217" s="1" t="str">
        <f>IFERROR(__xludf.DUMMYFUNCTION("CONCATENATE(GOOGLETRANSLATE(B2217, ""en"", ""zh-cn""))"),"未找到用户")</f>
        <v>未找到用户</v>
      </c>
      <c r="D2217" s="1" t="str">
        <f>IFERROR(__xludf.DUMMYFUNCTION("CONCATENATE(GOOGLETRANSLATE(B2217, ""en"", ""ko""))"),"사용자를 찾을 수 없음")</f>
        <v>사용자를 찾을 수 없음</v>
      </c>
      <c r="E2217" s="2" t="str">
        <f>IFERROR(__xludf.DUMMYFUNCTION("CONCATENATE(GOOGLETRANSLATE(B2217, ""en"", ""ja""))"),"ユーザーが見つかりません")</f>
        <v>ユーザーが見つかりません</v>
      </c>
    </row>
    <row r="2218" ht="15.75" customHeight="1">
      <c r="A2218" s="1" t="s">
        <v>4302</v>
      </c>
      <c r="B2218" s="1" t="s">
        <v>4303</v>
      </c>
      <c r="C2218" s="1" t="str">
        <f>IFERROR(__xludf.DUMMYFUNCTION("CONCATENATE(GOOGLETRANSLATE(B2218, ""en"", ""zh-cn""))"),"谷歌 Firebase 设置")</f>
        <v>谷歌 Firebase 设置</v>
      </c>
      <c r="D2218" s="1" t="str">
        <f>IFERROR(__xludf.DUMMYFUNCTION("CONCATENATE(GOOGLETRANSLATE(B2218, ""en"", ""ko""))"),"구글 파이어베이스 설정")</f>
        <v>구글 파이어베이스 설정</v>
      </c>
      <c r="E2218" s="2" t="str">
        <f>IFERROR(__xludf.DUMMYFUNCTION("CONCATENATE(GOOGLETRANSLATE(B2218, ""en"", ""ja""))"),"Google Firebaseの設定")</f>
        <v>Google Firebaseの設定</v>
      </c>
    </row>
    <row r="2219" ht="15.75" customHeight="1">
      <c r="A2219" s="1" t="s">
        <v>4304</v>
      </c>
      <c r="B2219" s="1" t="s">
        <v>4305</v>
      </c>
      <c r="C2219" s="1" t="str">
        <f>IFERROR(__xludf.DUMMYFUNCTION("CONCATENATE(GOOGLETRANSLATE(B2219, ""en"", ""zh-cn""))"),"FCM 服务器密钥")</f>
        <v>FCM 服务器密钥</v>
      </c>
      <c r="D2219" s="1" t="str">
        <f>IFERROR(__xludf.DUMMYFUNCTION("CONCATENATE(GOOGLETRANSLATE(B2219, ""en"", ""ko""))"),"FCM 서버 키")</f>
        <v>FCM 서버 키</v>
      </c>
      <c r="E2219" s="2" t="str">
        <f>IFERROR(__xludf.DUMMYFUNCTION("CONCATENATE(GOOGLETRANSLATE(B2219, ""en"", ""ja""))"),"FCMサーバーキー")</f>
        <v>FCMサーバーキー</v>
      </c>
    </row>
    <row r="2220" ht="15.75" customHeight="1">
      <c r="A2220" s="1" t="s">
        <v>4306</v>
      </c>
      <c r="B2220" s="1" t="s">
        <v>4307</v>
      </c>
      <c r="C2220" s="1" t="str">
        <f>IFERROR(__xludf.DUMMYFUNCTION("CONCATENATE(GOOGLETRANSLATE(B2220, ""en"", ""zh-cn""))"),"Facebook 像素设置")</f>
        <v>Facebook 像素设置</v>
      </c>
      <c r="D2220" s="1" t="str">
        <f>IFERROR(__xludf.DUMMYFUNCTION("CONCATENATE(GOOGLETRANSLATE(B2220, ""en"", ""ko""))"),"페이스북 픽셀 설정")</f>
        <v>페이스북 픽셀 설정</v>
      </c>
      <c r="E2220" s="2" t="str">
        <f>IFERROR(__xludf.DUMMYFUNCTION("CONCATENATE(GOOGLETRANSLATE(B2220, ""en"", ""ja""))"),"Facebook ピクセル設定")</f>
        <v>Facebook ピクセル設定</v>
      </c>
    </row>
    <row r="2221" ht="15.75" customHeight="1">
      <c r="A2221" s="1" t="s">
        <v>4308</v>
      </c>
      <c r="B2221" s="1" t="s">
        <v>4309</v>
      </c>
      <c r="C2221" s="1" t="str">
        <f>IFERROR(__xludf.DUMMYFUNCTION("CONCATENATE(GOOGLETRANSLATE(B2221, ""en"", ""zh-cn""))"),"脸书像素")</f>
        <v>脸书像素</v>
      </c>
      <c r="D2221" s="1" t="str">
        <f>IFERROR(__xludf.DUMMYFUNCTION("CONCATENATE(GOOGLETRANSLATE(B2221, ""en"", ""ko""))"),"페이스북 픽셀")</f>
        <v>페이스북 픽셀</v>
      </c>
      <c r="E2221" s="2" t="str">
        <f>IFERROR(__xludf.DUMMYFUNCTION("CONCATENATE(GOOGLETRANSLATE(B2221, ""en"", ""ja""))"),"フェイスブックピクセル")</f>
        <v>フェイスブックピクセル</v>
      </c>
    </row>
    <row r="2222" ht="15.75" customHeight="1">
      <c r="A2222" s="1" t="s">
        <v>4310</v>
      </c>
      <c r="B2222" s="1" t="s">
        <v>4311</v>
      </c>
      <c r="C2222" s="1" t="str">
        <f>IFERROR(__xludf.DUMMYFUNCTION("CONCATENATE(GOOGLETRANSLATE(B2222, ""en"", ""zh-cn""))"),"Facebook 像素 ID")</f>
        <v>Facebook 像素 ID</v>
      </c>
      <c r="D2222" s="1" t="str">
        <f>IFERROR(__xludf.DUMMYFUNCTION("CONCATENATE(GOOGLETRANSLATE(B2222, ""en"", ""ko""))"),"페이스북 픽셀 ID")</f>
        <v>페이스북 픽셀 ID</v>
      </c>
      <c r="E2222" s="2" t="str">
        <f>IFERROR(__xludf.DUMMYFUNCTION("CONCATENATE(GOOGLETRANSLATE(B2222, ""en"", ""ja""))"),"Facebook ピクセル ID")</f>
        <v>Facebook ピクセル ID</v>
      </c>
    </row>
    <row r="2223" ht="15.75" customHeight="1">
      <c r="A2223" s="1" t="s">
        <v>4312</v>
      </c>
      <c r="B2223" s="1" t="s">
        <v>4313</v>
      </c>
      <c r="C2223" s="1" t="str">
        <f>IFERROR(__xludf.DUMMYFUNCTION("CONCATENATE(GOOGLETRANSLATE(B2223, ""en"", ""zh-cn""))"),"配置 Facebook Pixel 时请小心。")</f>
        <v>配置 Facebook Pixel 时请小心。</v>
      </c>
      <c r="D2223" s="1" t="str">
        <f>IFERROR(__xludf.DUMMYFUNCTION("CONCATENATE(GOOGLETRANSLATE(B2223, ""en"", ""ko""))"),"Facebook 픽셀을 구성할 때 주의하시기 바랍니다.")</f>
        <v>Facebook 픽셀을 구성할 때 주의하시기 바랍니다.</v>
      </c>
      <c r="E2223" s="2" t="str">
        <f>IFERROR(__xludf.DUMMYFUNCTION("CONCATENATE(GOOGLETRANSLATE(B2223, ""en"", ""ja""))"),"Facebook ピクセルを設定するときは注意してください。")</f>
        <v>Facebook ピクセルを設定するときは注意してください。</v>
      </c>
    </row>
    <row r="2224" ht="15.75" customHeight="1">
      <c r="A2224" s="1" t="s">
        <v>4314</v>
      </c>
      <c r="B2224" s="1" t="s">
        <v>4315</v>
      </c>
      <c r="C2224" s="1" t="str">
        <f>IFERROR(__xludf.DUMMYFUNCTION("CONCATENATE(GOOGLETRANSLATE(B2224, ""en"", ""zh-cn""))"),"登录 Facebook 并转到您的广告管理器帐户")</f>
        <v>登录 Facebook 并转到您的广告管理器帐户</v>
      </c>
      <c r="D2224" s="1" t="str">
        <f>IFERROR(__xludf.DUMMYFUNCTION("CONCATENATE(GOOGLETRANSLATE(B2224, ""en"", ""ko""))"),"Facebook에 로그인하고 광고 관리자 계정으로 이동하세요.")</f>
        <v>Facebook에 로그인하고 광고 관리자 계정으로 이동하세요.</v>
      </c>
      <c r="E2224" s="2" t="str">
        <f>IFERROR(__xludf.DUMMYFUNCTION("CONCATENATE(GOOGLETRANSLATE(B2224, ""en"", ""ja""))"),"Facebook にログインし、広告マネージャー アカウントに移動します")</f>
        <v>Facebook にログインし、広告マネージャー アカウントに移動します</v>
      </c>
    </row>
    <row r="2225" ht="15.75" customHeight="1">
      <c r="A2225" s="1" t="s">
        <v>4316</v>
      </c>
      <c r="B2225" s="1" t="s">
        <v>4317</v>
      </c>
      <c r="C2225" s="1" t="str">
        <f>IFERROR(__xludf.DUMMYFUNCTION("CONCATENATE(GOOGLETRANSLATE(B2225, ""en"", ""zh-cn""))"),"打开导航栏并选择事件管理器")</f>
        <v>打开导航栏并选择事件管理器</v>
      </c>
      <c r="D2225" s="1" t="str">
        <f>IFERROR(__xludf.DUMMYFUNCTION("CONCATENATE(GOOGLETRANSLATE(B2225, ""en"", ""ko""))"),"탐색 모음을 열고 이벤트 관리자를 선택하세요.")</f>
        <v>탐색 모음을 열고 이벤트 관리자를 선택하세요.</v>
      </c>
      <c r="E2225" s="2" t="str">
        <f>IFERROR(__xludf.DUMMYFUNCTION("CONCATENATE(GOOGLETRANSLATE(B2225, ""en"", ""ja""))"),"ナビゲーション バーを開き、[イベント マネージャー] を選択します。")</f>
        <v>ナビゲーション バーを開き、[イベント マネージャー] を選択します。</v>
      </c>
    </row>
    <row r="2226" ht="15.75" customHeight="1">
      <c r="A2226" s="1" t="s">
        <v>4318</v>
      </c>
      <c r="B2226" s="1" t="s">
        <v>4319</v>
      </c>
      <c r="C2226" s="1" t="str">
        <f>IFERROR(__xludf.DUMMYFUNCTION("CONCATENATE(GOOGLETRANSLATE(B2226, ""en"", ""zh-cn""))"),"从网站名称下方复制您的 Pixel ID，并将该号码粘贴到 Facebook Pixel ID 字段中")</f>
        <v>从网站名称下方复制您的 Pixel ID，并将该号码粘贴到 Facebook Pixel ID 字段中</v>
      </c>
      <c r="D2226" s="1" t="str">
        <f>IFERROR(__xludf.DUMMYFUNCTION("CONCATENATE(GOOGLETRANSLATE(B2226, ""en"", ""ko""))"),"사이트 이름 아래에서 픽셀 ID를 복사하여 Facebook 픽셀 ID 필드에 숫자를 붙여넣습니다.")</f>
        <v>사이트 이름 아래에서 픽셀 ID를 복사하여 Facebook 픽셀 ID 필드에 숫자를 붙여넣습니다.</v>
      </c>
      <c r="E2226" s="2" t="str">
        <f>IFERROR(__xludf.DUMMYFUNCTION("CONCATENATE(GOOGLETRANSLATE(B2226, ""en"", ""ja""))"),"サイト名の下からピクセル ID をコピーし、その番号を Facebook のピクセル ID フィールドに貼り付けます。")</f>
        <v>サイト名の下からピクセル ID をコピーし、その番号を Facebook のピクセル ID フィールドに貼り付けます。</v>
      </c>
    </row>
    <row r="2227" ht="15.75" customHeight="1">
      <c r="A2227" s="1" t="s">
        <v>4320</v>
      </c>
      <c r="B2227" s="1" t="s">
        <v>4321</v>
      </c>
      <c r="C2227" s="1" t="str">
        <f>IFERROR(__xludf.DUMMYFUNCTION("CONCATENATE(GOOGLETRANSLATE(B2227, ""en"", ""zh-cn""))"),"谷歌分析设置")</f>
        <v>谷歌分析设置</v>
      </c>
      <c r="D2227" s="1" t="str">
        <f>IFERROR(__xludf.DUMMYFUNCTION("CONCATENATE(GOOGLETRANSLATE(B2227, ""en"", ""ko""))"),"구글애널리틱스 설정")</f>
        <v>구글애널리틱스 설정</v>
      </c>
      <c r="E2227" s="2" t="str">
        <f>IFERROR(__xludf.DUMMYFUNCTION("CONCATENATE(GOOGLETRANSLATE(B2227, ""en"", ""ja""))"),"Googleアナリティクスの設定")</f>
        <v>Googleアナリティクスの設定</v>
      </c>
    </row>
    <row r="2228" ht="15.75" customHeight="1">
      <c r="A2228" s="1" t="s">
        <v>4322</v>
      </c>
      <c r="B2228" s="1" t="s">
        <v>4323</v>
      </c>
      <c r="C2228" s="1" t="str">
        <f>IFERROR(__xludf.DUMMYFUNCTION("CONCATENATE(GOOGLETRANSLATE(B2228, ""en"", ""zh-cn""))"),"谷歌分析")</f>
        <v>谷歌分析</v>
      </c>
      <c r="D2228" s="1" t="str">
        <f>IFERROR(__xludf.DUMMYFUNCTION("CONCATENATE(GOOGLETRANSLATE(B2228, ""en"", ""ko""))"),"구글애널리틱스")</f>
        <v>구글애널리틱스</v>
      </c>
      <c r="E2228" s="2" t="str">
        <f>IFERROR(__xludf.DUMMYFUNCTION("CONCATENATE(GOOGLETRANSLATE(B2228, ""en"", ""ja""))"),"Googleアナリティクス")</f>
        <v>Googleアナリティクス</v>
      </c>
    </row>
    <row r="2229" ht="15.75" customHeight="1">
      <c r="A2229" s="1" t="s">
        <v>4324</v>
      </c>
      <c r="B2229" s="1" t="s">
        <v>4325</v>
      </c>
      <c r="C2229" s="1" t="str">
        <f>IFERROR(__xludf.DUMMYFUNCTION("CONCATENATE(GOOGLETRANSLATE(B2229, ""en"", ""zh-cn""))"),"追踪ID")</f>
        <v>追踪ID</v>
      </c>
      <c r="D2229" s="1" t="str">
        <f>IFERROR(__xludf.DUMMYFUNCTION("CONCATENATE(GOOGLETRANSLATE(B2229, ""en"", ""ko""))"),"추적 ID")</f>
        <v>추적 ID</v>
      </c>
      <c r="E2229" s="2" t="str">
        <f>IFERROR(__xludf.DUMMYFUNCTION("CONCATENATE(GOOGLETRANSLATE(B2229, ""en"", ""ja""))"),"トラッキングID")</f>
        <v>トラッキングID</v>
      </c>
    </row>
    <row r="2230" ht="15.75" customHeight="1">
      <c r="A2230" s="1" t="s">
        <v>4326</v>
      </c>
      <c r="B2230" s="1" t="s">
        <v>4327</v>
      </c>
      <c r="C2230" s="1" t="str">
        <f>IFERROR(__xludf.DUMMYFUNCTION("CONCATENATE(GOOGLETRANSLATE(B2230, ""en"", ""zh-cn""))"),"总成交额")</f>
        <v>总成交额</v>
      </c>
      <c r="D2230" s="1" t="str">
        <f>IFERROR(__xludf.DUMMYFUNCTION("CONCATENATE(GOOGLETRANSLATE(B2230, ""en"", ""ko""))"),"총 매출액")</f>
        <v>총 매출액</v>
      </c>
      <c r="E2230" s="2" t="str">
        <f>IFERROR(__xludf.DUMMYFUNCTION("CONCATENATE(GOOGLETRANSLATE(B2230, ""en"", ""ja""))"),"総売上高")</f>
        <v>総売上高</v>
      </c>
    </row>
    <row r="2231" ht="15.75" customHeight="1">
      <c r="A2231" s="1" t="s">
        <v>4328</v>
      </c>
      <c r="B2231" s="1" t="s">
        <v>4329</v>
      </c>
      <c r="C2231" s="1" t="str">
        <f>IFERROR(__xludf.DUMMYFUNCTION("CONCATENATE(GOOGLETRANSLATE(B2231, ""en"", ""zh-cn""))"),"利润总额")</f>
        <v>利润总额</v>
      </c>
      <c r="D2231" s="1" t="str">
        <f>IFERROR(__xludf.DUMMYFUNCTION("CONCATENATE(GOOGLETRANSLATE(B2231, ""en"", ""ko""))"),"총 이익")</f>
        <v>총 이익</v>
      </c>
      <c r="E2231" s="2" t="str">
        <f>IFERROR(__xludf.DUMMYFUNCTION("CONCATENATE(GOOGLETRANSLATE(B2231, ""en"", ""ja""))"),"総利益")</f>
        <v>総利益</v>
      </c>
    </row>
    <row r="2232" ht="15.75" customHeight="1">
      <c r="A2232" s="1" t="s">
        <v>4330</v>
      </c>
      <c r="B2232" s="1" t="s">
        <v>4327</v>
      </c>
      <c r="C2232" s="1" t="str">
        <f>IFERROR(__xludf.DUMMYFUNCTION("CONCATENATE(GOOGLETRANSLATE(B2232, ""en"", ""zh-cn""))"),"总成交额")</f>
        <v>总成交额</v>
      </c>
      <c r="D2232" s="1" t="str">
        <f>IFERROR(__xludf.DUMMYFUNCTION("CONCATENATE(GOOGLETRANSLATE(B2232, ""en"", ""ko""))"),"총 매출액")</f>
        <v>총 매출액</v>
      </c>
      <c r="E2232" s="2" t="str">
        <f>IFERROR(__xludf.DUMMYFUNCTION("CONCATENATE(GOOGLETRANSLATE(B2232, ""en"", ""ja""))"),"総売上高")</f>
        <v>総売上高</v>
      </c>
    </row>
    <row r="2233" ht="15.75" customHeight="1">
      <c r="A2233" s="1" t="s">
        <v>4331</v>
      </c>
      <c r="B2233" s="1" t="s">
        <v>4329</v>
      </c>
      <c r="C2233" s="1" t="str">
        <f>IFERROR(__xludf.DUMMYFUNCTION("CONCATENATE(GOOGLETRANSLATE(B2233, ""en"", ""zh-cn""))"),"利润总额")</f>
        <v>利润总额</v>
      </c>
      <c r="D2233" s="1" t="str">
        <f>IFERROR(__xludf.DUMMYFUNCTION("CONCATENATE(GOOGLETRANSLATE(B2233, ""en"", ""ko""))"),"총 이익")</f>
        <v>총 이익</v>
      </c>
      <c r="E2233" s="2" t="str">
        <f>IFERROR(__xludf.DUMMYFUNCTION("CONCATENATE(GOOGLETRANSLATE(B2233, ""en"", ""ja""))"),"総利益")</f>
        <v>総利益</v>
      </c>
    </row>
    <row r="2234" ht="15.75" customHeight="1">
      <c r="A2234" s="1" t="s">
        <v>4332</v>
      </c>
      <c r="B2234" s="1" t="s">
        <v>4333</v>
      </c>
      <c r="C2234" s="1" t="str">
        <f>IFERROR(__xludf.DUMMYFUNCTION("CONCATENATE(GOOGLETRANSLATE(B2234, ""en"", ""zh-cn""))")," 已付款")</f>
        <v> 已付款</v>
      </c>
      <c r="D2234" s="1" t="str">
        <f>IFERROR(__xludf.DUMMYFUNCTION("CONCATENATE(GOOGLETRANSLATE(B2234, ""en"", ""ko""))")," 지불되었습니다")</f>
        <v> 지불되었습니다</v>
      </c>
      <c r="E2234" s="2" t="str">
        <f>IFERROR(__xludf.DUMMYFUNCTION("CONCATENATE(GOOGLETRANSLATE(B2234, ""en"", ""ja""))")," 支払われました")</f>
        <v> 支払われました</v>
      </c>
    </row>
    <row r="2235" ht="15.75" customHeight="1">
      <c r="A2235" s="1" t="s">
        <v>4334</v>
      </c>
      <c r="B2235" s="1" t="s">
        <v>4335</v>
      </c>
      <c r="C2235" s="1" t="str">
        <f>IFERROR(__xludf.DUMMYFUNCTION("CONCATENATE(GOOGLETRANSLATE(B2235, ""en"", ""zh-cn""))")," 已未付款")</f>
        <v> 已未付款</v>
      </c>
      <c r="D2235" s="1" t="str">
        <f>IFERROR(__xludf.DUMMYFUNCTION("CONCATENATE(GOOGLETRANSLATE(B2235, ""en"", ""ko""))")," 미지급되었습니다")</f>
        <v> 미지급되었습니다</v>
      </c>
      <c r="E2235" s="2" t="str">
        <f>IFERROR(__xludf.DUMMYFUNCTION("CONCATENATE(GOOGLETRANSLATE(B2235, ""en"", ""ja""))")," 未払いになっている")</f>
        <v> 未払いになっている</v>
      </c>
    </row>
    <row r="2236" ht="15.75" customHeight="1">
      <c r="A2236" s="1" t="s">
        <v>4336</v>
      </c>
      <c r="B2236" s="1" t="s">
        <v>4337</v>
      </c>
      <c r="C2236" s="1" t="str">
        <f>IFERROR(__xludf.DUMMYFUNCTION("CONCATENATE(GOOGLETRANSLATE(B2236, ""en"", ""zh-cn""))"),"方法已成功删除")</f>
        <v>方法已成功删除</v>
      </c>
      <c r="D2236" s="1" t="str">
        <f>IFERROR(__xludf.DUMMYFUNCTION("CONCATENATE(GOOGLETRANSLATE(B2236, ""en"", ""ko""))"),"메소드가 성공적으로 삭제되었습니다.")</f>
        <v>메소드가 성공적으로 삭제되었습니다.</v>
      </c>
      <c r="E2236" s="2" t="str">
        <f>IFERROR(__xludf.DUMMYFUNCTION("CONCATENATE(GOOGLETRANSLATE(B2236, ""en"", ""ja""))"),"メソッドは正常に削除されました")</f>
        <v>メソッドは正常に削除されました</v>
      </c>
    </row>
    <row r="2237" ht="15.75" customHeight="1">
      <c r="A2237" s="1" t="s">
        <v>4338</v>
      </c>
      <c r="B2237" s="1" t="s">
        <v>4339</v>
      </c>
      <c r="C2237" s="1" t="str">
        <f>IFERROR(__xludf.DUMMYFUNCTION("CONCATENATE(GOOGLETRANSLATE(B2237, ""en"", ""zh-cn""))"),"美元支付")</f>
        <v>美元支付</v>
      </c>
      <c r="D2237" s="1" t="str">
        <f>IFERROR(__xludf.DUMMYFUNCTION("CONCATENATE(GOOGLETRANSLATE(B2237, ""en"", ""ko""))"),"USDT 결제")</f>
        <v>USDT 결제</v>
      </c>
      <c r="E2237" s="2" t="str">
        <f>IFERROR(__xludf.DUMMYFUNCTION("CONCATENATE(GOOGLETRANSLATE(B2237, ""en"", ""ja""))"),"USDT支払い")</f>
        <v>USDT支払い</v>
      </c>
    </row>
    <row r="2238" ht="15.75" customHeight="1">
      <c r="A2238" s="1" t="s">
        <v>4340</v>
      </c>
      <c r="B2238" s="1" t="s">
        <v>4341</v>
      </c>
      <c r="C2238" s="1" t="str">
        <f>IFERROR(__xludf.DUMMYFUNCTION("CONCATENATE(GOOGLETRANSLATE(B2238, ""en"", ""zh-cn""))"),"USDT链接")</f>
        <v>USDT链接</v>
      </c>
      <c r="D2238" s="1" t="str">
        <f>IFERROR(__xludf.DUMMYFUNCTION("CONCATENATE(GOOGLETRANSLATE(B2238, ""en"", ""ko""))"),"USDT 링크")</f>
        <v>USDT 링크</v>
      </c>
      <c r="E2238" s="2" t="str">
        <f>IFERROR(__xludf.DUMMYFUNCTION("CONCATENATE(GOOGLETRANSLATE(B2238, ""en"", ""ja""))"),"USDTリンク")</f>
        <v>USDTリンク</v>
      </c>
    </row>
    <row r="2239" ht="15.75" customHeight="1">
      <c r="A2239" s="1" t="s">
        <v>4342</v>
      </c>
      <c r="B2239" s="1" t="s">
        <v>4343</v>
      </c>
      <c r="C2239" s="1" t="str">
        <f>IFERROR(__xludf.DUMMYFUNCTION("CONCATENATE(GOOGLETRANSLATE(B2239, ""en"", ""zh-cn""))"),"USDT地址")</f>
        <v>USDT地址</v>
      </c>
      <c r="D2239" s="1" t="str">
        <f>IFERROR(__xludf.DUMMYFUNCTION("CONCATENATE(GOOGLETRANSLATE(B2239, ""en"", ""ko""))"),"USDT 주소")</f>
        <v>USDT 주소</v>
      </c>
      <c r="E2239" s="2" t="str">
        <f>IFERROR(__xludf.DUMMYFUNCTION("CONCATENATE(GOOGLETRANSLATE(B2239, ""en"", ""ja""))"),"USDTアドレス")</f>
        <v>USDTアドレス</v>
      </c>
    </row>
    <row r="2240" ht="15.75" customHeight="1">
      <c r="A2240" s="1" t="s">
        <v>4344</v>
      </c>
      <c r="B2240" s="1" t="s">
        <v>4345</v>
      </c>
      <c r="C2240" s="1" t="str">
        <f>IFERROR(__xludf.DUMMYFUNCTION("CONCATENATE(GOOGLETRANSLATE(B2240, ""en"", ""zh-cn""))"),"提款类型")</f>
        <v>提款类型</v>
      </c>
      <c r="D2240" s="1" t="str">
        <f>IFERROR(__xludf.DUMMYFUNCTION("CONCATENATE(GOOGLETRANSLATE(B2240, ""en"", ""ko""))"),"출금 유형")</f>
        <v>출금 유형</v>
      </c>
      <c r="E2240" s="2" t="str">
        <f>IFERROR(__xludf.DUMMYFUNCTION("CONCATENATE(GOOGLETRANSLATE(B2240, ""en"", ""ja""))"),"出金タイプ")</f>
        <v>出金タイプ</v>
      </c>
    </row>
    <row r="2241" ht="15.75" customHeight="1">
      <c r="A2241" s="1" t="s">
        <v>4346</v>
      </c>
      <c r="B2241" s="1" t="s">
        <v>4347</v>
      </c>
      <c r="C2241" s="1" t="str">
        <f>IFERROR(__xludf.DUMMYFUNCTION("CONCATENATE(GOOGLETRANSLATE(B2241, ""en"", ""zh-cn""))"),"银行")</f>
        <v>银行</v>
      </c>
      <c r="D2241" s="1" t="str">
        <f>IFERROR(__xludf.DUMMYFUNCTION("CONCATENATE(GOOGLETRANSLATE(B2241, ""en"", ""ko""))"),"은행")</f>
        <v>은행</v>
      </c>
      <c r="E2241" s="2" t="str">
        <f>IFERROR(__xludf.DUMMYFUNCTION("CONCATENATE(GOOGLETRANSLATE(B2241, ""en"", ""ja""))"),"銀行")</f>
        <v>銀行</v>
      </c>
    </row>
    <row r="2242" ht="15.75" customHeight="1">
      <c r="A2242" s="1" t="s">
        <v>4348</v>
      </c>
      <c r="B2242" s="1" t="s">
        <v>4349</v>
      </c>
      <c r="C2242" s="1" t="str">
        <f>IFERROR(__xludf.DUMMYFUNCTION("CONCATENATE(GOOGLETRANSLATE(B2242, ""en"", ""zh-cn""))"),"评论")</f>
        <v>评论</v>
      </c>
      <c r="D2242" s="1" t="str">
        <f>IFERROR(__xludf.DUMMYFUNCTION("CONCATENATE(GOOGLETRANSLATE(B2242, ""en"", ""ko""))"),"비고")</f>
        <v>비고</v>
      </c>
      <c r="E2242" s="2" t="str">
        <f>IFERROR(__xludf.DUMMYFUNCTION("CONCATENATE(GOOGLETRANSLATE(B2242, ""en"", ""ja""))"),"備考")</f>
        <v>備考</v>
      </c>
    </row>
    <row r="2243" ht="15.75" customHeight="1">
      <c r="A2243" s="1" t="s">
        <v>4350</v>
      </c>
      <c r="B2243" s="1" t="s">
        <v>4351</v>
      </c>
      <c r="C2243" s="1" t="str">
        <f>IFERROR(__xludf.DUMMYFUNCTION("CONCATENATE(GOOGLETRANSLATE(B2243, ""en"", ""zh-cn""))"),"交易密码")</f>
        <v>交易密码</v>
      </c>
      <c r="D2243" s="1" t="str">
        <f>IFERROR(__xludf.DUMMYFUNCTION("CONCATENATE(GOOGLETRANSLATE(B2243, ""en"", ""ko""))"),"거래 비밀번호")</f>
        <v>거래 비밀번호</v>
      </c>
      <c r="E2243" s="2" t="str">
        <f>IFERROR(__xludf.DUMMYFUNCTION("CONCATENATE(GOOGLETRANSLATE(B2243, ""en"", ""ja""))"),"取引パスワード")</f>
        <v>取引パスワード</v>
      </c>
    </row>
    <row r="2244" ht="15.75" customHeight="1">
      <c r="A2244" s="1" t="s">
        <v>4352</v>
      </c>
      <c r="B2244" s="1" t="s">
        <v>4353</v>
      </c>
      <c r="C2244" s="1" t="str">
        <f>IFERROR(__xludf.DUMMYFUNCTION("CONCATENATE(GOOGLETRANSLATE(B2244, ""en"", ""zh-cn""))"),"拍卖产品订单")</f>
        <v>拍卖产品订单</v>
      </c>
      <c r="D2244" s="1" t="str">
        <f>IFERROR(__xludf.DUMMYFUNCTION("CONCATENATE(GOOGLETRANSLATE(B2244, ""en"", ""ko""))"),"경매 제품 주문")</f>
        <v>경매 제품 주문</v>
      </c>
      <c r="E2244" s="2" t="str">
        <f>IFERROR(__xludf.DUMMYFUNCTION("CONCATENATE(GOOGLETRANSLATE(B2244, ""en"", ""ja""))"),"オークション商品のご注文")</f>
        <v>オークション商品のご注文</v>
      </c>
    </row>
    <row r="2245" ht="15.75" customHeight="1">
      <c r="A2245" s="1" t="s">
        <v>4354</v>
      </c>
      <c r="B2245" s="1" t="s">
        <v>4355</v>
      </c>
      <c r="C2245" s="1" t="str">
        <f>IFERROR(__xludf.DUMMYFUNCTION("CONCATENATE(GOOGLETRANSLATE(B2245, ""en"", ""zh-cn""))"),"设置交易密码")</f>
        <v>设置交易密码</v>
      </c>
      <c r="D2245" s="1" t="str">
        <f>IFERROR(__xludf.DUMMYFUNCTION("CONCATENATE(GOOGLETRANSLATE(B2245, ""en"", ""ko""))"),"거래 비밀번호 설정")</f>
        <v>거래 비밀번호 설정</v>
      </c>
      <c r="E2245" s="2" t="str">
        <f>IFERROR(__xludf.DUMMYFUNCTION("CONCATENATE(GOOGLETRANSLATE(B2245, ""en"", ""ja""))"),"トランザクションパスワードの設定")</f>
        <v>トランザクションパスワードの設定</v>
      </c>
    </row>
    <row r="2246" ht="15.75" customHeight="1">
      <c r="A2246" s="1" t="s">
        <v>4356</v>
      </c>
      <c r="B2246" s="1" t="s">
        <v>4357</v>
      </c>
      <c r="C2246" s="1" t="str">
        <f>IFERROR(__xludf.DUMMYFUNCTION("CONCATENATE(GOOGLETRANSLATE(B2246, ""en"", ""zh-cn""))"),"查找交易密码")</f>
        <v>查找交易密码</v>
      </c>
      <c r="D2246" s="1" t="str">
        <f>IFERROR(__xludf.DUMMYFUNCTION("CONCATENATE(GOOGLETRANSLATE(B2246, ""en"", ""ko""))"),"거래 비밀번호 찾기")</f>
        <v>거래 비밀번호 찾기</v>
      </c>
      <c r="E2246" s="2" t="str">
        <f>IFERROR(__xludf.DUMMYFUNCTION("CONCATENATE(GOOGLETRANSLATE(B2246, ""en"", ""ja""))"),"トランザクションパスワードの検索")</f>
        <v>トランザクションパスワードの検索</v>
      </c>
    </row>
    <row r="2247" ht="15.75" customHeight="1">
      <c r="A2247" s="1" t="s">
        <v>4358</v>
      </c>
      <c r="B2247" s="1" t="s">
        <v>4359</v>
      </c>
      <c r="C2247" s="1" t="str">
        <f>IFERROR(__xludf.DUMMYFUNCTION("CONCATENATE(GOOGLETRANSLATE(B2247, ""en"", ""zh-cn""))"),"更新密码")</f>
        <v>更新密码</v>
      </c>
      <c r="D2247" s="1" t="str">
        <f>IFERROR(__xludf.DUMMYFUNCTION("CONCATENATE(GOOGLETRANSLATE(B2247, ""en"", ""ko""))"),"비밀번호 업데이트")</f>
        <v>비밀번호 업데이트</v>
      </c>
      <c r="E2247" s="2" t="str">
        <f>IFERROR(__xludf.DUMMYFUNCTION("CONCATENATE(GOOGLETRANSLATE(B2247, ""en"", ""ja""))"),"パスワードを更新する")</f>
        <v>パスワードを更新する</v>
      </c>
    </row>
    <row r="2248" ht="15.75" customHeight="1">
      <c r="A2248" s="1" t="s">
        <v>4360</v>
      </c>
      <c r="B2248" s="1" t="s">
        <v>4361</v>
      </c>
      <c r="C2248" s="1" t="str">
        <f>IFERROR(__xludf.DUMMYFUNCTION("CONCATENATE(GOOGLETRANSLATE(B2248, ""en"", ""zh-cn""))"),"密码为空。")</f>
        <v>密码为空。</v>
      </c>
      <c r="D2248" s="1" t="str">
        <f>IFERROR(__xludf.DUMMYFUNCTION("CONCATENATE(GOOGLETRANSLATE(B2248, ""en"", ""ko""))"),"비밀번호가 비어 있습니다.")</f>
        <v>비밀번호가 비어 있습니다.</v>
      </c>
      <c r="E2248" s="2" t="str">
        <f>IFERROR(__xludf.DUMMYFUNCTION("CONCATENATE(GOOGLETRANSLATE(B2248, ""en"", ""ja""))"),"パスワードが空です。")</f>
        <v>パスワードが空です。</v>
      </c>
    </row>
    <row r="2249" ht="15.75" customHeight="1">
      <c r="A2249" s="1" t="s">
        <v>4362</v>
      </c>
      <c r="B2249" s="1" t="s">
        <v>4363</v>
      </c>
      <c r="C2249" s="1" t="str">
        <f>IFERROR(__xludf.DUMMYFUNCTION("CONCATENATE(GOOGLETRANSLATE(B2249, ""en"", ""zh-cn""))"),"验证邮件已发送至您向我们提供的邮箱。")</f>
        <v>验证邮件已发送至您向我们提供的邮箱。</v>
      </c>
      <c r="D2249" s="1" t="str">
        <f>IFERROR(__xludf.DUMMYFUNCTION("CONCATENATE(GOOGLETRANSLATE(B2249, ""en"", ""ko""))"),"제공해 주신 메일로 확인 메일이 발송되었습니다.")</f>
        <v>제공해 주신 메일로 확인 메일이 발송되었습니다.</v>
      </c>
      <c r="E2249" s="2" t="str">
        <f>IFERROR(__xludf.DUMMYFUNCTION("CONCATENATE(GOOGLETRANSLATE(B2249, ""en"", ""ja""))"),"ご提供いただいたメールアドレスに確認メールを送信しました。")</f>
        <v>ご提供いただいたメールアドレスに確認メールを送信しました。</v>
      </c>
    </row>
    <row r="2250" ht="15.75" customHeight="1">
      <c r="A2250" s="1" t="s">
        <v>4364</v>
      </c>
      <c r="B2250" s="1" t="s">
        <v>4365</v>
      </c>
      <c r="C2250" s="1" t="str">
        <f>IFERROR(__xludf.DUMMYFUNCTION("CONCATENATE(GOOGLETRANSLATE(B2250, ""en"", ""zh-cn""))"),"您已设置交易密码。")</f>
        <v>您已设置交易密码。</v>
      </c>
      <c r="D2250" s="1" t="str">
        <f>IFERROR(__xludf.DUMMYFUNCTION("CONCATENATE(GOOGLETRANSLATE(B2250, ""en"", ""ko""))"),"거래 비밀번호를 설정하셨습니다.")</f>
        <v>거래 비밀번호를 설정하셨습니다.</v>
      </c>
      <c r="E2250" s="2" t="str">
        <f>IFERROR(__xludf.DUMMYFUNCTION("CONCATENATE(GOOGLETRANSLATE(B2250, ""en"", ""ja""))"),"取引パスワードを設定しました。")</f>
        <v>取引パスワードを設定しました。</v>
      </c>
    </row>
    <row r="2251" ht="15.75" customHeight="1">
      <c r="A2251" s="1" t="s">
        <v>4366</v>
      </c>
      <c r="B2251" s="1" t="s">
        <v>4367</v>
      </c>
      <c r="C2251" s="1" t="str">
        <f>IFERROR(__xludf.DUMMYFUNCTION("CONCATENATE(GOOGLETRANSLATE(B2251, ""en"", ""zh-cn""))"),"原始密码")</f>
        <v>原始密码</v>
      </c>
      <c r="D2251" s="1" t="str">
        <f>IFERROR(__xludf.DUMMYFUNCTION("CONCATENATE(GOOGLETRANSLATE(B2251, ""en"", ""ko""))"),"원래 비밀번호")</f>
        <v>원래 비밀번호</v>
      </c>
      <c r="E2251" s="2" t="str">
        <f>IFERROR(__xludf.DUMMYFUNCTION("CONCATENATE(GOOGLETRANSLATE(B2251, ""en"", ""ja""))"),"元のパスワード")</f>
        <v>元のパスワード</v>
      </c>
    </row>
    <row r="2252" ht="15.75" customHeight="1">
      <c r="A2252" s="1" t="s">
        <v>4368</v>
      </c>
      <c r="B2252" s="1" t="s">
        <v>4369</v>
      </c>
      <c r="C2252" s="1" t="str">
        <f>IFERROR(__xludf.DUMMYFUNCTION("CONCATENATE(GOOGLETRANSLATE(B2252, ""en"", ""zh-cn""))"),"更新交易密码")</f>
        <v>更新交易密码</v>
      </c>
      <c r="D2252" s="1" t="str">
        <f>IFERROR(__xludf.DUMMYFUNCTION("CONCATENATE(GOOGLETRANSLATE(B2252, ""en"", ""ko""))"),"거래 비밀번호 업데이트")</f>
        <v>거래 비밀번호 업데이트</v>
      </c>
      <c r="E2252" s="2" t="str">
        <f>IFERROR(__xludf.DUMMYFUNCTION("CONCATENATE(GOOGLETRANSLATE(B2252, ""en"", ""ja""))"),"トランザクションパスワードを更新する")</f>
        <v>トランザクションパスワードを更新する</v>
      </c>
    </row>
    <row r="2253" ht="15.75" customHeight="1">
      <c r="A2253" s="1" t="s">
        <v>4370</v>
      </c>
      <c r="B2253" s="1" t="s">
        <v>4371</v>
      </c>
      <c r="C2253" s="1" t="str">
        <f>IFERROR(__xludf.DUMMYFUNCTION("CONCATENATE(GOOGLETRANSLATE(B2253, ""en"", ""zh-cn""))"),"原密码错误。")</f>
        <v>原密码错误。</v>
      </c>
      <c r="D2253" s="1" t="str">
        <f>IFERROR(__xludf.DUMMYFUNCTION("CONCATENATE(GOOGLETRANSLATE(B2253, ""en"", ""ko""))"),"원래 비밀번호 오류입니다.")</f>
        <v>원래 비밀번호 오류입니다.</v>
      </c>
      <c r="E2253" s="2" t="str">
        <f>IFERROR(__xludf.DUMMYFUNCTION("CONCATENATE(GOOGLETRANSLATE(B2253, ""en"", ""ja""))"),"元のパスワードのエラー。")</f>
        <v>元のパスワードのエラー。</v>
      </c>
    </row>
    <row r="2254" ht="15.75" customHeight="1">
      <c r="A2254" s="1" t="s">
        <v>4372</v>
      </c>
      <c r="B2254" s="1" t="s">
        <v>4373</v>
      </c>
      <c r="C2254" s="1" t="str">
        <f>IFERROR(__xludf.DUMMYFUNCTION("CONCATENATE(GOOGLETRANSLATE(B2254, ""en"", ""zh-cn""))"),"您的密码已成功更新！")</f>
        <v>您的密码已成功更新！</v>
      </c>
      <c r="D2254" s="1" t="str">
        <f>IFERROR(__xludf.DUMMYFUNCTION("CONCATENATE(GOOGLETRANSLATE(B2254, ""en"", ""ko""))"),"귀하의 비밀번호가 성공적으로 업데이트되었습니다!")</f>
        <v>귀하의 비밀번호가 성공적으로 업데이트되었습니다!</v>
      </c>
      <c r="E2254" s="2" t="str">
        <f>IFERROR(__xludf.DUMMYFUNCTION("CONCATENATE(GOOGLETRANSLATE(B2254, ""en"", ""ja""))"),"パスワードは正常に更新されました。")</f>
        <v>パスワードは正常に更新されました。</v>
      </c>
    </row>
    <row r="2255" ht="15.75" customHeight="1">
      <c r="A2255" s="1" t="s">
        <v>4374</v>
      </c>
      <c r="B2255" s="1" t="s">
        <v>4375</v>
      </c>
      <c r="C2255" s="1" t="str">
        <f>IFERROR(__xludf.DUMMYFUNCTION("CONCATENATE(GOOGLETRANSLATE(B2255, ""en"", ""zh-cn""))"),"请输入六位交易密码。")</f>
        <v>请输入六位交易密码。</v>
      </c>
      <c r="D2255" s="1" t="str">
        <f>IFERROR(__xludf.DUMMYFUNCTION("CONCATENATE(GOOGLETRANSLATE(B2255, ""en"", ""ko""))"),"거래비밀번호 6자리를 입력해주세요.")</f>
        <v>거래비밀번호 6자리를 입력해주세요.</v>
      </c>
      <c r="E2255" s="2" t="str">
        <f>IFERROR(__xludf.DUMMYFUNCTION("CONCATENATE(GOOGLETRANSLATE(B2255, ""en"", ""ja""))"),"6桁の取引パスワードを入力してください。")</f>
        <v>6桁の取引パスワードを入力してください。</v>
      </c>
    </row>
    <row r="2256" ht="15.75" customHeight="1">
      <c r="A2256" s="1" t="s">
        <v>4376</v>
      </c>
      <c r="B2256" s="1" t="s">
        <v>4377</v>
      </c>
      <c r="C2256" s="1" t="str">
        <f>IFERROR(__xludf.DUMMYFUNCTION("CONCATENATE(GOOGLETRANSLATE(B2256, ""en"", ""zh-cn""))"),"交易密码为六位纯数字。")</f>
        <v>交易密码为六位纯数字。</v>
      </c>
      <c r="D2256" s="1" t="str">
        <f>IFERROR(__xludf.DUMMYFUNCTION("CONCATENATE(GOOGLETRANSLATE(B2256, ""en"", ""ko""))"),"거래 비밀번호는 6자리 순수 숫자입니다.")</f>
        <v>거래 비밀번호는 6자리 순수 숫자입니다.</v>
      </c>
      <c r="E2256" s="2" t="str">
        <f>IFERROR(__xludf.DUMMYFUNCTION("CONCATENATE(GOOGLETRANSLATE(B2256, ""en"", ""ja""))"),"取引パスワードは 6 桁の純粋な数字です。")</f>
        <v>取引パスワードは 6 桁の純粋な数字です。</v>
      </c>
    </row>
    <row r="2257" ht="15.75" customHeight="1">
      <c r="A2257" s="1" t="s">
        <v>4378</v>
      </c>
      <c r="B2257" s="1" t="s">
        <v>4379</v>
      </c>
      <c r="C2257" s="1" t="str">
        <f>IFERROR(__xludf.DUMMYFUNCTION("CONCATENATE(GOOGLETRANSLATE(B2257, ""en"", ""zh-cn""))"),"密码不匹配。")</f>
        <v>密码不匹配。</v>
      </c>
      <c r="D2257" s="1" t="str">
        <f>IFERROR(__xludf.DUMMYFUNCTION("CONCATENATE(GOOGLETRANSLATE(B2257, ""en"", ""ko""))"),"비밀번호가 일치하지 않습니다.")</f>
        <v>비밀번호가 일치하지 않습니다.</v>
      </c>
      <c r="E2257" s="2" t="str">
        <f>IFERROR(__xludf.DUMMYFUNCTION("CONCATENATE(GOOGLETRANSLATE(B2257, ""en"", ""ja""))"),"パスワードが一致しません。")</f>
        <v>パスワードが一致しません。</v>
      </c>
    </row>
    <row r="2258" ht="15.75" customHeight="1">
      <c r="A2258" s="1" t="s">
        <v>4380</v>
      </c>
      <c r="B2258" s="1" t="s">
        <v>4381</v>
      </c>
      <c r="C2258" s="1" t="str">
        <f>IFERROR(__xludf.DUMMYFUNCTION("CONCATENATE(GOOGLETRANSLATE(B2258, ""en"", ""zh-cn""))"),"请联系客服找回交易密码")</f>
        <v>请联系客服找回交易密码</v>
      </c>
      <c r="D2258" s="1" t="str">
        <f>IFERROR(__xludf.DUMMYFUNCTION("CONCATENATE(GOOGLETRANSLATE(B2258, ""en"", ""ko""))"),"거래 비밀번호를 찾으려면 고객 서비스에 문의하세요.")</f>
        <v>거래 비밀번호를 찾으려면 고객 서비스에 문의하세요.</v>
      </c>
      <c r="E2258" s="2" t="str">
        <f>IFERROR(__xludf.DUMMYFUNCTION("CONCATENATE(GOOGLETRANSLATE(B2258, ""en"", ""ja""))"),"取引パスワードを取得するには、カスタマーサービスにお問い合わせください。")</f>
        <v>取引パスワードを取得するには、カスタマーサービスにお問い合わせください。</v>
      </c>
    </row>
    <row r="2259" ht="15.75" customHeight="1">
      <c r="A2259" s="1" t="s">
        <v>4382</v>
      </c>
      <c r="B2259" s="1" t="s">
        <v>4383</v>
      </c>
      <c r="C2259" s="1" t="str">
        <f>IFERROR(__xludf.DUMMYFUNCTION("CONCATENATE(GOOGLETRANSLATE(B2259, ""en"", ""zh-cn""))"),"如果您忘记交易密码，请联系客服找回交易密码")</f>
        <v>如果您忘记交易密码，请联系客服找回交易密码</v>
      </c>
      <c r="D2259" s="1" t="str">
        <f>IFERROR(__xludf.DUMMYFUNCTION("CONCATENATE(GOOGLETRANSLATE(B2259, ""en"", ""ko""))"),"거래 비밀번호를 잊어버린 경우 고객 서비스에 문의하여 거래 비밀번호를 찾으세요.")</f>
        <v>거래 비밀번호를 잊어버린 경우 고객 서비스에 문의하여 거래 비밀번호를 찾으세요.</v>
      </c>
      <c r="E2259" s="2" t="str">
        <f>IFERROR(__xludf.DUMMYFUNCTION("CONCATENATE(GOOGLETRANSLATE(B2259, ""en"", ""ja""))"),"取引パスワードを忘れた場合は、カスタマーサービスに連絡して取引パスワードを取得してください。")</f>
        <v>取引パスワードを忘れた場合は、カスタマーサービスに連絡して取引パスワードを取得してください。</v>
      </c>
    </row>
    <row r="2260" ht="15.75" customHeight="1">
      <c r="A2260" s="1" t="s">
        <v>4384</v>
      </c>
      <c r="B2260" s="1" t="s">
        <v>4385</v>
      </c>
      <c r="C2260" s="1" t="str">
        <f>IFERROR(__xludf.DUMMYFUNCTION("CONCATENATE(GOOGLETRANSLATE(B2260, ""en"", ""zh-cn""))"),"密码错误")</f>
        <v>密码错误</v>
      </c>
      <c r="D2260" s="1" t="str">
        <f>IFERROR(__xludf.DUMMYFUNCTION("CONCATENATE(GOOGLETRANSLATE(B2260, ""en"", ""ko""))"),"비밀번호 오류")</f>
        <v>비밀번호 오류</v>
      </c>
      <c r="E2260" s="2" t="str">
        <f>IFERROR(__xludf.DUMMYFUNCTION("CONCATENATE(GOOGLETRANSLATE(B2260, ""en"", ""ja""))"),"パスワードエラー")</f>
        <v>パスワードエラー</v>
      </c>
    </row>
    <row r="2261" ht="15.75" customHeight="1">
      <c r="A2261" s="1" t="s">
        <v>4386</v>
      </c>
      <c r="B2261" s="1" t="s">
        <v>4387</v>
      </c>
      <c r="C2261" s="1" t="str">
        <f>IFERROR(__xludf.DUMMYFUNCTION("CONCATENATE(GOOGLETRANSLATE(B2261, ""en"", ""zh-cn""))"),"套装套餐")</f>
        <v>套装套餐</v>
      </c>
      <c r="D2261" s="1" t="str">
        <f>IFERROR(__xludf.DUMMYFUNCTION("CONCATENATE(GOOGLETRANSLATE(B2261, ""en"", ""ko""))"),"세트 패키지")</f>
        <v>세트 패키지</v>
      </c>
      <c r="E2261" s="2" t="str">
        <f>IFERROR(__xludf.DUMMYFUNCTION("CONCATENATE(GOOGLETRANSLATE(B2261, ""en"", ""ja""))"),"セットパッケージ")</f>
        <v>セットパッケージ</v>
      </c>
    </row>
    <row r="2262" ht="15.75" customHeight="1">
      <c r="A2262" s="1" t="s">
        <v>4388</v>
      </c>
      <c r="B2262" s="1" t="s">
        <v>4389</v>
      </c>
      <c r="C2262" s="1" t="str">
        <f>IFERROR(__xludf.DUMMYFUNCTION("CONCATENATE(GOOGLETRANSLATE(B2262, ""en"", ""zh-cn""))"),"集推销员")</f>
        <v>集推销员</v>
      </c>
      <c r="D2262" s="1" t="str">
        <f>IFERROR(__xludf.DUMMYFUNCTION("CONCATENATE(GOOGLETRANSLATE(B2262, ""en"", ""ko""))"),"세일즈맨 설정")</f>
        <v>세일즈맨 설정</v>
      </c>
      <c r="E2262" s="2" t="str">
        <f>IFERROR(__xludf.DUMMYFUNCTION("CONCATENATE(GOOGLETRANSLATE(B2262, ""en"", ""ja""))"),"セットセールスマン")</f>
        <v>セットセールスマン</v>
      </c>
    </row>
    <row r="2263" ht="15.75" customHeight="1">
      <c r="A2263" s="1" t="s">
        <v>4390</v>
      </c>
      <c r="B2263" s="1" t="s">
        <v>4391</v>
      </c>
      <c r="C2263" s="1" t="str">
        <f>IFERROR(__xludf.DUMMYFUNCTION("CONCATENATE(GOOGLETRANSLATE(B2263, ""en"", ""zh-cn""))"),"推销员")</f>
        <v>推销员</v>
      </c>
      <c r="D2263" s="1" t="str">
        <f>IFERROR(__xludf.DUMMYFUNCTION("CONCATENATE(GOOGLETRANSLATE(B2263, ""en"", ""ko""))"),"판매원")</f>
        <v>판매원</v>
      </c>
      <c r="E2263" s="2" t="str">
        <f>IFERROR(__xludf.DUMMYFUNCTION("CONCATENATE(GOOGLETRANSLATE(B2263, ""en"", ""ja""))"),"セールスマン")</f>
        <v>セールスマン</v>
      </c>
    </row>
    <row r="2264" ht="15.75" customHeight="1">
      <c r="A2264" s="1" t="s">
        <v>4392</v>
      </c>
      <c r="B2264" s="1" t="s">
        <v>4393</v>
      </c>
      <c r="C2264" s="1" t="str">
        <f>IFERROR(__xludf.DUMMYFUNCTION("CONCATENATE(GOOGLETRANSLATE(B2264, ""en"", ""zh-cn""))"),"基数")</f>
        <v>基数</v>
      </c>
      <c r="D2264" s="1" t="str">
        <f>IFERROR(__xludf.DUMMYFUNCTION("CONCATENATE(GOOGLETRANSLATE(B2264, ""en"", ""ko""))"),"기본 숫자")</f>
        <v>기본 숫자</v>
      </c>
      <c r="E2264" s="2" t="str">
        <f>IFERROR(__xludf.DUMMYFUNCTION("CONCATENATE(GOOGLETRANSLATE(B2264, ""en"", ""ja""))"),"基数")</f>
        <v>基数</v>
      </c>
    </row>
    <row r="2265" ht="15.75" customHeight="1">
      <c r="A2265" s="1" t="s">
        <v>4394</v>
      </c>
      <c r="B2265" s="1" t="s">
        <v>4395</v>
      </c>
      <c r="C2265" s="1" t="str">
        <f>IFERROR(__xludf.DUMMYFUNCTION("CONCATENATE(GOOGLETRANSLATE(B2265, ""en"", ""zh-cn""))"),"公司编号")</f>
        <v>公司编号</v>
      </c>
      <c r="D2265" s="1" t="str">
        <f>IFERROR(__xludf.DUMMYFUNCTION("CONCATENATE(GOOGLETRANSLATE(B2265, ""en"", ""ko""))"),"증분 번호")</f>
        <v>증분 번호</v>
      </c>
      <c r="E2265" s="2" t="str">
        <f>IFERROR(__xludf.DUMMYFUNCTION("CONCATENATE(GOOGLETRANSLATE(B2265, ""en"", ""ja""))"),"インク番号")</f>
        <v>インク番号</v>
      </c>
    </row>
    <row r="2266" ht="15.75" customHeight="1">
      <c r="A2266" s="1" t="s">
        <v>4396</v>
      </c>
      <c r="B2266" s="1" t="s">
        <v>4397</v>
      </c>
      <c r="C2266" s="1" t="str">
        <f>IFERROR(__xludf.DUMMYFUNCTION("CONCATENATE(GOOGLETRANSLATE(B2266, ""en"", ""zh-cn""))"),"客户提款请求")</f>
        <v>客户提款请求</v>
      </c>
      <c r="D2266" s="1" t="str">
        <f>IFERROR(__xludf.DUMMYFUNCTION("CONCATENATE(GOOGLETRANSLATE(B2266, ""en"", ""ko""))"),"고객 탈퇴 요청")</f>
        <v>고객 탈퇴 요청</v>
      </c>
      <c r="E2266" s="2" t="str">
        <f>IFERROR(__xludf.DUMMYFUNCTION("CONCATENATE(GOOGLETRANSLATE(B2266, ""en"", ""ja""))"),"顧客の引き出しリクエスト")</f>
        <v>顧客の引き出しリクエスト</v>
      </c>
    </row>
    <row r="2267" ht="15.75" customHeight="1">
      <c r="A2267" s="1" t="s">
        <v>4398</v>
      </c>
      <c r="B2267" s="1" t="s">
        <v>4399</v>
      </c>
      <c r="C2267" s="1" t="str">
        <f>IFERROR(__xludf.DUMMYFUNCTION("CONCATENATE(GOOGLETRANSLATE(B2267, ""en"", ""zh-cn""))"),"您应该填写银行信息")</f>
        <v>您应该填写银行信息</v>
      </c>
      <c r="D2267" s="1" t="str">
        <f>IFERROR(__xludf.DUMMYFUNCTION("CONCATENATE(GOOGLETRANSLATE(B2267, ""en"", ""ko""))"),"은행 정보를 입력해야 합니다")</f>
        <v>은행 정보를 입력해야 합니다</v>
      </c>
      <c r="E2267" s="2" t="str">
        <f>IFERROR(__xludf.DUMMYFUNCTION("CONCATENATE(GOOGLETRANSLATE(B2267, ""en"", ""ja""))"),"銀行情報を入力する必要があります")</f>
        <v>銀行情報を入力する必要があります</v>
      </c>
    </row>
    <row r="2268" ht="15.75" customHeight="1">
      <c r="A2268" s="1" t="s">
        <v>4400</v>
      </c>
      <c r="B2268" s="1" t="s">
        <v>4401</v>
      </c>
      <c r="C2268" s="1" t="str">
        <f>IFERROR(__xludf.DUMMYFUNCTION("CONCATENATE(GOOGLETRANSLATE(B2268, ""en"", ""zh-cn""))"),"您应该填写USDT信息")</f>
        <v>您应该填写USDT信息</v>
      </c>
      <c r="D2268" s="1" t="str">
        <f>IFERROR(__xludf.DUMMYFUNCTION("CONCATENATE(GOOGLETRANSLATE(B2268, ""en"", ""ko""))"),"USDT 정보를 입력해야 합니다")</f>
        <v>USDT 정보를 입력해야 합니다</v>
      </c>
      <c r="E2268" s="2" t="str">
        <f>IFERROR(__xludf.DUMMYFUNCTION("CONCATENATE(GOOGLETRANSLATE(B2268, ""en"", ""ja""))"),"USDT情報を入力する必要があります")</f>
        <v>USDT情報を入力する必要があります</v>
      </c>
    </row>
    <row r="2269" ht="15.75" customHeight="1">
      <c r="A2269" s="1" t="s">
        <v>4402</v>
      </c>
      <c r="B2269" s="1" t="s">
        <v>4403</v>
      </c>
      <c r="C2269" s="1" t="str">
        <f>IFERROR(__xludf.DUMMYFUNCTION("CONCATENATE(GOOGLETRANSLATE(B2269, ""en"", ""zh-cn""))"),"购买传播包")</f>
        <v>购买传播包</v>
      </c>
      <c r="D2269" s="1" t="str">
        <f>IFERROR(__xludf.DUMMYFUNCTION("CONCATENATE(GOOGLETRANSLATE(B2269, ""en"", ""ko""))"),"스프레드패키지 구매")</f>
        <v>스프레드패키지 구매</v>
      </c>
      <c r="E2269" s="2" t="str">
        <f>IFERROR(__xludf.DUMMYFUNCTION("CONCATENATE(GOOGLETRANSLATE(B2269, ""en"", ""ja""))"),"スプレッドパッケージを購入する")</f>
        <v>スプレッドパッケージを購入する</v>
      </c>
    </row>
    <row r="2270" ht="15.75" customHeight="1">
      <c r="A2270" s="1" t="s">
        <v>4404</v>
      </c>
      <c r="B2270" s="1" t="s">
        <v>4405</v>
      </c>
      <c r="C2270" s="1" t="str">
        <f>IFERROR(__xludf.DUMMYFUNCTION("CONCATENATE(GOOGLETRANSLATE(B2270, ""en"", ""zh-cn""))"),"购买套餐")</f>
        <v>购买套餐</v>
      </c>
      <c r="D2270" s="1" t="str">
        <f>IFERROR(__xludf.DUMMYFUNCTION("CONCATENATE(GOOGLETRANSLATE(B2270, ""en"", ""ko""))"),"패키지 구매")</f>
        <v>패키지 구매</v>
      </c>
      <c r="E2270" s="2" t="str">
        <f>IFERROR(__xludf.DUMMYFUNCTION("CONCATENATE(GOOGLETRANSLATE(B2270, ""en"", ""ja""))"),"パッケージを購入する")</f>
        <v>パッケージを購入する</v>
      </c>
    </row>
    <row r="2271" ht="15.75" customHeight="1">
      <c r="A2271" s="1" t="s">
        <v>4406</v>
      </c>
      <c r="B2271" s="1" t="s">
        <v>4407</v>
      </c>
      <c r="C2271" s="1" t="str">
        <f>IFERROR(__xludf.DUMMYFUNCTION("CONCATENATE(GOOGLETRANSLATE(B2271, ""en"", ""zh-cn""))"),"卖家已付款给管理员")</f>
        <v>卖家已付款给管理员</v>
      </c>
      <c r="D2271" s="1" t="str">
        <f>IFERROR(__xludf.DUMMYFUNCTION("CONCATENATE(GOOGLETRANSLATE(B2271, ""en"", ""ko""))"),"판매자가 관리자에게 지불함")</f>
        <v>판매자가 관리자에게 지불함</v>
      </c>
      <c r="E2271" s="2" t="str">
        <f>IFERROR(__xludf.DUMMYFUNCTION("CONCATENATE(GOOGLETRANSLATE(B2271, ""en"", ""ja""))"),"販売者が管理者に支払い")</f>
        <v>販売者が管理者に支払い</v>
      </c>
    </row>
    <row r="2272" ht="15.75" customHeight="1">
      <c r="A2272" s="1" t="s">
        <v>4408</v>
      </c>
      <c r="B2272" s="1" t="s">
        <v>4409</v>
      </c>
      <c r="C2272" s="1" t="str">
        <f>IFERROR(__xludf.DUMMYFUNCTION("CONCATENATE(GOOGLETRANSLATE(B2272, ""en"", ""zh-cn""))"),"-")</f>
        <v>-</v>
      </c>
      <c r="D2272" s="1" t="str">
        <f>IFERROR(__xludf.DUMMYFUNCTION("CONCATENATE(GOOGLETRANSLATE(B2272, ""en"", ""ko""))"),"-")</f>
        <v>-</v>
      </c>
      <c r="E2272" s="2" t="str">
        <f>IFERROR(__xludf.DUMMYFUNCTION("CONCATENATE(GOOGLETRANSLATE(B2272, ""en"", ""ja""))"),"-")</f>
        <v>-</v>
      </c>
    </row>
    <row r="2273" ht="15.75" customHeight="1">
      <c r="A2273" s="1" t="s">
        <v>4410</v>
      </c>
      <c r="B2273" s="1" t="s">
        <v>4411</v>
      </c>
      <c r="C2273" s="1" t="str">
        <f>IFERROR(__xludf.DUMMYFUNCTION("CONCATENATE(GOOGLETRANSLATE(B2273, ""en"", ""zh-cn""))"),"创建虚拟客户")</f>
        <v>创建虚拟客户</v>
      </c>
      <c r="D2273" s="1" t="str">
        <f>IFERROR(__xludf.DUMMYFUNCTION("CONCATENATE(GOOGLETRANSLATE(B2273, ""en"", ""ko""))"),"가상 고객 생성")</f>
        <v>가상 고객 생성</v>
      </c>
      <c r="E2273" s="2" t="str">
        <f>IFERROR(__xludf.DUMMYFUNCTION("CONCATENATE(GOOGLETRANSLATE(B2273, ""en"", ""ja""))"),"仮想顧客の作成")</f>
        <v>仮想顧客の作成</v>
      </c>
    </row>
    <row r="2274" ht="15.75" customHeight="1">
      <c r="A2274" s="1" t="s">
        <v>4412</v>
      </c>
      <c r="B2274" s="1" t="s">
        <v>4413</v>
      </c>
      <c r="C2274" s="1" t="str">
        <f>IFERROR(__xludf.DUMMYFUNCTION("CONCATENATE(GOOGLETRANSLATE(B2274, ""en"", ""zh-cn""))"),"N:B: 您可以在这里创建虚拟客户，最多 100 人")</f>
        <v>N:B: 您可以在这里创建虚拟客户，最多 100 人</v>
      </c>
      <c r="D2274" s="1" t="str">
        <f>IFERROR(__xludf.DUMMYFUNCTION("CONCATENATE(GOOGLETRANSLATE(B2274, ""en"", ""ko""))"),"주의: 여기에서 최대 100명의 가상 고객을 생성할 수 있습니다.")</f>
        <v>주의: 여기에서 최대 100명의 가상 고객을 생성할 수 있습니다.</v>
      </c>
      <c r="E2274" s="2" t="str">
        <f>IFERROR(__xludf.DUMMYFUNCTION("CONCATENATE(GOOGLETRANSLATE(B2274, ""en"", ""ja""))"),"注: ここで最大 100 人の仮想顧客を作成できます。")</f>
        <v>注: ここで最大 100 人の仮想顧客を作成できます。</v>
      </c>
    </row>
    <row r="2275" ht="15.75" customHeight="1">
      <c r="A2275" s="1" t="s">
        <v>4414</v>
      </c>
      <c r="B2275" s="1" t="s">
        <v>4415</v>
      </c>
      <c r="C2275" s="1" t="str">
        <f>IFERROR(__xludf.DUMMYFUNCTION("CONCATENATE(GOOGLETRANSLATE(B2275, ""en"", ""zh-cn""))"),"名称前缀")</f>
        <v>名称前缀</v>
      </c>
      <c r="D2275" s="1" t="str">
        <f>IFERROR(__xludf.DUMMYFUNCTION("CONCATENATE(GOOGLETRANSLATE(B2275, ""en"", ""ko""))"),"이름 접두어")</f>
        <v>이름 접두어</v>
      </c>
      <c r="E2275" s="2" t="str">
        <f>IFERROR(__xludf.DUMMYFUNCTION("CONCATENATE(GOOGLETRANSLATE(B2275, ""en"", ""ja""))"),"名前の接頭辞")</f>
        <v>名前の接頭辞</v>
      </c>
    </row>
    <row r="2276" ht="15.75" customHeight="1">
      <c r="A2276" s="1" t="s">
        <v>4416</v>
      </c>
      <c r="B2276" s="1" t="s">
        <v>4417</v>
      </c>
      <c r="C2276" s="1" t="str">
        <f>IFERROR(__xludf.DUMMYFUNCTION("CONCATENATE(GOOGLETRANSLATE(B2276, ""en"", ""zh-cn""))"),"选修的")</f>
        <v>选修的</v>
      </c>
      <c r="D2276" s="1" t="str">
        <f>IFERROR(__xludf.DUMMYFUNCTION("CONCATENATE(GOOGLETRANSLATE(B2276, ""en"", ""ko""))"),"선택 과목")</f>
        <v>선택 과목</v>
      </c>
      <c r="E2276" s="2" t="str">
        <f>IFERROR(__xludf.DUMMYFUNCTION("CONCATENATE(GOOGLETRANSLATE(B2276, ""en"", ""ja""))"),"オプション")</f>
        <v>オプション</v>
      </c>
    </row>
    <row r="2277" ht="15.75" customHeight="1">
      <c r="A2277" s="1" t="s">
        <v>4418</v>
      </c>
      <c r="B2277" s="1" t="s">
        <v>4419</v>
      </c>
      <c r="C2277" s="1" t="str">
        <f>IFERROR(__xludf.DUMMYFUNCTION("CONCATENATE(GOOGLETRANSLATE(B2277, ""en"", ""zh-cn""))"),"推荐用户")</f>
        <v>推荐用户</v>
      </c>
      <c r="D2277" s="1" t="str">
        <f>IFERROR(__xludf.DUMMYFUNCTION("CONCATENATE(GOOGLETRANSLATE(B2277, ""en"", ""ko""))"),"추천 사용자")</f>
        <v>추천 사용자</v>
      </c>
      <c r="E2277" s="2" t="str">
        <f>IFERROR(__xludf.DUMMYFUNCTION("CONCATENATE(GOOGLETRANSLATE(B2277, ""en"", ""ja""))"),"紹介ユーザー")</f>
        <v>紹介ユーザー</v>
      </c>
    </row>
    <row r="2278" ht="15.75" customHeight="1">
      <c r="A2278" s="1" t="s">
        <v>4420</v>
      </c>
      <c r="B2278" s="1" t="s">
        <v>4421</v>
      </c>
      <c r="C2278" s="1" t="str">
        <f>IFERROR(__xludf.DUMMYFUNCTION("CONCATENATE(GOOGLETRANSLATE(B2278, ""en"", ""zh-cn""))"),"初始余额")</f>
        <v>初始余额</v>
      </c>
      <c r="D2278" s="1" t="str">
        <f>IFERROR(__xludf.DUMMYFUNCTION("CONCATENATE(GOOGLETRANSLATE(B2278, ""en"", ""ko""))"),"초기 잔액")</f>
        <v>초기 잔액</v>
      </c>
      <c r="E2278" s="2" t="str">
        <f>IFERROR(__xludf.DUMMYFUNCTION("CONCATENATE(GOOGLETRANSLATE(B2278, ""en"", ""ja""))"),"初期残高")</f>
        <v>初期残高</v>
      </c>
    </row>
    <row r="2279" ht="15.75" customHeight="1">
      <c r="A2279" s="1" t="s">
        <v>4422</v>
      </c>
      <c r="B2279" s="1" t="s">
        <v>4423</v>
      </c>
      <c r="C2279" s="1" t="str">
        <f>IFERROR(__xludf.DUMMYFUNCTION("CONCATENATE(GOOGLETRANSLATE(B2279, ""en"", ""zh-cn""))"),"禁用登录")</f>
        <v>禁用登录</v>
      </c>
      <c r="D2279" s="1" t="str">
        <f>IFERROR(__xludf.DUMMYFUNCTION("CONCATENATE(GOOGLETRANSLATE(B2279, ""en"", ""ko""))"),"로그인 비활성화")</f>
        <v>로그인 비활성화</v>
      </c>
      <c r="E2279" s="2" t="str">
        <f>IFERROR(__xludf.DUMMYFUNCTION("CONCATENATE(GOOGLETRANSLATE(B2279, ""en"", ""ja""))"),"ログインを無効にする")</f>
        <v>ログインを無効にする</v>
      </c>
    </row>
    <row r="2280" ht="15.75" customHeight="1">
      <c r="A2280" s="1" t="s">
        <v>4424</v>
      </c>
      <c r="B2280" s="1" t="s">
        <v>4425</v>
      </c>
      <c r="C2280" s="1" t="str">
        <f>IFERROR(__xludf.DUMMYFUNCTION("CONCATENATE(GOOGLETRANSLATE(B2280, ""en"", ""zh-cn""))"),"虚拟客户创建成功")</f>
        <v>虚拟客户创建成功</v>
      </c>
      <c r="D2280" s="1" t="str">
        <f>IFERROR(__xludf.DUMMYFUNCTION("CONCATENATE(GOOGLETRANSLATE(B2280, ""en"", ""ko""))"),"가상 고객이 성공적으로 생성되었습니다.")</f>
        <v>가상 고객이 성공적으로 생성되었습니다.</v>
      </c>
      <c r="E2280" s="2" t="str">
        <f>IFERROR(__xludf.DUMMYFUNCTION("CONCATENATE(GOOGLETRANSLATE(B2280, ""en"", ""ja""))"),"仮想顧客が正常に作成されました")</f>
        <v>仮想顧客が正常に作成されました</v>
      </c>
    </row>
    <row r="2281" ht="15.75" customHeight="1">
      <c r="A2281" s="1" t="s">
        <v>4426</v>
      </c>
      <c r="B2281" s="1" t="s">
        <v>4427</v>
      </c>
      <c r="C2281" s="1" t="str">
        <f>IFERROR(__xludf.DUMMYFUNCTION("CONCATENATE(GOOGLETRANSLATE(B2281, ""en"", ""zh-cn""))"),"执行失败重试")</f>
        <v>执行失败重试</v>
      </c>
      <c r="D2281" s="1" t="str">
        <f>IFERROR(__xludf.DUMMYFUNCTION("CONCATENATE(GOOGLETRANSLATE(B2281, ""en"", ""ko""))"),"실행 실패 다시 시도")</f>
        <v>실행 실패 다시 시도</v>
      </c>
      <c r="E2281" s="2" t="str">
        <f>IFERROR(__xludf.DUMMYFUNCTION("CONCATENATE(GOOGLETRANSLATE(B2281, ""en"", ""ja""))"),"実行失敗 再試行")</f>
        <v>実行失敗 再試行</v>
      </c>
    </row>
    <row r="2282" ht="15.75" customHeight="1">
      <c r="A2282" s="1" t="s">
        <v>4428</v>
      </c>
      <c r="B2282" s="1" t="s">
        <v>4429</v>
      </c>
      <c r="C2282" s="1" t="str">
        <f>IFERROR(__xludf.DUMMYFUNCTION("CONCATENATE(GOOGLETRANSLATE(B2282, ""en"", ""zh-cn""))"),"从管理员付款")</f>
        <v>从管理员付款</v>
      </c>
      <c r="D2282" s="1" t="str">
        <f>IFERROR(__xludf.DUMMYFUNCTION("CONCATENATE(GOOGLETRANSLATE(B2282, ""en"", ""ko""))"),"관리자로부터 지불")</f>
        <v>관리자로부터 지불</v>
      </c>
      <c r="E2282" s="2" t="str">
        <f>IFERROR(__xludf.DUMMYFUNCTION("CONCATENATE(GOOGLETRANSLATE(B2282, ""en"", ""ja""))"),"管理者から支払う")</f>
        <v>管理者から支払う</v>
      </c>
    </row>
    <row r="2283" ht="15.75" customHeight="1">
      <c r="A2283" s="1" t="s">
        <v>4430</v>
      </c>
      <c r="B2283" s="1" t="s">
        <v>4431</v>
      </c>
      <c r="C2283" s="1" t="str">
        <f>IFERROR(__xludf.DUMMYFUNCTION("CONCATENATE(GOOGLETRANSLATE(B2283, ""en"", ""zh-cn""))"),"评论权限")</f>
        <v>评论权限</v>
      </c>
      <c r="D2283" s="1" t="str">
        <f>IFERROR(__xludf.DUMMYFUNCTION("CONCATENATE(GOOGLETRANSLATE(B2283, ""en"", ""ko""))"),"댓글 권한")</f>
        <v>댓글 권한</v>
      </c>
      <c r="E2283" s="2" t="str">
        <f>IFERROR(__xludf.DUMMYFUNCTION("CONCATENATE(GOOGLETRANSLATE(B2283, ""en"", ""ja""))"),"コメントの許可")</f>
        <v>コメントの許可</v>
      </c>
    </row>
    <row r="2284" ht="15.75" customHeight="1">
      <c r="A2284" s="1" t="s">
        <v>4432</v>
      </c>
      <c r="B2284" s="1" t="s">
        <v>4433</v>
      </c>
      <c r="C2284" s="1" t="str">
        <f>IFERROR(__xludf.DUMMYFUNCTION("CONCATENATE(GOOGLETRANSLATE(B2284, ""en"", ""zh-cn""))"),"评论权限卖家更新成功")</f>
        <v>评论权限卖家更新成功</v>
      </c>
      <c r="D2284" s="1" t="str">
        <f>IFERROR(__xludf.DUMMYFUNCTION("CONCATENATE(GOOGLETRANSLATE(B2284, ""en"", ""ko""))"),"댓글 권한 판매자가 업데이트되었습니다.")</f>
        <v>댓글 권한 판매자가 업데이트되었습니다.</v>
      </c>
      <c r="E2284" s="2" t="str">
        <f>IFERROR(__xludf.DUMMYFUNCTION("CONCATENATE(GOOGLETRANSLATE(B2284, ""en"", ""ja""))"),"コメント許可販売者が正常に更新されました")</f>
        <v>コメント許可販売者が正常に更新されました</v>
      </c>
    </row>
    <row r="2285" ht="15.75" customHeight="1">
      <c r="A2285" s="1" t="s">
        <v>4434</v>
      </c>
      <c r="B2285" s="1" t="s">
        <v>4435</v>
      </c>
      <c r="C2285" s="1" t="str">
        <f>IFERROR(__xludf.DUMMYFUNCTION("CONCATENATE(GOOGLETRANSLATE(B2285, ""en"", ""zh-cn""))"),"在线服务")</f>
        <v>在线服务</v>
      </c>
      <c r="D2285" s="1" t="str">
        <f>IFERROR(__xludf.DUMMYFUNCTION("CONCATENATE(GOOGLETRANSLATE(B2285, ""en"", ""ko""))"),"온라인 서비스")</f>
        <v>온라인 서비스</v>
      </c>
      <c r="E2285" s="2" t="str">
        <f>IFERROR(__xludf.DUMMYFUNCTION("CONCATENATE(GOOGLETRANSLATE(B2285, ""en"", ""ja""))"),"オンラインサービス")</f>
        <v>オンラインサービス</v>
      </c>
    </row>
    <row r="2286" ht="15.75" customHeight="1">
      <c r="A2286" s="1" t="s">
        <v>4436</v>
      </c>
      <c r="B2286" s="1" t="s">
        <v>4437</v>
      </c>
      <c r="C2286" s="1" t="str">
        <f>IFERROR(__xludf.DUMMYFUNCTION("CONCATENATE(GOOGLETRANSLATE(B2286, ""en"", ""zh-cn""))"),"家居展示")</f>
        <v>家居展示</v>
      </c>
      <c r="D2286" s="1" t="str">
        <f>IFERROR(__xludf.DUMMYFUNCTION("CONCATENATE(GOOGLETRANSLATE(B2286, ""en"", ""ko""))"),"홈 디스플레이")</f>
        <v>홈 디스플레이</v>
      </c>
      <c r="E2286" s="2" t="str">
        <f>IFERROR(__xludf.DUMMYFUNCTION("CONCATENATE(GOOGLETRANSLATE(B2286, ""en"", ""ja""))"),"ホームディスプレイ")</f>
        <v>ホームディスプレイ</v>
      </c>
    </row>
    <row r="2287" ht="15.75" customHeight="1">
      <c r="A2287" s="1" t="s">
        <v>4438</v>
      </c>
      <c r="B2287" s="1" t="s">
        <v>4439</v>
      </c>
      <c r="C2287" s="1" t="str">
        <f>IFERROR(__xludf.DUMMYFUNCTION("CONCATENATE(GOOGLETRANSLATE(B2287, ""en"", ""zh-cn""))"),"首页展示卖家更新成功")</f>
        <v>首页展示卖家更新成功</v>
      </c>
      <c r="D2287" s="1" t="str">
        <f>IFERROR(__xludf.DUMMYFUNCTION("CONCATENATE(GOOGLETRANSLATE(B2287, ""en"", ""ko""))"),"홈 디스플레이 판매자가 업데이트되었습니다.")</f>
        <v>홈 디스플레이 판매자가 업데이트되었습니다.</v>
      </c>
      <c r="E2287" s="2" t="str">
        <f>IFERROR(__xludf.DUMMYFUNCTION("CONCATENATE(GOOGLETRANSLATE(B2287, ""en"", ""ja""))"),"ホームディスプレイ販売者が正常に更新されました")</f>
        <v>ホームディスプレイ販売者が正常に更新されました</v>
      </c>
    </row>
    <row r="2288" ht="15.75" customHeight="1">
      <c r="A2288" s="1" t="s">
        <v>4440</v>
      </c>
      <c r="B2288" s="1" t="s">
        <v>4441</v>
      </c>
      <c r="C2288" s="1" t="str">
        <f>IFERROR(__xludf.DUMMYFUNCTION("CONCATENATE(GOOGLETRANSLATE(B2288, ""en"", ""zh-cn""))"),"钱")</f>
        <v>钱</v>
      </c>
      <c r="D2288" s="1" t="str">
        <f>IFERROR(__xludf.DUMMYFUNCTION("CONCATENATE(GOOGLETRANSLATE(B2288, ""en"", ""ko""))"),"돈")</f>
        <v>돈</v>
      </c>
      <c r="E2288" s="2" t="str">
        <f>IFERROR(__xludf.DUMMYFUNCTION("CONCATENATE(GOOGLETRANSLATE(B2288, ""en"", ""ja""))"),"お金")</f>
        <v>お金</v>
      </c>
    </row>
    <row r="2289" ht="15.75" customHeight="1">
      <c r="A2289" s="1" t="s">
        <v>4442</v>
      </c>
      <c r="B2289" s="1" t="s">
        <v>4443</v>
      </c>
      <c r="C2289" s="1" t="str">
        <f>IFERROR(__xludf.DUMMYFUNCTION("CONCATENATE(GOOGLETRANSLATE(B2289, ""en"", ""zh-cn""))"),"充值")</f>
        <v>充值</v>
      </c>
      <c r="D2289" s="1" t="str">
        <f>IFERROR(__xludf.DUMMYFUNCTION("CONCATENATE(GOOGLETRANSLATE(B2289, ""en"", ""ko""))"),"재충전")</f>
        <v>재충전</v>
      </c>
      <c r="E2289" s="2" t="str">
        <f>IFERROR(__xludf.DUMMYFUNCTION("CONCATENATE(GOOGLETRANSLATE(B2289, ""en"", ""ja""))"),"リチャージ")</f>
        <v>リチャージ</v>
      </c>
    </row>
    <row r="2290" ht="15.75" customHeight="1">
      <c r="A2290" s="1" t="s">
        <v>4444</v>
      </c>
      <c r="B2290" s="1" t="s">
        <v>4445</v>
      </c>
      <c r="C2290" s="1" t="str">
        <f>IFERROR(__xludf.DUMMYFUNCTION("CONCATENATE(GOOGLETRANSLATE(B2290, ""en"", ""zh-cn""))"),"充值已完成")</f>
        <v>充值已完成</v>
      </c>
      <c r="D2290" s="1" t="str">
        <f>IFERROR(__xludf.DUMMYFUNCTION("CONCATENATE(GOOGLETRANSLATE(B2290, ""en"", ""ko""))"),"충전이 완료되었습니다")</f>
        <v>충전이 완료되었습니다</v>
      </c>
      <c r="E2290" s="2" t="str">
        <f>IFERROR(__xludf.DUMMYFUNCTION("CONCATENATE(GOOGLETRANSLATE(B2290, ""en"", ""ja""))"),"充電が完了しました")</f>
        <v>充電が完了しました</v>
      </c>
    </row>
    <row r="2291" ht="15.75" customHeight="1">
      <c r="A2291" s="1" t="s">
        <v>4446</v>
      </c>
      <c r="B2291" s="1" t="s">
        <v>4446</v>
      </c>
      <c r="C2291" s="1" t="str">
        <f>IFERROR(__xludf.DUMMYFUNCTION("CONCATENATE(GOOGLETRANSLATE(B2291, ""en"", ""zh-cn""))"),"滴滴")</f>
        <v>滴滴</v>
      </c>
      <c r="D2291" s="1" t="str">
        <f>IFERROR(__xludf.DUMMYFUNCTION("CONCATENATE(GOOGLETRANSLATE(B2291, ""en"", ""ko""))"),"dddd")</f>
        <v>dddd</v>
      </c>
      <c r="E2291" s="2" t="str">
        <f>IFERROR(__xludf.DUMMYFUNCTION("CONCATENATE(GOOGLETRANSLATE(B2291, ""en"", ""ja""))"),"ああ")</f>
        <v>ああ</v>
      </c>
    </row>
    <row r="2292" ht="15.75" customHeight="1">
      <c r="A2292" s="1" t="s">
        <v>4447</v>
      </c>
      <c r="B2292" s="1" t="s">
        <v>4448</v>
      </c>
      <c r="C2292" s="1" t="str">
        <f>IFERROR(__xludf.DUMMYFUNCTION("CONCATENATE(GOOGLETRANSLATE(B2292, ""en"", ""zh-cn""))"),"充值总量")</f>
        <v>充值总量</v>
      </c>
      <c r="D2292" s="1" t="str">
        <f>IFERROR(__xludf.DUMMYFUNCTION("CONCATENATE(GOOGLETRANSLATE(B2292, ""en"", ""ko""))"),"총 충전")</f>
        <v>총 충전</v>
      </c>
      <c r="E2292" s="2" t="str">
        <f>IFERROR(__xludf.DUMMYFUNCTION("CONCATENATE(GOOGLETRANSLATE(B2292, ""en"", ""ja""))"),"合計リチャージ")</f>
        <v>合計リチャージ</v>
      </c>
    </row>
    <row r="2293" ht="15.75" customHeight="1">
      <c r="A2293" s="1" t="s">
        <v>4449</v>
      </c>
      <c r="B2293" s="1" t="s">
        <v>4450</v>
      </c>
      <c r="C2293" s="1" t="str">
        <f>IFERROR(__xludf.DUMMYFUNCTION("CONCATENATE(GOOGLETRANSLATE(B2293, ""en"", ""zh-cn""))"),"提款总额")</f>
        <v>提款总额</v>
      </c>
      <c r="D2293" s="1" t="str">
        <f>IFERROR(__xludf.DUMMYFUNCTION("CONCATENATE(GOOGLETRANSLATE(B2293, ""en"", ""ko""))"),"총 출금액")</f>
        <v>총 출금액</v>
      </c>
      <c r="E2293" s="2" t="str">
        <f>IFERROR(__xludf.DUMMYFUNCTION("CONCATENATE(GOOGLETRANSLATE(B2293, ""en"", ""ja""))"),"出金総額")</f>
        <v>出金総額</v>
      </c>
    </row>
    <row r="2294" ht="15.75" customHeight="1">
      <c r="A2294" s="1" t="s">
        <v>4451</v>
      </c>
      <c r="B2294" s="1" t="s">
        <v>4452</v>
      </c>
      <c r="C2294" s="1" t="str">
        <f>IFERROR(__xludf.DUMMYFUNCTION("CONCATENATE(GOOGLETRANSLATE(B2294, ""en"", ""zh-cn""))"),"充值差价")</f>
        <v>充值差价</v>
      </c>
      <c r="D2294" s="1" t="str">
        <f>IFERROR(__xludf.DUMMYFUNCTION("CONCATENATE(GOOGLETRANSLATE(B2294, ""en"", ""ko""))"),"재충전 차이")</f>
        <v>재충전 차이</v>
      </c>
      <c r="E2294" s="2" t="str">
        <f>IFERROR(__xludf.DUMMYFUNCTION("CONCATENATE(GOOGLETRANSLATE(B2294, ""en"", ""ja""))"),"リチャージ差額")</f>
        <v>リチャージ差額</v>
      </c>
    </row>
    <row r="2295" ht="15.75" customHeight="1">
      <c r="A2295" s="1" t="s">
        <v>4453</v>
      </c>
      <c r="B2295" s="1" t="s">
        <v>4454</v>
      </c>
      <c r="C2295" s="1" t="str">
        <f>IFERROR(__xludf.DUMMYFUNCTION("CONCATENATE(GOOGLETRANSLATE(B2295, ""en"", ""zh-cn""))"),"选择一位客户")</f>
        <v>选择一位客户</v>
      </c>
      <c r="D2295" s="1" t="str">
        <f>IFERROR(__xludf.DUMMYFUNCTION("CONCATENATE(GOOGLETRANSLATE(B2295, ""en"", ""ko""))"),"고객 1명 선택")</f>
        <v>고객 1명 선택</v>
      </c>
      <c r="E2295" s="2" t="str">
        <f>IFERROR(__xludf.DUMMYFUNCTION("CONCATENATE(GOOGLETRANSLATE(B2295, ""en"", ""ja""))"),"1 人の顧客を選択してください")</f>
        <v>1 人の顧客を選択してください</v>
      </c>
    </row>
    <row r="2296" ht="15.75" customHeight="1">
      <c r="A2296" s="1" t="s">
        <v>4455</v>
      </c>
      <c r="B2296" s="1" t="s">
        <v>4456</v>
      </c>
      <c r="C2296" s="1" t="str">
        <f>IFERROR(__xludf.DUMMYFUNCTION("CONCATENATE(GOOGLETRANSLATE(B2296, ""en"", ""zh-cn""))"),"所有客户")</f>
        <v>所有客户</v>
      </c>
      <c r="D2296" s="1" t="str">
        <f>IFERROR(__xludf.DUMMYFUNCTION("CONCATENATE(GOOGLETRANSLATE(B2296, ""en"", ""ko""))"),"모든 고객")</f>
        <v>모든 고객</v>
      </c>
      <c r="E2296" s="2" t="str">
        <f>IFERROR(__xludf.DUMMYFUNCTION("CONCATENATE(GOOGLETRANSLATE(B2296, ""en"", ""ja""))"),"すべての顧客")</f>
        <v>すべての顧客</v>
      </c>
    </row>
    <row r="2297" ht="15.75" customHeight="1">
      <c r="A2297" s="1" t="s">
        <v>4457</v>
      </c>
      <c r="B2297" s="1" t="s">
        <v>4458</v>
      </c>
      <c r="C2297" s="1" t="str">
        <f>IFERROR(__xludf.DUMMYFUNCTION("CONCATENATE(GOOGLETRANSLATE(B2297, ""en"", ""zh-cn""))"),"所有销售员")</f>
        <v>所有销售员</v>
      </c>
      <c r="D2297" s="1" t="str">
        <f>IFERROR(__xludf.DUMMYFUNCTION("CONCATENATE(GOOGLETRANSLATE(B2297, ""en"", ""ko""))"),"올샐즈맨")</f>
        <v>올샐즈맨</v>
      </c>
      <c r="E2297" s="2" t="str">
        <f>IFERROR(__xludf.DUMMYFUNCTION("CONCATENATE(GOOGLETRANSLATE(B2297, ""en"", ""ja""))"),"すべてのセールスマン")</f>
        <v>すべてのセールスマン</v>
      </c>
    </row>
    <row r="2298" ht="15.75" customHeight="1">
      <c r="A2298" s="1" t="s">
        <v>4459</v>
      </c>
      <c r="B2298" s="1" t="s">
        <v>4460</v>
      </c>
      <c r="C2298" s="1" t="str">
        <f>IFERROR(__xludf.DUMMYFUNCTION("CONCATENATE(GOOGLETRANSLATE(B2298, ""en"", ""zh-cn""))"),"按虚拟筛选")</f>
        <v>按虚拟筛选</v>
      </c>
      <c r="D2298" s="1" t="str">
        <f>IFERROR(__xludf.DUMMYFUNCTION("CONCATENATE(GOOGLETRANSLATE(B2298, ""en"", ""ko""))"),"가상으로 필터링")</f>
        <v>가상으로 필터링</v>
      </c>
      <c r="E2298" s="2" t="str">
        <f>IFERROR(__xludf.DUMMYFUNCTION("CONCATENATE(GOOGLETRANSLATE(B2298, ""en"", ""ja""))"),"仮想でフィルタリング")</f>
        <v>仮想でフィルタリング</v>
      </c>
    </row>
    <row r="2299" ht="15.75" customHeight="1">
      <c r="A2299" s="1" t="s">
        <v>4461</v>
      </c>
      <c r="B2299" s="1" t="s">
        <v>4462</v>
      </c>
      <c r="C2299" s="1" t="str">
        <f>IFERROR(__xludf.DUMMYFUNCTION("CONCATENATE(GOOGLETRANSLATE(B2299, ""en"", ""zh-cn""))"),"虚拟账户")</f>
        <v>虚拟账户</v>
      </c>
      <c r="D2299" s="1" t="str">
        <f>IFERROR(__xludf.DUMMYFUNCTION("CONCATENATE(GOOGLETRANSLATE(B2299, ""en"", ""ko""))"),"가상계좌")</f>
        <v>가상계좌</v>
      </c>
      <c r="E2299" s="2" t="str">
        <f>IFERROR(__xludf.DUMMYFUNCTION("CONCATENATE(GOOGLETRANSLATE(B2299, ""en"", ""ja""))"),"バーチャルアカウント")</f>
        <v>バーチャルアカウント</v>
      </c>
    </row>
    <row r="2300" ht="15.75" customHeight="1">
      <c r="A2300" s="1" t="s">
        <v>4463</v>
      </c>
      <c r="B2300" s="1" t="s">
        <v>4464</v>
      </c>
      <c r="C2300" s="1" t="str">
        <f>IFERROR(__xludf.DUMMYFUNCTION("CONCATENATE(GOOGLETRANSLATE(B2300, ""en"", ""zh-cn""))"),"普通账户")</f>
        <v>普通账户</v>
      </c>
      <c r="D2300" s="1" t="str">
        <f>IFERROR(__xludf.DUMMYFUNCTION("CONCATENATE(GOOGLETRANSLATE(B2300, ""en"", ""ko""))"),"일반계정")</f>
        <v>일반계정</v>
      </c>
      <c r="E2300" s="2" t="str">
        <f>IFERROR(__xludf.DUMMYFUNCTION("CONCATENATE(GOOGLETRANSLATE(B2300, ""en"", ""ja""))"),"一般会計")</f>
        <v>一般会計</v>
      </c>
    </row>
    <row r="2301" ht="15.75" customHeight="1">
      <c r="A2301" s="1" t="s">
        <v>4465</v>
      </c>
      <c r="B2301" s="1" t="s">
        <v>4466</v>
      </c>
      <c r="C2301" s="1" t="str">
        <f>IFERROR(__xludf.DUMMYFUNCTION("CONCATENATE(GOOGLETRANSLATE(B2301, ""en"", ""zh-cn""))"),"更改在线服务")</f>
        <v>更改在线服务</v>
      </c>
      <c r="D2301" s="1" t="str">
        <f>IFERROR(__xludf.DUMMYFUNCTION("CONCATENATE(GOOGLETRANSLATE(B2301, ""en"", ""ko""))"),"온라인 서비스 변경")</f>
        <v>온라인 서비스 변경</v>
      </c>
      <c r="E2301" s="2" t="str">
        <f>IFERROR(__xludf.DUMMYFUNCTION("CONCATENATE(GOOGLETRANSLATE(B2301, ""en"", ""ja""))"),"オンラインサービスの変更")</f>
        <v>オンラインサービスの変更</v>
      </c>
    </row>
    <row r="2302" ht="15.75" customHeight="1">
      <c r="A2302" s="1" t="s">
        <v>4467</v>
      </c>
      <c r="B2302" s="1" t="s">
        <v>4468</v>
      </c>
      <c r="C2302" s="1" t="str">
        <f>IFERROR(__xludf.DUMMYFUNCTION("CONCATENATE(GOOGLETRANSLATE(B2302, ""en"", ""zh-cn""))"),"更新在线服务")</f>
        <v>更新在线服务</v>
      </c>
      <c r="D2302" s="1" t="str">
        <f>IFERROR(__xludf.DUMMYFUNCTION("CONCATENATE(GOOGLETRANSLATE(B2302, ""en"", ""ko""))"),"온라인 서비스 업데이트")</f>
        <v>온라인 서비스 업데이트</v>
      </c>
      <c r="E2302" s="2" t="str">
        <f>IFERROR(__xludf.DUMMYFUNCTION("CONCATENATE(GOOGLETRANSLATE(B2302, ""en"", ""ja""))"),"オンラインサービスのアップデート")</f>
        <v>オンラインサービスのアップデート</v>
      </c>
    </row>
    <row r="2303" ht="15.75" customHeight="1">
      <c r="A2303" s="1" t="s">
        <v>4469</v>
      </c>
      <c r="B2303" s="1" t="s">
        <v>4470</v>
      </c>
      <c r="C2303" s="1" t="str">
        <f>IFERROR(__xludf.DUMMYFUNCTION("CONCATENATE(GOOGLETRANSLATE(B2303, ""en"", ""zh-cn""))"),"快递信息")</f>
        <v>快递信息</v>
      </c>
      <c r="D2303" s="1" t="str">
        <f>IFERROR(__xludf.DUMMYFUNCTION("CONCATENATE(GOOGLETRANSLATE(B2303, ""en"", ""ko""))"),"익스프레스 정보")</f>
        <v>익스프레스 정보</v>
      </c>
      <c r="E2303" s="2" t="str">
        <f>IFERROR(__xludf.DUMMYFUNCTION("CONCATENATE(GOOGLETRANSLATE(B2303, ""en"", ""ja""))"),"エクスプレス情報")</f>
        <v>エクスプレス情報</v>
      </c>
    </row>
    <row r="2304" ht="15.75" customHeight="1">
      <c r="A2304" s="1" t="s">
        <v>4471</v>
      </c>
      <c r="B2304" s="1" t="s">
        <v>4472</v>
      </c>
      <c r="C2304" s="1" t="str">
        <f>IFERROR(__xludf.DUMMYFUNCTION("CONCATENATE(GOOGLETRANSLATE(B2304, ""en"", ""zh-cn""))"),"快递公司")</f>
        <v>快递公司</v>
      </c>
      <c r="D2304" s="1" t="str">
        <f>IFERROR(__xludf.DUMMYFUNCTION("CONCATENATE(GOOGLETRANSLATE(B2304, ""en"", ""ko""))"),"택배 회사")</f>
        <v>택배 회사</v>
      </c>
      <c r="E2304" s="2" t="str">
        <f>IFERROR(__xludf.DUMMYFUNCTION("CONCATENATE(GOOGLETRANSLATE(B2304, ""en"", ""ja""))"),"宅配会社")</f>
        <v>宅配会社</v>
      </c>
    </row>
    <row r="2305" ht="15.75" customHeight="1">
      <c r="A2305" s="1" t="s">
        <v>4473</v>
      </c>
      <c r="B2305" s="1" t="s">
        <v>4474</v>
      </c>
      <c r="C2305" s="1" t="str">
        <f>IFERROR(__xludf.DUMMYFUNCTION("CONCATENATE(GOOGLETRANSLATE(B2305, ""en"", ""zh-cn""))"),"发货编号")</f>
        <v>发货编号</v>
      </c>
      <c r="D2305" s="1" t="str">
        <f>IFERROR(__xludf.DUMMYFUNCTION("CONCATENATE(GOOGLETRANSLATE(B2305, ""en"", ""ko""))"),"배송 번호")</f>
        <v>배송 번호</v>
      </c>
      <c r="E2305" s="2" t="str">
        <f>IFERROR(__xludf.DUMMYFUNCTION("CONCATENATE(GOOGLETRANSLATE(B2305, ""en"", ""ja""))"),"出荷番号")</f>
        <v>出荷番号</v>
      </c>
    </row>
    <row r="2306" ht="15.75" customHeight="1">
      <c r="A2306" s="1" t="s">
        <v>4475</v>
      </c>
      <c r="B2306" s="1" t="s">
        <v>4476</v>
      </c>
      <c r="C2306" s="1" t="str">
        <f>IFERROR(__xludf.DUMMYFUNCTION("CONCATENATE(GOOGLETRANSLATE(B2306, ""en"", ""zh-cn""))"),"物流追踪信息")</f>
        <v>物流追踪信息</v>
      </c>
      <c r="D2306" s="1" t="str">
        <f>IFERROR(__xludf.DUMMYFUNCTION("CONCATENATE(GOOGLETRANSLATE(B2306, ""en"", ""ko""))"),"물류 추적 정보")</f>
        <v>물류 추적 정보</v>
      </c>
      <c r="E2306" s="2" t="str">
        <f>IFERROR(__xludf.DUMMYFUNCTION("CONCATENATE(GOOGLETRANSLATE(B2306, ""en"", ""ja""))"),"物流追跡情報")</f>
        <v>物流追跡情報</v>
      </c>
    </row>
    <row r="2307" ht="15.75" customHeight="1">
      <c r="A2307" s="1" t="s">
        <v>4477</v>
      </c>
      <c r="B2307" s="1" t="s">
        <v>4470</v>
      </c>
      <c r="C2307" s="1" t="str">
        <f>IFERROR(__xludf.DUMMYFUNCTION("CONCATENATE(GOOGLETRANSLATE(B2307, ""en"", ""zh-cn""))"),"快递信息")</f>
        <v>快递信息</v>
      </c>
      <c r="D2307" s="1" t="str">
        <f>IFERROR(__xludf.DUMMYFUNCTION("CONCATENATE(GOOGLETRANSLATE(B2307, ""en"", ""ko""))"),"익스프레스 정보")</f>
        <v>익스프레스 정보</v>
      </c>
      <c r="E2307" s="2" t="str">
        <f>IFERROR(__xludf.DUMMYFUNCTION("CONCATENATE(GOOGLETRANSLATE(B2307, ""en"", ""ja""))"),"エクスプレス情報")</f>
        <v>エクスプレス情報</v>
      </c>
    </row>
    <row r="2308" ht="15.75" customHeight="1">
      <c r="A2308" s="1" t="s">
        <v>4478</v>
      </c>
      <c r="B2308" s="1" t="s">
        <v>4479</v>
      </c>
      <c r="C2308" s="1" t="str">
        <f>IFERROR(__xludf.DUMMYFUNCTION("CONCATENATE(GOOGLETRANSLATE(B2308, ""en"", ""zh-cn""))"),"短信验证码")</f>
        <v>短信验证码</v>
      </c>
      <c r="D2308" s="1" t="str">
        <f>IFERROR(__xludf.DUMMYFUNCTION("CONCATENATE(GOOGLETRANSLATE(B2308, ""en"", ""ko""))"),"MSEGAT SMS")</f>
        <v>MSEGAT SMS</v>
      </c>
      <c r="E2308" s="2" t="str">
        <f>IFERROR(__xludf.DUMMYFUNCTION("CONCATENATE(GOOGLETRANSLATE(B2308, ""en"", ""ja""))"),"MSEGAT SMS")</f>
        <v>MSEGAT SMS</v>
      </c>
    </row>
    <row r="2309" ht="15.75" customHeight="1">
      <c r="A2309" s="1" t="s">
        <v>4480</v>
      </c>
      <c r="B2309" s="1" t="s">
        <v>4481</v>
      </c>
      <c r="C2309" s="1" t="str">
        <f>IFERROR(__xludf.DUMMYFUNCTION("CONCATENATE(GOOGLETRANSLATE(B2309, ""en"", ""zh-cn""))"),"累计佣金配置")</f>
        <v>累计佣金配置</v>
      </c>
      <c r="D2309" s="1" t="str">
        <f>IFERROR(__xludf.DUMMYFUNCTION("CONCATENATE(GOOGLETRANSLATE(B2309, ""en"", ""ko""))"),"누적 커미션 구성")</f>
        <v>누적 커미션 구성</v>
      </c>
      <c r="E2309" s="2" t="str">
        <f>IFERROR(__xludf.DUMMYFUNCTION("CONCATENATE(GOOGLETRANSLATE(B2309, ""en"", ""ja""))"),"累積手数料構成")</f>
        <v>累積手数料構成</v>
      </c>
    </row>
    <row r="2310" ht="15.75" customHeight="1">
      <c r="A2310" s="1" t="s">
        <v>4482</v>
      </c>
      <c r="B2310" s="1" t="s">
        <v>4483</v>
      </c>
      <c r="C2310" s="1" t="str">
        <f>IFERROR(__xludf.DUMMYFUNCTION("CONCATENATE(GOOGLETRANSLATE(B2310, ""en"", ""zh-cn""))"),"累计提货金额返佣日志")</f>
        <v>累计提货金额返佣日志</v>
      </c>
      <c r="D2310" s="1" t="str">
        <f>IFERROR(__xludf.DUMMYFUNCTION("CONCATENATE(GOOGLETRANSLATE(B2310, ""en"", ""ko""))"),"픽업된 상품의 누적 수량에 대한 반품 수수료 로그")</f>
        <v>픽업된 상품의 누적 수량에 대한 반품 수수료 로그</v>
      </c>
      <c r="E2310" s="2" t="str">
        <f>IFERROR(__xludf.DUMMYFUNCTION("CONCATENATE(GOOGLETRANSLATE(B2310, ""en"", ""ja""))"),"累計集荷量返品手数料ログ")</f>
        <v>累計集荷量返品手数料ログ</v>
      </c>
    </row>
    <row r="2311" ht="15.75" customHeight="1">
      <c r="A2311" s="1" t="s">
        <v>4484</v>
      </c>
      <c r="B2311" s="1" t="s">
        <v>4485</v>
      </c>
      <c r="C2311" s="1" t="str">
        <f>IFERROR(__xludf.DUMMYFUNCTION("CONCATENATE(GOOGLETRANSLATE(B2311, ""en"", ""zh-cn""))"),"当前累计金额")</f>
        <v>当前累计金额</v>
      </c>
      <c r="D2311" s="1" t="str">
        <f>IFERROR(__xludf.DUMMYFUNCTION("CONCATENATE(GOOGLETRANSLATE(B2311, ""en"", ""ko""))"),"현재 누적 금액")</f>
        <v>현재 누적 금액</v>
      </c>
      <c r="E2311" s="2" t="str">
        <f>IFERROR(__xludf.DUMMYFUNCTION("CONCATENATE(GOOGLETRANSLATE(B2311, ""en"", ""ja""))"),"現在の積算量")</f>
        <v>現在の積算量</v>
      </c>
    </row>
    <row r="2312" ht="15.75" customHeight="1">
      <c r="A2312" s="1" t="s">
        <v>4486</v>
      </c>
      <c r="B2312" s="1" t="s">
        <v>4487</v>
      </c>
      <c r="C2312" s="1" t="str">
        <f>IFERROR(__xludf.DUMMYFUNCTION("CONCATENATE(GOOGLETRANSLATE(B2312, ""en"", ""zh-cn""))"),"累计金额")</f>
        <v>累计金额</v>
      </c>
      <c r="D2312" s="1" t="str">
        <f>IFERROR(__xludf.DUMMYFUNCTION("CONCATENATE(GOOGLETRANSLATE(B2312, ""en"", ""ko""))"),"그 누적 금액")</f>
        <v>그 누적 금액</v>
      </c>
      <c r="E2312" s="2" t="str">
        <f>IFERROR(__xludf.DUMMYFUNCTION("CONCATENATE(GOOGLETRANSLATE(B2312, ""en"", ""ja""))"),"その累計金額")</f>
        <v>その累計金額</v>
      </c>
    </row>
    <row r="2313" ht="15.75" customHeight="1">
      <c r="A2313" s="1" t="s">
        <v>4488</v>
      </c>
      <c r="B2313" s="1" t="s">
        <v>4489</v>
      </c>
      <c r="C2313" s="1" t="str">
        <f>IFERROR(__xludf.DUMMYFUNCTION("CONCATENATE(GOOGLETRANSLATE(B2313, ""en"", ""zh-cn""))"),"卖家用户名")</f>
        <v>卖家用户名</v>
      </c>
      <c r="D2313" s="1" t="str">
        <f>IFERROR(__xludf.DUMMYFUNCTION("CONCATENATE(GOOGLETRANSLATE(B2313, ""en"", ""ko""))"),"판매자 사용자 이름")</f>
        <v>판매자 사용자 이름</v>
      </c>
      <c r="E2313" s="2" t="str">
        <f>IFERROR(__xludf.DUMMYFUNCTION("CONCATENATE(GOOGLETRANSLATE(B2313, ""en"", ""ja""))"),"販売者のユーザー名")</f>
        <v>販売者のユーザー名</v>
      </c>
    </row>
    <row r="2314" ht="15.75" customHeight="1">
      <c r="A2314" s="1" t="s">
        <v>4490</v>
      </c>
      <c r="B2314" s="1" t="s">
        <v>4491</v>
      </c>
      <c r="C2314" s="1" t="str">
        <f>IFERROR(__xludf.DUMMYFUNCTION("CONCATENATE(GOOGLETRANSLATE(B2314, ""en"", ""zh-cn""))"),"店铺审核中。")</f>
        <v>店铺审核中。</v>
      </c>
      <c r="D2314" s="1" t="str">
        <f>IFERROR(__xludf.DUMMYFUNCTION("CONCATENATE(GOOGLETRANSLATE(B2314, ""en"", ""ko""))"),"검토 중인 쇼핑입니다.")</f>
        <v>검토 중인 쇼핑입니다.</v>
      </c>
      <c r="E2314" s="2" t="str">
        <f>IFERROR(__xludf.DUMMYFUNCTION("CONCATENATE(GOOGLETRANSLATE(B2314, ""en"", ""ja""))"),"レビュー中のショップ。")</f>
        <v>レビュー中のショップ。</v>
      </c>
    </row>
    <row r="2315" ht="15.75" customHeight="1">
      <c r="A2315" s="1" t="s">
        <v>4492</v>
      </c>
      <c r="B2315" s="1" t="s">
        <v>4493</v>
      </c>
      <c r="C2315" s="1" t="str">
        <f>IFERROR(__xludf.DUMMYFUNCTION("CONCATENATE(GOOGLETRANSLATE(B2315, ""en"", ""zh-cn""))"),"不同意")</f>
        <v>不同意</v>
      </c>
      <c r="D2315" s="1" t="str">
        <f>IFERROR(__xludf.DUMMYFUNCTION("CONCATENATE(GOOGLETRANSLATE(B2315, ""en"", ""ko""))"),"맞지 않다")</f>
        <v>맞지 않다</v>
      </c>
      <c r="E2315" s="2" t="str">
        <f>IFERROR(__xludf.DUMMYFUNCTION("CONCATENATE(GOOGLETRANSLATE(B2315, ""en"", ""ja""))"),"同意しない")</f>
        <v>同意しない</v>
      </c>
    </row>
    <row r="2316" ht="15.75" customHeight="1">
      <c r="A2316" s="1" t="s">
        <v>4494</v>
      </c>
      <c r="B2316" s="1" t="s">
        <v>4495</v>
      </c>
      <c r="C2316" s="1" t="str">
        <f>IFERROR(__xludf.DUMMYFUNCTION("CONCATENATE(GOOGLETRANSLATE(B2316, ""en"", ""zh-cn""))"),"同意")</f>
        <v>同意</v>
      </c>
      <c r="D2316" s="1" t="str">
        <f>IFERROR(__xludf.DUMMYFUNCTION("CONCATENATE(GOOGLETRANSLATE(B2316, ""en"", ""ko""))"),"동의하다")</f>
        <v>동의하다</v>
      </c>
      <c r="E2316" s="2" t="str">
        <f>IFERROR(__xludf.DUMMYFUNCTION("CONCATENATE(GOOGLETRANSLATE(B2316, ""en"", ""ja""))"),"同意する")</f>
        <v>同意する</v>
      </c>
    </row>
    <row r="2317" ht="15.75" customHeight="1">
      <c r="A2317" s="1" t="s">
        <v>4496</v>
      </c>
      <c r="B2317" s="1" t="s">
        <v>4497</v>
      </c>
      <c r="C2317" s="1" t="str">
        <f>IFERROR(__xludf.DUMMYFUNCTION("CONCATENATE(GOOGLETRANSLATE(B2317, ""en"", ""zh-cn""))"),"卖家应用流行内容")</f>
        <v>卖家应用流行内容</v>
      </c>
      <c r="D2317" s="1" t="str">
        <f>IFERROR(__xludf.DUMMYFUNCTION("CONCATENATE(GOOGLETRANSLATE(B2317, ""en"", ""ko""))"),"판매자 적용 팝 콘텐츠")</f>
        <v>판매자 적용 팝 콘텐츠</v>
      </c>
      <c r="E2317" s="2" t="str">
        <f>IFERROR(__xludf.DUMMYFUNCTION("CONCATENATE(GOOGLETRANSLATE(B2317, ""en"", ""ja""))"),"販売者はポップコンテンツを適用します")</f>
        <v>販売者はポップコンテンツを適用します</v>
      </c>
    </row>
    <row r="2318" ht="15.75" customHeight="1">
      <c r="A2318" s="1" t="s">
        <v>4498</v>
      </c>
      <c r="B2318" s="1" t="s">
        <v>4499</v>
      </c>
      <c r="C2318" s="1" t="str">
        <f>IFERROR(__xludf.DUMMYFUNCTION("CONCATENATE(GOOGLETRANSLATE(B2318, ""en"", ""zh-cn""))"),"添加现实卖家")</f>
        <v>添加现实卖家</v>
      </c>
      <c r="D2318" s="1" t="str">
        <f>IFERROR(__xludf.DUMMYFUNCTION("CONCATENATE(GOOGLETRANSLATE(B2318, ""en"", ""ko""))"),"현실 판매자 추가")</f>
        <v>현실 판매자 추가</v>
      </c>
      <c r="E2318" s="2" t="str">
        <f>IFERROR(__xludf.DUMMYFUNCTION("CONCATENATE(GOOGLETRANSLATE(B2318, ""en"", ""ja""))"),"現実の販売者を追加")</f>
        <v>現実の販売者を追加</v>
      </c>
    </row>
    <row r="2319" ht="15.75" customHeight="1">
      <c r="A2319" s="1" t="s">
        <v>4500</v>
      </c>
      <c r="B2319" s="1" t="s">
        <v>4501</v>
      </c>
      <c r="C2319" s="1" t="str">
        <f>IFERROR(__xludf.DUMMYFUNCTION("CONCATENATE(GOOGLETRANSLATE(B2319, ""en"", ""zh-cn""))"),"现实账户")</f>
        <v>现实账户</v>
      </c>
      <c r="D2319" s="1" t="str">
        <f>IFERROR(__xludf.DUMMYFUNCTION("CONCATENATE(GOOGLETRANSLATE(B2319, ""en"", ""ko""))"),"현실 계정")</f>
        <v>현실 계정</v>
      </c>
      <c r="E2319" s="2" t="str">
        <f>IFERROR(__xludf.DUMMYFUNCTION("CONCATENATE(GOOGLETRANSLATE(B2319, ""en"", ""ja""))"),"現実アカウント")</f>
        <v>現実アカウント</v>
      </c>
    </row>
    <row r="2320" ht="15.75" customHeight="1">
      <c r="A2320" s="1" t="s">
        <v>4502</v>
      </c>
      <c r="B2320" s="1" t="s">
        <v>4502</v>
      </c>
      <c r="C2320" s="1" t="str">
        <f>IFERROR(__xludf.DUMMYFUNCTION("CONCATENATE(GOOGLETRANSLATE(B2320, ""en"", ""zh-cn""))"),"现实")</f>
        <v>现实</v>
      </c>
      <c r="D2320" s="1" t="str">
        <f>IFERROR(__xludf.DUMMYFUNCTION("CONCATENATE(GOOGLETRANSLATE(B2320, ""en"", ""ko""))"),"현실")</f>
        <v>현실</v>
      </c>
      <c r="E2320" s="2" t="str">
        <f>IFERROR(__xludf.DUMMYFUNCTION("CONCATENATE(GOOGLETRANSLATE(B2320, ""en"", ""ja""))"),"現実")</f>
        <v>現実</v>
      </c>
    </row>
    <row r="2321" ht="15.75" customHeight="1">
      <c r="A2321" s="1" t="s">
        <v>4503</v>
      </c>
      <c r="B2321" s="1" t="s">
        <v>4504</v>
      </c>
      <c r="C2321" s="1" t="str">
        <f>IFERROR(__xludf.DUMMYFUNCTION("CONCATENATE(GOOGLETRANSLATE(B2321, ""en"", ""zh-cn""))"),"卖家邮箱")</f>
        <v>卖家邮箱</v>
      </c>
      <c r="D2321" s="1" t="str">
        <f>IFERROR(__xludf.DUMMYFUNCTION("CONCATENATE(GOOGLETRANSLATE(B2321, ""en"", ""ko""))"),"판매자 이메일")</f>
        <v>판매자 이메일</v>
      </c>
      <c r="E2321" s="2" t="str">
        <f>IFERROR(__xludf.DUMMYFUNCTION("CONCATENATE(GOOGLETRANSLATE(B2321, ""en"", ""ja""))"),"販売者のメールアドレス")</f>
        <v>販売者のメールアドレス</v>
      </c>
    </row>
    <row r="2322" ht="15.75" customHeight="1">
      <c r="A2322" s="1" t="s">
        <v>4505</v>
      </c>
      <c r="B2322" s="1" t="s">
        <v>4506</v>
      </c>
      <c r="C2322" s="1" t="str">
        <f>IFERROR(__xludf.DUMMYFUNCTION("CONCATENATE(GOOGLETRANSLATE(B2322, ""en"", ""zh-cn""))"),"卖家密码")</f>
        <v>卖家密码</v>
      </c>
      <c r="D2322" s="1" t="str">
        <f>IFERROR(__xludf.DUMMYFUNCTION("CONCATENATE(GOOGLETRANSLATE(B2322, ""en"", ""ko""))"),"판매자 비밀번호")</f>
        <v>판매자 비밀번호</v>
      </c>
      <c r="E2322" s="2" t="str">
        <f>IFERROR(__xludf.DUMMYFUNCTION("CONCATENATE(GOOGLETRANSLATE(B2322, ""en"", ""ja""))"),"販売者のパスワード")</f>
        <v>販売者のパスワード</v>
      </c>
    </row>
    <row r="2323" ht="15.75" customHeight="1">
      <c r="A2323" s="1" t="s">
        <v>4507</v>
      </c>
      <c r="B2323" s="1" t="s">
        <v>4508</v>
      </c>
      <c r="C2323" s="1" t="str">
        <f>IFERROR(__xludf.DUMMYFUNCTION("CONCATENATE(GOOGLETRANSLATE(B2323, ""en"", ""zh-cn""))"),"添加卖家")</f>
        <v>添加卖家</v>
      </c>
      <c r="D2323" s="1" t="str">
        <f>IFERROR(__xludf.DUMMYFUNCTION("CONCATENATE(GOOGLETRANSLATE(B2323, ""en"", ""ko""))"),"판매자 추가")</f>
        <v>판매자 추가</v>
      </c>
      <c r="E2323" s="2" t="str">
        <f>IFERROR(__xludf.DUMMYFUNCTION("CONCATENATE(GOOGLETRANSLATE(B2323, ""en"", ""ja""))"),"販売者の追加")</f>
        <v>販売者の追加</v>
      </c>
    </row>
    <row r="2324" ht="15.75" customHeight="1">
      <c r="A2324" s="1" t="s">
        <v>4509</v>
      </c>
      <c r="B2324" s="1" t="s">
        <v>4510</v>
      </c>
      <c r="C2324" s="1" t="str">
        <f>IFERROR(__xludf.DUMMYFUNCTION("CONCATENATE(GOOGLETRANSLATE(B2324, ""en"", ""zh-cn""))"),"内部拍卖产品")</f>
        <v>内部拍卖产品</v>
      </c>
      <c r="D2324" s="1" t="str">
        <f>IFERROR(__xludf.DUMMYFUNCTION("CONCATENATE(GOOGLETRANSLATE(B2324, ""en"", ""ko""))"),"사내 경매 제품")</f>
        <v>사내 경매 제품</v>
      </c>
      <c r="E2324" s="2" t="str">
        <f>IFERROR(__xludf.DUMMYFUNCTION("CONCATENATE(GOOGLETRANSLATE(B2324, ""en"", ""ja""))"),"社内オークション商品")</f>
        <v>社内オークション商品</v>
      </c>
    </row>
    <row r="2325" ht="15.75" customHeight="1">
      <c r="A2325" s="1" t="s">
        <v>4511</v>
      </c>
      <c r="B2325" s="1" t="s">
        <v>4512</v>
      </c>
      <c r="C2325" s="1" t="str">
        <f>IFERROR(__xludf.DUMMYFUNCTION("CONCATENATE(GOOGLETRANSLATE(B2325, ""en"", ""zh-cn""))"),"卖家拍卖产品")</f>
        <v>卖家拍卖产品</v>
      </c>
      <c r="D2325" s="1" t="str">
        <f>IFERROR(__xludf.DUMMYFUNCTION("CONCATENATE(GOOGLETRANSLATE(B2325, ""en"", ""ko""))"),"판매자 경매 제품")</f>
        <v>판매자 경매 제품</v>
      </c>
      <c r="E2325" s="2" t="str">
        <f>IFERROR(__xludf.DUMMYFUNCTION("CONCATENATE(GOOGLETRANSLATE(B2325, ""en"", ""ja""))"),"出品者オークション商品")</f>
        <v>出品者オークション商品</v>
      </c>
    </row>
    <row r="2326" ht="15.75" customHeight="1">
      <c r="A2326" s="1" t="s">
        <v>4513</v>
      </c>
      <c r="B2326" s="1" t="s">
        <v>4514</v>
      </c>
      <c r="C2326" s="1" t="str">
        <f>IFERROR(__xludf.DUMMYFUNCTION("CONCATENATE(GOOGLETRANSLATE(B2326, ""en"", ""zh-cn""))"),"批发产品")</f>
        <v>批发产品</v>
      </c>
      <c r="D2326" s="1" t="str">
        <f>IFERROR(__xludf.DUMMYFUNCTION("CONCATENATE(GOOGLETRANSLATE(B2326, ""en"", ""ko""))"),"도매제품")</f>
        <v>도매제품</v>
      </c>
      <c r="E2326" s="2" t="str">
        <f>IFERROR(__xludf.DUMMYFUNCTION("CONCATENATE(GOOGLETRANSLATE(B2326, ""en"", ""ja""))"),"卸売製品")</f>
        <v>卸売製品</v>
      </c>
    </row>
    <row r="2327" ht="15.75" customHeight="1">
      <c r="A2327" s="1" t="s">
        <v>4515</v>
      </c>
      <c r="B2327" s="1" t="s">
        <v>4516</v>
      </c>
      <c r="C2327" s="1" t="str">
        <f>IFERROR(__xludf.DUMMYFUNCTION("CONCATENATE(GOOGLETRANSLATE(B2327, ""en"", ""zh-cn""))"),"添加新的批发产品")</f>
        <v>添加新的批发产品</v>
      </c>
      <c r="D2327" s="1" t="str">
        <f>IFERROR(__xludf.DUMMYFUNCTION("CONCATENATE(GOOGLETRANSLATE(B2327, ""en"", ""ko""))"),"새로운 도매 제품 추가")</f>
        <v>새로운 도매 제품 추가</v>
      </c>
      <c r="E2327" s="2" t="str">
        <f>IFERROR(__xludf.DUMMYFUNCTION("CONCATENATE(GOOGLETRANSLATE(B2327, ""en"", ""ja""))"),"新しい卸売商品を追加")</f>
        <v>新しい卸売商品を追加</v>
      </c>
    </row>
    <row r="2328" ht="15.75" customHeight="1">
      <c r="A2328" s="1" t="s">
        <v>4517</v>
      </c>
      <c r="B2328" s="1" t="s">
        <v>4518</v>
      </c>
      <c r="C2328" s="1" t="str">
        <f>IFERROR(__xludf.DUMMYFUNCTION("CONCATENATE(GOOGLETRANSLATE(B2328, ""en"", ""zh-cn""))"),"所有批发产品")</f>
        <v>所有批发产品</v>
      </c>
      <c r="D2328" s="1" t="str">
        <f>IFERROR(__xludf.DUMMYFUNCTION("CONCATENATE(GOOGLETRANSLATE(B2328, ""en"", ""ko""))"),"모든 도매 제품")</f>
        <v>모든 도매 제품</v>
      </c>
      <c r="E2328" s="2" t="str">
        <f>IFERROR(__xludf.DUMMYFUNCTION("CONCATENATE(GOOGLETRANSLATE(B2328, ""en"", ""ja""))"),"すべての卸売製品")</f>
        <v>すべての卸売製品</v>
      </c>
    </row>
    <row r="2329" ht="15.75" customHeight="1">
      <c r="A2329" s="1" t="s">
        <v>4519</v>
      </c>
      <c r="B2329" s="1" t="s">
        <v>4520</v>
      </c>
      <c r="C2329" s="1" t="str">
        <f>IFERROR(__xludf.DUMMYFUNCTION("CONCATENATE(GOOGLETRANSLATE(B2329, ""en"", ""zh-cn""))"),"内部批发产品")</f>
        <v>内部批发产品</v>
      </c>
      <c r="D2329" s="1" t="str">
        <f>IFERROR(__xludf.DUMMYFUNCTION("CONCATENATE(GOOGLETRANSLATE(B2329, ""en"", ""ko""))"),"사내 도매 제품")</f>
        <v>사내 도매 제품</v>
      </c>
      <c r="E2329" s="2" t="str">
        <f>IFERROR(__xludf.DUMMYFUNCTION("CONCATENATE(GOOGLETRANSLATE(B2329, ""en"", ""ja""))"),"自社卸売製品")</f>
        <v>自社卸売製品</v>
      </c>
    </row>
    <row r="2330" ht="15.75" customHeight="1">
      <c r="A2330" s="1" t="s">
        <v>4521</v>
      </c>
      <c r="B2330" s="1" t="s">
        <v>4522</v>
      </c>
      <c r="C2330" s="1" t="str">
        <f>IFERROR(__xludf.DUMMYFUNCTION("CONCATENATE(GOOGLETRANSLATE(B2330, ""en"", ""zh-cn""))"),"卖家批发产品")</f>
        <v>卖家批发产品</v>
      </c>
      <c r="D2330" s="1" t="str">
        <f>IFERROR(__xludf.DUMMYFUNCTION("CONCATENATE(GOOGLETRANSLATE(B2330, ""en"", ""ko""))"),"판매자 도매 제품")</f>
        <v>판매자 도매 제품</v>
      </c>
      <c r="E2330" s="2" t="str">
        <f>IFERROR(__xludf.DUMMYFUNCTION("CONCATENATE(GOOGLETRANSLATE(B2330, ""en"", ""ja""))"),"販売者 卸売製品")</f>
        <v>販売者 卸売製品</v>
      </c>
    </row>
    <row r="2331" ht="15.75" customHeight="1">
      <c r="A2331" s="1" t="s">
        <v>4523</v>
      </c>
      <c r="B2331" s="1" t="s">
        <v>4524</v>
      </c>
      <c r="C2331" s="1" t="str">
        <f>IFERROR(__xludf.DUMMYFUNCTION("CONCATENATE(GOOGLETRANSLATE(B2331, ""en"", ""zh-cn""))"),"拍卖")</f>
        <v>拍卖</v>
      </c>
      <c r="D2331" s="1" t="str">
        <f>IFERROR(__xludf.DUMMYFUNCTION("CONCATENATE(GOOGLETRANSLATE(B2331, ""en"", ""ko""))"),"경매")</f>
        <v>경매</v>
      </c>
      <c r="E2331" s="2" t="str">
        <f>IFERROR(__xludf.DUMMYFUNCTION("CONCATENATE(GOOGLETRANSLATE(B2331, ""en"", ""ja""))"),"オークション")</f>
        <v>オークション</v>
      </c>
    </row>
    <row r="2332" ht="15.75" customHeight="1">
      <c r="A2332" s="1" t="s">
        <v>4525</v>
      </c>
      <c r="B2332" s="1" t="s">
        <v>4526</v>
      </c>
      <c r="C2332" s="1" t="str">
        <f>IFERROR(__xludf.DUMMYFUNCTION("CONCATENATE(GOOGLETRANSLATE(B2332, ""en"", ""zh-cn""))"),"卖家拍卖产品")</f>
        <v>卖家拍卖产品</v>
      </c>
      <c r="D2332" s="1" t="str">
        <f>IFERROR(__xludf.DUMMYFUNCTION("CONCATENATE(GOOGLETRANSLATE(B2332, ""en"", ""ko""))"),"판매자를 위한 경매 상품")</f>
        <v>판매자를 위한 경매 상품</v>
      </c>
      <c r="E2332" s="2" t="str">
        <f>IFERROR(__xludf.DUMMYFUNCTION("CONCATENATE(GOOGLETRANSLATE(B2332, ""en"", ""ja""))"),"出品者向けオークション商品")</f>
        <v>出品者向けオークション商品</v>
      </c>
    </row>
    <row r="2333" ht="15.75" customHeight="1">
      <c r="A2333" s="1" t="s">
        <v>4527</v>
      </c>
      <c r="B2333" s="1" t="s">
        <v>4528</v>
      </c>
      <c r="C2333" s="1" t="str">
        <f>IFERROR(__xludf.DUMMYFUNCTION("CONCATENATE(GOOGLETRANSLATE(B2333, ""en"", ""zh-cn""))"),"MSEGAT 证书")</f>
        <v>MSEGAT 证书</v>
      </c>
      <c r="D2333" s="1" t="str">
        <f>IFERROR(__xludf.DUMMYFUNCTION("CONCATENATE(GOOGLETRANSLATE(B2333, ""en"", ""ko""))"),"MSEGAT 자격증명")</f>
        <v>MSEGAT 자격증명</v>
      </c>
      <c r="E2333" s="2" t="str">
        <f>IFERROR(__xludf.DUMMYFUNCTION("CONCATENATE(GOOGLETRANSLATE(B2333, ""en"", ""ja""))"),"MSEGAT 資格情報")</f>
        <v>MSEGAT 資格情報</v>
      </c>
    </row>
    <row r="2334" ht="15.75" customHeight="1">
      <c r="A2334" s="1" t="s">
        <v>4529</v>
      </c>
      <c r="B2334" s="1" t="s">
        <v>4530</v>
      </c>
      <c r="C2334" s="1" t="str">
        <f>IFERROR(__xludf.DUMMYFUNCTION("CONCATENATE(GOOGLETRANSLATE(B2334, ""en"", ""zh-cn""))"),"MSEGAT_API_KEY")</f>
        <v>MSEGAT_API_KEY</v>
      </c>
      <c r="D2334" s="1" t="str">
        <f>IFERROR(__xludf.DUMMYFUNCTION("CONCATENATE(GOOGLETRANSLATE(B2334, ""en"", ""ko""))"),"MSEGAT_API_KEY")</f>
        <v>MSEGAT_API_KEY</v>
      </c>
      <c r="E2334" s="2" t="str">
        <f>IFERROR(__xludf.DUMMYFUNCTION("CONCATENATE(GOOGLETRANSLATE(B2334, ""en"", ""ja""))"),"MSEGAT_API_KEY")</f>
        <v>MSEGAT_API_KEY</v>
      </c>
    </row>
    <row r="2335" ht="15.75" customHeight="1">
      <c r="A2335" s="1" t="s">
        <v>4531</v>
      </c>
      <c r="B2335" s="1" t="s">
        <v>4532</v>
      </c>
      <c r="C2335" s="1" t="str">
        <f>IFERROR(__xludf.DUMMYFUNCTION("CONCATENATE(GOOGLETRANSLATE(B2335, ""en"", ""zh-cn""))"),"MSEGAT_USERNAME")</f>
        <v>MSEGAT_USERNAME</v>
      </c>
      <c r="D2335" s="1" t="str">
        <f>IFERROR(__xludf.DUMMYFUNCTION("CONCATENATE(GOOGLETRANSLATE(B2335, ""en"", ""ko""))"),"MSEGAT_USERNAME")</f>
        <v>MSEGAT_USERNAME</v>
      </c>
      <c r="E2335" s="2" t="str">
        <f>IFERROR(__xludf.DUMMYFUNCTION("CONCATENATE(GOOGLETRANSLATE(B2335, ""en"", ""ja""))"),"MSEGAT_USERNAME")</f>
        <v>MSEGAT_USERNAME</v>
      </c>
    </row>
    <row r="2336" ht="15.75" customHeight="1">
      <c r="A2336" s="1" t="s">
        <v>4533</v>
      </c>
      <c r="B2336" s="1" t="s">
        <v>4534</v>
      </c>
      <c r="C2336" s="1" t="str">
        <f>IFERROR(__xludf.DUMMYFUNCTION("CONCATENATE(GOOGLETRANSLATE(B2336, ""en"", ""zh-cn""))"),"MSEGAT_USER_SENDER")</f>
        <v>MSEGAT_USER_SENDER</v>
      </c>
      <c r="D2336" s="1" t="str">
        <f>IFERROR(__xludf.DUMMYFUNCTION("CONCATENATE(GOOGLETRANSLATE(B2336, ""en"", ""ko""))"),"MSEGAT_USER_SENDER")</f>
        <v>MSEGAT_USER_SENDER</v>
      </c>
      <c r="E2336" s="2" t="str">
        <f>IFERROR(__xludf.DUMMYFUNCTION("CONCATENATE(GOOGLETRANSLATE(B2336, ""en"", ""ja""))"),"MSEGAT_USER_SENDER")</f>
        <v>MSEGAT_USER_SENDER</v>
      </c>
    </row>
    <row r="2337" ht="15.75" customHeight="1">
      <c r="A2337" s="1" t="s">
        <v>4535</v>
      </c>
      <c r="B2337" s="1" t="s">
        <v>4536</v>
      </c>
      <c r="C2337" s="1" t="str">
        <f>IFERROR(__xludf.DUMMYFUNCTION("CONCATENATE(GOOGLETRANSLATE(B2337, ""en"", ""zh-cn""))"),"一封电子邮件已发送。")</f>
        <v>一封电子邮件已发送。</v>
      </c>
      <c r="D2337" s="1" t="str">
        <f>IFERROR(__xludf.DUMMYFUNCTION("CONCATENATE(GOOGLETRANSLATE(B2337, ""en"", ""ko""))"),"이메일이 전송되었습니다.")</f>
        <v>이메일이 전송되었습니다.</v>
      </c>
      <c r="E2337" s="2" t="str">
        <f>IFERROR(__xludf.DUMMYFUNCTION("CONCATENATE(GOOGLETRANSLATE(B2337, ""en"", ""ja""))"),"メールが送信されました。")</f>
        <v>メールが送信されました。</v>
      </c>
    </row>
    <row r="2338" ht="15.75" customHeight="1">
      <c r="A2338" s="1" t="s">
        <v>4537</v>
      </c>
      <c r="B2338" s="1" t="s">
        <v>4538</v>
      </c>
      <c r="C2338" s="1" t="str">
        <f>IFERROR(__xludf.DUMMYFUNCTION("CONCATENATE(GOOGLETRANSLATE(B2338, ""en"", ""zh-cn""))"),"细节")</f>
        <v>细节</v>
      </c>
      <c r="D2338" s="1" t="str">
        <f>IFERROR(__xludf.DUMMYFUNCTION("CONCATENATE(GOOGLETRANSLATE(B2338, ""en"", ""ko""))"),"세부")</f>
        <v>세부</v>
      </c>
      <c r="E2338" s="2" t="str">
        <f>IFERROR(__xludf.DUMMYFUNCTION("CONCATENATE(GOOGLETRANSLATE(B2338, ""en"", ""ja""))"),"詳細")</f>
        <v>詳細</v>
      </c>
    </row>
    <row r="2339" ht="15.75" customHeight="1">
      <c r="A2339" s="1" t="s">
        <v>4539</v>
      </c>
      <c r="B2339" s="1" t="s">
        <v>4540</v>
      </c>
      <c r="C2339" s="1" t="str">
        <f>IFERROR(__xludf.DUMMYFUNCTION("CONCATENATE(GOOGLETRANSLATE(B2339, ""en"", ""zh-cn""))"),"查看门票")</f>
        <v>查看门票</v>
      </c>
      <c r="D2339" s="1" t="str">
        <f>IFERROR(__xludf.DUMMYFUNCTION("CONCATENATE(GOOGLETRANSLATE(B2339, ""en"", ""ko""))"),"티켓보기")</f>
        <v>티켓보기</v>
      </c>
      <c r="E2339" s="2" t="str">
        <f>IFERROR(__xludf.DUMMYFUNCTION("CONCATENATE(GOOGLETRANSLATE(B2339, ""en"", ""ja""))"),"チケットを見る")</f>
        <v>チケットを見る</v>
      </c>
    </row>
    <row r="2340" ht="15.75" customHeight="1">
      <c r="A2340" s="1" t="s">
        <v>4541</v>
      </c>
      <c r="B2340" s="1" t="s">
        <v>4542</v>
      </c>
      <c r="C2340" s="1" t="str">
        <f>IFERROR(__xludf.DUMMYFUNCTION("CONCATENATE(GOOGLETRANSLATE(B2340, ""en"", ""zh-cn""))"),"提交为")</f>
        <v>提交为</v>
      </c>
      <c r="D2340" s="1" t="str">
        <f>IFERROR(__xludf.DUMMYFUNCTION("CONCATENATE(GOOGLETRANSLATE(B2340, ""en"", ""ko""))"),"다음으로 제출")</f>
        <v>다음으로 제출</v>
      </c>
      <c r="E2340" s="2" t="str">
        <f>IFERROR(__xludf.DUMMYFUNCTION("CONCATENATE(GOOGLETRANSLATE(B2340, ""en"", ""ja""))"),"として送信")</f>
        <v>として送信</v>
      </c>
    </row>
    <row r="2341" ht="15.75" customHeight="1">
      <c r="A2341" s="1" t="s">
        <v>4543</v>
      </c>
      <c r="B2341" s="1" t="s">
        <v>4544</v>
      </c>
      <c r="C2341" s="1" t="str">
        <f>IFERROR(__xludf.DUMMYFUNCTION("CONCATENATE(GOOGLETRANSLATE(B2341, ""en"", ""zh-cn""))"),"解决了")</f>
        <v>解决了</v>
      </c>
      <c r="D2341" s="1" t="str">
        <f>IFERROR(__xludf.DUMMYFUNCTION("CONCATENATE(GOOGLETRANSLATE(B2341, ""en"", ""ko""))"),"해결됨")</f>
        <v>해결됨</v>
      </c>
      <c r="E2341" s="2" t="str">
        <f>IFERROR(__xludf.DUMMYFUNCTION("CONCATENATE(GOOGLETRANSLATE(B2341, ""en"", ""ja""))"),"解決済み")</f>
        <v>解決済み</v>
      </c>
    </row>
    <row r="2342" ht="15.75" customHeight="1">
      <c r="A2342" s="1" t="s">
        <v>4545</v>
      </c>
      <c r="B2342" s="1" t="s">
        <v>4546</v>
      </c>
      <c r="C2342" s="1" t="str">
        <f>IFERROR(__xludf.DUMMYFUNCTION("CONCATENATE(GOOGLETRANSLATE(B2342, ""en"", ""zh-cn""))"),"回复已成功发送")</f>
        <v>回复已成功发送</v>
      </c>
      <c r="D2342" s="1" t="str">
        <f>IFERROR(__xludf.DUMMYFUNCTION("CONCATENATE(GOOGLETRANSLATE(B2342, ""en"", ""ko""))"),"답장이 성공적으로 전송되었습니다.")</f>
        <v>답장이 성공적으로 전송되었습니다.</v>
      </c>
      <c r="E2342" s="2" t="str">
        <f>IFERROR(__xludf.DUMMYFUNCTION("CONCATENATE(GOOGLETRANSLATE(B2342, ""en"", ""ja""))"),"返信は正常に送信されました")</f>
        <v>返信は正常に送信されました</v>
      </c>
    </row>
    <row r="2343" ht="15.75" customHeight="1">
      <c r="A2343" s="1" t="s">
        <v>4547</v>
      </c>
      <c r="B2343" s="1" t="s">
        <v>4548</v>
      </c>
      <c r="C2343" s="1" t="str">
        <f>IFERROR(__xludf.DUMMYFUNCTION("CONCATENATE(GOOGLETRANSLATE(B2343, ""en"", ""zh-cn""))"),"保证金钱成功")</f>
        <v>保证金钱成功</v>
      </c>
      <c r="D2343" s="1" t="str">
        <f>IFERROR(__xludf.DUMMYFUNCTION("CONCATENATE(GOOGLETRANSLATE(B2343, ""en"", ""ko""))"),"돈 성공 보장")</f>
        <v>돈 성공 보장</v>
      </c>
      <c r="E2343" s="2" t="str">
        <f>IFERROR(__xludf.DUMMYFUNCTION("CONCATENATE(GOOGLETRANSLATE(B2343, ""en"", ""ja""))"),"お金の成功を保証する")</f>
        <v>お金の成功を保証する</v>
      </c>
    </row>
    <row r="2344" ht="15.75" customHeight="1">
      <c r="A2344" s="1" t="s">
        <v>4549</v>
      </c>
      <c r="B2344" s="1" t="s">
        <v>4550</v>
      </c>
      <c r="C2344" s="1" t="str">
        <f>IFERROR(__xludf.DUMMYFUNCTION("CONCATENATE(GOOGLETRANSLATE(B2344, ""en"", ""zh-cn""))"),"请点击下面的按钮来验证您的电子邮件地址。")</f>
        <v>请点击下面的按钮来验证您的电子邮件地址。</v>
      </c>
      <c r="D2344" s="1" t="str">
        <f>IFERROR(__xludf.DUMMYFUNCTION("CONCATENATE(GOOGLETRANSLATE(B2344, ""en"", ""ko""))"),"이메일 주소를 확인하려면 아래 버튼을 클릭하세요.")</f>
        <v>이메일 주소를 확인하려면 아래 버튼을 클릭하세요.</v>
      </c>
      <c r="E2344" s="2" t="str">
        <f>IFERROR(__xludf.DUMMYFUNCTION("CONCATENATE(GOOGLETRANSLATE(B2344, ""en"", ""ja""))"),"下のボタンをクリックしてメールアドレスを確認してください。")</f>
        <v>下のボタンをクリックしてメールアドレスを確認してください。</v>
      </c>
    </row>
    <row r="2345" ht="15.75" customHeight="1">
      <c r="A2345" s="1" t="s">
        <v>4551</v>
      </c>
      <c r="B2345" s="1" t="s">
        <v>4552</v>
      </c>
      <c r="C2345" s="1" t="str">
        <f>IFERROR(__xludf.DUMMYFUNCTION("CONCATENATE(GOOGLETRANSLATE(B2345, ""en"", ""zh-cn""))"),"注册成功。请验证您的电子邮件。")</f>
        <v>注册成功。请验证您的电子邮件。</v>
      </c>
      <c r="D2345" s="1" t="str">
        <f>IFERROR(__xludf.DUMMYFUNCTION("CONCATENATE(GOOGLETRANSLATE(B2345, ""en"", ""ko""))"),"등록이 완료되었습니다. 이메일을 확인해 주세요.")</f>
        <v>등록이 완료되었습니다. 이메일을 확인해 주세요.</v>
      </c>
      <c r="E2345" s="2" t="str">
        <f>IFERROR(__xludf.DUMMYFUNCTION("CONCATENATE(GOOGLETRANSLATE(B2345, ""en"", ""ja""))"),"登録が成功しました。メールアドレスをご確認ください。")</f>
        <v>登録が成功しました。メールアドレスをご確認ください。</v>
      </c>
    </row>
    <row r="2346" ht="15.75" customHeight="1">
      <c r="A2346" s="1" t="s">
        <v>4553</v>
      </c>
      <c r="B2346" s="1" t="s">
        <v>4554</v>
      </c>
      <c r="C2346" s="1" t="str">
        <f>IFERROR(__xludf.DUMMYFUNCTION("CONCATENATE(GOOGLETRANSLATE(B2346, ""en"", ""zh-cn""))"),"您的电子邮件已成功验证")</f>
        <v>您的电子邮件已成功验证</v>
      </c>
      <c r="D2346" s="1" t="str">
        <f>IFERROR(__xludf.DUMMYFUNCTION("CONCATENATE(GOOGLETRANSLATE(B2346, ""en"", ""ko""))"),"귀하의 이메일이 성공적으로 확인되었습니다")</f>
        <v>귀하의 이메일이 성공적으로 확인되었습니다</v>
      </c>
      <c r="E2346" s="2" t="str">
        <f>IFERROR(__xludf.DUMMYFUNCTION("CONCATENATE(GOOGLETRANSLATE(B2346, ""en"", ""ja""))"),"あなたのメールアドレスは正常に検証されました")</f>
        <v>あなたのメールアドレスは正常に検証されました</v>
      </c>
    </row>
    <row r="2347" ht="15.75" customHeight="1">
      <c r="A2347" s="1" t="s">
        <v>4555</v>
      </c>
      <c r="B2347" s="1" t="s">
        <v>4556</v>
      </c>
      <c r="C2347" s="1" t="str">
        <f>IFERROR(__xludf.DUMMYFUNCTION("CONCATENATE(GOOGLETRANSLATE(B2347, ""en"", ""zh-cn""))"),"钱包充值支付")</f>
        <v>钱包充值支付</v>
      </c>
      <c r="D2347" s="1" t="str">
        <f>IFERROR(__xludf.DUMMYFUNCTION("CONCATENATE(GOOGLETRANSLATE(B2347, ""en"", ""ko""))"),"월렛 충전 결제")</f>
        <v>월렛 충전 결제</v>
      </c>
      <c r="E2347" s="2" t="str">
        <f>IFERROR(__xludf.DUMMYFUNCTION("CONCATENATE(GOOGLETRANSLATE(B2347, ""en"", ""ja""))"),"ウォレットリチャージ支払い")</f>
        <v>ウォレットリチャージ支払い</v>
      </c>
    </row>
    <row r="2348" ht="15.75" customHeight="1">
      <c r="A2348" s="1" t="s">
        <v>4557</v>
      </c>
      <c r="B2348" s="1" t="s">
        <v>4558</v>
      </c>
      <c r="C2348" s="1" t="str">
        <f>IFERROR(__xludf.DUMMYFUNCTION("CONCATENATE(GOOGLETRANSLATE(B2348, ""en"", ""zh-cn""))"),"自定义参数")</f>
        <v>自定义参数</v>
      </c>
      <c r="D2348" s="1" t="str">
        <f>IFERROR(__xludf.DUMMYFUNCTION("CONCATENATE(GOOGLETRANSLATE(B2348, ""en"", ""ko""))"),"맞춤 매개변수")</f>
        <v>맞춤 매개변수</v>
      </c>
      <c r="E2348" s="2" t="str">
        <f>IFERROR(__xludf.DUMMYFUNCTION("CONCATENATE(GOOGLETRANSLATE(B2348, ""en"", ""ja""))"),"カスタムパラメータ")</f>
        <v>カスタムパラメータ</v>
      </c>
    </row>
    <row r="2349" ht="15.75" customHeight="1">
      <c r="A2349" s="1" t="s">
        <v>4559</v>
      </c>
      <c r="B2349" s="1" t="s">
        <v>4560</v>
      </c>
      <c r="C2349" s="1" t="str">
        <f>IFERROR(__xludf.DUMMYFUNCTION("CONCATENATE(GOOGLETRANSLATE(B2349, ""en"", ""zh-cn""))"),"项目详情")</f>
        <v>项目详情</v>
      </c>
      <c r="D2349" s="1" t="str">
        <f>IFERROR(__xludf.DUMMYFUNCTION("CONCATENATE(GOOGLETRANSLATE(B2349, ""en"", ""ko""))"),"품목 세부정보")</f>
        <v>품목 세부정보</v>
      </c>
      <c r="E2349" s="2" t="str">
        <f>IFERROR(__xludf.DUMMYFUNCTION("CONCATENATE(GOOGLETRANSLATE(B2349, ""en"", ""ja""))"),"アイテム詳細")</f>
        <v>アイテム詳細</v>
      </c>
    </row>
    <row r="2350" ht="15.75" customHeight="1">
      <c r="A2350" s="1" t="s">
        <v>4561</v>
      </c>
      <c r="B2350" s="1" t="s">
        <v>4562</v>
      </c>
      <c r="C2350" s="1" t="str">
        <f>IFERROR(__xludf.DUMMYFUNCTION("CONCATENATE(GOOGLETRANSLATE(B2350, ""en"", ""zh-cn""))"),"结帐付款")</f>
        <v>结帐付款</v>
      </c>
      <c r="D2350" s="1" t="str">
        <f>IFERROR(__xludf.DUMMYFUNCTION("CONCATENATE(GOOGLETRANSLATE(B2350, ""en"", ""ko""))"),"체크아웃 결제")</f>
        <v>체크아웃 결제</v>
      </c>
      <c r="E2350" s="2" t="str">
        <f>IFERROR(__xludf.DUMMYFUNCTION("CONCATENATE(GOOGLETRANSLATE(B2350, ""en"", ""ja""))"),"チェックアウトの支払い")</f>
        <v>チェックアウトの支払い</v>
      </c>
    </row>
    <row r="2351" ht="15.75" customHeight="1">
      <c r="A2351" s="1" t="s">
        <v>4563</v>
      </c>
      <c r="B2351" s="1" t="s">
        <v>4564</v>
      </c>
      <c r="C2351" s="1" t="str">
        <f>IFERROR(__xludf.DUMMYFUNCTION("CONCATENATE(GOOGLETRANSLATE(B2351, ""en"", ""zh-cn""))"),"付款流程已完成")</f>
        <v>付款流程已完成</v>
      </c>
      <c r="D2351" s="1" t="str">
        <f>IFERROR(__xludf.DUMMYFUNCTION("CONCATENATE(GOOGLETRANSLATE(B2351, ""en"", ""ko""))"),"결제 프로세스가 완료되었습니다.")</f>
        <v>결제 프로세스가 완료되었습니다.</v>
      </c>
      <c r="E2351" s="2" t="str">
        <f>IFERROR(__xludf.DUMMYFUNCTION("CONCATENATE(GOOGLETRANSLATE(B2351, ""en"", ""ja""))"),"支払い手続きが完了しました")</f>
        <v>支払い手続きが完了しました</v>
      </c>
    </row>
    <row r="2352" ht="15.75" customHeight="1">
      <c r="A2352" s="1" t="s">
        <v>4565</v>
      </c>
      <c r="B2352" s="1" t="s">
        <v>4566</v>
      </c>
      <c r="C2352" s="1" t="str">
        <f>IFERROR(__xludf.DUMMYFUNCTION("CONCATENATE(GOOGLETRANSLATE(B2352, ""en"", ""zh-cn""))"),"谷歌地图设置")</f>
        <v>谷歌地图设置</v>
      </c>
      <c r="D2352" s="1" t="str">
        <f>IFERROR(__xludf.DUMMYFUNCTION("CONCATENATE(GOOGLETRANSLATE(B2352, ""en"", ""ko""))"),"구글 지도 설정")</f>
        <v>구글 지도 설정</v>
      </c>
      <c r="E2352" s="2" t="str">
        <f>IFERROR(__xludf.DUMMYFUNCTION("CONCATENATE(GOOGLETRANSLATE(B2352, ""en"", ""ja""))"),"Googleマップ設定")</f>
        <v>Googleマップ設定</v>
      </c>
    </row>
    <row r="2353" ht="15.75" customHeight="1">
      <c r="A2353" s="1" t="s">
        <v>4567</v>
      </c>
      <c r="B2353" s="1" t="s">
        <v>4568</v>
      </c>
      <c r="C2353" s="1" t="str">
        <f>IFERROR(__xludf.DUMMYFUNCTION("CONCATENATE(GOOGLETRANSLATE(B2353, ""en"", ""zh-cn""))"),"地图 API 密钥")</f>
        <v>地图 API 密钥</v>
      </c>
      <c r="D2353" s="1" t="str">
        <f>IFERROR(__xludf.DUMMYFUNCTION("CONCATENATE(GOOGLETRANSLATE(B2353, ""en"", ""ko""))"),"지도 API 키")</f>
        <v>지도 API 키</v>
      </c>
      <c r="E2353" s="2" t="str">
        <f>IFERROR(__xludf.DUMMYFUNCTION("CONCATENATE(GOOGLETRANSLATE(B2353, ""en"", ""ja""))"),"マップAPIキー")</f>
        <v>マップAPIキー</v>
      </c>
    </row>
    <row r="2354" ht="15.75" customHeight="1">
      <c r="A2354" s="1" t="s">
        <v>4569</v>
      </c>
      <c r="B2354" s="1" t="s">
        <v>4570</v>
      </c>
      <c r="C2354" s="1" t="str">
        <f>IFERROR(__xludf.DUMMYFUNCTION("CONCATENATE(GOOGLETRANSLATE(B2354, ""en"", ""zh-cn""))"),"服务")</f>
        <v>服务</v>
      </c>
      <c r="D2354" s="1" t="str">
        <f>IFERROR(__xludf.DUMMYFUNCTION("CONCATENATE(GOOGLETRANSLATE(B2354, ""en"", ""ko""))"),"서비스")</f>
        <v>서비스</v>
      </c>
      <c r="E2354" s="2" t="str">
        <f>IFERROR(__xludf.DUMMYFUNCTION("CONCATENATE(GOOGLETRANSLATE(B2354, ""en"", ""ja""))"),"サービス")</f>
        <v>サービス</v>
      </c>
    </row>
    <row r="2355" ht="15.75" customHeight="1">
      <c r="A2355" s="1" t="s">
        <v>4571</v>
      </c>
      <c r="B2355" s="1" t="s">
        <v>4572</v>
      </c>
      <c r="C2355" s="1" t="str">
        <f>IFERROR(__xludf.DUMMYFUNCTION("CONCATENATE(GOOGLETRANSLATE(B2355, ""en"", ""zh-cn""))"),"菜鸡网址")</f>
        <v>菜鸡网址</v>
      </c>
      <c r="D2355" s="1" t="str">
        <f>IFERROR(__xludf.DUMMYFUNCTION("CONCATENATE(GOOGLETRANSLATE(B2355, ""en"", ""ko""))"),"CaijiUrl")</f>
        <v>CaijiUrl</v>
      </c>
      <c r="E2355" s="2" t="str">
        <f>IFERROR(__xludf.DUMMYFUNCTION("CONCATENATE(GOOGLETRANSLATE(B2355, ""en"", ""ja""))"),"CaijiUrl")</f>
        <v>CaijiUrl</v>
      </c>
    </row>
    <row r="2356" ht="15.75" customHeight="1">
      <c r="A2356" s="1" t="s">
        <v>4573</v>
      </c>
      <c r="B2356" s="1" t="s">
        <v>4574</v>
      </c>
      <c r="C2356" s="1" t="str">
        <f>IFERROR(__xludf.DUMMYFUNCTION("CONCATENATE(GOOGLETRANSLATE(B2356, ""en"", ""zh-cn""))"),"类别已成功删除")</f>
        <v>类别已成功删除</v>
      </c>
      <c r="D2356" s="1" t="str">
        <f>IFERROR(__xludf.DUMMYFUNCTION("CONCATENATE(GOOGLETRANSLATE(B2356, ""en"", ""ko""))"),"카테고리가 삭제되었습니다.")</f>
        <v>카테고리가 삭제되었습니다.</v>
      </c>
      <c r="E2356" s="2" t="str">
        <f>IFERROR(__xludf.DUMMYFUNCTION("CONCATENATE(GOOGLETRANSLATE(B2356, ""en"", ""ja""))"),"カテゴリが正常に削除されました")</f>
        <v>カテゴリが正常に削除されました</v>
      </c>
    </row>
    <row r="2357" ht="15.75" customHeight="1">
      <c r="A2357" s="1" t="s">
        <v>4575</v>
      </c>
      <c r="B2357" s="1" t="s">
        <v>4576</v>
      </c>
      <c r="C2357" s="1" t="str">
        <f>IFERROR(__xludf.DUMMYFUNCTION("CONCATENATE(GOOGLETRANSLATE(B2357, ""en"", ""zh-cn""))"),"应用程序下载")</f>
        <v>应用程序下载</v>
      </c>
      <c r="D2357" s="1" t="str">
        <f>IFERROR(__xludf.DUMMYFUNCTION("CONCATENATE(GOOGLETRANSLATE(B2357, ""en"", ""ko""))"),"앱 다운로드")</f>
        <v>앱 다운로드</v>
      </c>
      <c r="E2357" s="2" t="str">
        <f>IFERROR(__xludf.DUMMYFUNCTION("CONCATENATE(GOOGLETRANSLATE(B2357, ""en"", ""ja""))"),"アプリのダウンロード")</f>
        <v>アプリのダウンロード</v>
      </c>
    </row>
    <row r="2358" ht="15.75" customHeight="1">
      <c r="A2358" s="1" t="s">
        <v>4577</v>
      </c>
      <c r="B2358" s="1" t="s">
        <v>4578</v>
      </c>
      <c r="C2358" s="1" t="str">
        <f>IFERROR(__xludf.DUMMYFUNCTION("CONCATENATE(GOOGLETRANSLATE(B2358, ""en"", ""zh-cn""))"),"新的验证链接已发送到您的电子邮件地址。")</f>
        <v>新的验证链接已发送到您的电子邮件地址。</v>
      </c>
      <c r="D2358" s="1" t="str">
        <f>IFERROR(__xludf.DUMMYFUNCTION("CONCATENATE(GOOGLETRANSLATE(B2358, ""en"", ""ko""))"),"새로운 확인 링크가 귀하의 이메일 주소로 전송되었습니다.")</f>
        <v>새로운 확인 링크가 귀하의 이메일 주소로 전송되었습니다.</v>
      </c>
      <c r="E2358" s="2" t="str">
        <f>IFERROR(__xludf.DUMMYFUNCTION("CONCATENATE(GOOGLETRANSLATE(B2358, ""en"", ""ja""))"),"新しい確認リンクがあなたの電子メール アドレスに送信されました。")</f>
        <v>新しい確認リンクがあなたの電子メール アドレスに送信されました。</v>
      </c>
    </row>
    <row r="2359" ht="15.75" customHeight="1">
      <c r="A2359" s="1" t="s">
        <v>4579</v>
      </c>
      <c r="B2359" s="1" t="s">
        <v>4580</v>
      </c>
      <c r="C2359" s="1" t="str">
        <f>IFERROR(__xludf.DUMMYFUNCTION("CONCATENATE(GOOGLETRANSLATE(B2359, ""en"", ""zh-cn""))"),"抱歉，我们无法验证您的身份。请重试")</f>
        <v>抱歉，我们无法验证您的身份。请重试</v>
      </c>
      <c r="D2359" s="1" t="str">
        <f>IFERROR(__xludf.DUMMYFUNCTION("CONCATENATE(GOOGLETRANSLATE(B2359, ""en"", ""ko""))"),"죄송합니다. 귀하를 확인할 수 없습니다. 다시 시도해 주세요")</f>
        <v>죄송합니다. 귀하를 확인할 수 없습니다. 다시 시도해 주세요</v>
      </c>
      <c r="E2359" s="2" t="str">
        <f>IFERROR(__xludf.DUMMYFUNCTION("CONCATENATE(GOOGLETRANSLATE(B2359, ""en"", ""ja""))"),"申し訳ありませんが、あなたを確認できませんでした。もう一度試してください")</f>
        <v>申し訳ありませんが、あなたを確認できませんでした。もう一度試してください</v>
      </c>
    </row>
    <row r="2360" ht="15.75" customHeight="1">
      <c r="A2360" s="1" t="s">
        <v>4581</v>
      </c>
      <c r="B2360" s="1" t="s">
        <v>4582</v>
      </c>
      <c r="C2360" s="1" t="str">
        <f>IFERROR(__xludf.DUMMYFUNCTION("CONCATENATE(GOOGLETRANSLATE(B2360, ""en"", ""zh-cn""))"),"卖家已被成功封禁")</f>
        <v>卖家已被成功封禁</v>
      </c>
      <c r="D2360" s="1" t="str">
        <f>IFERROR(__xludf.DUMMYFUNCTION("CONCATENATE(GOOGLETRANSLATE(B2360, ""en"", ""ko""))"),"판매자가 성공적으로 차단되었습니다.")</f>
        <v>판매자가 성공적으로 차단되었습니다.</v>
      </c>
      <c r="E2360" s="2" t="str">
        <f>IFERROR(__xludf.DUMMYFUNCTION("CONCATENATE(GOOGLETRANSLATE(B2360, ""en"", ""ja""))"),"販売者は正常に禁止されました")</f>
        <v>販売者は正常に禁止されました</v>
      </c>
    </row>
    <row r="2361" ht="15.75" customHeight="1">
      <c r="A2361" s="1" t="s">
        <v>4583</v>
      </c>
      <c r="B2361" s="1" t="s">
        <v>4584</v>
      </c>
      <c r="C2361" s="1" t="str">
        <f>IFERROR(__xludf.DUMMYFUNCTION("CONCATENATE(GOOGLETRANSLATE(B2361, ""en"", ""zh-cn""))"),"取消对该卖家的封禁")</f>
        <v>取消对该卖家的封禁</v>
      </c>
      <c r="D2361" s="1" t="str">
        <f>IFERROR(__xludf.DUMMYFUNCTION("CONCATENATE(GOOGLETRANSLATE(B2361, ""en"", ""ko""))"),"이 판매자 차단 해제")</f>
        <v>이 판매자 차단 해제</v>
      </c>
      <c r="E2361" s="2" t="str">
        <f>IFERROR(__xludf.DUMMYFUNCTION("CONCATENATE(GOOGLETRANSLATE(B2361, ""en"", ""ja""))"),"この販売者の禁止を解除する")</f>
        <v>この販売者の禁止を解除する</v>
      </c>
    </row>
    <row r="2362" ht="15.75" customHeight="1">
      <c r="A2362" s="1" t="s">
        <v>4585</v>
      </c>
      <c r="B2362" s="1" t="s">
        <v>4586</v>
      </c>
      <c r="C2362" s="1" t="str">
        <f>IFERROR(__xludf.DUMMYFUNCTION("CONCATENATE(GOOGLETRANSLATE(B2362, ""en"", ""zh-cn""))"),"卖家已成功解禁")</f>
        <v>卖家已成功解禁</v>
      </c>
      <c r="D2362" s="1" t="str">
        <f>IFERROR(__xludf.DUMMYFUNCTION("CONCATENATE(GOOGLETRANSLATE(B2362, ""en"", ""ko""))"),"판매자가 차단 해제되었습니다.")</f>
        <v>판매자가 차단 해제되었습니다.</v>
      </c>
      <c r="E2362" s="2" t="str">
        <f>IFERROR(__xludf.DUMMYFUNCTION("CONCATENATE(GOOGLETRANSLATE(B2362, ""en"", ""ja""))"),"販売者の禁止が正常に解除されました")</f>
        <v>販売者の禁止が正常に解除されました</v>
      </c>
    </row>
    <row r="2363" ht="15.75" customHeight="1">
      <c r="A2363" s="1" t="s">
        <v>4587</v>
      </c>
      <c r="B2363" s="1" t="s">
        <v>4588</v>
      </c>
      <c r="C2363" s="1" t="str">
        <f>IFERROR(__xludf.DUMMYFUNCTION("CONCATENATE(GOOGLETRANSLATE(B2363, ""en"", ""zh-cn""))"),"此电子邮件地址不存在任何帐户")</f>
        <v>此电子邮件地址不存在任何帐户</v>
      </c>
      <c r="D2363" s="1" t="str">
        <f>IFERROR(__xludf.DUMMYFUNCTION("CONCATENATE(GOOGLETRANSLATE(B2363, ""en"", ""ko""))"),"이 이메일에는 계정이 없습니다")</f>
        <v>이 이메일에는 계정이 없습니다</v>
      </c>
      <c r="E2363" s="2" t="str">
        <f>IFERROR(__xludf.DUMMYFUNCTION("CONCATENATE(GOOGLETRANSLATE(B2363, ""en"", ""ja""))"),"このメールにはアカウントが存在しません")</f>
        <v>このメールにはアカウントが存在しません</v>
      </c>
    </row>
    <row r="2364" ht="15.75" customHeight="1">
      <c r="A2364" s="1" t="s">
        <v>4589</v>
      </c>
      <c r="B2364" s="1" t="s">
        <v>4590</v>
      </c>
      <c r="C2364" s="1" t="str">
        <f>IFERROR(__xludf.DUMMYFUNCTION("CONCATENATE(GOOGLETRANSLATE(B2364, ""en"", ""zh-cn""))"),"验证码是 ")</f>
        <v>验证码是 </v>
      </c>
      <c r="D2364" s="1" t="str">
        <f>IFERROR(__xludf.DUMMYFUNCTION("CONCATENATE(GOOGLETRANSLATE(B2364, ""en"", ""ko""))"),"인증코드는 ")</f>
        <v>인증코드는 </v>
      </c>
      <c r="E2364" s="2" t="str">
        <f>IFERROR(__xludf.DUMMYFUNCTION("CONCATENATE(GOOGLETRANSLATE(B2364, ""en"", ""ja""))"),"認証コードは ")</f>
        <v>認証コードは </v>
      </c>
    </row>
    <row r="2365" ht="15.75" customHeight="1">
      <c r="A2365" s="1" t="s">
        <v>4591</v>
      </c>
      <c r="B2365" s="1" t="s">
        <v>4592</v>
      </c>
      <c r="C2365" s="1" t="str">
        <f>IFERROR(__xludf.DUMMYFUNCTION("CONCATENATE(GOOGLETRANSLATE(B2365, ""en"", ""zh-cn""))"),"重置密码")</f>
        <v>重置密码</v>
      </c>
      <c r="D2365" s="1" t="str">
        <f>IFERROR(__xludf.DUMMYFUNCTION("CONCATENATE(GOOGLETRANSLATE(B2365, ""en"", ""ko""))"),"비밀번호 재설정")</f>
        <v>비밀번호 재설정</v>
      </c>
      <c r="E2365" s="2" t="str">
        <f>IFERROR(__xludf.DUMMYFUNCTION("CONCATENATE(GOOGLETRANSLATE(B2365, ""en"", ""ja""))"),"パスワードのリセット")</f>
        <v>パスワードのリセット</v>
      </c>
    </row>
    <row r="2366" ht="15.75" customHeight="1">
      <c r="A2366" s="1" t="s">
        <v>4593</v>
      </c>
      <c r="B2366" s="1" t="s">
        <v>4594</v>
      </c>
      <c r="C2366" s="1" t="str">
        <f>IFERROR(__xludf.DUMMYFUNCTION("CONCATENATE(GOOGLETRANSLATE(B2366, ""en"", ""zh-cn""))"),"输入您的电子邮件地址和新密码并确认密码。")</f>
        <v>输入您的电子邮件地址和新密码并确认密码。</v>
      </c>
      <c r="D2366" s="1" t="str">
        <f>IFERROR(__xludf.DUMMYFUNCTION("CONCATENATE(GOOGLETRANSLATE(B2366, ""en"", ""ko""))"),"이메일 주소와 새 비밀번호를 입력하고 비밀번호를 확인하세요.")</f>
        <v>이메일 주소와 새 비밀번호를 입력하고 비밀번호를 확인하세요.</v>
      </c>
      <c r="E2366" s="2" t="str">
        <f>IFERROR(__xludf.DUMMYFUNCTION("CONCATENATE(GOOGLETRANSLATE(B2366, ""en"", ""ja""))"),"メールアドレスと新しいパスワードを入力し、パスワードを確認します。")</f>
        <v>メールアドレスと新しいパスワードを入力し、パスワードを確認します。</v>
      </c>
    </row>
    <row r="2367" ht="15.75" customHeight="1">
      <c r="A2367" s="1" t="s">
        <v>4595</v>
      </c>
      <c r="B2367" s="1" t="s">
        <v>4596</v>
      </c>
      <c r="C2367" s="1" t="str">
        <f>IFERROR(__xludf.DUMMYFUNCTION("CONCATENATE(GOOGLETRANSLATE(B2367, ""en"", ""zh-cn""))"),"密码更新成功")</f>
        <v>密码更新成功</v>
      </c>
      <c r="D2367" s="1" t="str">
        <f>IFERROR(__xludf.DUMMYFUNCTION("CONCATENATE(GOOGLETRANSLATE(B2367, ""en"", ""ko""))"),"비밀번호가 성공적으로 업데이트되었습니다.")</f>
        <v>비밀번호가 성공적으로 업데이트되었습니다.</v>
      </c>
      <c r="E2367" s="2" t="str">
        <f>IFERROR(__xludf.DUMMYFUNCTION("CONCATENATE(GOOGLETRANSLATE(B2367, ""en"", ""ja""))"),"パスワードが正常に更新されました")</f>
        <v>パスワードが正常に更新されました</v>
      </c>
    </row>
    <row r="2368" ht="15.75" customHeight="1">
      <c r="A2368" s="1" t="s">
        <v>4597</v>
      </c>
      <c r="B2368" s="1" t="s">
        <v>4598</v>
      </c>
      <c r="C2368" s="1" t="str">
        <f>IFERROR(__xludf.DUMMYFUNCTION("CONCATENATE(GOOGLETRANSLATE(B2368, ""en"", ""zh-cn""))"),"注册失败。请稍后重试。")</f>
        <v>注册失败。请稍后重试。</v>
      </c>
      <c r="D2368" s="1" t="str">
        <f>IFERROR(__xludf.DUMMYFUNCTION("CONCATENATE(GOOGLETRANSLATE(B2368, ""en"", ""ko""))"),"등록에 실패했습니다. 나중에 다시 시도해 주세요.")</f>
        <v>등록에 실패했습니다. 나중에 다시 시도해 주세요.</v>
      </c>
      <c r="E2368" s="2" t="str">
        <f>IFERROR(__xludf.DUMMYFUNCTION("CONCATENATE(GOOGLETRANSLATE(B2368, ""en"", ""ja""))"),"登録に失敗しました。後でもう一度試してください。")</f>
        <v>登録に失敗しました。後でもう一度試してください。</v>
      </c>
    </row>
    <row r="2369" ht="15.75" customHeight="1">
      <c r="A2369" s="1" t="s">
        <v>4599</v>
      </c>
      <c r="B2369" s="1" t="s">
        <v>4600</v>
      </c>
      <c r="C2369" s="1" t="str">
        <f>IFERROR(__xludf.DUMMYFUNCTION("CONCATENATE(GOOGLETRANSLATE(B2369, ""en"", ""zh-cn""))"),"发送代码成功")</f>
        <v>发送代码成功</v>
      </c>
      <c r="D2369" s="1" t="str">
        <f>IFERROR(__xludf.DUMMYFUNCTION("CONCATENATE(GOOGLETRANSLATE(B2369, ""en"", ""ko""))"),"코드를 성공적으로 보냈습니다")</f>
        <v>코드를 성공적으로 보냈습니다</v>
      </c>
      <c r="E2369" s="2" t="str">
        <f>IFERROR(__xludf.DUMMYFUNCTION("CONCATENATE(GOOGLETRANSLATE(B2369, ""en"", ""ja""))"),"コードを正常に送信しました")</f>
        <v>コードを正常に送信しました</v>
      </c>
    </row>
    <row r="2370" ht="15.75" customHeight="1">
      <c r="A2370" s="1" t="s">
        <v>4601</v>
      </c>
      <c r="B2370" s="1" t="s">
        <v>4602</v>
      </c>
      <c r="C2370" s="1" t="str">
        <f>IFERROR(__xludf.DUMMYFUNCTION("CONCATENATE(GOOGLETRANSLATE(B2370, ""en"", ""zh-cn""))"),"注册码")</f>
        <v>注册码</v>
      </c>
      <c r="D2370" s="1" t="str">
        <f>IFERROR(__xludf.DUMMYFUNCTION("CONCATENATE(GOOGLETRANSLATE(B2370, ""en"", ""ko""))"),"코드 등록")</f>
        <v>코드 등록</v>
      </c>
      <c r="E2370" s="2" t="str">
        <f>IFERROR(__xludf.DUMMYFUNCTION("CONCATENATE(GOOGLETRANSLATE(B2370, ""en"", ""ja""))"),"レジスタコード")</f>
        <v>レジスタコード</v>
      </c>
    </row>
    <row r="2371" ht="15.75" customHeight="1">
      <c r="A2371" s="1" t="s">
        <v>4603</v>
      </c>
      <c r="B2371" s="1" t="s">
        <v>4604</v>
      </c>
      <c r="C2371" s="1" t="str">
        <f>IFERROR(__xludf.DUMMYFUNCTION("CONCATENATE(GOOGLETRANSLATE(B2371, ""en"", ""zh-cn""))"),"验证码是")</f>
        <v>验证码是</v>
      </c>
      <c r="D2371" s="1" t="str">
        <f>IFERROR(__xludf.DUMMYFUNCTION("CONCATENATE(GOOGLETRANSLATE(B2371, ""en"", ""ko""))"),"인증코드는")</f>
        <v>인증코드는</v>
      </c>
      <c r="E2371" s="2" t="str">
        <f>IFERROR(__xludf.DUMMYFUNCTION("CONCATENATE(GOOGLETRANSLATE(B2371, ""en"", ""ja""))"),"認証コードは")</f>
        <v>認証コードは</v>
      </c>
    </row>
    <row r="2372" ht="15.75" customHeight="1">
      <c r="A2372" s="1" t="s">
        <v>4605</v>
      </c>
      <c r="B2372" s="1" t="s">
        <v>4606</v>
      </c>
      <c r="C2372" s="1" t="str">
        <f>IFERROR(__xludf.DUMMYFUNCTION("CONCATENATE(GOOGLETRANSLATE(B2372, ""en"", ""zh-cn""))"),"您的验证邮件已发送至您的电子邮箱。")</f>
        <v>您的验证邮件已发送至您的电子邮箱。</v>
      </c>
      <c r="D2372" s="1" t="str">
        <f>IFERROR(__xludf.DUMMYFUNCTION("CONCATENATE(GOOGLETRANSLATE(B2372, ""en"", ""ko""))"),"귀하의 이메일로 확인메일이 발송되었습니다.")</f>
        <v>귀하의 이메일로 확인메일이 발송되었습니다.</v>
      </c>
      <c r="E2372" s="2" t="str">
        <f>IFERROR(__xludf.DUMMYFUNCTION("CONCATENATE(GOOGLETRANSLATE(B2372, ""en"", ""ja""))"),"確認メールがあなたのメールアドレスに送信されました。")</f>
        <v>確認メールがあなたのメールアドレスに送信されました。</v>
      </c>
    </row>
    <row r="2373" ht="15.75" customHeight="1">
      <c r="A2373" s="1" t="s">
        <v>4607</v>
      </c>
      <c r="B2373" s="1" t="s">
        <v>4608</v>
      </c>
      <c r="C2373" s="1" t="str">
        <f>IFERROR(__xludf.DUMMYFUNCTION("CONCATENATE(GOOGLETRANSLATE(B2373, ""en"", ""zh-cn""))"),"代码不正确。")</f>
        <v>代码不正确。</v>
      </c>
      <c r="D2373" s="1" t="str">
        <f>IFERROR(__xludf.DUMMYFUNCTION("CONCATENATE(GOOGLETRANSLATE(B2373, ""en"", ""ko""))"),"코드가 올바르지 않습니다.")</f>
        <v>코드가 올바르지 않습니다.</v>
      </c>
      <c r="E2373" s="2" t="str">
        <f>IFERROR(__xludf.DUMMYFUNCTION("CONCATENATE(GOOGLETRANSLATE(B2373, ""en"", ""ja""))"),"コードが正しくありません。")</f>
        <v>コードが正しくありません。</v>
      </c>
    </row>
    <row r="2374" ht="15.75" customHeight="1">
      <c r="A2374" s="1" t="s">
        <v>4609</v>
      </c>
      <c r="B2374" s="1" t="s">
        <v>4610</v>
      </c>
      <c r="C2374" s="1" t="str">
        <f>IFERROR(__xludf.DUMMYFUNCTION("CONCATENATE(GOOGLETRANSLATE(B2374, ""en"", ""zh-cn""))"),"人员已成功更新")</f>
        <v>人员已成功更新</v>
      </c>
      <c r="D2374" s="1" t="str">
        <f>IFERROR(__xludf.DUMMYFUNCTION("CONCATENATE(GOOGLETRANSLATE(B2374, ""en"", ""ko""))"),"직원이 성공적으로 업데이트되었습니다.")</f>
        <v>직원이 성공적으로 업데이트되었습니다.</v>
      </c>
      <c r="E2374" s="2" t="str">
        <f>IFERROR(__xludf.DUMMYFUNCTION("CONCATENATE(GOOGLETRANSLATE(B2374, ""en"", ""ja""))"),"スタッフは正常に更新されました")</f>
        <v>スタッフは正常に更新されました</v>
      </c>
    </row>
    <row r="2375" ht="15.75" customHeight="1">
      <c r="A2375" s="1" t="s">
        <v>4611</v>
      </c>
      <c r="B2375" s="1" t="s">
        <v>4612</v>
      </c>
      <c r="C2375" s="1" t="str">
        <f>IFERROR(__xludf.DUMMYFUNCTION("CONCATENATE(GOOGLETRANSLATE(B2375, ""en"", ""zh-cn""))"),"请联系客服删除。")</f>
        <v>请联系客服删除。</v>
      </c>
      <c r="D2375" s="1" t="str">
        <f>IFERROR(__xludf.DUMMYFUNCTION("CONCATENATE(GOOGLETRANSLATE(B2375, ""en"", ""ko""))"),"제거를 원하시면 고객센터로 연락주세요.")</f>
        <v>제거를 원하시면 고객센터로 연락주세요.</v>
      </c>
      <c r="E2375" s="2" t="str">
        <f>IFERROR(__xludf.DUMMYFUNCTION("CONCATENATE(GOOGLETRANSLATE(B2375, ""en"", ""ja""))"),"削除についてはカスタマーサービスまでご連絡ください。")</f>
        <v>削除についてはカスタマーサービスまでご連絡ください。</v>
      </c>
    </row>
    <row r="2376" ht="15.75" customHeight="1">
      <c r="A2376" s="1" t="s">
        <v>4613</v>
      </c>
      <c r="B2376" s="1" t="s">
        <v>4614</v>
      </c>
      <c r="C2376" s="1" t="str">
        <f>IFERROR(__xludf.DUMMYFUNCTION("CONCATENATE(GOOGLETRANSLATE(B2376, ""en"", ""zh-cn""))"),"您上传的产品数量超出了此包限制。您需要删除过多的产品才能降级。")</f>
        <v>您上传的产品数量超出了此包限制。您需要删除过多的产品才能降级。</v>
      </c>
      <c r="D2376" s="1" t="str">
        <f>IFERROR(__xludf.DUMMYFUNCTION("CONCATENATE(GOOGLETRANSLATE(B2376, ""en"", ""ko""))"),"이 패키지 한도보다 더 많은 제품을 업로드했습니다. 다운그레이드하려면 과도한 제품을 제거해야 합니다.")</f>
        <v>이 패키지 한도보다 더 많은 제품을 업로드했습니다. 다운그레이드하려면 과도한 제품을 제거해야 합니다.</v>
      </c>
      <c r="E2376" s="2" t="str">
        <f>IFERROR(__xludf.DUMMYFUNCTION("CONCATENATE(GOOGLETRANSLATE(B2376, ""en"", ""ja""))"),"このパッケージ制限を超える商品がアップロードされています。ダウングレードするには、過剰な製品を削除する必要があります。")</f>
        <v>このパッケージ制限を超える商品がアップロードされています。ダウングレードするには、過剰な製品を削除する必要があります。</v>
      </c>
    </row>
    <row r="2377" ht="15.75" customHeight="1">
      <c r="A2377" s="1" t="s">
        <v>4615</v>
      </c>
      <c r="B2377" s="1" t="s">
        <v>4616</v>
      </c>
      <c r="C2377" s="1" t="str">
        <f>IFERROR(__xludf.DUMMYFUNCTION("CONCATENATE(GOOGLETRANSLATE(B2377, ""en"", ""zh-cn""))"),"重新获得")</f>
        <v>重新获得</v>
      </c>
      <c r="D2377" s="1" t="str">
        <f>IFERROR(__xludf.DUMMYFUNCTION("CONCATENATE(GOOGLETRANSLATE(B2377, ""en"", ""ko""))"),"재취득")</f>
        <v>재취득</v>
      </c>
      <c r="E2377" s="2" t="str">
        <f>IFERROR(__xludf.DUMMYFUNCTION("CONCATENATE(GOOGLETRANSLATE(B2377, ""en"", ""ja""))"),"再取得")</f>
        <v>再取得</v>
      </c>
    </row>
    <row r="2378" ht="15.75" customHeight="1">
      <c r="A2378" s="1" t="s">
        <v>4617</v>
      </c>
      <c r="B2378" s="1" t="s">
        <v>4618</v>
      </c>
      <c r="C2378" s="1" t="str">
        <f>IFERROR(__xludf.DUMMYFUNCTION("CONCATENATE(GOOGLETRANSLATE(B2378, ""en"", ""zh-cn""))"),"第二")</f>
        <v>第二</v>
      </c>
      <c r="D2378" s="1" t="str">
        <f>IFERROR(__xludf.DUMMYFUNCTION("CONCATENATE(GOOGLETRANSLATE(B2378, ""en"", ""ko""))"),"두번째")</f>
        <v>두번째</v>
      </c>
      <c r="E2378" s="2" t="str">
        <f>IFERROR(__xludf.DUMMYFUNCTION("CONCATENATE(GOOGLETRANSLATE(B2378, ""en"", ""ja""))"),"2番")</f>
        <v>2番</v>
      </c>
    </row>
    <row r="2379" ht="15.75" customHeight="1">
      <c r="A2379" s="1" t="s">
        <v>4619</v>
      </c>
      <c r="B2379" s="1" t="s">
        <v>4620</v>
      </c>
      <c r="C2379" s="1" t="str">
        <f>IFERROR(__xludf.DUMMYFUNCTION("CONCATENATE(GOOGLETRANSLATE(B2379, ""en"", ""zh-cn""))"),"角色已成功插入")</f>
        <v>角色已成功插入</v>
      </c>
      <c r="D2379" s="1" t="str">
        <f>IFERROR(__xludf.DUMMYFUNCTION("CONCATENATE(GOOGLETRANSLATE(B2379, ""en"", ""ko""))"),"역할이 성공적으로 삽입되었습니다.")</f>
        <v>역할이 성공적으로 삽입되었습니다.</v>
      </c>
      <c r="E2379" s="2" t="str">
        <f>IFERROR(__xludf.DUMMYFUNCTION("CONCATENATE(GOOGLETRANSLATE(B2379, ""en"", ""ja""))"),"役割が正常に挿入されました")</f>
        <v>役割が正常に挿入されました</v>
      </c>
    </row>
    <row r="2380" ht="15.75" customHeight="1">
      <c r="A2380" s="1" t="s">
        <v>4498</v>
      </c>
      <c r="B2380" s="1" t="s">
        <v>4499</v>
      </c>
      <c r="C2380" s="1" t="str">
        <f>IFERROR(__xludf.DUMMYFUNCTION("CONCATENATE(GOOGLETRANSLATE(B2380, ""en"", ""zh-cn""))"),"添加现实卖家")</f>
        <v>添加现实卖家</v>
      </c>
      <c r="D2380" s="1" t="str">
        <f>IFERROR(__xludf.DUMMYFUNCTION("CONCATENATE(GOOGLETRANSLATE(B2380, ""en"", ""ko""))"),"현실 판매자 추가")</f>
        <v>현실 판매자 추가</v>
      </c>
      <c r="E2380" s="2" t="str">
        <f>IFERROR(__xludf.DUMMYFUNCTION("CONCATENATE(GOOGLETRANSLATE(B2380, ""en"", ""ja""))"),"現実の販売者を追加")</f>
        <v>現実の販売者を追加</v>
      </c>
    </row>
    <row r="2381" ht="15.75" customHeight="1">
      <c r="A2381" s="1" t="s">
        <v>4498</v>
      </c>
      <c r="B2381" s="1" t="s">
        <v>4499</v>
      </c>
      <c r="C2381" s="1" t="str">
        <f>IFERROR(__xludf.DUMMYFUNCTION("CONCATENATE(GOOGLETRANSLATE(B2381, ""en"", ""zh-cn""))"),"添加现实卖家")</f>
        <v>添加现实卖家</v>
      </c>
      <c r="D2381" s="1" t="str">
        <f>IFERROR(__xludf.DUMMYFUNCTION("CONCATENATE(GOOGLETRANSLATE(B2381, ""en"", ""ko""))"),"현실 판매자 추가")</f>
        <v>현실 판매자 추가</v>
      </c>
      <c r="E2381" s="2" t="str">
        <f>IFERROR(__xludf.DUMMYFUNCTION("CONCATENATE(GOOGLETRANSLATE(B2381, ""en"", ""ja""))"),"現実の販売者を追加")</f>
        <v>現実の販売者を追加</v>
      </c>
    </row>
    <row r="2382" ht="15.75" customHeight="1">
      <c r="A2382" s="1" t="s">
        <v>4480</v>
      </c>
      <c r="B2382" s="1" t="s">
        <v>4481</v>
      </c>
      <c r="C2382" s="1" t="str">
        <f>IFERROR(__xludf.DUMMYFUNCTION("CONCATENATE(GOOGLETRANSLATE(B2382, ""en"", ""zh-cn""))"),"累计佣金配置")</f>
        <v>累计佣金配置</v>
      </c>
      <c r="D2382" s="1" t="str">
        <f>IFERROR(__xludf.DUMMYFUNCTION("CONCATENATE(GOOGLETRANSLATE(B2382, ""en"", ""ko""))"),"누적 커미션 구성")</f>
        <v>누적 커미션 구성</v>
      </c>
      <c r="E2382" s="2" t="str">
        <f>IFERROR(__xludf.DUMMYFUNCTION("CONCATENATE(GOOGLETRANSLATE(B2382, ""en"", ""ja""))"),"累積手数料構成")</f>
        <v>累積手数料構成</v>
      </c>
    </row>
    <row r="2383" ht="15.75" customHeight="1">
      <c r="A2383" s="1" t="s">
        <v>4611</v>
      </c>
      <c r="B2383" s="1" t="s">
        <v>4612</v>
      </c>
      <c r="C2383" s="1" t="str">
        <f>IFERROR(__xludf.DUMMYFUNCTION("CONCATENATE(GOOGLETRANSLATE(B2383, ""en"", ""zh-cn""))"),"请联系客服删除。")</f>
        <v>请联系客服删除。</v>
      </c>
      <c r="D2383" s="1" t="str">
        <f>IFERROR(__xludf.DUMMYFUNCTION("CONCATENATE(GOOGLETRANSLATE(B2383, ""en"", ""ko""))"),"제거를 원하시면 고객센터로 연락주세요.")</f>
        <v>제거를 원하시면 고객센터로 연락주세요.</v>
      </c>
      <c r="E2383" s="2" t="str">
        <f>IFERROR(__xludf.DUMMYFUNCTION("CONCATENATE(GOOGLETRANSLATE(B2383, ""en"", ""ja""))"),"削除についてはカスタマーサービスまでご連絡ください。")</f>
        <v>削除についてはカスタマーサービスまでご連絡ください。</v>
      </c>
    </row>
    <row r="2384" ht="15.75" customHeight="1">
      <c r="A2384" s="1" t="s">
        <v>4498</v>
      </c>
      <c r="B2384" s="1" t="s">
        <v>4499</v>
      </c>
      <c r="C2384" s="1" t="str">
        <f>IFERROR(__xludf.DUMMYFUNCTION("CONCATENATE(GOOGLETRANSLATE(B2384, ""en"", ""zh-cn""))"),"添加现实卖家")</f>
        <v>添加现实卖家</v>
      </c>
      <c r="D2384" s="1" t="str">
        <f>IFERROR(__xludf.DUMMYFUNCTION("CONCATENATE(GOOGLETRANSLATE(B2384, ""en"", ""ko""))"),"현실 판매자 추가")</f>
        <v>현실 판매자 추가</v>
      </c>
      <c r="E2384" s="2" t="str">
        <f>IFERROR(__xludf.DUMMYFUNCTION("CONCATENATE(GOOGLETRANSLATE(B2384, ""en"", ""ja""))"),"現実の販売者を追加")</f>
        <v>現実の販売者を追加</v>
      </c>
    </row>
    <row r="2385" ht="15.75" customHeight="1">
      <c r="A2385" s="1" t="s">
        <v>4611</v>
      </c>
      <c r="B2385" s="1" t="s">
        <v>4612</v>
      </c>
      <c r="C2385" s="1" t="str">
        <f>IFERROR(__xludf.DUMMYFUNCTION("CONCATENATE(GOOGLETRANSLATE(B2385, ""en"", ""zh-cn""))"),"请联系客服删除。")</f>
        <v>请联系客服删除。</v>
      </c>
      <c r="D2385" s="1" t="str">
        <f>IFERROR(__xludf.DUMMYFUNCTION("CONCATENATE(GOOGLETRANSLATE(B2385, ""en"", ""ko""))"),"제거를 원하시면 고객센터로 연락주세요.")</f>
        <v>제거를 원하시면 고객센터로 연락주세요.</v>
      </c>
      <c r="E2385" s="2" t="str">
        <f>IFERROR(__xludf.DUMMYFUNCTION("CONCATENATE(GOOGLETRANSLATE(B2385, ""en"", ""ja""))"),"削除についてはカスタマーサービスまでご連絡ください。")</f>
        <v>削除についてはカスタマーサービスまでご連絡ください。</v>
      </c>
    </row>
    <row r="2386" ht="15.75" customHeight="1">
      <c r="A2386" s="1" t="s">
        <v>4496</v>
      </c>
      <c r="B2386" s="1" t="s">
        <v>4497</v>
      </c>
      <c r="C2386" s="1" t="str">
        <f>IFERROR(__xludf.DUMMYFUNCTION("CONCATENATE(GOOGLETRANSLATE(B2386, ""en"", ""zh-cn""))"),"卖家应用流行内容")</f>
        <v>卖家应用流行内容</v>
      </c>
      <c r="D2386" s="1" t="str">
        <f>IFERROR(__xludf.DUMMYFUNCTION("CONCATENATE(GOOGLETRANSLATE(B2386, ""en"", ""ko""))"),"판매자 적용 팝 콘텐츠")</f>
        <v>판매자 적용 팝 콘텐츠</v>
      </c>
      <c r="E2386" s="2" t="str">
        <f>IFERROR(__xludf.DUMMYFUNCTION("CONCATENATE(GOOGLETRANSLATE(B2386, ""en"", ""ja""))"),"販売者はポップコンテンツを適用します")</f>
        <v>販売者はポップコンテンツを適用します</v>
      </c>
    </row>
    <row r="2387" ht="15.75" customHeight="1">
      <c r="A2387" s="1" t="s">
        <v>4611</v>
      </c>
      <c r="B2387" s="1" t="s">
        <v>4612</v>
      </c>
      <c r="C2387" s="1" t="str">
        <f>IFERROR(__xludf.DUMMYFUNCTION("CONCATENATE(GOOGLETRANSLATE(B2387, ""en"", ""zh-cn""))"),"请联系客服删除。")</f>
        <v>请联系客服删除。</v>
      </c>
      <c r="D2387" s="1" t="str">
        <f>IFERROR(__xludf.DUMMYFUNCTION("CONCATENATE(GOOGLETRANSLATE(B2387, ""en"", ""ko""))"),"제거를 원하시면 고객센터로 연락주세요.")</f>
        <v>제거를 원하시면 고객센터로 연락주세요.</v>
      </c>
      <c r="E2387" s="2" t="str">
        <f>IFERROR(__xludf.DUMMYFUNCTION("CONCATENATE(GOOGLETRANSLATE(B2387, ""en"", ""ja""))"),"削除についてはカスタマーサービスまでご連絡ください。")</f>
        <v>削除についてはカスタマーサービスまでご連絡ください。</v>
      </c>
    </row>
    <row r="2388" ht="15.75" customHeight="1">
      <c r="A2388" s="1" t="s">
        <v>4503</v>
      </c>
      <c r="B2388" s="1" t="s">
        <v>4504</v>
      </c>
      <c r="C2388" s="1" t="str">
        <f>IFERROR(__xludf.DUMMYFUNCTION("CONCATENATE(GOOGLETRANSLATE(B2388, ""en"", ""zh-cn""))"),"卖家邮箱")</f>
        <v>卖家邮箱</v>
      </c>
      <c r="D2388" s="1" t="str">
        <f>IFERROR(__xludf.DUMMYFUNCTION("CONCATENATE(GOOGLETRANSLATE(B2388, ""en"", ""ko""))"),"판매자 이메일")</f>
        <v>판매자 이메일</v>
      </c>
      <c r="E2388" s="2" t="str">
        <f>IFERROR(__xludf.DUMMYFUNCTION("CONCATENATE(GOOGLETRANSLATE(B2388, ""en"", ""ja""))"),"販売者のメールアドレス")</f>
        <v>販売者のメールアドレス</v>
      </c>
    </row>
    <row r="2389" ht="15.75" customHeight="1">
      <c r="A2389" s="1" t="s">
        <v>4498</v>
      </c>
      <c r="B2389" s="1" t="s">
        <v>4499</v>
      </c>
      <c r="C2389" s="1" t="str">
        <f>IFERROR(__xludf.DUMMYFUNCTION("CONCATENATE(GOOGLETRANSLATE(B2389, ""en"", ""zh-cn""))"),"添加现实卖家")</f>
        <v>添加现实卖家</v>
      </c>
      <c r="D2389" s="1" t="str">
        <f>IFERROR(__xludf.DUMMYFUNCTION("CONCATENATE(GOOGLETRANSLATE(B2389, ""en"", ""ko""))"),"현실 판매자 추가")</f>
        <v>현실 판매자 추가</v>
      </c>
      <c r="E2389" s="2" t="str">
        <f>IFERROR(__xludf.DUMMYFUNCTION("CONCATENATE(GOOGLETRANSLATE(B2389, ""en"", ""ja""))"),"現実の販売者を追加")</f>
        <v>現実の販売者を追加</v>
      </c>
    </row>
    <row r="2390" ht="15.75" customHeight="1">
      <c r="A2390" s="1" t="s">
        <v>4498</v>
      </c>
      <c r="B2390" s="1" t="s">
        <v>4499</v>
      </c>
      <c r="C2390" s="1" t="str">
        <f>IFERROR(__xludf.DUMMYFUNCTION("CONCATENATE(GOOGLETRANSLATE(B2390, ""en"", ""zh-cn""))"),"添加现实卖家")</f>
        <v>添加现实卖家</v>
      </c>
      <c r="D2390" s="1" t="str">
        <f>IFERROR(__xludf.DUMMYFUNCTION("CONCATENATE(GOOGLETRANSLATE(B2390, ""en"", ""ko""))"),"현실 판매자 추가")</f>
        <v>현실 판매자 추가</v>
      </c>
      <c r="E2390" s="2" t="str">
        <f>IFERROR(__xludf.DUMMYFUNCTION("CONCATENATE(GOOGLETRANSLATE(B2390, ""en"", ""ja""))"),"現実の販売者を追加")</f>
        <v>現実の販売者を追加</v>
      </c>
    </row>
    <row r="2391" ht="15.75" customHeight="1">
      <c r="A2391" s="1" t="s">
        <v>4498</v>
      </c>
      <c r="B2391" s="1" t="s">
        <v>4499</v>
      </c>
      <c r="C2391" s="1" t="str">
        <f>IFERROR(__xludf.DUMMYFUNCTION("CONCATENATE(GOOGLETRANSLATE(B2391, ""en"", ""zh-cn""))"),"添加现实卖家")</f>
        <v>添加现实卖家</v>
      </c>
      <c r="D2391" s="1" t="str">
        <f>IFERROR(__xludf.DUMMYFUNCTION("CONCATENATE(GOOGLETRANSLATE(B2391, ""en"", ""ko""))"),"현실 판매자 추가")</f>
        <v>현실 판매자 추가</v>
      </c>
      <c r="E2391" s="2" t="str">
        <f>IFERROR(__xludf.DUMMYFUNCTION("CONCATENATE(GOOGLETRANSLATE(B2391, ""en"", ""ja""))"),"現実の販売者を追加")</f>
        <v>現実の販売者を追加</v>
      </c>
    </row>
    <row r="2392" ht="15.75" customHeight="1">
      <c r="A2392" s="1" t="s">
        <v>4503</v>
      </c>
      <c r="B2392" s="1" t="s">
        <v>4504</v>
      </c>
      <c r="C2392" s="1" t="str">
        <f>IFERROR(__xludf.DUMMYFUNCTION("CONCATENATE(GOOGLETRANSLATE(B2392, ""en"", ""zh-cn""))"),"卖家邮箱")</f>
        <v>卖家邮箱</v>
      </c>
      <c r="D2392" s="1" t="str">
        <f>IFERROR(__xludf.DUMMYFUNCTION("CONCATENATE(GOOGLETRANSLATE(B2392, ""en"", ""ko""))"),"판매자 이메일")</f>
        <v>판매자 이메일</v>
      </c>
      <c r="E2392" s="2" t="str">
        <f>IFERROR(__xludf.DUMMYFUNCTION("CONCATENATE(GOOGLETRANSLATE(B2392, ""en"", ""ja""))"),"販売者のメールアドレス")</f>
        <v>販売者のメールアドレス</v>
      </c>
    </row>
    <row r="2393" ht="15.75" customHeight="1">
      <c r="A2393" s="1" t="s">
        <v>4482</v>
      </c>
      <c r="B2393" s="1" t="s">
        <v>4483</v>
      </c>
      <c r="C2393" s="1" t="str">
        <f>IFERROR(__xludf.DUMMYFUNCTION("CONCATENATE(GOOGLETRANSLATE(B2393, ""en"", ""zh-cn""))"),"累计提货金额返佣日志")</f>
        <v>累计提货金额返佣日志</v>
      </c>
      <c r="D2393" s="1" t="str">
        <f>IFERROR(__xludf.DUMMYFUNCTION("CONCATENATE(GOOGLETRANSLATE(B2393, ""en"", ""ko""))"),"픽업된 상품의 누적 수량에 대한 반품 수수료 로그")</f>
        <v>픽업된 상품의 누적 수량에 대한 반품 수수료 로그</v>
      </c>
      <c r="E2393" s="2" t="str">
        <f>IFERROR(__xludf.DUMMYFUNCTION("CONCATENATE(GOOGLETRANSLATE(B2393, ""en"", ""ja""))"),"累計集荷量返品手数料ログ")</f>
        <v>累計集荷量返品手数料ログ</v>
      </c>
    </row>
    <row r="2394" ht="15.75" customHeight="1">
      <c r="A2394" s="1" t="s">
        <v>4482</v>
      </c>
      <c r="B2394" s="1" t="s">
        <v>4483</v>
      </c>
      <c r="C2394" s="1" t="str">
        <f>IFERROR(__xludf.DUMMYFUNCTION("CONCATENATE(GOOGLETRANSLATE(B2394, ""en"", ""zh-cn""))"),"累计提货金额返佣日志")</f>
        <v>累计提货金额返佣日志</v>
      </c>
      <c r="D2394" s="1" t="str">
        <f>IFERROR(__xludf.DUMMYFUNCTION("CONCATENATE(GOOGLETRANSLATE(B2394, ""en"", ""ko""))"),"픽업된 상품의 누적 수량에 대한 반품 수수료 로그")</f>
        <v>픽업된 상품의 누적 수량에 대한 반품 수수료 로그</v>
      </c>
      <c r="E2394" s="2" t="str">
        <f>IFERROR(__xludf.DUMMYFUNCTION("CONCATENATE(GOOGLETRANSLATE(B2394, ""en"", ""ja""))"),"累計集荷量返品手数料ログ")</f>
        <v>累計集荷量返品手数料ログ</v>
      </c>
    </row>
    <row r="2395" ht="15.75" customHeight="1">
      <c r="A2395" s="1" t="s">
        <v>4482</v>
      </c>
      <c r="B2395" s="1" t="s">
        <v>4483</v>
      </c>
      <c r="C2395" s="1" t="str">
        <f>IFERROR(__xludf.DUMMYFUNCTION("CONCATENATE(GOOGLETRANSLATE(B2395, ""en"", ""zh-cn""))"),"累计提货金额返佣日志")</f>
        <v>累计提货金额返佣日志</v>
      </c>
      <c r="D2395" s="1" t="str">
        <f>IFERROR(__xludf.DUMMYFUNCTION("CONCATENATE(GOOGLETRANSLATE(B2395, ""en"", ""ko""))"),"픽업된 상품의 누적 수량에 대한 반품 수수료 로그")</f>
        <v>픽업된 상품의 누적 수량에 대한 반품 수수료 로그</v>
      </c>
      <c r="E2395" s="2" t="str">
        <f>IFERROR(__xludf.DUMMYFUNCTION("CONCATENATE(GOOGLETRANSLATE(B2395, ""en"", ""ja""))"),"累計集荷量返品手数料ログ")</f>
        <v>累計集荷量返品手数料ログ</v>
      </c>
    </row>
    <row r="2396" ht="15.75" customHeight="1">
      <c r="A2396" s="1" t="s">
        <v>4609</v>
      </c>
      <c r="B2396" s="1" t="s">
        <v>4610</v>
      </c>
      <c r="C2396" s="1" t="str">
        <f>IFERROR(__xludf.DUMMYFUNCTION("CONCATENATE(GOOGLETRANSLATE(B2396, ""en"", ""zh-cn""))"),"人员已成功更新")</f>
        <v>人员已成功更新</v>
      </c>
      <c r="D2396" s="1" t="str">
        <f>IFERROR(__xludf.DUMMYFUNCTION("CONCATENATE(GOOGLETRANSLATE(B2396, ""en"", ""ko""))"),"직원이 성공적으로 업데이트되었습니다.")</f>
        <v>직원이 성공적으로 업데이트되었습니다.</v>
      </c>
      <c r="E2396" s="2" t="str">
        <f>IFERROR(__xludf.DUMMYFUNCTION("CONCATENATE(GOOGLETRANSLATE(B2396, ""en"", ""ja""))"),"スタッフは正常に更新されました")</f>
        <v>スタッフは正常に更新されました</v>
      </c>
    </row>
    <row r="2397" ht="15.75" customHeight="1">
      <c r="A2397" s="1" t="s">
        <v>4498</v>
      </c>
      <c r="B2397" s="1" t="s">
        <v>4499</v>
      </c>
      <c r="C2397" s="1" t="str">
        <f>IFERROR(__xludf.DUMMYFUNCTION("CONCATENATE(GOOGLETRANSLATE(B2397, ""en"", ""zh-cn""))"),"添加现实卖家")</f>
        <v>添加现实卖家</v>
      </c>
      <c r="D2397" s="1" t="str">
        <f>IFERROR(__xludf.DUMMYFUNCTION("CONCATENATE(GOOGLETRANSLATE(B2397, ""en"", ""ko""))"),"현실 판매자 추가")</f>
        <v>현실 판매자 추가</v>
      </c>
      <c r="E2397" s="2" t="str">
        <f>IFERROR(__xludf.DUMMYFUNCTION("CONCATENATE(GOOGLETRANSLATE(B2397, ""en"", ""ja""))"),"現実の販売者を追加")</f>
        <v>現実の販売者を追加</v>
      </c>
    </row>
    <row r="2398" ht="15.75" customHeight="1">
      <c r="A2398" s="1" t="s">
        <v>4621</v>
      </c>
      <c r="B2398" s="1" t="s">
        <v>4622</v>
      </c>
      <c r="C2398" s="1" t="str">
        <f>IFERROR(__xludf.DUMMYFUNCTION("CONCATENATE(GOOGLETRANSLATE(B2398, ""en"", ""zh-cn""))"),"业务员已删除成功")</f>
        <v>业务员已删除成功</v>
      </c>
      <c r="D2398" s="1" t="str">
        <f>IFERROR(__xludf.DUMMYFUNCTION("CONCATENATE(GOOGLETRANSLATE(B2398, ""en"", ""ko""))"),"세일즈맨이 삭제되었습니다.")</f>
        <v>세일즈맨이 삭제되었습니다.</v>
      </c>
      <c r="E2398" s="2" t="str">
        <f>IFERROR(__xludf.DUMMYFUNCTION("CONCATENATE(GOOGLETRANSLATE(B2398, ""en"", ""ja""))"),"営業マンは正常に削除されました")</f>
        <v>営業マンは正常に削除されました</v>
      </c>
    </row>
    <row r="2399" ht="15.75" customHeight="1">
      <c r="A2399" s="1" t="s">
        <v>4498</v>
      </c>
      <c r="B2399" s="1" t="s">
        <v>4499</v>
      </c>
      <c r="C2399" s="1" t="str">
        <f>IFERROR(__xludf.DUMMYFUNCTION("CONCATENATE(GOOGLETRANSLATE(B2399, ""en"", ""zh-cn""))"),"添加现实卖家")</f>
        <v>添加现实卖家</v>
      </c>
      <c r="D2399" s="1" t="str">
        <f>IFERROR(__xludf.DUMMYFUNCTION("CONCATENATE(GOOGLETRANSLATE(B2399, ""en"", ""ko""))"),"현실 판매자 추가")</f>
        <v>현실 판매자 추가</v>
      </c>
      <c r="E2399" s="2" t="str">
        <f>IFERROR(__xludf.DUMMYFUNCTION("CONCATENATE(GOOGLETRANSLATE(B2399, ""en"", ""ja""))"),"現実の販売者を追加")</f>
        <v>現実の販売者を追加</v>
      </c>
    </row>
    <row r="2400" ht="15.75" customHeight="1">
      <c r="A2400" s="1" t="s">
        <v>4623</v>
      </c>
      <c r="B2400" s="1" t="s">
        <v>4624</v>
      </c>
      <c r="C2400" s="1" t="str">
        <f>IFERROR(__xludf.DUMMYFUNCTION("CONCATENATE(GOOGLETRANSLATE(B2400, ""en"", ""zh-cn""))"),"角色已成功删除")</f>
        <v>角色已成功删除</v>
      </c>
      <c r="D2400" s="1" t="str">
        <f>IFERROR(__xludf.DUMMYFUNCTION("CONCATENATE(GOOGLETRANSLATE(B2400, ""en"", ""ko""))"),"역할이 삭제되었습니다.")</f>
        <v>역할이 삭제되었습니다.</v>
      </c>
      <c r="E2400" s="2" t="str">
        <f>IFERROR(__xludf.DUMMYFUNCTION("CONCATENATE(GOOGLETRANSLATE(B2400, ""en"", ""ja""))"),"ロールが正常に削除されました")</f>
        <v>ロールが正常に削除されました</v>
      </c>
    </row>
    <row r="2401" ht="15.75" customHeight="1">
      <c r="A2401" s="1" t="s">
        <v>4498</v>
      </c>
      <c r="B2401" s="1" t="s">
        <v>4499</v>
      </c>
      <c r="C2401" s="1" t="str">
        <f>IFERROR(__xludf.DUMMYFUNCTION("CONCATENATE(GOOGLETRANSLATE(B2401, ""en"", ""zh-cn""))"),"添加现实卖家")</f>
        <v>添加现实卖家</v>
      </c>
      <c r="D2401" s="1" t="str">
        <f>IFERROR(__xludf.DUMMYFUNCTION("CONCATENATE(GOOGLETRANSLATE(B2401, ""en"", ""ko""))"),"현실 판매자 추가")</f>
        <v>현실 판매자 추가</v>
      </c>
      <c r="E2401" s="2" t="str">
        <f>IFERROR(__xludf.DUMMYFUNCTION("CONCATENATE(GOOGLETRANSLATE(B2401, ""en"", ""ja""))"),"現実の販売者を追加")</f>
        <v>現実の販売者を追加</v>
      </c>
    </row>
    <row r="2402" ht="15.75" customHeight="1">
      <c r="A2402" s="1" t="s">
        <v>4498</v>
      </c>
      <c r="B2402" s="1" t="s">
        <v>4499</v>
      </c>
      <c r="C2402" s="1" t="str">
        <f>IFERROR(__xludf.DUMMYFUNCTION("CONCATENATE(GOOGLETRANSLATE(B2402, ""en"", ""zh-cn""))"),"添加现实卖家")</f>
        <v>添加现实卖家</v>
      </c>
      <c r="D2402" s="1" t="str">
        <f>IFERROR(__xludf.DUMMYFUNCTION("CONCATENATE(GOOGLETRANSLATE(B2402, ""en"", ""ko""))"),"현실 판매자 추가")</f>
        <v>현실 판매자 추가</v>
      </c>
      <c r="E2402" s="2" t="str">
        <f>IFERROR(__xludf.DUMMYFUNCTION("CONCATENATE(GOOGLETRANSLATE(B2402, ""en"", ""ja""))"),"現実の販売者を追加")</f>
        <v>現実の販売者を追加</v>
      </c>
    </row>
    <row r="2403" ht="15.75" customHeight="1">
      <c r="A2403" s="1" t="s">
        <v>4625</v>
      </c>
      <c r="B2403" s="1" t="s">
        <v>4626</v>
      </c>
      <c r="C2403" s="1" t="str">
        <f>IFERROR(__xludf.DUMMYFUNCTION("CONCATENATE(GOOGLETRANSLATE(B2403, ""en"", ""zh-cn""))"),"店铺信息")</f>
        <v>店铺信息</v>
      </c>
      <c r="D2403" s="1" t="str">
        <f>IFERROR(__xludf.DUMMYFUNCTION("CONCATENATE(GOOGLETRANSLATE(B2403, ""en"", ""ko""))"),"상점 정보")</f>
        <v>상점 정보</v>
      </c>
      <c r="E2403" s="2" t="str">
        <f>IFERROR(__xludf.DUMMYFUNCTION("CONCATENATE(GOOGLETRANSLATE(B2403, ""en"", ""ja""))"),"ショップ情報")</f>
        <v>ショップ情報</v>
      </c>
    </row>
    <row r="2404" ht="15.75" customHeight="1">
      <c r="A2404" s="1" t="s">
        <v>4627</v>
      </c>
      <c r="B2404" s="1" t="s">
        <v>4628</v>
      </c>
      <c r="C2404" s="1" t="str">
        <f>IFERROR(__xludf.DUMMYFUNCTION("CONCATENATE(GOOGLETRANSLATE(B2404, ""en"", ""zh-cn""))"),"卖家已成功获批")</f>
        <v>卖家已成功获批</v>
      </c>
      <c r="D2404" s="1" t="str">
        <f>IFERROR(__xludf.DUMMYFUNCTION("CONCATENATE(GOOGLETRANSLATE(B2404, ""en"", ""ko""))"),"판매자가 성공적으로 승인되었습니다.")</f>
        <v>판매자가 성공적으로 승인되었습니다.</v>
      </c>
      <c r="E2404" s="2" t="str">
        <f>IFERROR(__xludf.DUMMYFUNCTION("CONCATENATE(GOOGLETRANSLATE(B2404, ""en"", ""ja""))"),"販売者は正常に承認されました")</f>
        <v>販売者は正常に承認されました</v>
      </c>
    </row>
    <row r="2405" ht="15.75" customHeight="1">
      <c r="A2405" s="1" t="s">
        <v>4500</v>
      </c>
      <c r="B2405" s="1" t="s">
        <v>4501</v>
      </c>
      <c r="C2405" s="1" t="str">
        <f>IFERROR(__xludf.DUMMYFUNCTION("CONCATENATE(GOOGLETRANSLATE(B2405, ""en"", ""zh-cn""))"),"现实账户")</f>
        <v>现实账户</v>
      </c>
      <c r="D2405" s="1" t="str">
        <f>IFERROR(__xludf.DUMMYFUNCTION("CONCATENATE(GOOGLETRANSLATE(B2405, ""en"", ""ko""))"),"현실 계정")</f>
        <v>현실 계정</v>
      </c>
      <c r="E2405" s="2" t="str">
        <f>IFERROR(__xludf.DUMMYFUNCTION("CONCATENATE(GOOGLETRANSLATE(B2405, ""en"", ""ja""))"),"現実アカウント")</f>
        <v>現実アカウント</v>
      </c>
    </row>
    <row r="2406" ht="15.75" customHeight="1">
      <c r="A2406" s="1" t="s">
        <v>4498</v>
      </c>
      <c r="B2406" s="1" t="s">
        <v>4499</v>
      </c>
      <c r="C2406" s="1" t="str">
        <f>IFERROR(__xludf.DUMMYFUNCTION("CONCATENATE(GOOGLETRANSLATE(B2406, ""en"", ""zh-cn""))"),"添加现实卖家")</f>
        <v>添加现实卖家</v>
      </c>
      <c r="D2406" s="1" t="str">
        <f>IFERROR(__xludf.DUMMYFUNCTION("CONCATENATE(GOOGLETRANSLATE(B2406, ""en"", ""ko""))"),"현실 판매자 추가")</f>
        <v>현실 판매자 추가</v>
      </c>
      <c r="E2406" s="2" t="str">
        <f>IFERROR(__xludf.DUMMYFUNCTION("CONCATENATE(GOOGLETRANSLATE(B2406, ""en"", ""ja""))"),"現実の販売者を追加")</f>
        <v>現実の販売者を追加</v>
      </c>
    </row>
    <row r="2407" ht="15.75" customHeight="1">
      <c r="A2407" s="1" t="s">
        <v>4498</v>
      </c>
      <c r="B2407" s="1" t="s">
        <v>4499</v>
      </c>
      <c r="C2407" s="1" t="str">
        <f>IFERROR(__xludf.DUMMYFUNCTION("CONCATENATE(GOOGLETRANSLATE(B2407, ""en"", ""zh-cn""))"),"添加现实卖家")</f>
        <v>添加现实卖家</v>
      </c>
      <c r="D2407" s="1" t="str">
        <f>IFERROR(__xludf.DUMMYFUNCTION("CONCATENATE(GOOGLETRANSLATE(B2407, ""en"", ""ko""))"),"현실 판매자 추가")</f>
        <v>현실 판매자 추가</v>
      </c>
      <c r="E2407" s="2" t="str">
        <f>IFERROR(__xludf.DUMMYFUNCTION("CONCATENATE(GOOGLETRANSLATE(B2407, ""en"", ""ja""))"),"現実の販売者を追加")</f>
        <v>現実の販売者を追加</v>
      </c>
    </row>
    <row r="2408" ht="15.75" customHeight="1">
      <c r="A2408" s="1" t="s">
        <v>4498</v>
      </c>
      <c r="B2408" s="1" t="s">
        <v>4499</v>
      </c>
      <c r="C2408" s="1" t="str">
        <f>IFERROR(__xludf.DUMMYFUNCTION("CONCATENATE(GOOGLETRANSLATE(B2408, ""en"", ""zh-cn""))"),"添加现实卖家")</f>
        <v>添加现实卖家</v>
      </c>
      <c r="D2408" s="1" t="str">
        <f>IFERROR(__xludf.DUMMYFUNCTION("CONCATENATE(GOOGLETRANSLATE(B2408, ""en"", ""ko""))"),"현실 판매자 추가")</f>
        <v>현실 판매자 추가</v>
      </c>
      <c r="E2408" s="2" t="str">
        <f>IFERROR(__xludf.DUMMYFUNCTION("CONCATENATE(GOOGLETRANSLATE(B2408, ""en"", ""ja""))"),"現実の販売者を追加")</f>
        <v>現実の販売者を追加</v>
      </c>
    </row>
    <row r="2409" ht="15.75" customHeight="1">
      <c r="A2409" s="1" t="s">
        <v>4498</v>
      </c>
      <c r="B2409" s="1" t="s">
        <v>4499</v>
      </c>
      <c r="C2409" s="1" t="str">
        <f>IFERROR(__xludf.DUMMYFUNCTION("CONCATENATE(GOOGLETRANSLATE(B2409, ""en"", ""zh-cn""))"),"添加现实卖家")</f>
        <v>添加现实卖家</v>
      </c>
      <c r="D2409" s="1" t="str">
        <f>IFERROR(__xludf.DUMMYFUNCTION("CONCATENATE(GOOGLETRANSLATE(B2409, ""en"", ""ko""))"),"현실 판매자 추가")</f>
        <v>현실 판매자 추가</v>
      </c>
      <c r="E2409" s="2" t="str">
        <f>IFERROR(__xludf.DUMMYFUNCTION("CONCATENATE(GOOGLETRANSLATE(B2409, ""en"", ""ja""))"),"現実の販売者を追加")</f>
        <v>現実の販売者を追加</v>
      </c>
    </row>
    <row r="2410" ht="15.75" customHeight="1">
      <c r="A2410" s="1" t="s">
        <v>4498</v>
      </c>
      <c r="B2410" s="1" t="s">
        <v>4499</v>
      </c>
      <c r="C2410" s="1" t="str">
        <f>IFERROR(__xludf.DUMMYFUNCTION("CONCATENATE(GOOGLETRANSLATE(B2410, ""en"", ""zh-cn""))"),"添加现实卖家")</f>
        <v>添加现实卖家</v>
      </c>
      <c r="D2410" s="1" t="str">
        <f>IFERROR(__xludf.DUMMYFUNCTION("CONCATENATE(GOOGLETRANSLATE(B2410, ""en"", ""ko""))"),"현실 판매자 추가")</f>
        <v>현실 판매자 추가</v>
      </c>
      <c r="E2410" s="2" t="str">
        <f>IFERROR(__xludf.DUMMYFUNCTION("CONCATENATE(GOOGLETRANSLATE(B2410, ""en"", ""ja""))"),"現実の販売者を追加")</f>
        <v>現実の販売者を追加</v>
      </c>
    </row>
    <row r="2411" ht="15.75" customHeight="1">
      <c r="A2411" s="1" t="s">
        <v>4498</v>
      </c>
      <c r="B2411" s="1" t="s">
        <v>4499</v>
      </c>
      <c r="C2411" s="1" t="str">
        <f>IFERROR(__xludf.DUMMYFUNCTION("CONCATENATE(GOOGLETRANSLATE(B2411, ""en"", ""zh-cn""))"),"添加现实卖家")</f>
        <v>添加现实卖家</v>
      </c>
      <c r="D2411" s="1" t="str">
        <f>IFERROR(__xludf.DUMMYFUNCTION("CONCATENATE(GOOGLETRANSLATE(B2411, ""en"", ""ko""))"),"현실 판매자 추가")</f>
        <v>현실 판매자 추가</v>
      </c>
      <c r="E2411" s="2" t="str">
        <f>IFERROR(__xludf.DUMMYFUNCTION("CONCATENATE(GOOGLETRANSLATE(B2411, ""en"", ""ja""))"),"現実の販売者を追加")</f>
        <v>現実の販売者を追加</v>
      </c>
    </row>
    <row r="2412" ht="15.75" customHeight="1">
      <c r="A2412" s="1" t="s">
        <v>4498</v>
      </c>
      <c r="B2412" s="1" t="s">
        <v>4499</v>
      </c>
      <c r="C2412" s="1" t="str">
        <f>IFERROR(__xludf.DUMMYFUNCTION("CONCATENATE(GOOGLETRANSLATE(B2412, ""en"", ""zh-cn""))"),"添加现实卖家")</f>
        <v>添加现实卖家</v>
      </c>
      <c r="D2412" s="1" t="str">
        <f>IFERROR(__xludf.DUMMYFUNCTION("CONCATENATE(GOOGLETRANSLATE(B2412, ""en"", ""ko""))"),"현실 판매자 추가")</f>
        <v>현실 판매자 추가</v>
      </c>
      <c r="E2412" s="2" t="str">
        <f>IFERROR(__xludf.DUMMYFUNCTION("CONCATENATE(GOOGLETRANSLATE(B2412, ""en"", ""ja""))"),"現実の販売者を追加")</f>
        <v>現実の販売者を追加</v>
      </c>
    </row>
    <row r="2413" ht="15.75" customHeight="1">
      <c r="A2413" s="1" t="s">
        <v>4498</v>
      </c>
      <c r="B2413" s="1" t="s">
        <v>4499</v>
      </c>
      <c r="C2413" s="1" t="str">
        <f>IFERROR(__xludf.DUMMYFUNCTION("CONCATENATE(GOOGLETRANSLATE(B2413, ""en"", ""zh-cn""))"),"添加现实卖家")</f>
        <v>添加现实卖家</v>
      </c>
      <c r="D2413" s="1" t="str">
        <f>IFERROR(__xludf.DUMMYFUNCTION("CONCATENATE(GOOGLETRANSLATE(B2413, ""en"", ""ko""))"),"현실 판매자 추가")</f>
        <v>현실 판매자 추가</v>
      </c>
      <c r="E2413" s="2" t="str">
        <f>IFERROR(__xludf.DUMMYFUNCTION("CONCATENATE(GOOGLETRANSLATE(B2413, ""en"", ""ja""))"),"現実の販売者を追加")</f>
        <v>現実の販売者を追加</v>
      </c>
    </row>
    <row r="2414" ht="15.75" customHeight="1">
      <c r="A2414" s="1" t="s">
        <v>4498</v>
      </c>
      <c r="B2414" s="1" t="s">
        <v>4499</v>
      </c>
      <c r="C2414" s="1" t="str">
        <f>IFERROR(__xludf.DUMMYFUNCTION("CONCATENATE(GOOGLETRANSLATE(B2414, ""en"", ""zh-cn""))"),"添加现实卖家")</f>
        <v>添加现实卖家</v>
      </c>
      <c r="D2414" s="1" t="str">
        <f>IFERROR(__xludf.DUMMYFUNCTION("CONCATENATE(GOOGLETRANSLATE(B2414, ""en"", ""ko""))"),"현실 판매자 추가")</f>
        <v>현실 판매자 추가</v>
      </c>
      <c r="E2414" s="2" t="str">
        <f>IFERROR(__xludf.DUMMYFUNCTION("CONCATENATE(GOOGLETRANSLATE(B2414, ""en"", ""ja""))"),"現実の販売者を追加")</f>
        <v>現実の販売者を追加</v>
      </c>
    </row>
    <row r="2415" ht="15.75" customHeight="1">
      <c r="A2415" s="1" t="s">
        <v>4498</v>
      </c>
      <c r="B2415" s="1" t="s">
        <v>4499</v>
      </c>
      <c r="C2415" s="1" t="str">
        <f>IFERROR(__xludf.DUMMYFUNCTION("CONCATENATE(GOOGLETRANSLATE(B2415, ""en"", ""zh-cn""))"),"添加现实卖家")</f>
        <v>添加现实卖家</v>
      </c>
      <c r="D2415" s="1" t="str">
        <f>IFERROR(__xludf.DUMMYFUNCTION("CONCATENATE(GOOGLETRANSLATE(B2415, ""en"", ""ko""))"),"현실 판매자 추가")</f>
        <v>현실 판매자 추가</v>
      </c>
      <c r="E2415" s="2" t="str">
        <f>IFERROR(__xludf.DUMMYFUNCTION("CONCATENATE(GOOGLETRANSLATE(B2415, ""en"", ""ja""))"),"現実の販売者を追加")</f>
        <v>現実の販売者を追加</v>
      </c>
    </row>
    <row r="2416" ht="15.75" customHeight="1">
      <c r="A2416" s="1" t="s">
        <v>4498</v>
      </c>
      <c r="B2416" s="1" t="s">
        <v>4499</v>
      </c>
      <c r="C2416" s="1" t="str">
        <f>IFERROR(__xludf.DUMMYFUNCTION("CONCATENATE(GOOGLETRANSLATE(B2416, ""en"", ""zh-cn""))"),"添加现实卖家")</f>
        <v>添加现实卖家</v>
      </c>
      <c r="D2416" s="1" t="str">
        <f>IFERROR(__xludf.DUMMYFUNCTION("CONCATENATE(GOOGLETRANSLATE(B2416, ""en"", ""ko""))"),"현실 판매자 추가")</f>
        <v>현실 판매자 추가</v>
      </c>
      <c r="E2416" s="2" t="str">
        <f>IFERROR(__xludf.DUMMYFUNCTION("CONCATENATE(GOOGLETRANSLATE(B2416, ""en"", ""ja""))"),"現実の販売者を追加")</f>
        <v>現実の販売者を追加</v>
      </c>
    </row>
    <row r="2417" ht="15.75" customHeight="1">
      <c r="A2417" s="1" t="s">
        <v>4498</v>
      </c>
      <c r="B2417" s="1" t="s">
        <v>4499</v>
      </c>
      <c r="C2417" s="1" t="str">
        <f>IFERROR(__xludf.DUMMYFUNCTION("CONCATENATE(GOOGLETRANSLATE(B2417, ""en"", ""zh-cn""))"),"添加现实卖家")</f>
        <v>添加现实卖家</v>
      </c>
      <c r="D2417" s="1" t="str">
        <f>IFERROR(__xludf.DUMMYFUNCTION("CONCATENATE(GOOGLETRANSLATE(B2417, ""en"", ""ko""))"),"현실 판매자 추가")</f>
        <v>현실 판매자 추가</v>
      </c>
      <c r="E2417" s="2" t="str">
        <f>IFERROR(__xludf.DUMMYFUNCTION("CONCATENATE(GOOGLETRANSLATE(B2417, ""en"", ""ja""))"),"現実の販売者を追加")</f>
        <v>現実の販売者を追加</v>
      </c>
    </row>
    <row r="2418" ht="15.75" customHeight="1">
      <c r="A2418" s="1" t="s">
        <v>4496</v>
      </c>
      <c r="B2418" s="1" t="s">
        <v>4497</v>
      </c>
      <c r="C2418" s="1" t="str">
        <f>IFERROR(__xludf.DUMMYFUNCTION("CONCATENATE(GOOGLETRANSLATE(B2418, ""en"", ""zh-cn""))"),"卖家应用流行内容")</f>
        <v>卖家应用流行内容</v>
      </c>
      <c r="D2418" s="1" t="str">
        <f>IFERROR(__xludf.DUMMYFUNCTION("CONCATENATE(GOOGLETRANSLATE(B2418, ""en"", ""ko""))"),"판매자 적용 팝 콘텐츠")</f>
        <v>판매자 적용 팝 콘텐츠</v>
      </c>
      <c r="E2418" s="2" t="str">
        <f>IFERROR(__xludf.DUMMYFUNCTION("CONCATENATE(GOOGLETRANSLATE(B2418, ""en"", ""ja""))"),"販売者はポップコンテンツを適用します")</f>
        <v>販売者はポップコンテンツを適用します</v>
      </c>
    </row>
    <row r="2419" ht="15.75" customHeight="1">
      <c r="A2419" s="1" t="s">
        <v>4498</v>
      </c>
      <c r="B2419" s="1" t="s">
        <v>4499</v>
      </c>
      <c r="C2419" s="1" t="str">
        <f>IFERROR(__xludf.DUMMYFUNCTION("CONCATENATE(GOOGLETRANSLATE(B2419, ""en"", ""zh-cn""))"),"添加现实卖家")</f>
        <v>添加现实卖家</v>
      </c>
      <c r="D2419" s="1" t="str">
        <f>IFERROR(__xludf.DUMMYFUNCTION("CONCATENATE(GOOGLETRANSLATE(B2419, ""en"", ""ko""))"),"현실 판매자 추가")</f>
        <v>현실 판매자 추가</v>
      </c>
      <c r="E2419" s="2" t="str">
        <f>IFERROR(__xludf.DUMMYFUNCTION("CONCATENATE(GOOGLETRANSLATE(B2419, ""en"", ""ja""))"),"現実の販売者を追加")</f>
        <v>現実の販売者を追加</v>
      </c>
    </row>
    <row r="2420" ht="15.75" customHeight="1">
      <c r="A2420" s="1" t="s">
        <v>4480</v>
      </c>
      <c r="B2420" s="1" t="s">
        <v>4481</v>
      </c>
      <c r="C2420" s="1" t="str">
        <f>IFERROR(__xludf.DUMMYFUNCTION("CONCATENATE(GOOGLETRANSLATE(B2420, ""en"", ""zh-cn""))"),"累计佣金配置")</f>
        <v>累计佣金配置</v>
      </c>
      <c r="D2420" s="1" t="str">
        <f>IFERROR(__xludf.DUMMYFUNCTION("CONCATENATE(GOOGLETRANSLATE(B2420, ""en"", ""ko""))"),"누적 커미션 구성")</f>
        <v>누적 커미션 구성</v>
      </c>
      <c r="E2420" s="2" t="str">
        <f>IFERROR(__xludf.DUMMYFUNCTION("CONCATENATE(GOOGLETRANSLATE(B2420, ""en"", ""ja""))"),"累積手数料構成")</f>
        <v>累積手数料構成</v>
      </c>
    </row>
    <row r="2421" ht="15.75" customHeight="1">
      <c r="A2421" s="1" t="s">
        <v>4629</v>
      </c>
      <c r="B2421" s="1" t="s">
        <v>4630</v>
      </c>
      <c r="C2421" s="1" t="str">
        <f>IFERROR(__xludf.DUMMYFUNCTION("CONCATENATE(GOOGLETRANSLATE(B2421, ""en"", ""zh-cn""))")," 邀请码不正确！")</f>
        <v> 邀请码不正确！</v>
      </c>
      <c r="D2421" s="1" t="str">
        <f>IFERROR(__xludf.DUMMYFUNCTION("CONCATENATE(GOOGLETRANSLATE(B2421, ""en"", ""ko""))")," 코드 isInvitation이 올바르지 않습니다!")</f>
        <v> 코드 isInvitation이 올바르지 않습니다!</v>
      </c>
      <c r="E2421" s="2" t="str">
        <f>IFERROR(__xludf.DUMMYFUNCTION("CONCATENATE(GOOGLETRANSLATE(B2421, ""en"", ""ja""))")," コードは招待が正しくありません!")</f>
        <v> コードは招待が正しくありません!</v>
      </c>
    </row>
    <row r="2422" ht="15.75" customHeight="1">
      <c r="A2422" s="1" t="s">
        <v>4498</v>
      </c>
      <c r="B2422" s="1" t="s">
        <v>4499</v>
      </c>
      <c r="C2422" s="1" t="str">
        <f>IFERROR(__xludf.DUMMYFUNCTION("CONCATENATE(GOOGLETRANSLATE(B2422, ""en"", ""zh-cn""))"),"添加现实卖家")</f>
        <v>添加现实卖家</v>
      </c>
      <c r="D2422" s="1" t="str">
        <f>IFERROR(__xludf.DUMMYFUNCTION("CONCATENATE(GOOGLETRANSLATE(B2422, ""en"", ""ko""))"),"현실 판매자 추가")</f>
        <v>현실 판매자 추가</v>
      </c>
      <c r="E2422" s="2" t="str">
        <f>IFERROR(__xludf.DUMMYFUNCTION("CONCATENATE(GOOGLETRANSLATE(B2422, ""en"", ""ja""))"),"現実の販売者を追加")</f>
        <v>現実の販売者を追加</v>
      </c>
    </row>
    <row r="2423" ht="15.75" customHeight="1">
      <c r="A2423" s="1" t="s">
        <v>4498</v>
      </c>
      <c r="B2423" s="1" t="s">
        <v>4499</v>
      </c>
      <c r="C2423" s="1" t="str">
        <f>IFERROR(__xludf.DUMMYFUNCTION("CONCATENATE(GOOGLETRANSLATE(B2423, ""en"", ""zh-cn""))"),"添加现实卖家")</f>
        <v>添加现实卖家</v>
      </c>
      <c r="D2423" s="1" t="str">
        <f>IFERROR(__xludf.DUMMYFUNCTION("CONCATENATE(GOOGLETRANSLATE(B2423, ""en"", ""ko""))"),"현실 판매자 추가")</f>
        <v>현실 판매자 추가</v>
      </c>
      <c r="E2423" s="2" t="str">
        <f>IFERROR(__xludf.DUMMYFUNCTION("CONCATENATE(GOOGLETRANSLATE(B2423, ""en"", ""ja""))"),"現実の販売者を追加")</f>
        <v>現実の販売者を追加</v>
      </c>
    </row>
    <row r="2424" ht="15.75" customHeight="1">
      <c r="A2424" s="1" t="s">
        <v>4569</v>
      </c>
      <c r="B2424" s="1" t="s">
        <v>4570</v>
      </c>
      <c r="C2424" s="1" t="str">
        <f>IFERROR(__xludf.DUMMYFUNCTION("CONCATENATE(GOOGLETRANSLATE(B2424, ""en"", ""zh-cn""))"),"服务")</f>
        <v>服务</v>
      </c>
      <c r="D2424" s="1" t="str">
        <f>IFERROR(__xludf.DUMMYFUNCTION("CONCATENATE(GOOGLETRANSLATE(B2424, ""en"", ""ko""))"),"서비스")</f>
        <v>서비스</v>
      </c>
      <c r="E2424" s="2" t="str">
        <f>IFERROR(__xludf.DUMMYFUNCTION("CONCATENATE(GOOGLETRANSLATE(B2424, ""en"", ""ja""))"),"サービス")</f>
        <v>サービス</v>
      </c>
    </row>
    <row r="2425" ht="15.75" customHeight="1">
      <c r="A2425" s="1" t="s">
        <v>4498</v>
      </c>
      <c r="B2425" s="1" t="s">
        <v>4499</v>
      </c>
      <c r="C2425" s="1" t="str">
        <f>IFERROR(__xludf.DUMMYFUNCTION("CONCATENATE(GOOGLETRANSLATE(B2425, ""en"", ""zh-cn""))"),"添加现实卖家")</f>
        <v>添加现实卖家</v>
      </c>
      <c r="D2425" s="1" t="str">
        <f>IFERROR(__xludf.DUMMYFUNCTION("CONCATENATE(GOOGLETRANSLATE(B2425, ""en"", ""ko""))"),"현실 판매자 추가")</f>
        <v>현실 판매자 추가</v>
      </c>
      <c r="E2425" s="2" t="str">
        <f>IFERROR(__xludf.DUMMYFUNCTION("CONCATENATE(GOOGLETRANSLATE(B2425, ""en"", ""ja""))"),"現実の販売者を追加")</f>
        <v>現実の販売者を追加</v>
      </c>
    </row>
    <row r="2426" ht="15.75" customHeight="1">
      <c r="A2426" s="1" t="s">
        <v>4498</v>
      </c>
      <c r="B2426" s="1" t="s">
        <v>4499</v>
      </c>
      <c r="C2426" s="1" t="str">
        <f>IFERROR(__xludf.DUMMYFUNCTION("CONCATENATE(GOOGLETRANSLATE(B2426, ""en"", ""zh-cn""))"),"添加现实卖家")</f>
        <v>添加现实卖家</v>
      </c>
      <c r="D2426" s="1" t="str">
        <f>IFERROR(__xludf.DUMMYFUNCTION("CONCATENATE(GOOGLETRANSLATE(B2426, ""en"", ""ko""))"),"현실 판매자 추가")</f>
        <v>현실 판매자 추가</v>
      </c>
      <c r="E2426" s="2" t="str">
        <f>IFERROR(__xludf.DUMMYFUNCTION("CONCATENATE(GOOGLETRANSLATE(B2426, ""en"", ""ja""))"),"現実の販売者を追加")</f>
        <v>現実の販売者を追加</v>
      </c>
    </row>
    <row r="2427" ht="15.75" customHeight="1">
      <c r="A2427" s="1" t="s">
        <v>4498</v>
      </c>
      <c r="B2427" s="1" t="s">
        <v>4499</v>
      </c>
      <c r="C2427" s="1" t="str">
        <f>IFERROR(__xludf.DUMMYFUNCTION("CONCATENATE(GOOGLETRANSLATE(B2427, ""en"", ""zh-cn""))"),"添加现实卖家")</f>
        <v>添加现实卖家</v>
      </c>
      <c r="D2427" s="1" t="str">
        <f>IFERROR(__xludf.DUMMYFUNCTION("CONCATENATE(GOOGLETRANSLATE(B2427, ""en"", ""ko""))"),"현실 판매자 추가")</f>
        <v>현실 판매자 추가</v>
      </c>
      <c r="E2427" s="2" t="str">
        <f>IFERROR(__xludf.DUMMYFUNCTION("CONCATENATE(GOOGLETRANSLATE(B2427, ""en"", ""ja""))"),"現実の販売者を追加")</f>
        <v>現実の販売者を追加</v>
      </c>
    </row>
    <row r="2428" ht="15.75" customHeight="1">
      <c r="A2428" s="1" t="s">
        <v>4498</v>
      </c>
      <c r="B2428" s="1" t="s">
        <v>4499</v>
      </c>
      <c r="C2428" s="1" t="str">
        <f>IFERROR(__xludf.DUMMYFUNCTION("CONCATENATE(GOOGLETRANSLATE(B2428, ""en"", ""zh-cn""))"),"添加现实卖家")</f>
        <v>添加现实卖家</v>
      </c>
      <c r="D2428" s="1" t="str">
        <f>IFERROR(__xludf.DUMMYFUNCTION("CONCATENATE(GOOGLETRANSLATE(B2428, ""en"", ""ko""))"),"현실 판매자 추가")</f>
        <v>현실 판매자 추가</v>
      </c>
      <c r="E2428" s="2" t="str">
        <f>IFERROR(__xludf.DUMMYFUNCTION("CONCATENATE(GOOGLETRANSLATE(B2428, ""en"", ""ja""))"),"現実の販売者を追加")</f>
        <v>現実の販売者を追加</v>
      </c>
    </row>
    <row r="2429" ht="15.75" customHeight="1">
      <c r="A2429" s="1" t="s">
        <v>4498</v>
      </c>
      <c r="B2429" s="1" t="s">
        <v>4499</v>
      </c>
      <c r="C2429" s="1" t="str">
        <f>IFERROR(__xludf.DUMMYFUNCTION("CONCATENATE(GOOGLETRANSLATE(B2429, ""en"", ""zh-cn""))"),"添加现实卖家")</f>
        <v>添加现实卖家</v>
      </c>
      <c r="D2429" s="1" t="str">
        <f>IFERROR(__xludf.DUMMYFUNCTION("CONCATENATE(GOOGLETRANSLATE(B2429, ""en"", ""ko""))"),"현실 판매자 추가")</f>
        <v>현실 판매자 추가</v>
      </c>
      <c r="E2429" s="2" t="str">
        <f>IFERROR(__xludf.DUMMYFUNCTION("CONCATENATE(GOOGLETRANSLATE(B2429, ""en"", ""ja""))"),"現実の販売者を追加")</f>
        <v>現実の販売者を追加</v>
      </c>
    </row>
    <row r="2430" ht="15.75" customHeight="1">
      <c r="A2430" s="1" t="s">
        <v>4498</v>
      </c>
      <c r="B2430" s="1" t="s">
        <v>4499</v>
      </c>
      <c r="C2430" s="1" t="str">
        <f>IFERROR(__xludf.DUMMYFUNCTION("CONCATENATE(GOOGLETRANSLATE(B2430, ""en"", ""zh-cn""))"),"添加现实卖家")</f>
        <v>添加现实卖家</v>
      </c>
      <c r="D2430" s="1" t="str">
        <f>IFERROR(__xludf.DUMMYFUNCTION("CONCATENATE(GOOGLETRANSLATE(B2430, ""en"", ""ko""))"),"현실 판매자 추가")</f>
        <v>현실 판매자 추가</v>
      </c>
      <c r="E2430" s="2" t="str">
        <f>IFERROR(__xludf.DUMMYFUNCTION("CONCATENATE(GOOGLETRANSLATE(B2430, ""en"", ""ja""))"),"現実の販売者を追加")</f>
        <v>現実の販売者を追加</v>
      </c>
    </row>
    <row r="2431" ht="15.75" customHeight="1">
      <c r="A2431" s="1" t="s">
        <v>4498</v>
      </c>
      <c r="B2431" s="1" t="s">
        <v>4499</v>
      </c>
      <c r="C2431" s="1" t="str">
        <f>IFERROR(__xludf.DUMMYFUNCTION("CONCATENATE(GOOGLETRANSLATE(B2431, ""en"", ""zh-cn""))"),"添加现实卖家")</f>
        <v>添加现实卖家</v>
      </c>
      <c r="D2431" s="1" t="str">
        <f>IFERROR(__xludf.DUMMYFUNCTION("CONCATENATE(GOOGLETRANSLATE(B2431, ""en"", ""ko""))"),"현실 판매자 추가")</f>
        <v>현실 판매자 추가</v>
      </c>
      <c r="E2431" s="2" t="str">
        <f>IFERROR(__xludf.DUMMYFUNCTION("CONCATENATE(GOOGLETRANSLATE(B2431, ""en"", ""ja""))"),"現実の販売者を追加")</f>
        <v>現実の販売者を追加</v>
      </c>
    </row>
    <row r="2432" ht="15.75" customHeight="1">
      <c r="A2432" s="1" t="s">
        <v>4498</v>
      </c>
      <c r="B2432" s="1" t="s">
        <v>4499</v>
      </c>
      <c r="C2432" s="1" t="str">
        <f>IFERROR(__xludf.DUMMYFUNCTION("CONCATENATE(GOOGLETRANSLATE(B2432, ""en"", ""zh-cn""))"),"添加现实卖家")</f>
        <v>添加现实卖家</v>
      </c>
      <c r="D2432" s="1" t="str">
        <f>IFERROR(__xludf.DUMMYFUNCTION("CONCATENATE(GOOGLETRANSLATE(B2432, ""en"", ""ko""))"),"현실 판매자 추가")</f>
        <v>현실 판매자 추가</v>
      </c>
      <c r="E2432" s="2" t="str">
        <f>IFERROR(__xludf.DUMMYFUNCTION("CONCATENATE(GOOGLETRANSLATE(B2432, ""en"", ""ja""))"),"現実の販売者を追加")</f>
        <v>現実の販売者を追加</v>
      </c>
    </row>
    <row r="2433" ht="15.75" customHeight="1">
      <c r="A2433" s="1" t="s">
        <v>4498</v>
      </c>
      <c r="B2433" s="1" t="s">
        <v>4499</v>
      </c>
      <c r="C2433" s="1" t="str">
        <f>IFERROR(__xludf.DUMMYFUNCTION("CONCATENATE(GOOGLETRANSLATE(B2433, ""en"", ""zh-cn""))"),"添加现实卖家")</f>
        <v>添加现实卖家</v>
      </c>
      <c r="D2433" s="1" t="str">
        <f>IFERROR(__xludf.DUMMYFUNCTION("CONCATENATE(GOOGLETRANSLATE(B2433, ""en"", ""ko""))"),"현실 판매자 추가")</f>
        <v>현실 판매자 추가</v>
      </c>
      <c r="E2433" s="2" t="str">
        <f>IFERROR(__xludf.DUMMYFUNCTION("CONCATENATE(GOOGLETRANSLATE(B2433, ""en"", ""ja""))"),"現実の販売者を追加")</f>
        <v>現実の販売者を追加</v>
      </c>
    </row>
    <row r="2434" ht="15.75" customHeight="1">
      <c r="A2434" s="1" t="s">
        <v>4502</v>
      </c>
      <c r="B2434" s="1" t="s">
        <v>4502</v>
      </c>
      <c r="C2434" s="1" t="str">
        <f>IFERROR(__xludf.DUMMYFUNCTION("CONCATENATE(GOOGLETRANSLATE(B2434, ""en"", ""zh-cn""))"),"现实")</f>
        <v>现实</v>
      </c>
      <c r="D2434" s="1" t="str">
        <f>IFERROR(__xludf.DUMMYFUNCTION("CONCATENATE(GOOGLETRANSLATE(B2434, ""en"", ""ko""))"),"현실")</f>
        <v>현실</v>
      </c>
      <c r="E2434" s="2" t="str">
        <f>IFERROR(__xludf.DUMMYFUNCTION("CONCATENATE(GOOGLETRANSLATE(B2434, ""en"", ""ja""))"),"現実")</f>
        <v>現実</v>
      </c>
    </row>
    <row r="2435" ht="15.75" customHeight="1">
      <c r="A2435" s="1" t="s">
        <v>4547</v>
      </c>
      <c r="B2435" s="1" t="s">
        <v>4548</v>
      </c>
      <c r="C2435" s="1" t="str">
        <f>IFERROR(__xludf.DUMMYFUNCTION("CONCATENATE(GOOGLETRANSLATE(B2435, ""en"", ""zh-cn""))"),"保证金钱成功")</f>
        <v>保证金钱成功</v>
      </c>
      <c r="D2435" s="1" t="str">
        <f>IFERROR(__xludf.DUMMYFUNCTION("CONCATENATE(GOOGLETRANSLATE(B2435, ""en"", ""ko""))"),"돈 성공 보장")</f>
        <v>돈 성공 보장</v>
      </c>
      <c r="E2435" s="2" t="str">
        <f>IFERROR(__xludf.DUMMYFUNCTION("CONCATENATE(GOOGLETRANSLATE(B2435, ""en"", ""ja""))"),"お金の成功を保証する")</f>
        <v>お金の成功を保証する</v>
      </c>
    </row>
    <row r="2436" ht="15.75" customHeight="1">
      <c r="A2436" s="1" t="s">
        <v>4498</v>
      </c>
      <c r="B2436" s="1" t="s">
        <v>4499</v>
      </c>
      <c r="C2436" s="1" t="str">
        <f>IFERROR(__xludf.DUMMYFUNCTION("CONCATENATE(GOOGLETRANSLATE(B2436, ""en"", ""zh-cn""))"),"添加现实卖家")</f>
        <v>添加现实卖家</v>
      </c>
      <c r="D2436" s="1" t="str">
        <f>IFERROR(__xludf.DUMMYFUNCTION("CONCATENATE(GOOGLETRANSLATE(B2436, ""en"", ""ko""))"),"현실 판매자 추가")</f>
        <v>현실 판매자 추가</v>
      </c>
      <c r="E2436" s="2" t="str">
        <f>IFERROR(__xludf.DUMMYFUNCTION("CONCATENATE(GOOGLETRANSLATE(B2436, ""en"", ""ja""))"),"現実の販売者を追加")</f>
        <v>現実の販売者を追加</v>
      </c>
    </row>
    <row r="2437" ht="15.75" customHeight="1">
      <c r="A2437" s="1" t="s">
        <v>4547</v>
      </c>
      <c r="B2437" s="1" t="s">
        <v>4548</v>
      </c>
      <c r="C2437" s="1" t="str">
        <f>IFERROR(__xludf.DUMMYFUNCTION("CONCATENATE(GOOGLETRANSLATE(B2437, ""en"", ""zh-cn""))"),"保证金钱成功")</f>
        <v>保证金钱成功</v>
      </c>
      <c r="D2437" s="1" t="str">
        <f>IFERROR(__xludf.DUMMYFUNCTION("CONCATENATE(GOOGLETRANSLATE(B2437, ""en"", ""ko""))"),"돈 성공 보장")</f>
        <v>돈 성공 보장</v>
      </c>
      <c r="E2437" s="2" t="str">
        <f>IFERROR(__xludf.DUMMYFUNCTION("CONCATENATE(GOOGLETRANSLATE(B2437, ""en"", ""ja""))"),"お金の成功を保証する")</f>
        <v>お金の成功を保証する</v>
      </c>
    </row>
    <row r="2438" ht="15.75" customHeight="1">
      <c r="A2438" s="1" t="s">
        <v>4498</v>
      </c>
      <c r="B2438" s="1" t="s">
        <v>4499</v>
      </c>
      <c r="C2438" s="1" t="str">
        <f>IFERROR(__xludf.DUMMYFUNCTION("CONCATENATE(GOOGLETRANSLATE(B2438, ""en"", ""zh-cn""))"),"添加现实卖家")</f>
        <v>添加现实卖家</v>
      </c>
      <c r="D2438" s="1" t="str">
        <f>IFERROR(__xludf.DUMMYFUNCTION("CONCATENATE(GOOGLETRANSLATE(B2438, ""en"", ""ko""))"),"현실 판매자 추가")</f>
        <v>현실 판매자 추가</v>
      </c>
      <c r="E2438" s="2" t="str">
        <f>IFERROR(__xludf.DUMMYFUNCTION("CONCATENATE(GOOGLETRANSLATE(B2438, ""en"", ""ja""))"),"現実の販売者を追加")</f>
        <v>現実の販売者を追加</v>
      </c>
    </row>
    <row r="2439" ht="15.75" customHeight="1">
      <c r="A2439" s="1" t="s">
        <v>4498</v>
      </c>
      <c r="B2439" s="1" t="s">
        <v>4499</v>
      </c>
      <c r="C2439" s="1" t="str">
        <f>IFERROR(__xludf.DUMMYFUNCTION("CONCATENATE(GOOGLETRANSLATE(B2439, ""en"", ""zh-cn""))"),"添加现实卖家")</f>
        <v>添加现实卖家</v>
      </c>
      <c r="D2439" s="1" t="str">
        <f>IFERROR(__xludf.DUMMYFUNCTION("CONCATENATE(GOOGLETRANSLATE(B2439, ""en"", ""ko""))"),"현실 판매자 추가")</f>
        <v>현실 판매자 추가</v>
      </c>
      <c r="E2439" s="2" t="str">
        <f>IFERROR(__xludf.DUMMYFUNCTION("CONCATENATE(GOOGLETRANSLATE(B2439, ""en"", ""ja""))"),"現実の販売者を追加")</f>
        <v>現実の販売者を追加</v>
      </c>
    </row>
    <row r="2440" ht="15.75" customHeight="1">
      <c r="A2440" s="1" t="s">
        <v>4631</v>
      </c>
      <c r="B2440" s="1" t="s">
        <v>4632</v>
      </c>
      <c r="C2440" s="1" t="str">
        <f>IFERROR(__xludf.DUMMYFUNCTION("CONCATENATE(GOOGLETRANSLATE(B2440, ""en"", ""zh-cn""))"),"店铺登记")</f>
        <v>店铺登记</v>
      </c>
      <c r="D2440" s="1" t="str">
        <f>IFERROR(__xludf.DUMMYFUNCTION("CONCATENATE(GOOGLETRANSLATE(B2440, ""en"", ""ko""))"),"매장 등록")</f>
        <v>매장 등록</v>
      </c>
      <c r="E2440" s="2" t="str">
        <f>IFERROR(__xludf.DUMMYFUNCTION("CONCATENATE(GOOGLETRANSLATE(B2440, ""en"", ""ja""))"),"店舗レジ")</f>
        <v>店舗レジ</v>
      </c>
    </row>
    <row r="2441" ht="15.75" customHeight="1">
      <c r="A2441" s="1" t="s">
        <v>4498</v>
      </c>
      <c r="B2441" s="1" t="s">
        <v>4499</v>
      </c>
      <c r="C2441" s="1" t="str">
        <f>IFERROR(__xludf.DUMMYFUNCTION("CONCATENATE(GOOGLETRANSLATE(B2441, ""en"", ""zh-cn""))"),"添加现实卖家")</f>
        <v>添加现实卖家</v>
      </c>
      <c r="D2441" s="1" t="str">
        <f>IFERROR(__xludf.DUMMYFUNCTION("CONCATENATE(GOOGLETRANSLATE(B2441, ""en"", ""ko""))"),"현실 판매자 추가")</f>
        <v>현실 판매자 추가</v>
      </c>
      <c r="E2441" s="2" t="str">
        <f>IFERROR(__xludf.DUMMYFUNCTION("CONCATENATE(GOOGLETRANSLATE(B2441, ""en"", ""ja""))"),"現実の販売者を追加")</f>
        <v>現実の販売者を追加</v>
      </c>
    </row>
    <row r="2442" ht="15.75" customHeight="1">
      <c r="A2442" s="1" t="s">
        <v>4498</v>
      </c>
      <c r="B2442" s="1" t="s">
        <v>4499</v>
      </c>
      <c r="C2442" s="1" t="str">
        <f>IFERROR(__xludf.DUMMYFUNCTION("CONCATENATE(GOOGLETRANSLATE(B2442, ""en"", ""zh-cn""))"),"添加现实卖家")</f>
        <v>添加现实卖家</v>
      </c>
      <c r="D2442" s="1" t="str">
        <f>IFERROR(__xludf.DUMMYFUNCTION("CONCATENATE(GOOGLETRANSLATE(B2442, ""en"", ""ko""))"),"현실 판매자 추가")</f>
        <v>현실 판매자 추가</v>
      </c>
      <c r="E2442" s="2" t="str">
        <f>IFERROR(__xludf.DUMMYFUNCTION("CONCATENATE(GOOGLETRANSLATE(B2442, ""en"", ""ja""))"),"現実の販売者を追加")</f>
        <v>現実の販売者を追加</v>
      </c>
    </row>
    <row r="2443" ht="15.75" customHeight="1">
      <c r="A2443" s="1" t="s">
        <v>4498</v>
      </c>
      <c r="B2443" s="1" t="s">
        <v>4499</v>
      </c>
      <c r="C2443" s="1" t="str">
        <f>IFERROR(__xludf.DUMMYFUNCTION("CONCATENATE(GOOGLETRANSLATE(B2443, ""en"", ""zh-cn""))"),"添加现实卖家")</f>
        <v>添加现实卖家</v>
      </c>
      <c r="D2443" s="1" t="str">
        <f>IFERROR(__xludf.DUMMYFUNCTION("CONCATENATE(GOOGLETRANSLATE(B2443, ""en"", ""ko""))"),"현실 판매자 추가")</f>
        <v>현실 판매자 추가</v>
      </c>
      <c r="E2443" s="2" t="str">
        <f>IFERROR(__xludf.DUMMYFUNCTION("CONCATENATE(GOOGLETRANSLATE(B2443, ""en"", ""ja""))"),"現実の販売者を追加")</f>
        <v>現実の販売者を追加</v>
      </c>
    </row>
    <row r="2444" ht="15.75" customHeight="1">
      <c r="A2444" s="1" t="s">
        <v>4498</v>
      </c>
      <c r="B2444" s="1" t="s">
        <v>4499</v>
      </c>
      <c r="C2444" s="1" t="str">
        <f>IFERROR(__xludf.DUMMYFUNCTION("CONCATENATE(GOOGLETRANSLATE(B2444, ""en"", ""zh-cn""))"),"添加现实卖家")</f>
        <v>添加现实卖家</v>
      </c>
      <c r="D2444" s="1" t="str">
        <f>IFERROR(__xludf.DUMMYFUNCTION("CONCATENATE(GOOGLETRANSLATE(B2444, ""en"", ""ko""))"),"현실 판매자 추가")</f>
        <v>현실 판매자 추가</v>
      </c>
      <c r="E2444" s="2" t="str">
        <f>IFERROR(__xludf.DUMMYFUNCTION("CONCATENATE(GOOGLETRANSLATE(B2444, ""en"", ""ja""))"),"現実の販売者を追加")</f>
        <v>現実の販売者を追加</v>
      </c>
    </row>
    <row r="2445" ht="15.75" customHeight="1">
      <c r="A2445" s="1" t="s">
        <v>4633</v>
      </c>
      <c r="B2445" s="1" t="s">
        <v>4634</v>
      </c>
      <c r="C2445" s="1" t="str">
        <f>IFERROR(__xludf.DUMMYFUNCTION("CONCATENATE(GOOGLETRANSLATE(B2445, ""en"", ""zh-cn""))"),"发送代码")</f>
        <v>发送代码</v>
      </c>
      <c r="D2445" s="1" t="str">
        <f>IFERROR(__xludf.DUMMYFUNCTION("CONCATENATE(GOOGLETRANSLATE(B2445, ""en"", ""ko""))"),"코드 보내기")</f>
        <v>코드 보내기</v>
      </c>
      <c r="E2445" s="2" t="str">
        <f>IFERROR(__xludf.DUMMYFUNCTION("CONCATENATE(GOOGLETRANSLATE(B2445, ""en"", ""ja""))"),"コードを送信する")</f>
        <v>コードを送信する</v>
      </c>
    </row>
    <row r="2446" ht="15.75" customHeight="1">
      <c r="A2446" s="1" t="s">
        <v>4635</v>
      </c>
      <c r="B2446" s="1" t="s">
        <v>4636</v>
      </c>
      <c r="C2446" s="1" t="str">
        <f>IFERROR(__xludf.DUMMYFUNCTION("CONCATENATE(GOOGLETRANSLATE(B2446, ""en"", ""zh-cn""))"),"使用钱包确认")</f>
        <v>使用钱包确认</v>
      </c>
      <c r="D2446" s="1" t="str">
        <f>IFERROR(__xludf.DUMMYFUNCTION("CONCATENATE(GOOGLETRANSLATE(B2446, ""en"", ""ko""))"),"월렛으로 확인")</f>
        <v>월렛으로 확인</v>
      </c>
      <c r="E2446" s="2" t="str">
        <f>IFERROR(__xludf.DUMMYFUNCTION("CONCATENATE(GOOGLETRANSLATE(B2446, ""en"", ""ja""))"),"ウォレットで確認する")</f>
        <v>ウォレットで確認する</v>
      </c>
    </row>
    <row r="2447" ht="15.75" customHeight="1">
      <c r="A2447" s="1" t="s">
        <v>4637</v>
      </c>
      <c r="B2447" s="1" t="s">
        <v>4638</v>
      </c>
      <c r="C2447" s="1" t="str">
        <f>IFERROR(__xludf.DUMMYFUNCTION("CONCATENATE(GOOGLETRANSLATE(B2447, ""en"", ""zh-cn""))"),"邀请码")</f>
        <v>邀请码</v>
      </c>
      <c r="D2447" s="1" t="str">
        <f>IFERROR(__xludf.DUMMYFUNCTION("CONCATENATE(GOOGLETRANSLATE(B2447, ""en"", ""ko""))"),"초대코드")</f>
        <v>초대코드</v>
      </c>
      <c r="E2447" s="2" t="str">
        <f>IFERROR(__xludf.DUMMYFUNCTION("CONCATENATE(GOOGLETRANSLATE(B2447, ""en"", ""ja""))"),"招待コード")</f>
        <v>招待コード</v>
      </c>
    </row>
    <row r="2448" ht="15.75" customHeight="1">
      <c r="A2448" s="1" t="s">
        <v>4639</v>
      </c>
      <c r="B2448" s="1" t="s">
        <v>4640</v>
      </c>
      <c r="C2448" s="1" t="str">
        <f>IFERROR(__xludf.DUMMYFUNCTION("CONCATENATE(GOOGLETRANSLATE(B2448, ""en"", ""zh-cn""))"),"已验证")</f>
        <v>已验证</v>
      </c>
      <c r="D2448" s="1" t="str">
        <f>IFERROR(__xludf.DUMMYFUNCTION("CONCATENATE(GOOGLETRANSLATE(B2448, ""en"", ""ko""))"),"확인됨")</f>
        <v>확인됨</v>
      </c>
      <c r="E2448" s="2" t="str">
        <f>IFERROR(__xludf.DUMMYFUNCTION("CONCATENATE(GOOGLETRANSLATE(B2448, ""en"", ""ja""))"),"確認済み")</f>
        <v>確認済み</v>
      </c>
    </row>
    <row r="2449" ht="15.75" customHeight="1">
      <c r="A2449" s="1" t="s">
        <v>4641</v>
      </c>
      <c r="B2449" s="1" t="s">
        <v>4642</v>
      </c>
      <c r="C2449" s="1" t="str">
        <f>IFERROR(__xludf.DUMMYFUNCTION("CONCATENATE(GOOGLETRANSLATE(B2449, ""en"", ""zh-cn""))"),"未经验证")</f>
        <v>未经验证</v>
      </c>
      <c r="D2449" s="1" t="str">
        <f>IFERROR(__xludf.DUMMYFUNCTION("CONCATENATE(GOOGLETRANSLATE(B2449, ""en"", ""ko""))"),"검증되지 않음")</f>
        <v>검증되지 않음</v>
      </c>
      <c r="E2449" s="2" t="str">
        <f>IFERROR(__xludf.DUMMYFUNCTION("CONCATENATE(GOOGLETRANSLATE(B2449, ""en"", ""ja""))"),"未検証")</f>
        <v>未検証</v>
      </c>
    </row>
    <row r="2450" ht="15.75" customHeight="1">
      <c r="A2450" s="1" t="s">
        <v>4643</v>
      </c>
      <c r="B2450" s="1" t="s">
        <v>4644</v>
      </c>
      <c r="C2450" s="1" t="str">
        <f>IFERROR(__xludf.DUMMYFUNCTION("CONCATENATE(GOOGLETRANSLATE(B2450, ""en"", ""zh-cn""))"),"增加充值钱包")</f>
        <v>增加充值钱包</v>
      </c>
      <c r="D2450" s="1" t="str">
        <f>IFERROR(__xludf.DUMMYFUNCTION("CONCATENATE(GOOGLETRANSLATE(B2450, ""en"", ""ko""))"),"충전지갑 늘리기")</f>
        <v>충전지갑 늘리기</v>
      </c>
      <c r="E2450" s="2" t="str">
        <f>IFERROR(__xludf.DUMMYFUNCTION("CONCATENATE(GOOGLETRANSLATE(B2450, ""en"", ""ja""))"),"リチャージウォレットを増やす")</f>
        <v>リチャージウォレットを増やす</v>
      </c>
    </row>
    <row r="2451" ht="15.75" customHeight="1">
      <c r="A2451" s="1" t="s">
        <v>4645</v>
      </c>
      <c r="B2451" s="1" t="s">
        <v>4646</v>
      </c>
      <c r="C2451" s="1" t="str">
        <f>IFERROR(__xludf.DUMMYFUNCTION("CONCATENATE(GOOGLETRANSLATE(B2451, ""en"", ""zh-cn""))"),"减少充值钱包")</f>
        <v>减少充值钱包</v>
      </c>
      <c r="D2451" s="1" t="str">
        <f>IFERROR(__xludf.DUMMYFUNCTION("CONCATENATE(GOOGLETRANSLATE(B2451, ""en"", ""ko""))"),"충전지갑 감소")</f>
        <v>충전지갑 감소</v>
      </c>
      <c r="E2451" s="2" t="str">
        <f>IFERROR(__xludf.DUMMYFUNCTION("CONCATENATE(GOOGLETRANSLATE(B2451, ""en"", ""ja""))"),"リチャージウォレットを減らす")</f>
        <v>リチャージウォレットを減らす</v>
      </c>
    </row>
    <row r="2452" ht="15.75" customHeight="1">
      <c r="A2452" s="1" t="s">
        <v>4647</v>
      </c>
      <c r="B2452" s="1" t="s">
        <v>4648</v>
      </c>
      <c r="C2452" s="1" t="str">
        <f>IFERROR(__xludf.DUMMYFUNCTION("CONCATENATE(GOOGLETRANSLATE(B2452, ""en"", ""zh-cn""))"),"增加平衡")</f>
        <v>增加平衡</v>
      </c>
      <c r="D2452" s="1" t="str">
        <f>IFERROR(__xludf.DUMMYFUNCTION("CONCATENATE(GOOGLETRANSLATE(B2452, ""en"", ""ko""))"),"잔액 늘리기")</f>
        <v>잔액 늘리기</v>
      </c>
      <c r="E2452" s="2" t="str">
        <f>IFERROR(__xludf.DUMMYFUNCTION("CONCATENATE(GOOGLETRANSLATE(B2452, ""en"", ""ja""))"),"残高を増やす")</f>
        <v>残高を増やす</v>
      </c>
    </row>
    <row r="2453" ht="15.75" customHeight="1">
      <c r="A2453" s="1" t="s">
        <v>4649</v>
      </c>
      <c r="B2453" s="1" t="s">
        <v>4650</v>
      </c>
      <c r="C2453" s="1" t="str">
        <f>IFERROR(__xludf.DUMMYFUNCTION("CONCATENATE(GOOGLETRANSLATE(B2453, ""en"", ""zh-cn""))"),"减少余额")</f>
        <v>减少余额</v>
      </c>
      <c r="D2453" s="1" t="str">
        <f>IFERROR(__xludf.DUMMYFUNCTION("CONCATENATE(GOOGLETRANSLATE(B2453, ""en"", ""ko""))"),"잔액 감소")</f>
        <v>잔액 감소</v>
      </c>
      <c r="E2453" s="2" t="str">
        <f>IFERROR(__xludf.DUMMYFUNCTION("CONCATENATE(GOOGLETRANSLATE(B2453, ""en"", ""ja""))"),"残高を減らす")</f>
        <v>残高を減らす</v>
      </c>
    </row>
    <row r="2454" ht="15.75" customHeight="1">
      <c r="A2454" s="1" t="s">
        <v>4651</v>
      </c>
      <c r="B2454" s="1" t="s">
        <v>4652</v>
      </c>
      <c r="C2454" s="1" t="str">
        <f>IFERROR(__xludf.DUMMYFUNCTION("CONCATENATE(GOOGLETRANSLATE(B2454, ""en"", ""zh-cn""))"),"赠送现金礼物")</f>
        <v>赠送现金礼物</v>
      </c>
      <c r="D2454" s="1" t="str">
        <f>IFERROR(__xludf.DUMMYFUNCTION("CONCATENATE(GOOGLETRANSLATE(B2454, ""en"", ""ko""))"),"현금 선물하기")</f>
        <v>현금 선물하기</v>
      </c>
      <c r="E2454" s="2" t="str">
        <f>IFERROR(__xludf.DUMMYFUNCTION("CONCATENATE(GOOGLETRANSLATE(B2454, ""en"", ""ja""))"),"現金ギフトを贈る")</f>
        <v>現金ギフトを贈る</v>
      </c>
    </row>
    <row r="2455" ht="15.75" customHeight="1">
      <c r="A2455" s="1" t="s">
        <v>4653</v>
      </c>
      <c r="B2455" s="1" t="s">
        <v>4654</v>
      </c>
      <c r="C2455" s="1" t="str">
        <f>IFERROR(__xludf.DUMMYFUNCTION("CONCATENATE(GOOGLETRANSLATE(B2455, ""en"", ""zh-cn""))"),"选择类型")</f>
        <v>选择类型</v>
      </c>
      <c r="D2455" s="1" t="str">
        <f>IFERROR(__xludf.DUMMYFUNCTION("CONCATENATE(GOOGLETRANSLATE(B2455, ""en"", ""ko""))"),"유형 선택")</f>
        <v>유형 선택</v>
      </c>
      <c r="E2455" s="2" t="str">
        <f>IFERROR(__xludf.DUMMYFUNCTION("CONCATENATE(GOOGLETRANSLATE(B2455, ""en"", ""ja""))"),"タイプの選択")</f>
        <v>タイプの選択</v>
      </c>
    </row>
    <row r="2456" ht="15.75" customHeight="1">
      <c r="A2456" s="1" t="s">
        <v>4655</v>
      </c>
      <c r="B2456" s="1" t="s">
        <v>4656</v>
      </c>
      <c r="C2456" s="1" t="str">
        <f>IFERROR(__xludf.DUMMYFUNCTION("CONCATENATE(GOOGLETRANSLATE(B2456, ""en"", ""zh-cn""))"),"卖家账单")</f>
        <v>卖家账单</v>
      </c>
      <c r="D2456" s="1" t="str">
        <f>IFERROR(__xludf.DUMMYFUNCTION("CONCATENATE(GOOGLETRANSLATE(B2456, ""en"", ""ko""))"),"판매자 청구서")</f>
        <v>판매자 청구서</v>
      </c>
      <c r="E2456" s="2" t="str">
        <f>IFERROR(__xludf.DUMMYFUNCTION("CONCATENATE(GOOGLETRANSLATE(B2456, ""en"", ""ja""))"),"売主請求書")</f>
        <v>売主請求書</v>
      </c>
    </row>
    <row r="2457" ht="15.75" customHeight="1">
      <c r="A2457" s="1" t="s">
        <v>4657</v>
      </c>
      <c r="B2457" s="1" t="s">
        <v>4658</v>
      </c>
      <c r="C2457" s="1" t="str">
        <f>IFERROR(__xludf.DUMMYFUNCTION("CONCATENATE(GOOGLETRANSLATE(B2457, ""en"", ""zh-cn""))"),"访客模板")</f>
        <v>访客模板</v>
      </c>
      <c r="D2457" s="1" t="str">
        <f>IFERROR(__xludf.DUMMYFUNCTION("CONCATENATE(GOOGLETRANSLATE(B2457, ""en"", ""ko""))"),"방문자 템플릿")</f>
        <v>방문자 템플릿</v>
      </c>
      <c r="E2457" s="2" t="str">
        <f>IFERROR(__xludf.DUMMYFUNCTION("CONCATENATE(GOOGLETRANSLATE(B2457, ""en"", ""ja""))"),"訪問者テンプレート")</f>
        <v>訪問者テンプレート</v>
      </c>
    </row>
    <row r="2458" ht="15.75" customHeight="1">
      <c r="A2458" s="1" t="s">
        <v>4659</v>
      </c>
      <c r="B2458" s="1" t="s">
        <v>4660</v>
      </c>
      <c r="C2458" s="1" t="str">
        <f>IFERROR(__xludf.DUMMYFUNCTION("CONCATENATE(GOOGLETRANSLATE(B2458, ""en"", ""zh-cn""))"),"平衡日志")</f>
        <v>平衡日志</v>
      </c>
      <c r="D2458" s="1" t="str">
        <f>IFERROR(__xludf.DUMMYFUNCTION("CONCATENATE(GOOGLETRANSLATE(B2458, ""en"", ""ko""))"),"잔액 로그")</f>
        <v>잔액 로그</v>
      </c>
      <c r="E2458" s="2" t="str">
        <f>IFERROR(__xludf.DUMMYFUNCTION("CONCATENATE(GOOGLETRANSLATE(B2458, ""en"", ""ja""))"),"バランスログ")</f>
        <v>バランスログ</v>
      </c>
    </row>
    <row r="2459" ht="15.75" customHeight="1">
      <c r="A2459" s="1" t="s">
        <v>4661</v>
      </c>
      <c r="B2459" s="1" t="s">
        <v>4662</v>
      </c>
      <c r="C2459" s="1" t="str">
        <f>IFERROR(__xludf.DUMMYFUNCTION("CONCATENATE(GOOGLETRANSLATE(B2459, ""en"", ""zh-cn""))"),"客户服务")</f>
        <v>客户服务</v>
      </c>
      <c r="D2459" s="1" t="str">
        <f>IFERROR(__xludf.DUMMYFUNCTION("CONCATENATE(GOOGLETRANSLATE(B2459, ""en"", ""ko""))"),"고객 서비스")</f>
        <v>고객 서비스</v>
      </c>
      <c r="E2459" s="2" t="str">
        <f>IFERROR(__xludf.DUMMYFUNCTION("CONCATENATE(GOOGLETRANSLATE(B2459, ""en"", ""ja""))"),"顧客サービス")</f>
        <v>顧客サービス</v>
      </c>
    </row>
    <row r="2460" ht="15.75" customHeight="1">
      <c r="A2460" s="1" t="s">
        <v>4663</v>
      </c>
      <c r="B2460" s="1" t="s">
        <v>4664</v>
      </c>
      <c r="C2460" s="1" t="str">
        <f>IFERROR(__xludf.DUMMYFUNCTION("CONCATENATE(GOOGLETRANSLATE(B2460, ""en"", ""zh-cn""))"),"店铺星级")</f>
        <v>店铺星级</v>
      </c>
      <c r="D2460" s="1" t="str">
        <f>IFERROR(__xludf.DUMMYFUNCTION("CONCATENATE(GOOGLETRANSLATE(B2460, ""en"", ""ko""))"),"매장 별점")</f>
        <v>매장 별점</v>
      </c>
      <c r="E2460" s="2" t="str">
        <f>IFERROR(__xludf.DUMMYFUNCTION("CONCATENATE(GOOGLETRANSLATE(B2460, ""en"", ""ja""))"),"ストアの星評価")</f>
        <v>ストアの星評価</v>
      </c>
    </row>
    <row r="2461" ht="15.75" customHeight="1">
      <c r="A2461" s="1" t="s">
        <v>4665</v>
      </c>
      <c r="B2461" s="1" t="s">
        <v>4666</v>
      </c>
      <c r="C2461" s="1" t="str">
        <f>IFERROR(__xludf.DUMMYFUNCTION("CONCATENATE(GOOGLETRANSLATE(B2461, ""en"", ""zh-cn""))"),"每日访问量")</f>
        <v>每日访问量</v>
      </c>
      <c r="D2461" s="1" t="str">
        <f>IFERROR(__xludf.DUMMYFUNCTION("CONCATENATE(GOOGLETRANSLATE(B2461, ""en"", ""ko""))"),"일일 방문")</f>
        <v>일일 방문</v>
      </c>
      <c r="E2461" s="2" t="str">
        <f>IFERROR(__xludf.DUMMYFUNCTION("CONCATENATE(GOOGLETRANSLATE(B2461, ""en"", ""ja""))"),"毎日の訪問数")</f>
        <v>毎日の訪問数</v>
      </c>
    </row>
    <row r="2462" ht="15.75" customHeight="1">
      <c r="A2462" s="1" t="s">
        <v>4667</v>
      </c>
      <c r="B2462" s="1" t="s">
        <v>4668</v>
      </c>
      <c r="C2462" s="1" t="str">
        <f>IFERROR(__xludf.DUMMYFUNCTION("CONCATENATE(GOOGLETRANSLATE(B2462, ""en"", ""zh-cn""))"),"每周访问")</f>
        <v>每周访问</v>
      </c>
      <c r="D2462" s="1" t="str">
        <f>IFERROR(__xludf.DUMMYFUNCTION("CONCATENATE(GOOGLETRANSLATE(B2462, ""en"", ""ko""))"),"주간 방문")</f>
        <v>주간 방문</v>
      </c>
      <c r="E2462" s="2" t="str">
        <f>IFERROR(__xludf.DUMMYFUNCTION("CONCATENATE(GOOGLETRANSLATE(B2462, ""en"", ""ja""))"),"毎週の訪問数")</f>
        <v>毎週の訪問数</v>
      </c>
    </row>
    <row r="2463" ht="15.75" customHeight="1">
      <c r="A2463" s="1" t="s">
        <v>4669</v>
      </c>
      <c r="B2463" s="1" t="s">
        <v>4670</v>
      </c>
      <c r="C2463" s="1" t="str">
        <f>IFERROR(__xludf.DUMMYFUNCTION("CONCATENATE(GOOGLETRANSLATE(B2463, ""en"", ""zh-cn""))"),"每月访问量")</f>
        <v>每月访问量</v>
      </c>
      <c r="D2463" s="1" t="str">
        <f>IFERROR(__xludf.DUMMYFUNCTION("CONCATENATE(GOOGLETRANSLATE(B2463, ""en"", ""ko""))"),"월간 방문")</f>
        <v>월간 방문</v>
      </c>
      <c r="E2463" s="2" t="str">
        <f>IFERROR(__xludf.DUMMYFUNCTION("CONCATENATE(GOOGLETRANSLATE(B2463, ""en"", ""ja""))"),"毎月の訪問数")</f>
        <v>毎月の訪問数</v>
      </c>
    </row>
    <row r="2464" ht="15.75" customHeight="1">
      <c r="A2464" s="1" t="s">
        <v>4671</v>
      </c>
      <c r="B2464" s="1" t="s">
        <v>4672</v>
      </c>
      <c r="C2464" s="1" t="str">
        <f>IFERROR(__xludf.DUMMYFUNCTION("CONCATENATE(GOOGLETRANSLATE(B2464, ""en"", ""zh-cn""))"),"总访问量")</f>
        <v>总访问量</v>
      </c>
      <c r="D2464" s="1" t="str">
        <f>IFERROR(__xludf.DUMMYFUNCTION("CONCATENATE(GOOGLETRANSLATE(B2464, ""en"", ""ko""))"),"총 방문수")</f>
        <v>총 방문수</v>
      </c>
      <c r="E2464" s="2" t="str">
        <f>IFERROR(__xludf.DUMMYFUNCTION("CONCATENATE(GOOGLETRANSLATE(B2464, ""en"", ""ja""))"),"合計訪問数")</f>
        <v>合計訪問数</v>
      </c>
    </row>
    <row r="2465" ht="15.75" customHeight="1">
      <c r="A2465" s="1" t="s">
        <v>4673</v>
      </c>
      <c r="B2465" s="1" t="s">
        <v>4674</v>
      </c>
      <c r="C2465" s="1" t="str">
        <f>IFERROR(__xludf.DUMMYFUNCTION("CONCATENATE(GOOGLETRANSLATE(B2465, ""en"", ""zh-cn""))"),"本月订单")</f>
        <v>本月订单</v>
      </c>
      <c r="D2465" s="1" t="str">
        <f>IFERROR(__xludf.DUMMYFUNCTION("CONCATENATE(GOOGLETRANSLATE(B2465, ""en"", ""ko""))"),"이번 달 주문")</f>
        <v>이번 달 주문</v>
      </c>
      <c r="E2465" s="2" t="str">
        <f>IFERROR(__xludf.DUMMYFUNCTION("CONCATENATE(GOOGLETRANSLATE(B2465, ""en"", ""ja""))"),"今月のご注文")</f>
        <v>今月のご注文</v>
      </c>
    </row>
    <row r="2466" ht="15.75" customHeight="1">
      <c r="A2466" s="1" t="s">
        <v>4675</v>
      </c>
      <c r="B2466" s="1" t="s">
        <v>4676</v>
      </c>
      <c r="C2466" s="1" t="str">
        <f>IFERROR(__xludf.DUMMYFUNCTION("CONCATENATE(GOOGLETRANSLATE(B2466, ""en"", ""zh-cn""))"),"信用评分")</f>
        <v>信用评分</v>
      </c>
      <c r="D2466" s="1" t="str">
        <f>IFERROR(__xludf.DUMMYFUNCTION("CONCATENATE(GOOGLETRANSLATE(B2466, ""en"", ""ko""))"),"신용 점수")</f>
        <v>신용 점수</v>
      </c>
      <c r="E2466" s="2" t="str">
        <f>IFERROR(__xludf.DUMMYFUNCTION("CONCATENATE(GOOGLETRANSLATE(B2466, ""en"", ""ja""))"),"クレジットスコア")</f>
        <v>クレジットスコア</v>
      </c>
    </row>
    <row r="2467" ht="15.75" customHeight="1">
      <c r="A2467" s="1" t="s">
        <v>4677</v>
      </c>
      <c r="B2467" s="1" t="s">
        <v>4678</v>
      </c>
      <c r="C2467" s="1" t="str">
        <f>IFERROR(__xludf.DUMMYFUNCTION("CONCATENATE(GOOGLETRANSLATE(B2467, ""en"", ""zh-cn""))"),"Facebook 评论设置")</f>
        <v>Facebook 评论设置</v>
      </c>
      <c r="D2467" s="1" t="str">
        <f>IFERROR(__xludf.DUMMYFUNCTION("CONCATENATE(GOOGLETRANSLATE(B2467, ""en"", ""ko""))"),"페이스북 댓글 설정")</f>
        <v>페이스북 댓글 설정</v>
      </c>
      <c r="E2467" s="2" t="str">
        <f>IFERROR(__xludf.DUMMYFUNCTION("CONCATENATE(GOOGLETRANSLATE(B2467, ""en"", ""ja""))"),"Facebookのコメント設定")</f>
        <v>Facebookのコメント設定</v>
      </c>
    </row>
    <row r="2468" ht="15.75" customHeight="1">
      <c r="A2468" s="1" t="s">
        <v>4679</v>
      </c>
      <c r="B2468" s="1" t="s">
        <v>4680</v>
      </c>
      <c r="C2468" s="1" t="str">
        <f>IFERROR(__xludf.DUMMYFUNCTION("CONCATENATE(GOOGLETRANSLATE(B2468, ""en"", ""zh-cn""))"),"脸书应用程序 ID")</f>
        <v>脸书应用程序 ID</v>
      </c>
      <c r="D2468" s="1" t="str">
        <f>IFERROR(__xludf.DUMMYFUNCTION("CONCATENATE(GOOGLETRANSLATE(B2468, ""en"", ""ko""))"),"페이스북 앱 ID")</f>
        <v>페이스북 앱 ID</v>
      </c>
      <c r="E2468" s="2" t="str">
        <f>IFERROR(__xludf.DUMMYFUNCTION("CONCATENATE(GOOGLETRANSLATE(B2468, ""en"", ""ja""))"),"FacebookアプリID")</f>
        <v>FacebookアプリID</v>
      </c>
    </row>
    <row r="2469" ht="15.75" customHeight="1">
      <c r="A2469" s="1" t="s">
        <v>4681</v>
      </c>
      <c r="B2469" s="1" t="s">
        <v>4682</v>
      </c>
      <c r="C2469" s="1" t="str">
        <f>IFERROR(__xludf.DUMMYFUNCTION("CONCATENATE(GOOGLETRANSLATE(B2469, ""en"", ""zh-cn""))"),"配置 Facebook 评论时请小心。对于不正确的配置，您将不会在用户端站点上看到评论部分。")</f>
        <v>配置 Facebook 评论时请小心。对于不正确的配置，您将不会在用户端站点上看到评论部分。</v>
      </c>
      <c r="D2469" s="1" t="str">
        <f>IFERROR(__xludf.DUMMYFUNCTION("CONCATENATE(GOOGLETRANSLATE(B2469, ""en"", ""ko""))"),"Facebook 댓글을 구성할 때 주의하시기 바랍니다. 잘못된 구성으로 인해 사용자 측 사이트에 댓글 섹션이 표시되지 않습니다.")</f>
        <v>Facebook 댓글을 구성할 때 주의하시기 바랍니다. 잘못된 구성으로 인해 사용자 측 사이트에 댓글 섹션이 표시되지 않습니다.</v>
      </c>
      <c r="E2469" s="2" t="str">
        <f>IFERROR(__xludf.DUMMYFUNCTION("CONCATENATE(GOOGLETRANSLATE(B2469, ""en"", ""ja""))"),"Facebook コメントを設定する場合は注意してください。設定が正しくないと、ユーザーエンドサイトにコメントセクションが表示されません。")</f>
        <v>Facebook コメントを設定する場合は注意してください。設定が正しくないと、ユーザーエンドサイトにコメントセクションが表示されません。</v>
      </c>
    </row>
    <row r="2470" ht="15.75" customHeight="1">
      <c r="A2470" s="1" t="s">
        <v>4683</v>
      </c>
      <c r="B2470" s="1" t="s">
        <v>4684</v>
      </c>
      <c r="C2470" s="1" t="str">
        <f>IFERROR(__xludf.DUMMYFUNCTION("CONCATENATE(GOOGLETRANSLATE(B2470, ""en"", ""zh-cn""))"),"然后转到此 URL https://developers.facebook.com/apps/")</f>
        <v>然后转到此 URL https://developers.facebook.com/apps/</v>
      </c>
      <c r="D2470" s="1" t="str">
        <f>IFERROR(__xludf.DUMMYFUNCTION("CONCATENATE(GOOGLETRANSLATE(B2470, ""en"", ""ko""))"),"그런 다음 이 URL https://developers.facebook.com/apps/로 이동하세요.")</f>
        <v>그런 다음 이 URL https://developers.facebook.com/apps/로 이동하세요.</v>
      </c>
      <c r="E2470" s="2" t="str">
        <f>IFERROR(__xludf.DUMMYFUNCTION("CONCATENATE(GOOGLETRANSLATE(B2470, ""en"", ""ja""))"),"その後、この URL https://developers.facebook.com/apps/ にアクセスします。")</f>
        <v>その後、この URL https://developers.facebook.com/apps/ にアクセスします。</v>
      </c>
    </row>
    <row r="2471" ht="15.75" customHeight="1">
      <c r="A2471" s="1" t="s">
        <v>4685</v>
      </c>
      <c r="B2471" s="1" t="s">
        <v>4686</v>
      </c>
      <c r="C2471" s="1" t="str">
        <f>IFERROR(__xludf.DUMMYFUNCTION("CONCATENATE(GOOGLETRANSLATE(B2471, ""en"", ""zh-cn""))"),"创建您的应用程序")</f>
        <v>创建您的应用程序</v>
      </c>
      <c r="D2471" s="1" t="str">
        <f>IFERROR(__xludf.DUMMYFUNCTION("CONCATENATE(GOOGLETRANSLATE(B2471, ""en"", ""ko""))"),"앱 만들기")</f>
        <v>앱 만들기</v>
      </c>
      <c r="E2471" s="2" t="str">
        <f>IFERROR(__xludf.DUMMYFUNCTION("CONCATENATE(GOOGLETRANSLATE(B2471, ""en"", ""ja""))"),"アプリを作成する")</f>
        <v>アプリを作成する</v>
      </c>
    </row>
    <row r="2472" ht="15.75" customHeight="1">
      <c r="A2472" s="1" t="s">
        <v>4687</v>
      </c>
      <c r="B2472" s="1" t="s">
        <v>4688</v>
      </c>
      <c r="C2472" s="1" t="str">
        <f>IFERROR(__xludf.DUMMYFUNCTION("CONCATENATE(GOOGLETRANSLATE(B2472, ""en"", ""zh-cn""))"),"在仪表板页面中您将获得您的应用程序 ID")</f>
        <v>在仪表板页面中您将获得您的应用程序 ID</v>
      </c>
      <c r="D2472" s="1" t="str">
        <f>IFERROR(__xludf.DUMMYFUNCTION("CONCATENATE(GOOGLETRANSLATE(B2472, ""en"", ""ko""))"),"대시보드 페이지에서 앱 ID를 얻을 수 있습니다.")</f>
        <v>대시보드 페이지에서 앱 ID를 얻을 수 있습니다.</v>
      </c>
      <c r="E2472" s="2" t="str">
        <f>IFERROR(__xludf.DUMMYFUNCTION("CONCATENATE(GOOGLETRANSLATE(B2472, ""en"", ""ja""))"),"ダッシュボードページでアプリIDを取得します。")</f>
        <v>ダッシュボードページでアプリIDを取得します。</v>
      </c>
    </row>
    <row r="2473" ht="15.75" customHeight="1">
      <c r="A2473" s="1" t="s">
        <v>4689</v>
      </c>
      <c r="B2473" s="1" t="s">
        <v>4690</v>
      </c>
      <c r="C2473" s="1" t="str">
        <f>IFERROR(__xludf.DUMMYFUNCTION("CONCATENATE(GOOGLETRANSLATE(B2473, ""en"", ""zh-cn""))"),"日期范围")</f>
        <v>日期范围</v>
      </c>
      <c r="D2473" s="1" t="str">
        <f>IFERROR(__xludf.DUMMYFUNCTION("CONCATENATE(GOOGLETRANSLATE(B2473, ""en"", ""ko""))"),"기간")</f>
        <v>기간</v>
      </c>
      <c r="E2473" s="2" t="str">
        <f>IFERROR(__xludf.DUMMYFUNCTION("CONCATENATE(GOOGLETRANSLATE(B2473, ""en"", ""ja""))"),"日付範囲")</f>
        <v>日付範囲</v>
      </c>
    </row>
    <row r="2474" ht="15.75" customHeight="1">
      <c r="A2474" s="1" t="s">
        <v>4691</v>
      </c>
      <c r="B2474" s="1" t="s">
        <v>4692</v>
      </c>
      <c r="C2474" s="1" t="str">
        <f>IFERROR(__xludf.DUMMYFUNCTION("CONCATENATE(GOOGLETRANSLATE(B2474, ""en"", ""zh-cn""))"),"票据类型")</f>
        <v>票据类型</v>
      </c>
      <c r="D2474" s="1" t="str">
        <f>IFERROR(__xludf.DUMMYFUNCTION("CONCATENATE(GOOGLETRANSLATE(B2474, ""en"", ""ko""))"),"청구서 유형")</f>
        <v>청구서 유형</v>
      </c>
      <c r="E2474" s="2" t="str">
        <f>IFERROR(__xludf.DUMMYFUNCTION("CONCATENATE(GOOGLETRANSLATE(B2474, ""en"", ""ja""))"),"請求書の種類")</f>
        <v>請求書の種類</v>
      </c>
    </row>
    <row r="2475" ht="15.75" customHeight="1">
      <c r="A2475" s="1" t="s">
        <v>4693</v>
      </c>
      <c r="B2475" s="1" t="s">
        <v>4694</v>
      </c>
      <c r="C2475" s="1" t="str">
        <f>IFERROR(__xludf.DUMMYFUNCTION("CONCATENATE(GOOGLETRANSLATE(B2475, ""en"", ""zh-cn""))"),"后台卖家充值余额")</f>
        <v>后台卖家充值余额</v>
      </c>
      <c r="D2475" s="1" t="str">
        <f>IFERROR(__xludf.DUMMYFUNCTION("CONCATENATE(GOOGLETRANSLATE(B2475, ""en"", ""ko""))"),"백엔드 판매자 충전 잔액")</f>
        <v>백엔드 판매자 충전 잔액</v>
      </c>
      <c r="E2475" s="2" t="str">
        <f>IFERROR(__xludf.DUMMYFUNCTION("CONCATENATE(GOOGLETRANSLATE(B2475, ""en"", ""ja""))"),"バックエンド販売者のリチャージ残高")</f>
        <v>バックエンド販売者のリチャージ残高</v>
      </c>
    </row>
    <row r="2476" ht="15.75" customHeight="1">
      <c r="A2476" s="1" t="s">
        <v>4695</v>
      </c>
      <c r="B2476" s="1" t="s">
        <v>4696</v>
      </c>
      <c r="C2476" s="1" t="str">
        <f>IFERROR(__xludf.DUMMYFUNCTION("CONCATENATE(GOOGLETRANSLATE(B2476, ""en"", ""zh-cn""))"),"支出")</f>
        <v>支出</v>
      </c>
      <c r="D2476" s="1" t="str">
        <f>IFERROR(__xludf.DUMMYFUNCTION("CONCATENATE(GOOGLETRANSLATE(B2476, ""en"", ""ko""))"),"지불금")</f>
        <v>지불금</v>
      </c>
      <c r="E2476" s="2" t="str">
        <f>IFERROR(__xludf.DUMMYFUNCTION("CONCATENATE(GOOGLETRANSLATE(B2476, ""en"", ""ja""))"),"支払い")</f>
        <v>支払い</v>
      </c>
    </row>
    <row r="2477" ht="15.75" customHeight="1">
      <c r="A2477" s="1" t="s">
        <v>4697</v>
      </c>
      <c r="B2477" s="1" t="s">
        <v>4698</v>
      </c>
      <c r="C2477" s="1" t="str">
        <f>IFERROR(__xludf.DUMMYFUNCTION("CONCATENATE(GOOGLETRANSLATE(B2477, ""en"", ""zh-cn""))"),"付款请求")</f>
        <v>付款请求</v>
      </c>
      <c r="D2477" s="1" t="str">
        <f>IFERROR(__xludf.DUMMYFUNCTION("CONCATENATE(GOOGLETRANSLATE(B2477, ""en"", ""ko""))"),"지불 요청")</f>
        <v>지불 요청</v>
      </c>
      <c r="E2477" s="2" t="str">
        <f>IFERROR(__xludf.DUMMYFUNCTION("CONCATENATE(GOOGLETRANSLATE(B2477, ""en"", ""ja""))"),"支払いリクエスト")</f>
        <v>支払いリクエスト</v>
      </c>
    </row>
    <row r="2478" ht="15.75" customHeight="1">
      <c r="A2478" s="1" t="s">
        <v>4699</v>
      </c>
      <c r="B2478" s="1" t="s">
        <v>4700</v>
      </c>
      <c r="C2478" s="1" t="str">
        <f>IFERROR(__xludf.DUMMYFUNCTION("CONCATENATE(GOOGLETRANSLATE(B2478, ""en"", ""zh-cn""))"),"你被禁止了")</f>
        <v>你被禁止了</v>
      </c>
      <c r="D2478" s="1" t="str">
        <f>IFERROR(__xludf.DUMMYFUNCTION("CONCATENATE(GOOGLETRANSLATE(B2478, ""en"", ""ko""))"),"당신은 금지되었습니다")</f>
        <v>당신은 금지되었습니다</v>
      </c>
      <c r="E2478" s="2" t="str">
        <f>IFERROR(__xludf.DUMMYFUNCTION("CONCATENATE(GOOGLETRANSLATE(B2478, ""en"", ""ja""))"),"あなたは禁止されています")</f>
        <v>あなたは禁止されています</v>
      </c>
    </row>
    <row r="2479" ht="15.75" customHeight="1">
      <c r="A2479" s="1" t="s">
        <v>4701</v>
      </c>
      <c r="B2479" s="1" t="s">
        <v>4702</v>
      </c>
      <c r="C2479" s="1" t="str">
        <f>IFERROR(__xludf.DUMMYFUNCTION("CONCATENATE(GOOGLETRANSLATE(B2479, ""en"", ""zh-cn""))"),"支付给客户")</f>
        <v>支付给客户</v>
      </c>
      <c r="D2479" s="1" t="str">
        <f>IFERROR(__xludf.DUMMYFUNCTION("CONCATENATE(GOOGLETRANSLATE(B2479, ""en"", ""ko""))"),"고객에게 지불")</f>
        <v>고객에게 지불</v>
      </c>
      <c r="E2479" s="2" t="str">
        <f>IFERROR(__xludf.DUMMYFUNCTION("CONCATENATE(GOOGLETRANSLATE(B2479, ""en"", ""ja""))"),"顧客に支払う")</f>
        <v>顧客に支払う</v>
      </c>
    </row>
    <row r="2480" ht="15.75" customHeight="1">
      <c r="A2480" s="1" t="s">
        <v>4703</v>
      </c>
      <c r="B2480" s="1" t="s">
        <v>4704</v>
      </c>
      <c r="C2480" s="1" t="str">
        <f>IFERROR(__xludf.DUMMYFUNCTION("CONCATENATE(GOOGLETRANSLATE(B2480, ""en"", ""zh-cn""))"),"编辑买家信息")</f>
        <v>编辑买家信息</v>
      </c>
      <c r="D2480" s="1" t="str">
        <f>IFERROR(__xludf.DUMMYFUNCTION("CONCATENATE(GOOGLETRANSLATE(B2480, ""en"", ""ko""))"),"구매자 정보 편집")</f>
        <v>구매자 정보 편집</v>
      </c>
      <c r="E2480" s="2" t="str">
        <f>IFERROR(__xludf.DUMMYFUNCTION("CONCATENATE(GOOGLETRANSLATE(B2480, ""en"", ""ja""))"),"購入者情報の編集")</f>
        <v>購入者情報の編集</v>
      </c>
    </row>
    <row r="2481" ht="15.75" customHeight="1">
      <c r="A2481" s="1" t="s">
        <v>4705</v>
      </c>
      <c r="B2481" s="1" t="s">
        <v>4706</v>
      </c>
      <c r="C2481" s="1" t="str">
        <f>IFERROR(__xludf.DUMMYFUNCTION("CONCATENATE(GOOGLETRANSLATE(B2481, ""en"", ""zh-cn""))"),"打开新水龙头")</f>
        <v>打开新水龙头</v>
      </c>
      <c r="D2481" s="1" t="str">
        <f>IFERROR(__xludf.DUMMYFUNCTION("CONCATENATE(GOOGLETRANSLATE(B2481, ""en"", ""ko""))"),"새 탭 열기")</f>
        <v>새 탭 열기</v>
      </c>
      <c r="E2481" s="2" t="str">
        <f>IFERROR(__xludf.DUMMYFUNCTION("CONCATENATE(GOOGLETRANSLATE(B2481, ""en"", ""ja""))"),"新しい蛇口を開けます")</f>
        <v>新しい蛇口を開けます</v>
      </c>
    </row>
    <row r="2482" ht="15.75" customHeight="1">
      <c r="A2482" s="1" t="s">
        <v>4707</v>
      </c>
      <c r="B2482" s="1" t="s">
        <v>4708</v>
      </c>
      <c r="C2482" s="1" t="str">
        <f>IFERROR(__xludf.DUMMYFUNCTION("CONCATENATE(GOOGLETRANSLATE(B2482, ""en"", ""zh-cn""))"),"购买时间")</f>
        <v>购买时间</v>
      </c>
      <c r="D2482" s="1" t="str">
        <f>IFERROR(__xludf.DUMMYFUNCTION("CONCATENATE(GOOGLETRANSLATE(B2482, ""en"", ""ko""))"),"구매 시간")</f>
        <v>구매 시간</v>
      </c>
      <c r="E2482" s="2" t="str">
        <f>IFERROR(__xludf.DUMMYFUNCTION("CONCATENATE(GOOGLETRANSLATE(B2482, ""en"", ""ja""))"),"時間を買う")</f>
        <v>時間を買う</v>
      </c>
    </row>
    <row r="2483" ht="15.75" customHeight="1">
      <c r="A2483" s="1" t="s">
        <v>4709</v>
      </c>
      <c r="B2483" s="1" t="s">
        <v>4710</v>
      </c>
      <c r="C2483" s="1" t="str">
        <f>IFERROR(__xludf.DUMMYFUNCTION("CONCATENATE(GOOGLETRANSLATE(B2483, ""en"", ""zh-cn""))"),"过期时间")</f>
        <v>过期时间</v>
      </c>
      <c r="D2483" s="1" t="str">
        <f>IFERROR(__xludf.DUMMYFUNCTION("CONCATENATE(GOOGLETRANSLATE(B2483, ""en"", ""ko""))"),"만료 시간")</f>
        <v>만료 시간</v>
      </c>
      <c r="E2483" s="2" t="str">
        <f>IFERROR(__xludf.DUMMYFUNCTION("CONCATENATE(GOOGLETRANSLATE(B2483, ""en"", ""ja""))"),"有効期限")</f>
        <v>有効期限</v>
      </c>
    </row>
    <row r="2484" ht="15.75" customHeight="1">
      <c r="A2484" s="1" t="s">
        <v>4711</v>
      </c>
      <c r="B2484" s="1" t="s">
        <v>4712</v>
      </c>
      <c r="C2484" s="1" t="str">
        <f>IFERROR(__xludf.DUMMYFUNCTION("CONCATENATE(GOOGLETRANSLATE(B2484, ""en"", ""zh-cn""))"),"剩余促销位")</f>
        <v>剩余促销位</v>
      </c>
      <c r="D2484" s="1" t="str">
        <f>IFERROR(__xludf.DUMMYFUNCTION("CONCATENATE(GOOGLETRANSLATE(B2484, ""en"", ""ko""))"),"남은 프로모션 비트")</f>
        <v>남은 프로모션 비트</v>
      </c>
      <c r="E2484" s="2" t="str">
        <f>IFERROR(__xludf.DUMMYFUNCTION("CONCATENATE(GOOGLETRANSLATE(B2484, ""en"", ""ja""))"),"残りのプロモーションビット")</f>
        <v>残りのプロモーションビット</v>
      </c>
    </row>
    <row r="2485" ht="15.75" customHeight="1">
      <c r="A2485" s="1" t="s">
        <v>4713</v>
      </c>
      <c r="B2485" s="1" t="s">
        <v>4714</v>
      </c>
      <c r="C2485" s="1" t="str">
        <f>IFERROR(__xludf.DUMMYFUNCTION("CONCATENATE(GOOGLETRANSLATE(B2485, ""en"", ""zh-cn""))"),"添加客户服务")</f>
        <v>添加客户服务</v>
      </c>
      <c r="D2485" s="1" t="str">
        <f>IFERROR(__xludf.DUMMYFUNCTION("CONCATENATE(GOOGLETRANSLATE(B2485, ""en"", ""ko""))"),"고객 서비스 추가")</f>
        <v>고객 서비스 추가</v>
      </c>
      <c r="E2485" s="2" t="str">
        <f>IFERROR(__xludf.DUMMYFUNCTION("CONCATENATE(GOOGLETRANSLATE(B2485, ""en"", ""ja""))"),"カスタマーサービスの追加")</f>
        <v>カスタマーサービスの追加</v>
      </c>
    </row>
    <row r="2486" ht="15.75" customHeight="1">
      <c r="A2486" s="1" t="s">
        <v>4715</v>
      </c>
      <c r="B2486" s="1" t="s">
        <v>4716</v>
      </c>
      <c r="C2486" s="1" t="str">
        <f>IFERROR(__xludf.DUMMYFUNCTION("CONCATENATE(GOOGLETRANSLATE(B2486, ""en"", ""zh-cn""))"),"未处理订单金额")</f>
        <v>未处理订单金额</v>
      </c>
      <c r="D2486" s="1" t="str">
        <f>IFERROR(__xludf.DUMMYFUNCTION("CONCATENATE(GOOGLETRANSLATE(B2486, ""en"", ""ko""))"),"처리되지 않은 주문 금액")</f>
        <v>처리되지 않은 주문 금액</v>
      </c>
      <c r="E2486" s="2" t="str">
        <f>IFERROR(__xludf.DUMMYFUNCTION("CONCATENATE(GOOGLETRANSLATE(B2486, ""en"", ""ja""))"),"未処理の注文金額")</f>
        <v>未処理の注文金額</v>
      </c>
    </row>
    <row r="2487" ht="15.75" customHeight="1">
      <c r="A2487" s="1" t="s">
        <v>4717</v>
      </c>
      <c r="B2487" s="1" t="s">
        <v>4718</v>
      </c>
      <c r="C2487" s="1" t="str">
        <f>IFERROR(__xludf.DUMMYFUNCTION("CONCATENATE(GOOGLETRANSLATE(B2487, ""en"", ""zh-cn""))"),"今天订购")</f>
        <v>今天订购</v>
      </c>
      <c r="D2487" s="1" t="str">
        <f>IFERROR(__xludf.DUMMYFUNCTION("CONCATENATE(GOOGLETRANSLATE(B2487, ""en"", ""ko""))"),"오늘 주문하세요")</f>
        <v>오늘 주문하세요</v>
      </c>
      <c r="E2487" s="2" t="str">
        <f>IFERROR(__xludf.DUMMYFUNCTION("CONCATENATE(GOOGLETRANSLATE(B2487, ""en"", ""ja""))"),"今すぐご注文ください")</f>
        <v>今すぐご注文ください</v>
      </c>
    </row>
    <row r="2488" ht="15.75" customHeight="1">
      <c r="A2488" s="1" t="s">
        <v>4719</v>
      </c>
      <c r="B2488" s="1" t="s">
        <v>4720</v>
      </c>
      <c r="C2488" s="1" t="str">
        <f>IFERROR(__xludf.DUMMYFUNCTION("CONCATENATE(GOOGLETRANSLATE(B2488, ""en"", ""zh-cn""))"),"今日总利润")</f>
        <v>今日总利润</v>
      </c>
      <c r="D2488" s="1" t="str">
        <f>IFERROR(__xludf.DUMMYFUNCTION("CONCATENATE(GOOGLETRANSLATE(B2488, ""en"", ""ko""))"),"오늘 총 이익")</f>
        <v>오늘 총 이익</v>
      </c>
      <c r="E2488" s="2" t="str">
        <f>IFERROR(__xludf.DUMMYFUNCTION("CONCATENATE(GOOGLETRANSLATE(B2488, ""en"", ""ja""))"),"今日の総利益")</f>
        <v>今日の総利益</v>
      </c>
    </row>
    <row r="2489" ht="15.75" customHeight="1">
      <c r="A2489" s="1" t="s">
        <v>4721</v>
      </c>
      <c r="B2489" s="1" t="s">
        <v>4722</v>
      </c>
      <c r="C2489" s="1" t="str">
        <f>IFERROR(__xludf.DUMMYFUNCTION("CONCATENATE(GOOGLETRANSLATE(B2489, ""en"", ""zh-cn""))"),"直通车促销")</f>
        <v>直通车促销</v>
      </c>
      <c r="D2489" s="1" t="str">
        <f>IFERROR(__xludf.DUMMYFUNCTION("CONCATENATE(GOOGLETRANSLATE(B2489, ""en"", ""ko""))"),"열차 프로모션을 통해")</f>
        <v>열차 프로모션을 통해</v>
      </c>
      <c r="E2489" s="2" t="str">
        <f>IFERROR(__xludf.DUMMYFUNCTION("CONCATENATE(GOOGLETRANSLATE(B2489, ""en"", ""ja""))"),"鉄道プロモーションを通じて")</f>
        <v>鉄道プロモーションを通じて</v>
      </c>
    </row>
    <row r="2490" ht="15.75" customHeight="1">
      <c r="A2490" s="1" t="s">
        <v>4723</v>
      </c>
      <c r="B2490" s="1" t="s">
        <v>4724</v>
      </c>
      <c r="C2490" s="1" t="str">
        <f>IFERROR(__xludf.DUMMYFUNCTION("CONCATENATE(GOOGLETRANSLATE(B2490, ""en"", ""zh-cn""))"),"最低限度")</f>
        <v>最低限度</v>
      </c>
      <c r="D2490" s="1" t="str">
        <f>IFERROR(__xludf.DUMMYFUNCTION("CONCATENATE(GOOGLETRANSLATE(B2490, ""en"", ""ko""))"),"최저한의")</f>
        <v>최저한의</v>
      </c>
      <c r="E2490" s="2" t="str">
        <f>IFERROR(__xludf.DUMMYFUNCTION("CONCATENATE(GOOGLETRANSLATE(B2490, ""en"", ""ja""))"),"最小")</f>
        <v>最小</v>
      </c>
    </row>
    <row r="2491" ht="15.75" customHeight="1">
      <c r="A2491" s="1" t="s">
        <v>4725</v>
      </c>
      <c r="B2491" s="1" t="s">
        <v>4726</v>
      </c>
      <c r="C2491" s="1" t="str">
        <f>IFERROR(__xludf.DUMMYFUNCTION("CONCATENATE(GOOGLETRANSLATE(B2491, ""en"", ""zh-cn""))"),"最大限度")</f>
        <v>最大限度</v>
      </c>
      <c r="D2491" s="1" t="str">
        <f>IFERROR(__xludf.DUMMYFUNCTION("CONCATENATE(GOOGLETRANSLATE(B2491, ""en"", ""ko""))"),"최고")</f>
        <v>최고</v>
      </c>
      <c r="E2491" s="2" t="str">
        <f>IFERROR(__xludf.DUMMYFUNCTION("CONCATENATE(GOOGLETRANSLATE(B2491, ""en"", ""ja""))"),"最大")</f>
        <v>最大</v>
      </c>
    </row>
    <row r="2492" ht="15.75" customHeight="1">
      <c r="A2492" s="1" t="s">
        <v>4727</v>
      </c>
      <c r="B2492" s="1" t="s">
        <v>4728</v>
      </c>
      <c r="C2492" s="1" t="str">
        <f>IFERROR(__xludf.DUMMYFUNCTION("CONCATENATE(GOOGLETRANSLATE(B2492, ""en"", ""zh-cn""))"),"选择随机产品")</f>
        <v>选择随机产品</v>
      </c>
      <c r="D2492" s="1" t="str">
        <f>IFERROR(__xludf.DUMMYFUNCTION("CONCATENATE(GOOGLETRANSLATE(B2492, ""en"", ""ko""))"),"무작위로 제품을 선택하세요")</f>
        <v>무작위로 제품을 선택하세요</v>
      </c>
      <c r="E2492" s="2" t="str">
        <f>IFERROR(__xludf.DUMMYFUNCTION("CONCATENATE(GOOGLETRANSLATE(B2492, ""en"", ""ja""))"),"ランダムな商品を選択")</f>
        <v>ランダムな商品を選択</v>
      </c>
    </row>
    <row r="2493" ht="15.75" customHeight="1">
      <c r="A2493" s="1" t="s">
        <v>4729</v>
      </c>
      <c r="B2493" s="1" t="s">
        <v>4730</v>
      </c>
      <c r="C2493" s="1" t="str">
        <f>IFERROR(__xludf.DUMMYFUNCTION("CONCATENATE(GOOGLETRANSLATE(B2493, ""en"", ""zh-cn""))"),"之前金额")</f>
        <v>之前金额</v>
      </c>
      <c r="D2493" s="1" t="str">
        <f>IFERROR(__xludf.DUMMYFUNCTION("CONCATENATE(GOOGLETRANSLATE(B2493, ""en"", ""ko""))"),"이전 금액")</f>
        <v>이전 금액</v>
      </c>
      <c r="E2493" s="2" t="str">
        <f>IFERROR(__xludf.DUMMYFUNCTION("CONCATENATE(GOOGLETRANSLATE(B2493, ""en"", ""ja""))"),"前の金額")</f>
        <v>前の金額</v>
      </c>
    </row>
    <row r="2494" ht="15.75" customHeight="1">
      <c r="A2494" s="1" t="s">
        <v>4731</v>
      </c>
      <c r="B2494" s="1" t="s">
        <v>4732</v>
      </c>
      <c r="C2494" s="1" t="str">
        <f>IFERROR(__xludf.DUMMYFUNCTION("CONCATENATE(GOOGLETRANSLATE(B2494, ""en"", ""zh-cn""))"),"之后的金额")</f>
        <v>之后的金额</v>
      </c>
      <c r="D2494" s="1" t="str">
        <f>IFERROR(__xludf.DUMMYFUNCTION("CONCATENATE(GOOGLETRANSLATE(B2494, ""en"", ""ko""))"),"이후 금액")</f>
        <v>이후 금액</v>
      </c>
      <c r="E2494" s="2" t="str">
        <f>IFERROR(__xludf.DUMMYFUNCTION("CONCATENATE(GOOGLETRANSLATE(B2494, ""en"", ""ja""))"),"後の金額")</f>
        <v>後の金額</v>
      </c>
    </row>
    <row r="2495" ht="15.75" customHeight="1">
      <c r="A2495" s="1" t="s">
        <v>4733</v>
      </c>
      <c r="B2495" s="1" t="s">
        <v>4734</v>
      </c>
      <c r="C2495" s="1" t="str">
        <f>IFERROR(__xludf.DUMMYFUNCTION("CONCATENATE(GOOGLETRANSLATE(B2495, ""en"", ""zh-cn""))"),"您的查询已成功提交")</f>
        <v>您的查询已成功提交</v>
      </c>
      <c r="D2495" s="1" t="str">
        <f>IFERROR(__xludf.DUMMYFUNCTION("CONCATENATE(GOOGLETRANSLATE(B2495, ""en"", ""ko""))"),"귀하의 쿼리가 성공적으로 제출되었습니다")</f>
        <v>귀하의 쿼리가 성공적으로 제출되었습니다</v>
      </c>
      <c r="E2495" s="2" t="str">
        <f>IFERROR(__xludf.DUMMYFUNCTION("CONCATENATE(GOOGLETRANSLATE(B2495, ""en"", ""ja""))"),"クエリは正常に送信されました")</f>
        <v>クエリは正常に送信されました</v>
      </c>
    </row>
    <row r="2496" ht="15.75" customHeight="1">
      <c r="A2496" s="1" t="s">
        <v>4735</v>
      </c>
      <c r="B2496" s="1" t="s">
        <v>4736</v>
      </c>
      <c r="C2496" s="1" t="str">
        <f>IFERROR(__xludf.DUMMYFUNCTION("CONCATENATE(GOOGLETRANSLATE(B2496, ""en"", ""zh-cn""))"),"我的问题")</f>
        <v>我的问题</v>
      </c>
      <c r="D2496" s="1" t="str">
        <f>IFERROR(__xludf.DUMMYFUNCTION("CONCATENATE(GOOGLETRANSLATE(B2496, ""en"", ""ko""))"),"내 질문")</f>
        <v>내 질문</v>
      </c>
      <c r="E2496" s="2" t="str">
        <f>IFERROR(__xludf.DUMMYFUNCTION("CONCATENATE(GOOGLETRANSLATE(B2496, ""en"", ""ja""))"),"私の質問")</f>
        <v>私の質問</v>
      </c>
    </row>
    <row r="2497" ht="15.75" customHeight="1">
      <c r="A2497" s="1" t="s">
        <v>4737</v>
      </c>
      <c r="B2497" s="1" t="s">
        <v>4738</v>
      </c>
      <c r="C2497" s="1" t="str">
        <f>IFERROR(__xludf.DUMMYFUNCTION("CONCATENATE(GOOGLETRANSLATE(B2497, ""en"", ""zh-cn""))"),"卖家尚未回复")</f>
        <v>卖家尚未回复</v>
      </c>
      <c r="D2497" s="1" t="str">
        <f>IFERROR(__xludf.DUMMYFUNCTION("CONCATENATE(GOOGLETRANSLATE(B2497, ""en"", ""ko""))"),"판매자가 아직 응답하지 않았습니다.")</f>
        <v>판매자가 아직 응답하지 않았습니다.</v>
      </c>
      <c r="E2497" s="2" t="str">
        <f>IFERROR(__xludf.DUMMYFUNCTION("CONCATENATE(GOOGLETRANSLATE(B2497, ""en"", ""ja""))"),"販売者はまだ応答していません")</f>
        <v>販売者はまだ応答していません</v>
      </c>
    </row>
    <row r="2498" ht="15.75" customHeight="1">
      <c r="A2498" s="1" t="s">
        <v>4739</v>
      </c>
      <c r="B2498" s="1" t="s">
        <v>4740</v>
      </c>
      <c r="C2498" s="1" t="str">
        <f>IFERROR(__xludf.DUMMYFUNCTION("CONCATENATE(GOOGLETRANSLATE(B2498, ""en"", ""zh-cn""))"),"QA003")</f>
        <v>QA003</v>
      </c>
      <c r="D2498" s="1" t="str">
        <f>IFERROR(__xludf.DUMMYFUNCTION("CONCATENATE(GOOGLETRANSLATE(B2498, ""en"", ""ko""))"),"QA003")</f>
        <v>QA003</v>
      </c>
      <c r="E2498" s="2" t="str">
        <f>IFERROR(__xludf.DUMMYFUNCTION("CONCATENATE(GOOGLETRANSLATE(B2498, ""en"", ""ja""))"),"QA003")</f>
        <v>QA003</v>
      </c>
    </row>
    <row r="2499" ht="15.75" customHeight="1">
      <c r="A2499" s="1" t="s">
        <v>4741</v>
      </c>
      <c r="B2499" s="1" t="s">
        <v>4742</v>
      </c>
      <c r="C2499" s="1" t="str">
        <f>IFERROR(__xludf.DUMMYFUNCTION("CONCATENATE(GOOGLETRANSLATE(B2499, ""en"", ""zh-cn""))"),"Bukefuno GAN 12 Maglev 3x3 磁性魔方 GAN12Maglev Speed GAN 12Maglev 拼图魔方 GAN12 Maglev 3x3 魔方（磨砂表面无贴纸）")</f>
        <v>Bukefuno GAN 12 Maglev 3x3 磁性魔方 GAN12Maglev Speed GAN 12Maglev 拼图魔方 GAN12 Maglev 3x3 魔方（磨砂表面无贴纸）</v>
      </c>
      <c r="D2499" s="1" t="str">
        <f>IFERROR(__xludf.DUMMYFUNCTION("CONCATENATE(GOOGLETRANSLATE(B2499, ""en"", ""ko""))"),"Bukefuno GAN 12 자기 부상 3x3 자기 매직 큐브 GAN12Maglev 속도 GAN 12 자기 부상 퍼즐 매직 큐브 GAN12 자기 부상 3x3 큐브(반투명 표면 스티커 없음)")</f>
        <v>Bukefuno GAN 12 자기 부상 3x3 자기 매직 큐브 GAN12Maglev 속도 GAN 12 자기 부상 퍼즐 매직 큐브 GAN12 자기 부상 3x3 큐브(반투명 표면 스티커 없음)</v>
      </c>
      <c r="E2499" s="2" t="str">
        <f>IFERROR(__xludf.DUMMYFUNCTION("CONCATENATE(GOOGLETRANSLATE(B2499, ""en"", ""ja""))"),"Bukefuno GAN 12 Maglev 3x3 Magnetic Magic Cube GAN12Maglev Speed GAN 12Maglev Puzzle Magic Cubes GAN12 Maglev 3x3 Cube (つや消し表面ステッカーなし)")</f>
        <v>Bukefuno GAN 12 Maglev 3x3 Magnetic Magic Cube GAN12Maglev Speed GAN 12Maglev Puzzle Magic Cubes GAN12 Maglev 3x3 Cube (つや消し表面ステッカーなし)</v>
      </c>
    </row>
    <row r="2500" ht="15.75" customHeight="1">
      <c r="A2500" s="1" t="s">
        <v>4743</v>
      </c>
      <c r="B2500" s="1" t="s">
        <v>4744</v>
      </c>
      <c r="C2500" s="1" t="str">
        <f>IFERROR(__xludf.DUMMYFUNCTION("CONCATENATE(GOOGLETRANSLATE(B2500, ""en"", ""zh-cn""))"),"多少？")</f>
        <v>多少？</v>
      </c>
      <c r="D2500" s="1" t="str">
        <f>IFERROR(__xludf.DUMMYFUNCTION("CONCATENATE(GOOGLETRANSLATE(B2500, ""en"", ""ko""))"),"얼마나 많이?")</f>
        <v>얼마나 많이?</v>
      </c>
      <c r="E2500" s="2" t="str">
        <f>IFERROR(__xludf.DUMMYFUNCTION("CONCATENATE(GOOGLETRANSLATE(B2500, ""en"", ""ja""))"),"いくら？")</f>
        <v>いくら？</v>
      </c>
    </row>
    <row r="2501" ht="15.75" customHeight="1">
      <c r="A2501" s="1" t="s">
        <v>4745</v>
      </c>
      <c r="B2501" s="1" t="s">
        <v>4746</v>
      </c>
      <c r="C2501" s="1" t="str">
        <f>IFERROR(__xludf.DUMMYFUNCTION("CONCATENATE(GOOGLETRANSLATE(B2501, ""en"", ""zh-cn""))"),"未回复")</f>
        <v>未回复</v>
      </c>
      <c r="D2501" s="1" t="str">
        <f>IFERROR(__xludf.DUMMYFUNCTION("CONCATENATE(GOOGLETRANSLATE(B2501, ""en"", ""ko""))"),"응답하지 않음")</f>
        <v>응답하지 않음</v>
      </c>
      <c r="E2501" s="2" t="str">
        <f>IFERROR(__xludf.DUMMYFUNCTION("CONCATENATE(GOOGLETRANSLATE(B2501, ""en"", ""ja""))"),"返信なし")</f>
        <v>返信なし</v>
      </c>
    </row>
    <row r="2502" ht="15.75" customHeight="1">
      <c r="A2502" s="1" t="s">
        <v>4747</v>
      </c>
      <c r="B2502" s="1" t="s">
        <v>4748</v>
      </c>
      <c r="C2502" s="1" t="str">
        <f>IFERROR(__xludf.DUMMYFUNCTION("CONCATENATE(GOOGLETRANSLATE(B2502, ""en"", ""zh-cn""))"),"回复成功！")</f>
        <v>回复成功！</v>
      </c>
      <c r="D2502" s="1" t="str">
        <f>IFERROR(__xludf.DUMMYFUNCTION("CONCATENATE(GOOGLETRANSLATE(B2502, ""en"", ""ko""))"),"성공적으로 응답했습니다!")</f>
        <v>성공적으로 응답했습니다!</v>
      </c>
      <c r="E2502" s="2" t="str">
        <f>IFERROR(__xludf.DUMMYFUNCTION("CONCATENATE(GOOGLETRANSLATE(B2502, ""en"", ""ja""))"),"無事返信完了しました！")</f>
        <v>無事返信完了しました！</v>
      </c>
    </row>
    <row r="2503" ht="15.75" customHeight="1">
      <c r="A2503" s="1" t="s">
        <v>4749</v>
      </c>
      <c r="B2503" s="1" t="s">
        <v>4750</v>
      </c>
      <c r="C2503" s="1" t="str">
        <f>IFERROR(__xludf.DUMMYFUNCTION("CONCATENATE(GOOGLETRANSLATE(B2503, ""en"", ""zh-cn""))"),"谢谢亲爱的顾客。该产品200$")</f>
        <v>谢谢亲爱的顾客。该产品200$</v>
      </c>
      <c r="D2503" s="1" t="str">
        <f>IFERROR(__xludf.DUMMYFUNCTION("CONCATENATE(GOOGLETRANSLATE(B2503, ""en"", ""ko""))"),"사랑하는 고객님 감사합니다. 이 제품은 200$")</f>
        <v>사랑하는 고객님 감사합니다. 이 제품은 200$</v>
      </c>
      <c r="E2503" s="2" t="str">
        <f>IFERROR(__xludf.DUMMYFUNCTION("CONCATENATE(GOOGLETRANSLATE(B2503, ""en"", ""ja""))"),"愛するお客様、ありがとう。この商品は200ドル")</f>
        <v>愛するお客様、ありがとう。この商品は200ドル</v>
      </c>
    </row>
    <row r="2504" ht="15.75" customHeight="1">
      <c r="A2504" s="1" t="s">
        <v>4751</v>
      </c>
      <c r="B2504" s="1" t="s">
        <v>4752</v>
      </c>
      <c r="C2504" s="1" t="str">
        <f>IFERROR(__xludf.DUMMYFUNCTION("CONCATENATE(GOOGLETRANSLATE(B2504, ""en"", ""zh-cn""))"),"已回复")</f>
        <v>已回复</v>
      </c>
      <c r="D2504" s="1" t="str">
        <f>IFERROR(__xludf.DUMMYFUNCTION("CONCATENATE(GOOGLETRANSLATE(B2504, ""en"", ""ko""))"),"답변됨")</f>
        <v>답변됨</v>
      </c>
      <c r="E2504" s="2" t="str">
        <f>IFERROR(__xludf.DUMMYFUNCTION("CONCATENATE(GOOGLETRANSLATE(B2504, ""en"", ""ja""))"),"返信しました")</f>
        <v>返信しました</v>
      </c>
    </row>
    <row r="2505" ht="15.75" customHeight="1">
      <c r="A2505" s="1" t="s">
        <v>4753</v>
      </c>
      <c r="B2505" s="1" t="s">
        <v>4754</v>
      </c>
      <c r="C2505" s="1" t="str">
        <f>IFERROR(__xludf.DUMMYFUNCTION("CONCATENATE(GOOGLETRANSLATE(B2505, ""en"", ""zh-cn""))"),"你想要吗？")</f>
        <v>你想要吗？</v>
      </c>
      <c r="D2505" s="1" t="str">
        <f>IFERROR(__xludf.DUMMYFUNCTION("CONCATENATE(GOOGLETRANSLATE(B2505, ""en"", ""ko""))"),"당신은 그것을 원하십니까?")</f>
        <v>당신은 그것을 원하십니까?</v>
      </c>
      <c r="E2505" s="2" t="str">
        <f>IFERROR(__xludf.DUMMYFUNCTION("CONCATENATE(GOOGLETRANSLATE(B2505, ""en"", ""ja""))"),"欲しいですか？")</f>
        <v>欲しいですか？</v>
      </c>
    </row>
    <row r="2506" ht="15.75" customHeight="1">
      <c r="A2506" s="1" t="s">
        <v>4755</v>
      </c>
      <c r="B2506" s="1" t="s">
        <v>4756</v>
      </c>
      <c r="C2506" s="1" t="str">
        <f>IFERROR(__xludf.DUMMYFUNCTION("CONCATENATE(GOOGLETRANSLATE(B2506, ""en"", ""zh-cn""))"),"未回复")</f>
        <v>未回复</v>
      </c>
      <c r="D2506" s="1" t="str">
        <f>IFERROR(__xludf.DUMMYFUNCTION("CONCATENATE(GOOGLETRANSLATE(B2506, ""en"", ""ko""))"),"응답하지 않음")</f>
        <v>응답하지 않음</v>
      </c>
      <c r="E2506" s="2" t="str">
        <f>IFERROR(__xludf.DUMMYFUNCTION("CONCATENATE(GOOGLETRANSLATE(B2506, ""en"", ""ja""))"),"未返信")</f>
        <v>未返信</v>
      </c>
    </row>
    <row r="2507" ht="15.75" customHeight="1">
      <c r="A2507" s="1" t="s">
        <v>4757</v>
      </c>
      <c r="B2507" s="1" t="s">
        <v>4758</v>
      </c>
      <c r="C2507" s="1" t="str">
        <f>IFERROR(__xludf.DUMMYFUNCTION("CONCATENATE(GOOGLETRANSLATE(B2507, ""en"", ""zh-cn""))"),"回复成功")</f>
        <v>回复成功</v>
      </c>
      <c r="D2507" s="1" t="str">
        <f>IFERROR(__xludf.DUMMYFUNCTION("CONCATENATE(GOOGLETRANSLATE(B2507, ""en"", ""ko""))"),"성공적으로 회신")</f>
        <v>성공적으로 회신</v>
      </c>
      <c r="E2507" s="2" t="str">
        <f>IFERROR(__xludf.DUMMYFUNCTION("CONCATENATE(GOOGLETRANSLATE(B2507, ""en"", ""ja""))"),"正常に返信しました")</f>
        <v>正常に返信しました</v>
      </c>
    </row>
    <row r="2508" ht="15.75" customHeight="1">
      <c r="A2508" s="1" t="s">
        <v>4759</v>
      </c>
      <c r="B2508" s="1" t="s">
        <v>4760</v>
      </c>
      <c r="C2508" s="1" t="str">
        <f>IFERROR(__xludf.DUMMYFUNCTION("CONCATENATE(GOOGLETRANSLATE(B2508, ""en"", ""zh-cn""))"),"现已验证")</f>
        <v>现已验证</v>
      </c>
      <c r="D2508" s="1" t="str">
        <f>IFERROR(__xludf.DUMMYFUNCTION("CONCATENATE(GOOGLETRANSLATE(B2508, ""en"", ""ko""))"),"지금 확인됨")</f>
        <v>지금 확인됨</v>
      </c>
      <c r="E2508" s="2" t="str">
        <f>IFERROR(__xludf.DUMMYFUNCTION("CONCATENATE(GOOGLETRANSLATE(B2508, ""en"", ""ja""))"),"現在確認済み")</f>
        <v>現在確認済み</v>
      </c>
    </row>
    <row r="2509" ht="15.75" customHeight="1">
      <c r="A2509" s="1" t="s">
        <v>4761</v>
      </c>
      <c r="B2509" s="1" t="s">
        <v>4762</v>
      </c>
      <c r="C2509" s="1" t="str">
        <f>IFERROR(__xludf.DUMMYFUNCTION("CONCATENATE(GOOGLETRANSLATE(B2509, ""en"", ""zh-cn""))"),"后端卖家成本平衡")</f>
        <v>后端卖家成本平衡</v>
      </c>
      <c r="D2509" s="1" t="str">
        <f>IFERROR(__xludf.DUMMYFUNCTION("CONCATENATE(GOOGLETRANSLATE(B2509, ""en"", ""ko""))"),"백엔드 판매자 비용 잔액")</f>
        <v>백엔드 판매자 비용 잔액</v>
      </c>
      <c r="E2509" s="2" t="str">
        <f>IFERROR(__xludf.DUMMYFUNCTION("CONCATENATE(GOOGLETRANSLATE(B2509, ""en"", ""ja""))"),"バックエンド販売者のコストバランス")</f>
        <v>バックエンド販売者のコストバランス</v>
      </c>
    </row>
    <row r="2510" ht="15.75" customHeight="1">
      <c r="A2510" s="1" t="s">
        <v>4763</v>
      </c>
      <c r="B2510" s="1" t="s">
        <v>4764</v>
      </c>
      <c r="C2510" s="1" t="str">
        <f>IFERROR(__xludf.DUMMYFUNCTION("CONCATENATE(GOOGLETRANSLATE(B2510, ""en"", ""zh-cn""))"),"属性已成功更新")</f>
        <v>属性已成功更新</v>
      </c>
      <c r="D2510" s="1" t="str">
        <f>IFERROR(__xludf.DUMMYFUNCTION("CONCATENATE(GOOGLETRANSLATE(B2510, ""en"", ""ko""))"),"속성이 성공적으로 업데이트되었습니다.")</f>
        <v>속성이 성공적으로 업데이트되었습니다.</v>
      </c>
      <c r="E2510" s="2" t="str">
        <f>IFERROR(__xludf.DUMMYFUNCTION("CONCATENATE(GOOGLETRANSLATE(B2510, ""en"", ""ja""))"),"属性が正常に更新されました")</f>
        <v>属性が正常に更新されました</v>
      </c>
    </row>
    <row r="2511" ht="15.75" customHeight="1">
      <c r="A2511" s="1" t="s">
        <v>4765</v>
      </c>
      <c r="B2511" s="1" t="s">
        <v>4766</v>
      </c>
      <c r="C2511" s="1" t="str">
        <f>IFERROR(__xludf.DUMMYFUNCTION("CONCATENATE(GOOGLETRANSLATE(B2511, ""en"", ""zh-cn""))"),"颜色已成功插入")</f>
        <v>颜色已成功插入</v>
      </c>
      <c r="D2511" s="1" t="str">
        <f>IFERROR(__xludf.DUMMYFUNCTION("CONCATENATE(GOOGLETRANSLATE(B2511, ""en"", ""ko""))"),"색상이 성공적으로 삽입되었습니다.")</f>
        <v>색상이 성공적으로 삽입되었습니다.</v>
      </c>
      <c r="E2511" s="2" t="str">
        <f>IFERROR(__xludf.DUMMYFUNCTION("CONCATENATE(GOOGLETRANSLATE(B2511, ""en"", ""ja""))"),"色が正常に挿入されました")</f>
        <v>色が正常に挿入されました</v>
      </c>
    </row>
    <row r="2512" ht="15.75" customHeight="1">
      <c r="A2512" s="1" t="s">
        <v>4767</v>
      </c>
      <c r="B2512" s="1" t="s">
        <v>4768</v>
      </c>
      <c r="C2512" s="1" t="str">
        <f>IFERROR(__xludf.DUMMYFUNCTION("CONCATENATE(GOOGLETRANSLATE(B2512, ""en"", ""zh-cn""))"),"颜色已成功更新")</f>
        <v>颜色已成功更新</v>
      </c>
      <c r="D2512" s="1" t="str">
        <f>IFERROR(__xludf.DUMMYFUNCTION("CONCATENATE(GOOGLETRANSLATE(B2512, ""en"", ""ko""))"),"색상이 성공적으로 업데이트되었습니다.")</f>
        <v>색상이 성공적으로 업데이트되었습니다.</v>
      </c>
      <c r="E2512" s="2" t="str">
        <f>IFERROR(__xludf.DUMMYFUNCTION("CONCATENATE(GOOGLETRANSLATE(B2512, ""en"", ""ja""))"),"色は正常に更新されました")</f>
        <v>色は正常に更新されました</v>
      </c>
    </row>
    <row r="2513" ht="15.75" customHeight="1">
      <c r="A2513" s="1" t="s">
        <v>4769</v>
      </c>
      <c r="B2513" s="1" t="s">
        <v>4770</v>
      </c>
      <c r="C2513" s="1" t="str">
        <f>IFERROR(__xludf.DUMMYFUNCTION("CONCATENATE(GOOGLETRANSLATE(B2513, ""en"", ""zh-cn""))"),"业务员邀请函")</f>
        <v>业务员邀请函</v>
      </c>
      <c r="D2513" s="1" t="str">
        <f>IFERROR(__xludf.DUMMYFUNCTION("CONCATENATE(GOOGLETRANSLATE(B2513, ""en"", ""ko""))"),"세일즈맨 초대")</f>
        <v>세일즈맨 초대</v>
      </c>
      <c r="E2513" s="2" t="str">
        <f>IFERROR(__xludf.DUMMYFUNCTION("CONCATENATE(GOOGLETRANSLATE(B2513, ""en"", ""ja""))"),"セールスマンの招待状")</f>
        <v>セールスマンの招待状</v>
      </c>
    </row>
    <row r="2514" ht="15.75" customHeight="1">
      <c r="A2514" s="1" t="s">
        <v>4771</v>
      </c>
      <c r="B2514" s="1" t="s">
        <v>4772</v>
      </c>
      <c r="C2514" s="1" t="str">
        <f>IFERROR(__xludf.DUMMYFUNCTION("CONCATENATE(GOOGLETRANSLATE(B2514, ""en"", ""zh-cn""))"),"状态已插入成功")</f>
        <v>状态已插入成功</v>
      </c>
      <c r="D2514" s="1" t="str">
        <f>IFERROR(__xludf.DUMMYFUNCTION("CONCATENATE(GOOGLETRANSLATE(B2514, ""en"", ""ko""))"),"상태가 성공적으로 삽입되었습니다.")</f>
        <v>상태가 성공적으로 삽입되었습니다.</v>
      </c>
      <c r="E2514" s="2" t="str">
        <f>IFERROR(__xludf.DUMMYFUNCTION("CONCATENATE(GOOGLETRANSLATE(B2514, ""en"", ""ja""))"),"状態が正常に挿入されました")</f>
        <v>状態が正常に挿入されました</v>
      </c>
    </row>
    <row r="2515" ht="15.75" customHeight="1">
      <c r="A2515" s="1" t="s">
        <v>4773</v>
      </c>
      <c r="B2515" s="1" t="s">
        <v>4774</v>
      </c>
      <c r="C2515" s="1" t="str">
        <f>IFERROR(__xludf.DUMMYFUNCTION("CONCATENATE(GOOGLETRANSLATE(B2515, ""en"", ""zh-cn""))"),"人员已成功删除")</f>
        <v>人员已成功删除</v>
      </c>
      <c r="D2515" s="1" t="str">
        <f>IFERROR(__xludf.DUMMYFUNCTION("CONCATENATE(GOOGLETRANSLATE(B2515, ""en"", ""ko""))"),"직원이 성공적으로 삭제되었습니다")</f>
        <v>직원이 성공적으로 삭제되었습니다</v>
      </c>
      <c r="E2515" s="2" t="str">
        <f>IFERROR(__xludf.DUMMYFUNCTION("CONCATENATE(GOOGLETRANSLATE(B2515, ""en"", ""ja""))"),"スタッフは正常に削除されました")</f>
        <v>スタッフは正常に削除されました</v>
      </c>
    </row>
    <row r="2516" ht="15.75" customHeight="1">
      <c r="A2516" s="1" t="s">
        <v>4775</v>
      </c>
      <c r="B2516" s="1" t="s">
        <v>4776</v>
      </c>
      <c r="C2516" s="1" t="str">
        <f>IFERROR(__xludf.DUMMYFUNCTION("CONCATENATE(GOOGLETRANSLATE(B2516, ""en"", ""zh-cn""))"),"金额（美元）")</f>
        <v>金额（美元）</v>
      </c>
      <c r="D2516" s="1" t="str">
        <f>IFERROR(__xludf.DUMMYFUNCTION("CONCATENATE(GOOGLETRANSLATE(B2516, ""en"", ""ko""))"),"금액(USD)")</f>
        <v>금액(USD)</v>
      </c>
      <c r="E2516" s="2" t="str">
        <f>IFERROR(__xludf.DUMMYFUNCTION("CONCATENATE(GOOGLETRANSLATE(B2516, ""en"", ""ja""))"),"金額(米ドル)")</f>
        <v>金額(米ドル)</v>
      </c>
    </row>
    <row r="2517" ht="15.75" customHeight="1">
      <c r="A2517" s="1" t="s">
        <v>4777</v>
      </c>
      <c r="B2517" s="1" t="s">
        <v>4778</v>
      </c>
      <c r="C2517" s="1" t="str">
        <f>IFERROR(__xludf.DUMMYFUNCTION("CONCATENATE(GOOGLETRANSLATE(B2517, ""en"", ""zh-cn""))"),"订单号")</f>
        <v>订单号</v>
      </c>
      <c r="D2517" s="1" t="str">
        <f>IFERROR(__xludf.DUMMYFUNCTION("CONCATENATE(GOOGLETRANSLATE(B2517, ""en"", ""ko""))"),"주문 번호")</f>
        <v>주문 번호</v>
      </c>
      <c r="E2517" s="2" t="str">
        <f>IFERROR(__xludf.DUMMYFUNCTION("CONCATENATE(GOOGLETRANSLATE(B2517, ""en"", ""ja""))"),"注文番号")</f>
        <v>注文番号</v>
      </c>
    </row>
    <row r="2518" ht="15.75" customHeight="1">
      <c r="A2518" s="1" t="s">
        <v>4779</v>
      </c>
      <c r="B2518" s="1" t="s">
        <v>4780</v>
      </c>
      <c r="C2518" s="1" t="str">
        <f>IFERROR(__xludf.DUMMYFUNCTION("CONCATENATE(GOOGLETRANSLATE(B2518, ""en"", ""zh-cn""))"),"今日订单")</f>
        <v>今日订单</v>
      </c>
      <c r="D2518" s="1" t="str">
        <f>IFERROR(__xludf.DUMMYFUNCTION("CONCATENATE(GOOGLETRANSLATE(B2518, ""en"", ""ko""))"),"오늘 주문")</f>
        <v>오늘 주문</v>
      </c>
      <c r="E2518" s="2" t="str">
        <f>IFERROR(__xludf.DUMMYFUNCTION("CONCATENATE(GOOGLETRANSLATE(B2518, ""en"", ""ja""))"),"今日の注文")</f>
        <v>今日の注文</v>
      </c>
    </row>
    <row r="2519" ht="15.75" customHeight="1">
      <c r="A2519" s="1" t="s">
        <v>4781</v>
      </c>
      <c r="B2519" s="1" t="s">
        <v>4782</v>
      </c>
      <c r="C2519" s="1" t="str">
        <f>IFERROR(__xludf.DUMMYFUNCTION("CONCATENATE(GOOGLETRANSLATE(B2519, ""en"", ""zh-cn""))"),"批量操作")</f>
        <v>批量操作</v>
      </c>
      <c r="D2519" s="1" t="str">
        <f>IFERROR(__xludf.DUMMYFUNCTION("CONCATENATE(GOOGLETRANSLATE(B2519, ""en"", ""ko""))"),"대량 작업")</f>
        <v>대량 작업</v>
      </c>
      <c r="E2519" s="2" t="str">
        <f>IFERROR(__xludf.DUMMYFUNCTION("CONCATENATE(GOOGLETRANSLATE(B2519, ""en"", ""ja""))"),"一括アクション")</f>
        <v>一括アクション</v>
      </c>
    </row>
    <row r="2520" ht="15.75" customHeight="1">
      <c r="A2520" s="1" t="s">
        <v>4783</v>
      </c>
      <c r="B2520" s="1" t="s">
        <v>4784</v>
      </c>
      <c r="C2520" s="1" t="str">
        <f>IFERROR(__xludf.DUMMYFUNCTION("CONCATENATE(GOOGLETRANSLATE(B2520, ""en"", ""zh-cn""))"),"付款金额必须大于 0.00 美元！")</f>
        <v>付款金额必须大于 0.00 美元！</v>
      </c>
      <c r="D2520" s="1" t="str">
        <f>IFERROR(__xludf.DUMMYFUNCTION("CONCATENATE(GOOGLETRANSLATE(B2520, ""en"", ""ko""))"),"결제 금액은 $0.00 이상이어야 합니다!")</f>
        <v>결제 금액은 $0.00 이상이어야 합니다!</v>
      </c>
      <c r="E2520" s="2" t="str">
        <f>IFERROR(__xludf.DUMMYFUNCTION("CONCATENATE(GOOGLETRANSLATE(B2520, ""en"", ""ja""))"),"お支払い金額は $0.00 より大きい必要があります。")</f>
        <v>お支払い金額は $0.00 より大きい必要があります。</v>
      </c>
    </row>
    <row r="2521" ht="15.75" customHeight="1">
      <c r="A2521" s="1" t="s">
        <v>4785</v>
      </c>
      <c r="B2521" s="1" t="s">
        <v>4786</v>
      </c>
      <c r="C2521" s="1" t="str">
        <f>IFERROR(__xludf.DUMMYFUNCTION("CONCATENATE(GOOGLETRANSLATE(B2521, ""en"", ""zh-cn""))"),"封禁原因")</f>
        <v>封禁原因</v>
      </c>
      <c r="D2521" s="1" t="str">
        <f>IFERROR(__xludf.DUMMYFUNCTION("CONCATENATE(GOOGLETRANSLATE(B2521, ""en"", ""ko""))"),"금지 이유")</f>
        <v>금지 이유</v>
      </c>
      <c r="E2521" s="2" t="str">
        <f>IFERROR(__xludf.DUMMYFUNCTION("CONCATENATE(GOOGLETRANSLATE(B2521, ""en"", ""ja""))"),"禁止理由")</f>
        <v>禁止理由</v>
      </c>
    </row>
    <row r="2522" ht="15.75" customHeight="1">
      <c r="A2522" s="1" t="s">
        <v>4787</v>
      </c>
      <c r="B2522" s="1" t="s">
        <v>4788</v>
      </c>
      <c r="C2522" s="1" t="str">
        <f>IFERROR(__xludf.DUMMYFUNCTION("CONCATENATE(GOOGLETRANSLATE(B2522, ""en"", ""zh-cn""))"),"更新成功")</f>
        <v>更新成功</v>
      </c>
      <c r="D2522" s="1" t="str">
        <f>IFERROR(__xludf.DUMMYFUNCTION("CONCATENATE(GOOGLETRANSLATE(B2522, ""en"", ""ko""))"),"업데이트가 성공적으로 완료되었습니다.")</f>
        <v>업데이트가 성공적으로 완료되었습니다.</v>
      </c>
      <c r="E2522" s="2" t="str">
        <f>IFERROR(__xludf.DUMMYFUNCTION("CONCATENATE(GOOGLETRANSLATE(B2522, ""en"", ""ja""))"),"正常に更新されました")</f>
        <v>正常に更新されました</v>
      </c>
    </row>
    <row r="2523" ht="15.75" customHeight="1">
      <c r="A2523" s="1" t="s">
        <v>4789</v>
      </c>
      <c r="B2523" s="1" t="s">
        <v>4790</v>
      </c>
      <c r="C2523" s="1" t="str">
        <f>IFERROR(__xludf.DUMMYFUNCTION("CONCATENATE(GOOGLETRANSLATE(B2523, ""en"", ""zh-cn""))"),"机器收银员")</f>
        <v>机器收银员</v>
      </c>
      <c r="D2523" s="1" t="str">
        <f>IFERROR(__xludf.DUMMYFUNCTION("CONCATENATE(GOOGLETRANSLATE(B2523, ""en"", ""ko""))"),"기계 출납원")</f>
        <v>기계 출납원</v>
      </c>
      <c r="E2523" s="2" t="str">
        <f>IFERROR(__xludf.DUMMYFUNCTION("CONCATENATE(GOOGLETRANSLATE(B2523, ""en"", ""ja""))"),"マシンレジ")</f>
        <v>マシンレジ</v>
      </c>
    </row>
    <row r="2524" ht="15.75" customHeight="1">
      <c r="A2524" s="1" t="s">
        <v>4791</v>
      </c>
      <c r="B2524" s="1" t="s">
        <v>4792</v>
      </c>
      <c r="C2524" s="1" t="str">
        <f>IFERROR(__xludf.DUMMYFUNCTION("CONCATENATE(GOOGLETRANSLATE(B2524, ""en"", ""zh-cn""))"),"卖家下订单")</f>
        <v>卖家下订单</v>
      </c>
      <c r="D2524" s="1" t="str">
        <f>IFERROR(__xludf.DUMMYFUNCTION("CONCATENATE(GOOGLETRANSLATE(B2524, ""en"", ""ko""))"),"판매자 장소 주문")</f>
        <v>판매자 장소 주문</v>
      </c>
      <c r="E2524" s="2" t="str">
        <f>IFERROR(__xludf.DUMMYFUNCTION("CONCATENATE(GOOGLETRANSLATE(B2524, ""en"", ""ja""))"),"販売者が注文する")</f>
        <v>販売者が注文する</v>
      </c>
    </row>
    <row r="2525" ht="15.75" customHeight="1">
      <c r="A2525" s="1" t="s">
        <v>4793</v>
      </c>
      <c r="B2525" s="1" t="s">
        <v>4794</v>
      </c>
      <c r="C2525" s="1" t="str">
        <f>IFERROR(__xludf.DUMMYFUNCTION("CONCATENATE(GOOGLETRANSLATE(B2525, ""en"", ""zh-cn""))"),"商店级购买")</f>
        <v>商店级购买</v>
      </c>
      <c r="D2525" s="1" t="str">
        <f>IFERROR(__xludf.DUMMYFUNCTION("CONCATENATE(GOOGLETRANSLATE(B2525, ""en"", ""ko""))"),"매장 수준 구매")</f>
        <v>매장 수준 구매</v>
      </c>
      <c r="E2525" s="2" t="str">
        <f>IFERROR(__xludf.DUMMYFUNCTION("CONCATENATE(GOOGLETRANSLATE(B2525, ""en"", ""ja""))"),"ショップレベルの購入")</f>
        <v>ショップレベルの購入</v>
      </c>
    </row>
    <row r="2526" ht="15.75" customHeight="1">
      <c r="A2526" s="1" t="s">
        <v>4795</v>
      </c>
      <c r="B2526" s="1" t="s">
        <v>4796</v>
      </c>
      <c r="C2526" s="1" t="str">
        <f>IFERROR(__xludf.DUMMYFUNCTION("CONCATENATE(GOOGLETRANSLATE(B2526, ""en"", ""zh-cn""))"),"火车直购")</f>
        <v>火车直购</v>
      </c>
      <c r="D2526" s="1" t="str">
        <f>IFERROR(__xludf.DUMMYFUNCTION("CONCATENATE(GOOGLETRANSLATE(B2526, ""en"", ""ko""))"),"기차 직접 구매")</f>
        <v>기차 직접 구매</v>
      </c>
      <c r="E2526" s="2" t="str">
        <f>IFERROR(__xludf.DUMMYFUNCTION("CONCATENATE(GOOGLETRANSLATE(B2526, ""en"", ""ja""))"),"電車の直接購入")</f>
        <v>電車の直接購入</v>
      </c>
    </row>
    <row r="2527" ht="15.75" customHeight="1">
      <c r="A2527" s="1" t="s">
        <v>4797</v>
      </c>
      <c r="B2527" s="1" t="s">
        <v>4798</v>
      </c>
      <c r="C2527" s="1" t="str">
        <f>IFERROR(__xludf.DUMMYFUNCTION("CONCATENATE(GOOGLETRANSLATE(B2527, ""en"", ""zh-cn""))"),"统计页面")</f>
        <v>统计页面</v>
      </c>
      <c r="D2527" s="1" t="str">
        <f>IFERROR(__xludf.DUMMYFUNCTION("CONCATENATE(GOOGLETRANSLATE(B2527, ""en"", ""ko""))"),"통계 페이지")</f>
        <v>통계 페이지</v>
      </c>
      <c r="E2527" s="2" t="str">
        <f>IFERROR(__xludf.DUMMYFUNCTION("CONCATENATE(GOOGLETRANSLATE(B2527, ""en"", ""ja""))"),"統計ページ")</f>
        <v>統計ページ</v>
      </c>
    </row>
    <row r="2528" ht="15.75" customHeight="1">
      <c r="A2528" s="1" t="s">
        <v>4799</v>
      </c>
      <c r="B2528" s="1" t="s">
        <v>4800</v>
      </c>
      <c r="C2528" s="1" t="str">
        <f>IFERROR(__xludf.DUMMYFUNCTION("CONCATENATE(GOOGLETRANSLATE(B2528, ""en"", ""zh-cn""))"),"平衡日志")</f>
        <v>平衡日志</v>
      </c>
      <c r="D2528" s="1" t="str">
        <f>IFERROR(__xludf.DUMMYFUNCTION("CONCATENATE(GOOGLETRANSLATE(B2528, ""en"", ""ko""))"),"블랜스 로그")</f>
        <v>블랜스 로그</v>
      </c>
      <c r="E2528" s="2" t="str">
        <f>IFERROR(__xludf.DUMMYFUNCTION("CONCATENATE(GOOGLETRANSLATE(B2528, ""en"", ""ja""))"),"バランスログ")</f>
        <v>バランスログ</v>
      </c>
    </row>
    <row r="2529" ht="15.75" customHeight="1">
      <c r="A2529" s="1" t="s">
        <v>4801</v>
      </c>
      <c r="B2529" s="1" t="s">
        <v>4802</v>
      </c>
      <c r="C2529" s="1" t="str">
        <f>IFERROR(__xludf.DUMMYFUNCTION("CONCATENATE(GOOGLETRANSLATE(B2529, ""en"", ""zh-cn""))"),"物流钱包日志")</f>
        <v>物流钱包日志</v>
      </c>
      <c r="D2529" s="1" t="str">
        <f>IFERROR(__xludf.DUMMYFUNCTION("CONCATENATE(GOOGLETRANSLATE(B2529, ""en"", ""ko""))"),"물류 지갑 로그")</f>
        <v>물류 지갑 로그</v>
      </c>
      <c r="E2529" s="2" t="str">
        <f>IFERROR(__xludf.DUMMYFUNCTION("CONCATENATE(GOOGLETRANSLATE(B2529, ""en"", ""ja""))"),"物流ウォレットログ")</f>
        <v>物流ウォレットログ</v>
      </c>
    </row>
    <row r="2530" ht="15.75" customHeight="1">
      <c r="A2530" s="1" t="s">
        <v>4803</v>
      </c>
      <c r="B2530" s="1" t="s">
        <v>4804</v>
      </c>
      <c r="C2530" s="1" t="str">
        <f>IFERROR(__xludf.DUMMYFUNCTION("CONCATENATE(GOOGLETRANSLATE(B2530, ""en"", ""zh-cn""))"),"当前系统时间")</f>
        <v>当前系统时间</v>
      </c>
      <c r="D2530" s="1" t="str">
        <f>IFERROR(__xludf.DUMMYFUNCTION("CONCATENATE(GOOGLETRANSLATE(B2530, ""en"", ""ko""))"),"현재 시스템 시간")</f>
        <v>현재 시스템 시간</v>
      </c>
      <c r="E2530" s="2" t="str">
        <f>IFERROR(__xludf.DUMMYFUNCTION("CONCATENATE(GOOGLETRANSLATE(B2530, ""en"", ""ja""))"),"現在のシステム時間")</f>
        <v>現在のシステム時間</v>
      </c>
    </row>
    <row r="2531" ht="15.75" customHeight="1">
      <c r="A2531" s="1" t="s">
        <v>4805</v>
      </c>
      <c r="B2531" s="1" t="s">
        <v>4806</v>
      </c>
      <c r="C2531" s="1" t="str">
        <f>IFERROR(__xludf.DUMMYFUNCTION("CONCATENATE(GOOGLETRANSLATE(B2531, ""en"", ""zh-cn""))"),"选择订单创建时间")</f>
        <v>选择订单创建时间</v>
      </c>
      <c r="D2531" s="1" t="str">
        <f>IFERROR(__xludf.DUMMYFUNCTION("CONCATENATE(GOOGLETRANSLATE(B2531, ""en"", ""ko""))"),"주문 생성 시간 선택")</f>
        <v>주문 생성 시간 선택</v>
      </c>
      <c r="E2531" s="2" t="str">
        <f>IFERROR(__xludf.DUMMYFUNCTION("CONCATENATE(GOOGLETRANSLATE(B2531, ""en"", ""ja""))"),"注文作成時間を選択してください")</f>
        <v>注文作成時間を選択してください</v>
      </c>
    </row>
    <row r="2532" ht="15.75" customHeight="1">
      <c r="A2532" s="1" t="s">
        <v>4807</v>
      </c>
      <c r="B2532" s="1" t="s">
        <v>4808</v>
      </c>
      <c r="C2532" s="1" t="str">
        <f>IFERROR(__xludf.DUMMYFUNCTION("CONCATENATE(GOOGLETRANSLATE(B2532, ""en"", ""zh-cn""))"),"选择签约时间")</f>
        <v>选择签约时间</v>
      </c>
      <c r="D2532" s="1" t="str">
        <f>IFERROR(__xludf.DUMMYFUNCTION("CONCATENATE(GOOGLETRANSLATE(B2532, ""en"", ""ko""))"),"서명 시간을 선택하세요.")</f>
        <v>서명 시간을 선택하세요.</v>
      </c>
      <c r="E2532" s="2" t="str">
        <f>IFERROR(__xludf.DUMMYFUNCTION("CONCATENATE(GOOGLETRANSLATE(B2532, ""en"", ""ja""))"),"署名時間を選択してください")</f>
        <v>署名時間を選択してください</v>
      </c>
    </row>
    <row r="2533" ht="15.75" customHeight="1">
      <c r="A2533" s="1" t="s">
        <v>4809</v>
      </c>
      <c r="B2533" s="1" t="s">
        <v>4810</v>
      </c>
      <c r="C2533" s="1" t="str">
        <f>IFERROR(__xludf.DUMMYFUNCTION("CONCATENATE(GOOGLETRANSLATE(B2533, ""en"", ""zh-cn""))"),"非强制选项")</f>
        <v>非强制选项</v>
      </c>
      <c r="D2533" s="1" t="str">
        <f>IFERROR(__xludf.DUMMYFUNCTION("CONCATENATE(GOOGLETRANSLATE(B2533, ""en"", ""ko""))"),"비필수 옵션")</f>
        <v>비필수 옵션</v>
      </c>
      <c r="E2533" s="2" t="str">
        <f>IFERROR(__xludf.DUMMYFUNCTION("CONCATENATE(GOOGLETRANSLATE(B2533, ""en"", ""ja""))"),"非必須オプション")</f>
        <v>非必須オプション</v>
      </c>
    </row>
    <row r="2534" ht="15.75" customHeight="1">
      <c r="A2534" s="1" t="s">
        <v>4811</v>
      </c>
      <c r="B2534" s="1" t="s">
        <v>4812</v>
      </c>
      <c r="C2534" s="1" t="str">
        <f>IFERROR(__xludf.DUMMYFUNCTION("CONCATENATE(GOOGLETRANSLATE(B2534, ""en"", ""zh-cn""))"),"国家信息")</f>
        <v>国家信息</v>
      </c>
      <c r="D2534" s="1" t="str">
        <f>IFERROR(__xludf.DUMMYFUNCTION("CONCATENATE(GOOGLETRANSLATE(B2534, ""en"", ""ko""))"),"국가 정보")</f>
        <v>국가 정보</v>
      </c>
      <c r="E2534" s="2" t="str">
        <f>IFERROR(__xludf.DUMMYFUNCTION("CONCATENATE(GOOGLETRANSLATE(B2534, ""en"", ""ja""))"),"国別情報")</f>
        <v>国別情報</v>
      </c>
    </row>
    <row r="2535" ht="15.75" customHeight="1">
      <c r="A2535" s="1" t="s">
        <v>4813</v>
      </c>
      <c r="B2535" s="1" t="s">
        <v>4814</v>
      </c>
      <c r="C2535" s="1" t="str">
        <f>IFERROR(__xludf.DUMMYFUNCTION("CONCATENATE(GOOGLETRANSLATE(B2535, ""en"", ""zh-cn""))"),"编辑国家")</f>
        <v>编辑国家</v>
      </c>
      <c r="D2535" s="1" t="str">
        <f>IFERROR(__xludf.DUMMYFUNCTION("CONCATENATE(GOOGLETRANSLATE(B2535, ""en"", ""ko""))"),"국가 수정")</f>
        <v>국가 수정</v>
      </c>
      <c r="E2535" s="2" t="str">
        <f>IFERROR(__xludf.DUMMYFUNCTION("CONCATENATE(GOOGLETRANSLATE(B2535, ""en"", ""ja""))"),"国の編集")</f>
        <v>国の編集</v>
      </c>
    </row>
    <row r="2536" ht="15.75" customHeight="1">
      <c r="A2536" s="1" t="s">
        <v>4815</v>
      </c>
      <c r="B2536" s="1" t="s">
        <v>4816</v>
      </c>
      <c r="C2536" s="1" t="str">
        <f>IFERROR(__xludf.DUMMYFUNCTION("CONCATENATE(GOOGLETRANSLATE(B2536, ""en"", ""zh-cn""))"),"卖家账单记录")</f>
        <v>卖家账单记录</v>
      </c>
      <c r="D2536" s="1" t="str">
        <f>IFERROR(__xludf.DUMMYFUNCTION("CONCATENATE(GOOGLETRANSLATE(B2536, ""en"", ""ko""))"),"판매자 청구 기록")</f>
        <v>판매자 청구 기록</v>
      </c>
      <c r="E2536" s="2" t="str">
        <f>IFERROR(__xludf.DUMMYFUNCTION("CONCATENATE(GOOGLETRANSLATE(B2536, ""en"", ""ja""))"),"販売者の請求記録")</f>
        <v>販売者の請求記録</v>
      </c>
    </row>
    <row r="2537" ht="15.75" customHeight="1">
      <c r="A2537" s="1" t="s">
        <v>4817</v>
      </c>
      <c r="B2537" s="1" t="s">
        <v>4818</v>
      </c>
      <c r="C2537" s="1" t="str">
        <f>IFERROR(__xludf.DUMMYFUNCTION("CONCATENATE(GOOGLETRANSLATE(B2537, ""en"", ""zh-cn""))"),"卖家计费")</f>
        <v>卖家计费</v>
      </c>
      <c r="D2537" s="1" t="str">
        <f>IFERROR(__xludf.DUMMYFUNCTION("CONCATENATE(GOOGLETRANSLATE(B2537, ""en"", ""ko""))"),"판매자 청구")</f>
        <v>판매자 청구</v>
      </c>
      <c r="E2537" s="2" t="str">
        <f>IFERROR(__xludf.DUMMYFUNCTION("CONCATENATE(GOOGLETRANSLATE(B2537, ""en"", ""ja""))"),"販売者の請求")</f>
        <v>販売者の請求</v>
      </c>
    </row>
    <row r="2538" ht="15.75" customHeight="1">
      <c r="A2538" s="1" t="s">
        <v>4819</v>
      </c>
      <c r="B2538" s="1" t="s">
        <v>4820</v>
      </c>
      <c r="C2538" s="1" t="str">
        <f>IFERROR(__xludf.DUMMYFUNCTION("CONCATENATE(GOOGLETRANSLATE(B2538, ""en"", ""zh-cn""))"),"修改余额")</f>
        <v>修改余额</v>
      </c>
      <c r="D2538" s="1" t="str">
        <f>IFERROR(__xludf.DUMMYFUNCTION("CONCATENATE(GOOGLETRANSLATE(B2538, ""en"", ""ko""))"),"잔액 수정")</f>
        <v>잔액 수정</v>
      </c>
      <c r="E2538" s="2" t="str">
        <f>IFERROR(__xludf.DUMMYFUNCTION("CONCATENATE(GOOGLETRANSLATE(B2538, ""en"", ""ja""))"),"バランスの変更")</f>
        <v>バランスの変更</v>
      </c>
    </row>
    <row r="2539" ht="15.75" customHeight="1">
      <c r="A2539" s="1" t="s">
        <v>4821</v>
      </c>
      <c r="B2539" s="1" t="s">
        <v>4822</v>
      </c>
      <c r="C2539" s="1" t="str">
        <f>IFERROR(__xludf.DUMMYFUNCTION("CONCATENATE(GOOGLETRANSLATE(B2539, ""en"", ""zh-cn""))"),"真实账户")</f>
        <v>真实账户</v>
      </c>
      <c r="D2539" s="1" t="str">
        <f>IFERROR(__xludf.DUMMYFUNCTION("CONCATENATE(GOOGLETRANSLATE(B2539, ""en"", ""ko""))"),"실계좌")</f>
        <v>실계좌</v>
      </c>
      <c r="E2539" s="2" t="str">
        <f>IFERROR(__xludf.DUMMYFUNCTION("CONCATENATE(GOOGLETRANSLATE(B2539, ""en"", ""ja""))"),"リアルアカウント")</f>
        <v>リアルアカウント</v>
      </c>
    </row>
    <row r="2540" ht="15.75" customHeight="1">
      <c r="A2540" s="1" t="s">
        <v>4823</v>
      </c>
      <c r="B2540" s="1" t="s">
        <v>4823</v>
      </c>
      <c r="C2540" s="1" t="str">
        <f>IFERROR(__xludf.DUMMYFUNCTION("CONCATENATE(GOOGLETRANSLATE(B2540, ""en"", ""zh-cn""))"),"检查")</f>
        <v>检查</v>
      </c>
      <c r="D2540" s="1" t="str">
        <f>IFERROR(__xludf.DUMMYFUNCTION("CONCATENATE(GOOGLETRANSLATE(B2540, ""en"", ""ko""))"),"조사하다")</f>
        <v>조사하다</v>
      </c>
      <c r="E2540" s="2" t="str">
        <f>IFERROR(__xludf.DUMMYFUNCTION("CONCATENATE(GOOGLETRANSLATE(B2540, ""en"", ""ja""))"),"診る")</f>
        <v>診る</v>
      </c>
    </row>
    <row r="2541" ht="15.75" customHeight="1">
      <c r="A2541" s="1" t="s">
        <v>4824</v>
      </c>
      <c r="B2541" s="1" t="s">
        <v>4825</v>
      </c>
      <c r="C2541" s="1" t="str">
        <f>IFERROR(__xludf.DUMMYFUNCTION("CONCATENATE(GOOGLETRANSLATE(B2541, ""en"", ""zh-cn""))"),"经过")</f>
        <v>经过</v>
      </c>
      <c r="D2541" s="1" t="str">
        <f>IFERROR(__xludf.DUMMYFUNCTION("CONCATENATE(GOOGLETRANSLATE(B2541, ""en"", ""ko""))"),"통과하다")</f>
        <v>통과하다</v>
      </c>
      <c r="E2541" s="2" t="str">
        <f>IFERROR(__xludf.DUMMYFUNCTION("CONCATENATE(GOOGLETRANSLATE(B2541, ""en"", ""ja""))"),"合格")</f>
        <v>合格</v>
      </c>
    </row>
    <row r="2542" ht="15.75" customHeight="1">
      <c r="A2542" s="1" t="s">
        <v>4826</v>
      </c>
      <c r="B2542" s="1" t="s">
        <v>4827</v>
      </c>
      <c r="C2542" s="1" t="str">
        <f>IFERROR(__xludf.DUMMYFUNCTION("CONCATENATE(GOOGLETRANSLATE(B2542, ""en"", ""zh-cn""))"),"注册考试")</f>
        <v>注册考试</v>
      </c>
      <c r="D2542" s="1" t="str">
        <f>IFERROR(__xludf.DUMMYFUNCTION("CONCATENATE(GOOGLETRANSLATE(B2542, ""en"", ""ko""))"),"등록 검사")</f>
        <v>등록 검사</v>
      </c>
      <c r="E2542" s="2" t="str">
        <f>IFERROR(__xludf.DUMMYFUNCTION("CONCATENATE(GOOGLETRANSLATE(B2542, ""en"", ""ja""))"),"登録審査")</f>
        <v>登録審査</v>
      </c>
    </row>
    <row r="2543" ht="15.75" customHeight="1">
      <c r="A2543" s="1" t="s">
        <v>4828</v>
      </c>
      <c r="B2543" s="1" t="s">
        <v>4829</v>
      </c>
      <c r="C2543" s="1" t="str">
        <f>IFERROR(__xludf.DUMMYFUNCTION("CONCATENATE(GOOGLETRANSLATE(B2543, ""en"", ""zh-cn""))"),"检查状态已成功更新")</f>
        <v>检查状态已成功更新</v>
      </c>
      <c r="D2543" s="1" t="str">
        <f>IFERROR(__xludf.DUMMYFUNCTION("CONCATENATE(GOOGLETRANSLATE(B2543, ""en"", ""ko""))"),"검사 상태가 성공적으로 업데이트되었습니다.")</f>
        <v>검사 상태가 성공적으로 업데이트되었습니다.</v>
      </c>
      <c r="E2543" s="2" t="str">
        <f>IFERROR(__xludf.DUMMYFUNCTION("CONCATENATE(GOOGLETRANSLATE(B2543, ""en"", ""ja""))"),"検査ステータスが正常に更新されました")</f>
        <v>検査ステータスが正常に更新されました</v>
      </c>
    </row>
    <row r="2544" ht="15.75" customHeight="1">
      <c r="A2544" s="1" t="s">
        <v>4830</v>
      </c>
      <c r="B2544" s="1" t="s">
        <v>4831</v>
      </c>
      <c r="C2544" s="1" t="str">
        <f>IFERROR(__xludf.DUMMYFUNCTION("CONCATENATE(GOOGLETRANSLATE(B2544, ""en"", ""zh-cn""))"),"发生错误： ")</f>
        <v>发生错误： </v>
      </c>
      <c r="D2544" s="1" t="str">
        <f>IFERROR(__xludf.DUMMYFUNCTION("CONCATENATE(GOOGLETRANSLATE(B2544, ""en"", ""ko""))"),"오류가 발생했습니다: ")</f>
        <v>오류가 발생했습니다: </v>
      </c>
      <c r="E2544" s="2" t="str">
        <f>IFERROR(__xludf.DUMMYFUNCTION("CONCATENATE(GOOGLETRANSLATE(B2544, ""en"", ""ja""))"),"エラーが発生しました: ")</f>
        <v>エラーが発生しました: </v>
      </c>
    </row>
    <row r="2545" ht="15.75" customHeight="1">
      <c r="A2545" s="1" t="s">
        <v>4832</v>
      </c>
      <c r="B2545" s="1" t="s">
        <v>4833</v>
      </c>
      <c r="C2545" s="1" t="str">
        <f>IFERROR(__xludf.DUMMYFUNCTION("CONCATENATE(GOOGLETRANSLATE(B2545, ""en"", ""zh-cn""))"),"请开通直通车")</f>
        <v>请开通直通车</v>
      </c>
      <c r="D2545" s="1" t="str">
        <f>IFERROR(__xludf.DUMMYFUNCTION("CONCATENATE(GOOGLETRANSLATE(B2545, ""en"", ""ko""))"),"직통열차를 열어주세요")</f>
        <v>직통열차를 열어주세요</v>
      </c>
      <c r="E2545" s="2" t="str">
        <f>IFERROR(__xludf.DUMMYFUNCTION("CONCATENATE(GOOGLETRANSLATE(B2545, ""en"", ""ja""))"),"直通列車を開いてください")</f>
        <v>直通列車を開いてください</v>
      </c>
    </row>
    <row r="2546" ht="15.75" customHeight="1">
      <c r="A2546" s="1" t="s">
        <v>4834</v>
      </c>
      <c r="B2546" s="1" t="s">
        <v>4835</v>
      </c>
      <c r="C2546" s="1" t="str">
        <f>IFERROR(__xludf.DUMMYFUNCTION("CONCATENATE(GOOGLETRANSLATE(B2546, ""en"", ""zh-cn""))"),"交货价格")</f>
        <v>交货价格</v>
      </c>
      <c r="D2546" s="1" t="str">
        <f>IFERROR(__xludf.DUMMYFUNCTION("CONCATENATE(GOOGLETRANSLATE(B2546, ""en"", ""ko""))"),"배송비")</f>
        <v>배송비</v>
      </c>
      <c r="E2546" s="2" t="str">
        <f>IFERROR(__xludf.DUMMYFUNCTION("CONCATENATE(GOOGLETRANSLATE(B2546, ""en"", ""ja""))"),"配送価格")</f>
        <v>配送価格</v>
      </c>
    </row>
    <row r="2547" ht="15.75" customHeight="1">
      <c r="A2547" s="1" t="s">
        <v>4836</v>
      </c>
      <c r="B2547" s="1" t="s">
        <v>4837</v>
      </c>
      <c r="C2547" s="1" t="str">
        <f>IFERROR(__xludf.DUMMYFUNCTION("CONCATENATE(GOOGLETRANSLATE(B2547, ""en"", ""zh-cn""))"),"取消原因")</f>
        <v>取消原因</v>
      </c>
      <c r="D2547" s="1" t="str">
        <f>IFERROR(__xludf.DUMMYFUNCTION("CONCATENATE(GOOGLETRANSLATE(B2547, ""en"", ""ko""))"),"취소 이유")</f>
        <v>취소 이유</v>
      </c>
      <c r="E2547" s="2" t="str">
        <f>IFERROR(__xludf.DUMMYFUNCTION("CONCATENATE(GOOGLETRANSLATE(B2547, ""en"", ""ja""))"),"キャンセルの理由")</f>
        <v>キャンセルの理由</v>
      </c>
    </row>
    <row r="2548" ht="15.75" customHeight="1">
      <c r="A2548" s="1" t="s">
        <v>4838</v>
      </c>
      <c r="B2548" s="1" t="s">
        <v>4839</v>
      </c>
      <c r="C2548" s="1" t="str">
        <f>IFERROR(__xludf.DUMMYFUNCTION("CONCATENATE(GOOGLETRANSLATE(B2548, ""en"", ""zh-cn""))"),"实际销售额")</f>
        <v>实际销售额</v>
      </c>
      <c r="D2548" s="1" t="str">
        <f>IFERROR(__xludf.DUMMYFUNCTION("CONCATENATE(GOOGLETRANSLATE(B2548, ""en"", ""ko""))"),"사실상 판매량")</f>
        <v>사실상 판매량</v>
      </c>
      <c r="E2548" s="2" t="str">
        <f>IFERROR(__xludf.DUMMYFUNCTION("CONCATENATE(GOOGLETRANSLATE(B2548, ""en"", ""ja""))"),"実質的な売上高")</f>
        <v>実質的な売上高</v>
      </c>
    </row>
    <row r="2549" ht="15.75" customHeight="1">
      <c r="A2549" s="1" t="s">
        <v>4840</v>
      </c>
      <c r="B2549" s="1" t="s">
        <v>4841</v>
      </c>
      <c r="C2549" s="1" t="str">
        <f>IFERROR(__xludf.DUMMYFUNCTION("CONCATENATE(GOOGLETRANSLATE(B2549, ""en"", ""zh-cn""))"),"待批准")</f>
        <v>待批准</v>
      </c>
      <c r="D2549" s="1" t="str">
        <f>IFERROR(__xludf.DUMMYFUNCTION("CONCATENATE(GOOGLETRANSLATE(B2549, ""en"", ""ko""))"),"승인 예정")</f>
        <v>승인 예정</v>
      </c>
      <c r="E2549" s="2" t="str">
        <f>IFERROR(__xludf.DUMMYFUNCTION("CONCATENATE(GOOGLETRANSLATE(B2549, ""en"", ""ja""))"),"承認予定")</f>
        <v>承認予定</v>
      </c>
    </row>
    <row r="2550" ht="15.75" customHeight="1">
      <c r="A2550" s="1" t="s">
        <v>4842</v>
      </c>
      <c r="B2550" s="1" t="s">
        <v>4843</v>
      </c>
      <c r="C2550" s="1" t="str">
        <f>IFERROR(__xludf.DUMMYFUNCTION("CONCATENATE(GOOGLETRANSLATE(B2550, ""en"", ""zh-cn""))"),"未验证")</f>
        <v>未验证</v>
      </c>
      <c r="D2550" s="1" t="str">
        <f>IFERROR(__xludf.DUMMYFUNCTION("CONCATENATE(GOOGLETRANSLATE(B2550, ""en"", ""ko""))"),"확인되지 않음")</f>
        <v>확인되지 않음</v>
      </c>
      <c r="E2550" s="2" t="str">
        <f>IFERROR(__xludf.DUMMYFUNCTION("CONCATENATE(GOOGLETRANSLATE(B2550, ""en"", ""ja""))"),"未検証")</f>
        <v>未検証</v>
      </c>
    </row>
    <row r="2551" ht="15.75" customHeight="1">
      <c r="A2551" s="1" t="s">
        <v>4844</v>
      </c>
      <c r="B2551" s="1" t="s">
        <v>4845</v>
      </c>
      <c r="C2551" s="1" t="str">
        <f>IFERROR(__xludf.DUMMYFUNCTION("CONCATENATE(GOOGLETRANSLATE(B2551, ""en"", ""zh-cn""))"),"冻结账户")</f>
        <v>冻结账户</v>
      </c>
      <c r="D2551" s="1" t="str">
        <f>IFERROR(__xludf.DUMMYFUNCTION("CONCATENATE(GOOGLETRANSLATE(B2551, ""en"", ""ko""))"),"계정 동결")</f>
        <v>계정 동결</v>
      </c>
      <c r="E2551" s="2" t="str">
        <f>IFERROR(__xludf.DUMMYFUNCTION("CONCATENATE(GOOGLETRANSLATE(B2551, ""en"", ""ja""))"),"アカウントを凍結する")</f>
        <v>アカウントを凍結する</v>
      </c>
    </row>
    <row r="2552" ht="15.75" customHeight="1">
      <c r="A2552" s="1" t="s">
        <v>4846</v>
      </c>
      <c r="B2552" s="1" t="s">
        <v>4847</v>
      </c>
      <c r="C2552" s="1" t="str">
        <f>IFERROR(__xludf.DUMMYFUNCTION("CONCATENATE(GOOGLETRANSLATE(B2552, ""en"", ""zh-cn""))"),"禁止下架”")</f>
        <v>禁止下架”</v>
      </c>
      <c r="D2552" s="1" t="str">
        <f>IFERROR(__xludf.DUMMYFUNCTION("CONCATENATE(GOOGLETRANSLATE(B2552, ""en"", ""ko""))"),"선반 분리 금지""")</f>
        <v>선반 분리 금지"</v>
      </c>
      <c r="E2552" s="2" t="str">
        <f>IFERROR(__xludf.DUMMYFUNCTION("CONCATENATE(GOOGLETRANSLATE(B2552, ""en"", ""ja""))"),"棚からの引き出しは禁止です」")</f>
        <v>棚からの引き出しは禁止です」</v>
      </c>
    </row>
    <row r="2553" ht="15.75" customHeight="1">
      <c r="A2553" s="1" t="s">
        <v>4848</v>
      </c>
      <c r="B2553" s="1" t="s">
        <v>4849</v>
      </c>
      <c r="C2553" s="1" t="str">
        <f>IFERROR(__xludf.DUMMYFUNCTION("CONCATENATE(GOOGLETRANSLATE(B2553, ""en"", ""zh-cn""))"),"您真的要冻结帐户吗？")</f>
        <v>您真的要冻结帐户吗？</v>
      </c>
      <c r="D2553" s="1" t="str">
        <f>IFERROR(__xludf.DUMMYFUNCTION("CONCATENATE(GOOGLETRANSLATE(B2553, ""en"", ""ko""))"),"정말로 계정을 동결하시겠습니까?")</f>
        <v>정말로 계정을 동결하시겠습니까?</v>
      </c>
      <c r="E2553" s="2" t="str">
        <f>IFERROR(__xludf.DUMMYFUNCTION("CONCATENATE(GOOGLETRANSLATE(B2553, ""en"", ""ja""))"),"本当にアカウントを凍結しますか?")</f>
        <v>本当にアカウントを凍結しますか?</v>
      </c>
    </row>
    <row r="2554" ht="15.75" customHeight="1">
      <c r="A2554" s="1" t="s">
        <v>4850</v>
      </c>
      <c r="B2554" s="1" t="s">
        <v>4851</v>
      </c>
      <c r="C2554" s="1" t="str">
        <f>IFERROR(__xludf.DUMMYFUNCTION("CONCATENATE(GOOGLETRANSLATE(B2554, ""en"", ""zh-cn""))"),"添加卖家提款请求")</f>
        <v>添加卖家提款请求</v>
      </c>
      <c r="D2554" s="1" t="str">
        <f>IFERROR(__xludf.DUMMYFUNCTION("CONCATENATE(GOOGLETRANSLATE(B2554, ""en"", ""ko""))"),"판매자 철회 요청 추가")</f>
        <v>판매자 철회 요청 추가</v>
      </c>
      <c r="E2554" s="2" t="str">
        <f>IFERROR(__xludf.DUMMYFUNCTION("CONCATENATE(GOOGLETRANSLATE(B2554, ""en"", ""ja""))"),"販売者の撤回リクエストを追加")</f>
        <v>販売者の撤回リクエストを追加</v>
      </c>
    </row>
    <row r="2555" ht="15.75" customHeight="1">
      <c r="A2555" s="1" t="s">
        <v>4852</v>
      </c>
      <c r="B2555" s="1" t="s">
        <v>4853</v>
      </c>
      <c r="C2555" s="1" t="str">
        <f>IFERROR(__xludf.DUMMYFUNCTION("CONCATENATE(GOOGLETRANSLATE(B2555, ""en"", ""zh-cn""))"),"出口")</f>
        <v>出口</v>
      </c>
      <c r="D2555" s="1" t="str">
        <f>IFERROR(__xludf.DUMMYFUNCTION("CONCATENATE(GOOGLETRANSLATE(B2555, ""en"", ""ko""))"),"내보내다")</f>
        <v>내보내다</v>
      </c>
      <c r="E2555" s="2" t="str">
        <f>IFERROR(__xludf.DUMMYFUNCTION("CONCATENATE(GOOGLETRANSLATE(B2555, ""en"", ""ja""))"),"輸出")</f>
        <v>輸出</v>
      </c>
    </row>
    <row r="2556" ht="15.75" customHeight="1">
      <c r="A2556" s="1" t="s">
        <v>4854</v>
      </c>
      <c r="B2556" s="1" t="s">
        <v>4855</v>
      </c>
      <c r="C2556" s="1" t="str">
        <f>IFERROR(__xludf.DUMMYFUNCTION("CONCATENATE(GOOGLETRANSLATE(B2556, ""en"", ""zh-cn""))"),"以该推销员身份登录")</f>
        <v>以该推销员身份登录</v>
      </c>
      <c r="D2556" s="1" t="str">
        <f>IFERROR(__xludf.DUMMYFUNCTION("CONCATENATE(GOOGLETRANSLATE(B2556, ""en"", ""ko""))"),"이 세일즈맨으로 로그인하세요")</f>
        <v>이 세일즈맨으로 로그인하세요</v>
      </c>
      <c r="E2556" s="2" t="str">
        <f>IFERROR(__xludf.DUMMYFUNCTION("CONCATENATE(GOOGLETRANSLATE(B2556, ""en"", ""ja""))"),"この営業マンとしてログインします")</f>
        <v>この営業マンとしてログインします</v>
      </c>
    </row>
    <row r="2557" ht="15.75" customHeight="1">
      <c r="A2557" s="1" t="s">
        <v>4856</v>
      </c>
      <c r="B2557" s="1" t="s">
        <v>4857</v>
      </c>
      <c r="C2557" s="1" t="str">
        <f>IFERROR(__xludf.DUMMYFUNCTION("CONCATENATE(GOOGLETRANSLATE(B2557, ""en"", ""zh-cn""))"),"注册考试")</f>
        <v>注册考试</v>
      </c>
      <c r="D2557" s="1" t="str">
        <f>IFERROR(__xludf.DUMMYFUNCTION("CONCATENATE(GOOGLETRANSLATE(B2557, ""en"", ""ko""))"),"시험 등록")</f>
        <v>시험 등록</v>
      </c>
      <c r="E2557" s="2" t="str">
        <f>IFERROR(__xludf.DUMMYFUNCTION("CONCATENATE(GOOGLETRANSLATE(B2557, ""en"", ""ja""))"),"試験を登録する")</f>
        <v>試験を登録する</v>
      </c>
    </row>
    <row r="2558" ht="15.75" customHeight="1">
      <c r="A2558" s="1" t="s">
        <v>4858</v>
      </c>
      <c r="B2558" s="1" t="s">
        <v>4859</v>
      </c>
      <c r="C2558" s="1" t="str">
        <f>IFERROR(__xludf.DUMMYFUNCTION("CONCATENATE(GOOGLETRANSLATE(B2558, ""en"", ""zh-cn""))"),"产品选型")</f>
        <v>产品选型</v>
      </c>
      <c r="D2558" s="1" t="str">
        <f>IFERROR(__xludf.DUMMYFUNCTION("CONCATENATE(GOOGLETRANSLATE(B2558, ""en"", ""ko""))"),"제품 유형 선택")</f>
        <v>제품 유형 선택</v>
      </c>
      <c r="E2558" s="2" t="str">
        <f>IFERROR(__xludf.DUMMYFUNCTION("CONCATENATE(GOOGLETRANSLATE(B2558, ""en"", ""ja""))"),"製品タイプの選択")</f>
        <v>製品タイプの選択</v>
      </c>
    </row>
    <row r="2559" ht="15.75" customHeight="1">
      <c r="A2559" s="1" t="s">
        <v>4860</v>
      </c>
      <c r="B2559" s="1" t="s">
        <v>4861</v>
      </c>
      <c r="C2559" s="1" t="str">
        <f>IFERROR(__xludf.DUMMYFUNCTION("CONCATENATE(GOOGLETRANSLATE(B2559, ""en"", ""zh-cn""))"),"种类")</f>
        <v>种类</v>
      </c>
      <c r="D2559" s="1" t="str">
        <f>IFERROR(__xludf.DUMMYFUNCTION("CONCATENATE(GOOGLETRANSLATE(B2559, ""en"", ""ko""))"),"종류")</f>
        <v>종류</v>
      </c>
      <c r="E2559" s="2" t="str">
        <f>IFERROR(__xludf.DUMMYFUNCTION("CONCATENATE(GOOGLETRANSLATE(B2559, ""en"", ""ja""))"),"選別")</f>
        <v>選別</v>
      </c>
    </row>
    <row r="2560" ht="15.75" customHeight="1">
      <c r="A2560" s="1" t="s">
        <v>4862</v>
      </c>
      <c r="B2560" s="1" t="s">
        <v>4863</v>
      </c>
      <c r="C2560" s="1" t="str">
        <f>IFERROR(__xludf.DUMMYFUNCTION("CONCATENATE(GOOGLETRANSLATE(B2560, ""en"", ""zh-cn""))"),"联系客服充值")</f>
        <v>联系客服充值</v>
      </c>
      <c r="D2560" s="1" t="str">
        <f>IFERROR(__xludf.DUMMYFUNCTION("CONCATENATE(GOOGLETRANSLATE(B2560, ""en"", ""ko""))"),"충전하려면 고객센터에 문의하세요")</f>
        <v>충전하려면 고객센터에 문의하세요</v>
      </c>
      <c r="E2560" s="2" t="str">
        <f>IFERROR(__xludf.DUMMYFUNCTION("CONCATENATE(GOOGLETRANSLATE(B2560, ""en"", ""ja""))"),"再充電するにはカスタマーサービスにお問い合わせください")</f>
        <v>再充電するにはカスタマーサービスにお問い合わせください</v>
      </c>
    </row>
    <row r="2561" ht="15.75" customHeight="1">
      <c r="A2561" s="1" t="s">
        <v>4864</v>
      </c>
      <c r="B2561" s="1" t="s">
        <v>4865</v>
      </c>
      <c r="C2561" s="1" t="str">
        <f>IFERROR(__xludf.DUMMYFUNCTION("CONCATENATE(GOOGLETRANSLATE(B2561, ""en"", ""zh-cn""))"),"姓名/电子邮件/电话")</f>
        <v>姓名/电子邮件/电话</v>
      </c>
      <c r="D2561" s="1" t="str">
        <f>IFERROR(__xludf.DUMMYFUNCTION("CONCATENATE(GOOGLETRANSLATE(B2561, ""en"", ""ko""))"),"이름 / 이메일 / 전화번호")</f>
        <v>이름 / 이메일 / 전화번호</v>
      </c>
      <c r="E2561" s="2" t="str">
        <f>IFERROR(__xludf.DUMMYFUNCTION("CONCATENATE(GOOGLETRANSLATE(B2561, ""en"", ""ja""))"),"名前 / メールアドレス / 電話番号")</f>
        <v>名前 / メールアドレス / 電話番号</v>
      </c>
    </row>
    <row r="2562" ht="15.75" customHeight="1">
      <c r="A2562" s="1" t="s">
        <v>4866</v>
      </c>
      <c r="B2562" s="1" t="s">
        <v>4867</v>
      </c>
      <c r="C2562" s="1" t="str">
        <f>IFERROR(__xludf.DUMMYFUNCTION("CONCATENATE(GOOGLETRANSLATE(B2562, ""en"", ""zh-cn""))"),"更新成功")</f>
        <v>更新成功</v>
      </c>
      <c r="D2562" s="1" t="str">
        <f>IFERROR(__xludf.DUMMYFUNCTION("CONCATENATE(GOOGLETRANSLATE(B2562, ""en"", ""ko""))"),"업데이트되었습니다.")</f>
        <v>업데이트되었습니다.</v>
      </c>
      <c r="E2562" s="2" t="str">
        <f>IFERROR(__xludf.DUMMYFUNCTION("CONCATENATE(GOOGLETRANSLATE(B2562, ""en"", ""ja""))"),"正常に更新されました")</f>
        <v>正常に更新されました</v>
      </c>
    </row>
    <row r="2563" ht="15.75" customHeight="1">
      <c r="A2563" s="1" t="s">
        <v>4868</v>
      </c>
      <c r="B2563" s="1" t="s">
        <v>4869</v>
      </c>
      <c r="C2563" s="1" t="str">
        <f>IFERROR(__xludf.DUMMYFUNCTION("CONCATENATE(GOOGLETRANSLATE(B2563, ""en"", ""zh-cn""))"),"物流信息")</f>
        <v>物流信息</v>
      </c>
      <c r="D2563" s="1" t="str">
        <f>IFERROR(__xludf.DUMMYFUNCTION("CONCATENATE(GOOGLETRANSLATE(B2563, ""en"", ""ko""))"),"물류정보")</f>
        <v>물류정보</v>
      </c>
      <c r="E2563" s="2" t="str">
        <f>IFERROR(__xludf.DUMMYFUNCTION("CONCATENATE(GOOGLETRANSLATE(B2563, ""en"", ""ja""))"),"物流情報")</f>
        <v>物流情報</v>
      </c>
    </row>
    <row r="2564" ht="15.75" customHeight="1">
      <c r="A2564" s="1" t="s">
        <v>4870</v>
      </c>
      <c r="B2564" s="1" t="s">
        <v>4871</v>
      </c>
      <c r="C2564" s="1" t="str">
        <f>IFERROR(__xludf.DUMMYFUNCTION("CONCATENATE(GOOGLETRANSLATE(B2564, ""en"", ""zh-cn""))"),"一级佣金比例")</f>
        <v>一级佣金比例</v>
      </c>
      <c r="D2564" s="1" t="str">
        <f>IFERROR(__xludf.DUMMYFUNCTION("CONCATENATE(GOOGLETRANSLATE(B2564, ""en"", ""ko""))"),"레벨 1 수수료 비율")</f>
        <v>레벨 1 수수료 비율</v>
      </c>
      <c r="E2564" s="2" t="str">
        <f>IFERROR(__xludf.DUMMYFUNCTION("CONCATENATE(GOOGLETRANSLATE(B2564, ""en"", ""ja""))"),"レベル 1 コミッション率")</f>
        <v>レベル 1 コミッション率</v>
      </c>
    </row>
    <row r="2565" ht="15.75" customHeight="1">
      <c r="A2565" s="1" t="s">
        <v>4872</v>
      </c>
      <c r="B2565" s="1" t="s">
        <v>4873</v>
      </c>
      <c r="C2565" s="1" t="str">
        <f>IFERROR(__xludf.DUMMYFUNCTION("CONCATENATE(GOOGLETRANSLATE(B2565, ""en"", ""zh-cn""))"),"二级佣金比例")</f>
        <v>二级佣金比例</v>
      </c>
      <c r="D2565" s="1" t="str">
        <f>IFERROR(__xludf.DUMMYFUNCTION("CONCATENATE(GOOGLETRANSLATE(B2565, ""en"", ""ko""))"),"레벨 2 수수료 비율")</f>
        <v>레벨 2 수수료 비율</v>
      </c>
      <c r="E2565" s="2" t="str">
        <f>IFERROR(__xludf.DUMMYFUNCTION("CONCATENATE(GOOGLETRANSLATE(B2565, ""en"", ""ja""))"),"レベル2手数料率")</f>
        <v>レベル2手数料率</v>
      </c>
    </row>
    <row r="2566" ht="15.75" customHeight="1">
      <c r="A2566" s="1" t="s">
        <v>4874</v>
      </c>
      <c r="B2566" s="1" t="s">
        <v>4875</v>
      </c>
      <c r="C2566" s="1" t="str">
        <f>IFERROR(__xludf.DUMMYFUNCTION("CONCATENATE(GOOGLETRANSLATE(B2566, ""en"", ""zh-cn""))"),"第三级佣金比例")</f>
        <v>第三级佣金比例</v>
      </c>
      <c r="D2566" s="1" t="str">
        <f>IFERROR(__xludf.DUMMYFUNCTION("CONCATENATE(GOOGLETRANSLATE(B2566, ""en"", ""ko""))"),"레벨 3 커미션 비율")</f>
        <v>레벨 3 커미션 비율</v>
      </c>
      <c r="E2566" s="2" t="str">
        <f>IFERROR(__xludf.DUMMYFUNCTION("CONCATENATE(GOOGLETRANSLATE(B2566, ""en"", ""ja""))"),"レベル3手数料率")</f>
        <v>レベル3手数料率</v>
      </c>
    </row>
    <row r="2567" ht="15.75" customHeight="1">
      <c r="A2567" s="1" t="s">
        <v>4876</v>
      </c>
      <c r="B2567" s="1" t="s">
        <v>4877</v>
      </c>
      <c r="C2567" s="1" t="str">
        <f>IFERROR(__xludf.DUMMYFUNCTION("CONCATENATE(GOOGLETRANSLATE(B2567, ""en"", ""zh-cn""))"),"虚拟地址")</f>
        <v>虚拟地址</v>
      </c>
      <c r="D2567" s="1" t="str">
        <f>IFERROR(__xludf.DUMMYFUNCTION("CONCATENATE(GOOGLETRANSLATE(B2567, ""en"", ""ko""))"),"가상 주소")</f>
        <v>가상 주소</v>
      </c>
      <c r="E2567" s="2" t="str">
        <f>IFERROR(__xludf.DUMMYFUNCTION("CONCATENATE(GOOGLETRANSLATE(B2567, ""en"", ""ja""))"),"仮想アドレス")</f>
        <v>仮想アドレス</v>
      </c>
    </row>
    <row r="2568" ht="15.75" customHeight="1">
      <c r="A2568" s="1" t="s">
        <v>4878</v>
      </c>
      <c r="B2568" s="1" t="s">
        <v>4879</v>
      </c>
      <c r="C2568" s="1" t="str">
        <f>IFERROR(__xludf.DUMMYFUNCTION("CONCATENATE(GOOGLETRANSLATE(B2568, ""en"", ""zh-cn""))"),"地址")</f>
        <v>地址</v>
      </c>
      <c r="D2568" s="1" t="str">
        <f>IFERROR(__xludf.DUMMYFUNCTION("CONCATENATE(GOOGLETRANSLATE(B2568, ""en"", ""ko""))"),"주소")</f>
        <v>주소</v>
      </c>
      <c r="E2568" s="2" t="str">
        <f>IFERROR(__xludf.DUMMYFUNCTION("CONCATENATE(GOOGLETRANSLATE(B2568, ""en"", ""ja""))"),"住所")</f>
        <v>住所</v>
      </c>
    </row>
    <row r="2569" ht="15.75" customHeight="1">
      <c r="A2569" s="1" t="s">
        <v>4880</v>
      </c>
      <c r="B2569" s="1" t="s">
        <v>4881</v>
      </c>
      <c r="C2569" s="1" t="str">
        <f>IFERROR(__xludf.DUMMYFUNCTION("CONCATENATE(GOOGLETRANSLATE(B2569, ""en"", ""zh-cn""))"),"贵宾2")</f>
        <v>贵宾2</v>
      </c>
      <c r="D2569" s="1" t="str">
        <f>IFERROR(__xludf.DUMMYFUNCTION("CONCATENATE(GOOGLETRANSLATE(B2569, ""en"", ""ko""))"),"VIP2")</f>
        <v>VIP2</v>
      </c>
      <c r="E2569" s="2" t="str">
        <f>IFERROR(__xludf.DUMMYFUNCTION("CONCATENATE(GOOGLETRANSLATE(B2569, ""en"", ""ja""))"),"VIP2")</f>
        <v>VIP2</v>
      </c>
    </row>
    <row r="2570" ht="15.75" customHeight="1">
      <c r="A2570" s="1" t="s">
        <v>4882</v>
      </c>
      <c r="B2570" s="1" t="s">
        <v>4883</v>
      </c>
      <c r="C2570" s="1" t="str">
        <f>IFERROR(__xludf.DUMMYFUNCTION("CONCATENATE(GOOGLETRANSLATE(B2570, ""en"", ""zh-cn""))"),"薪资类型")</f>
        <v>薪资类型</v>
      </c>
      <c r="D2570" s="1" t="str">
        <f>IFERROR(__xludf.DUMMYFUNCTION("CONCATENATE(GOOGLETRANSLATE(B2570, ""en"", ""ko""))"),"지불 유형")</f>
        <v>지불 유형</v>
      </c>
      <c r="E2570" s="2" t="str">
        <f>IFERROR(__xludf.DUMMYFUNCTION("CONCATENATE(GOOGLETRANSLATE(B2570, ""en"", ""ja""))"),"給与の種類")</f>
        <v>給与の種類</v>
      </c>
    </row>
    <row r="2571" ht="15.75" customHeight="1">
      <c r="A2571" s="1" t="s">
        <v>4884</v>
      </c>
      <c r="B2571" s="1" t="s">
        <v>4885</v>
      </c>
      <c r="C2571" s="1" t="str">
        <f>IFERROR(__xludf.DUMMYFUNCTION("CONCATENATE(GOOGLETRANSLATE(B2571, ""en"", ""zh-cn""))"),"在线充值请联系在线客服")</f>
        <v>在线充值请联系在线客服</v>
      </c>
      <c r="D2571" s="1" t="str">
        <f>IFERROR(__xludf.DUMMYFUNCTION("CONCATENATE(GOOGLETRANSLATE(B2571, ""en"", ""ko""))"),"온라인 충전을 원하시면 온라인 고객센터로 문의해주세요.")</f>
        <v>온라인 충전을 원하시면 온라인 고객센터로 문의해주세요.</v>
      </c>
      <c r="E2571" s="2" t="str">
        <f>IFERROR(__xludf.DUMMYFUNCTION("CONCATENATE(GOOGLETRANSLATE(B2571, ""en"", ""ja""))"),"オンラインリチャージについては、オンラインカスタマーサービスにお問い合わせください。")</f>
        <v>オンラインリチャージについては、オンラインカスタマーサービスにお問い合わせください。</v>
      </c>
    </row>
    <row r="2572" ht="15.75" customHeight="1">
      <c r="A2572" s="1" t="s">
        <v>4886</v>
      </c>
      <c r="B2572" s="1" t="s">
        <v>4887</v>
      </c>
      <c r="C2572" s="1" t="str">
        <f>IFERROR(__xludf.DUMMYFUNCTION("CONCATENATE(GOOGLETRANSLATE(B2572, ""en"", ""zh-cn""))"),"普通的")</f>
        <v>普通的</v>
      </c>
      <c r="D2572" s="1" t="str">
        <f>IFERROR(__xludf.DUMMYFUNCTION("CONCATENATE(GOOGLETRANSLATE(B2572, ""en"", ""ko""))"),"정상")</f>
        <v>정상</v>
      </c>
      <c r="E2572" s="2" t="str">
        <f>IFERROR(__xludf.DUMMYFUNCTION("CONCATENATE(GOOGLETRANSLATE(B2572, ""en"", ""ja""))"),"普通")</f>
        <v>普通</v>
      </c>
    </row>
    <row r="2573" ht="15.75" customHeight="1">
      <c r="A2573" s="1" t="s">
        <v>4888</v>
      </c>
      <c r="B2573" s="1" t="s">
        <v>4889</v>
      </c>
      <c r="C2573" s="1" t="str">
        <f>IFERROR(__xludf.DUMMYFUNCTION("CONCATENATE(GOOGLETRANSLATE(B2573, ""en"", ""zh-cn""))"),"禁止")</f>
        <v>禁止</v>
      </c>
      <c r="D2573" s="1" t="str">
        <f>IFERROR(__xludf.DUMMYFUNCTION("CONCATENATE(GOOGLETRANSLATE(B2573, ""en"", ""ko""))"),"금지됨")</f>
        <v>금지됨</v>
      </c>
      <c r="E2573" s="2" t="str">
        <f>IFERROR(__xludf.DUMMYFUNCTION("CONCATENATE(GOOGLETRANSLATE(B2573, ""en"", ""ja""))"),"禁断")</f>
        <v>禁断</v>
      </c>
    </row>
    <row r="2574" ht="15.75" customHeight="1">
      <c r="A2574" s="1" t="s">
        <v>4890</v>
      </c>
      <c r="B2574" s="1" t="s">
        <v>4891</v>
      </c>
      <c r="C2574" s="1" t="str">
        <f>IFERROR(__xludf.DUMMYFUNCTION("CONCATENATE(GOOGLETRANSLATE(B2574, ""en"", ""zh-cn""))"),"商人")</f>
        <v>商人</v>
      </c>
      <c r="D2574" s="1" t="str">
        <f>IFERROR(__xludf.DUMMYFUNCTION("CONCATENATE(GOOGLETRANSLATE(B2574, ""en"", ""ko""))"),"상인")</f>
        <v>상인</v>
      </c>
      <c r="E2574" s="2" t="str">
        <f>IFERROR(__xludf.DUMMYFUNCTION("CONCATENATE(GOOGLETRANSLATE(B2574, ""en"", ""ja""))"),"商人")</f>
        <v>商人</v>
      </c>
    </row>
    <row r="2575" ht="15.75" customHeight="1">
      <c r="A2575" s="1" t="s">
        <v>4892</v>
      </c>
      <c r="B2575" s="1" t="s">
        <v>4893</v>
      </c>
      <c r="C2575" s="1" t="str">
        <f>IFERROR(__xludf.DUMMYFUNCTION("CONCATENATE(GOOGLETRANSLATE(B2575, ""en"", ""zh-cn""))"),"渠道")</f>
        <v>渠道</v>
      </c>
      <c r="D2575" s="1" t="str">
        <f>IFERROR(__xludf.DUMMYFUNCTION("CONCATENATE(GOOGLETRANSLATE(B2575, ""en"", ""ko""))"),"채널")</f>
        <v>채널</v>
      </c>
      <c r="E2575" s="2" t="str">
        <f>IFERROR(__xludf.DUMMYFUNCTION("CONCATENATE(GOOGLETRANSLATE(B2575, ""en"", ""ja""))"),"チャネル")</f>
        <v>チャネル</v>
      </c>
    </row>
    <row r="2576" ht="15.75" customHeight="1">
      <c r="A2576" s="1" t="s">
        <v>4894</v>
      </c>
      <c r="B2576" s="1" t="s">
        <v>4895</v>
      </c>
      <c r="C2576" s="1" t="str">
        <f>IFERROR(__xludf.DUMMYFUNCTION("CONCATENATE(GOOGLETRANSLATE(B2576, ""en"", ""zh-cn""))"),"商户密钥")</f>
        <v>商户密钥</v>
      </c>
      <c r="D2576" s="1" t="str">
        <f>IFERROR(__xludf.DUMMYFUNCTION("CONCATENATE(GOOGLETRANSLATE(B2576, ""en"", ""ko""))"),"판매자 키")</f>
        <v>판매자 키</v>
      </c>
      <c r="E2576" s="2" t="str">
        <f>IFERROR(__xludf.DUMMYFUNCTION("CONCATENATE(GOOGLETRANSLATE(B2576, ""en"", ""ja""))"),"マーチャントキー")</f>
        <v>マーチャントキー</v>
      </c>
    </row>
    <row r="2577" ht="15.75" customHeight="1">
      <c r="A2577" s="1" t="s">
        <v>4896</v>
      </c>
      <c r="B2577" s="1" t="s">
        <v>4897</v>
      </c>
      <c r="C2577" s="1" t="str">
        <f>IFERROR(__xludf.DUMMYFUNCTION("CONCATENATE(GOOGLETRANSLATE(B2577, ""en"", ""zh-cn""))"),"添加")</f>
        <v>添加</v>
      </c>
      <c r="D2577" s="1" t="str">
        <f>IFERROR(__xludf.DUMMYFUNCTION("CONCATENATE(GOOGLETRANSLATE(B2577, ""en"", ""ko""))"),"추가하다")</f>
        <v>추가하다</v>
      </c>
      <c r="E2577" s="2" t="str">
        <f>IFERROR(__xludf.DUMMYFUNCTION("CONCATENATE(GOOGLETRANSLATE(B2577, ""en"", ""ja""))"),"追加")</f>
        <v>追加</v>
      </c>
    </row>
    <row r="2578" ht="15.75" customHeight="1">
      <c r="A2578" s="1" t="s">
        <v>4898</v>
      </c>
      <c r="B2578" s="1" t="s">
        <v>4899</v>
      </c>
      <c r="C2578" s="1" t="str">
        <f>IFERROR(__xludf.DUMMYFUNCTION("CONCATENATE(GOOGLETRANSLATE(B2578, ""en"", ""zh-cn""))"),"输入姓名或电子邮件")</f>
        <v>输入姓名或电子邮件</v>
      </c>
      <c r="D2578" s="1" t="str">
        <f>IFERROR(__xludf.DUMMYFUNCTION("CONCATENATE(GOOGLETRANSLATE(B2578, ""en"", ""ko""))"),"이름이나 이메일을 입력하세요")</f>
        <v>이름이나 이메일을 입력하세요</v>
      </c>
      <c r="E2578" s="2" t="str">
        <f>IFERROR(__xludf.DUMMYFUNCTION("CONCATENATE(GOOGLETRANSLATE(B2578, ""en"", ""ja""))"),"名前またはメールアドレスを入力してください")</f>
        <v>名前またはメールアドレスを入力してください</v>
      </c>
    </row>
    <row r="2579" ht="15.75" customHeight="1">
      <c r="A2579" s="1" t="s">
        <v>4900</v>
      </c>
      <c r="B2579" s="1" t="s">
        <v>4901</v>
      </c>
      <c r="C2579" s="1" t="str">
        <f>IFERROR(__xludf.DUMMYFUNCTION("CONCATENATE(GOOGLETRANSLATE(B2579, ""en"", ""zh-cn""))"),"进入")</f>
        <v>进入</v>
      </c>
      <c r="D2579" s="1" t="str">
        <f>IFERROR(__xludf.DUMMYFUNCTION("CONCATENATE(GOOGLETRANSLATE(B2579, ""en"", ""ko""))"),"입력하다")</f>
        <v>입력하다</v>
      </c>
      <c r="E2579" s="2" t="str">
        <f>IFERROR(__xludf.DUMMYFUNCTION("CONCATENATE(GOOGLETRANSLATE(B2579, ""en"", ""ja""))"),"入力")</f>
        <v>入力</v>
      </c>
    </row>
    <row r="2580" ht="15.75" customHeight="1">
      <c r="A2580" s="1" t="s">
        <v>4902</v>
      </c>
      <c r="B2580" s="1" t="s">
        <v>4903</v>
      </c>
      <c r="C2580" s="1" t="str">
        <f>IFERROR(__xludf.DUMMYFUNCTION("CONCATENATE(GOOGLETRANSLATE(B2580, ""en"", ""zh-cn""))"),"邮件地址")</f>
        <v>邮件地址</v>
      </c>
      <c r="D2580" s="1" t="str">
        <f>IFERROR(__xludf.DUMMYFUNCTION("CONCATENATE(GOOGLETRANSLATE(B2580, ""en"", ""ko""))"),"메일 주소")</f>
        <v>메일 주소</v>
      </c>
      <c r="E2580" s="2" t="str">
        <f>IFERROR(__xludf.DUMMYFUNCTION("CONCATENATE(GOOGLETRANSLATE(B2580, ""en"", ""ja""))"),"メールアドレス")</f>
        <v>メールアドレス</v>
      </c>
    </row>
    <row r="2581" ht="15.75" customHeight="1">
      <c r="A2581" s="1" t="s">
        <v>4904</v>
      </c>
      <c r="B2581" s="1" t="s">
        <v>4905</v>
      </c>
      <c r="C2581" s="1" t="str">
        <f>IFERROR(__xludf.DUMMYFUNCTION("CONCATENATE(GOOGLETRANSLATE(B2581, ""en"", ""zh-cn""))"),"物流钱包支付")</f>
        <v>物流钱包支付</v>
      </c>
      <c r="D2581" s="1" t="str">
        <f>IFERROR(__xludf.DUMMYFUNCTION("CONCATENATE(GOOGLETRANSLATE(B2581, ""en"", ""ko""))"),"물류 지갑 결제")</f>
        <v>물류 지갑 결제</v>
      </c>
      <c r="E2581" s="2" t="str">
        <f>IFERROR(__xludf.DUMMYFUNCTION("CONCATENATE(GOOGLETRANSLATE(B2581, ""en"", ""ja""))"),"物流ウォレット決済")</f>
        <v>物流ウォレット決済</v>
      </c>
    </row>
    <row r="2582" ht="15.75" customHeight="1">
      <c r="A2582" s="1" t="s">
        <v>4906</v>
      </c>
      <c r="B2582" s="1" t="s">
        <v>4907</v>
      </c>
      <c r="C2582" s="1" t="str">
        <f>IFERROR(__xludf.DUMMYFUNCTION("CONCATENATE(GOOGLETRANSLATE(B2582, ""en"", ""zh-cn""))"),"店铺明星")</f>
        <v>店铺明星</v>
      </c>
      <c r="D2582" s="1" t="str">
        <f>IFERROR(__xludf.DUMMYFUNCTION("CONCATENATE(GOOGLETRANSLATE(B2582, ""en"", ""ko""))"),"쇼핑 스타")</f>
        <v>쇼핑 스타</v>
      </c>
      <c r="E2582" s="2" t="str">
        <f>IFERROR(__xludf.DUMMYFUNCTION("CONCATENATE(GOOGLETRANSLATE(B2582, ""en"", ""ja""))"),"ショップスター")</f>
        <v>ショップスター</v>
      </c>
    </row>
    <row r="2583" ht="15.75" customHeight="1">
      <c r="A2583" s="1" t="s">
        <v>4908</v>
      </c>
      <c r="B2583" s="1" t="s">
        <v>4909</v>
      </c>
      <c r="C2583" s="1" t="str">
        <f>IFERROR(__xludf.DUMMYFUNCTION("CONCATENATE(GOOGLETRANSLATE(B2583, ""en"", ""zh-cn""))"),"设置价差套餐")</f>
        <v>设置价差套餐</v>
      </c>
      <c r="D2583" s="1" t="str">
        <f>IFERROR(__xludf.DUMMYFUNCTION("CONCATENATE(GOOGLETRANSLATE(B2583, ""en"", ""ko""))"),"스프레드 패키지 설정")</f>
        <v>스프레드 패키지 설정</v>
      </c>
      <c r="E2583" s="2" t="str">
        <f>IFERROR(__xludf.DUMMYFUNCTION("CONCATENATE(GOOGLETRANSLATE(B2583, ""en"", ""ja""))"),"スプレッドパッケージの設定")</f>
        <v>スプレッドパッケージの設定</v>
      </c>
    </row>
    <row r="2584" ht="15.75" customHeight="1">
      <c r="A2584" s="1" t="s">
        <v>4910</v>
      </c>
      <c r="B2584" s="1" t="s">
        <v>4911</v>
      </c>
      <c r="C2584" s="1" t="str">
        <f>IFERROR(__xludf.DUMMYFUNCTION("CONCATENATE(GOOGLETRANSLATE(B2584, ""en"", ""zh-cn""))"),"物流钱包金额")</f>
        <v>物流钱包金额</v>
      </c>
      <c r="D2584" s="1" t="str">
        <f>IFERROR(__xludf.DUMMYFUNCTION("CONCATENATE(GOOGLETRANSLATE(B2584, ""en"", ""ko""))"),"물류 지갑 금액")</f>
        <v>물류 지갑 금액</v>
      </c>
      <c r="E2584" s="2" t="str">
        <f>IFERROR(__xludf.DUMMYFUNCTION("CONCATENATE(GOOGLETRANSLATE(B2584, ""en"", ""ja""))"),"物流ウォレット金額")</f>
        <v>物流ウォレット金額</v>
      </c>
    </row>
    <row r="2585" ht="15.75" customHeight="1">
      <c r="A2585" s="1" t="s">
        <v>4912</v>
      </c>
      <c r="B2585" s="1" t="s">
        <v>4913</v>
      </c>
      <c r="C2585" s="1" t="str">
        <f>IFERROR(__xludf.DUMMYFUNCTION("CONCATENATE(GOOGLETRANSLATE(B2585, ""en"", ""zh-cn""))"),"增加金额")</f>
        <v>增加金额</v>
      </c>
      <c r="D2585" s="1" t="str">
        <f>IFERROR(__xludf.DUMMYFUNCTION("CONCATENATE(GOOGLETRANSLATE(B2585, ""en"", ""ko""))"),"금액 증가")</f>
        <v>금액 증가</v>
      </c>
      <c r="E2585" s="2" t="str">
        <f>IFERROR(__xludf.DUMMYFUNCTION("CONCATENATE(GOOGLETRANSLATE(B2585, ""en"", ""ja""))"),"増加量")</f>
        <v>増加量</v>
      </c>
    </row>
    <row r="2586" ht="15.75" customHeight="1">
      <c r="A2586" s="1" t="s">
        <v>4914</v>
      </c>
      <c r="B2586" s="1" t="s">
        <v>4915</v>
      </c>
      <c r="C2586" s="1" t="str">
        <f>IFERROR(__xludf.DUMMYFUNCTION("CONCATENATE(GOOGLETRANSLATE(B2586, ""en"", ""zh-cn""))"),"减少金额")</f>
        <v>减少金额</v>
      </c>
      <c r="D2586" s="1" t="str">
        <f>IFERROR(__xludf.DUMMYFUNCTION("CONCATENATE(GOOGLETRANSLATE(B2586, ""en"", ""ko""))"),"금액 감소")</f>
        <v>금액 감소</v>
      </c>
      <c r="E2586" s="2" t="str">
        <f>IFERROR(__xludf.DUMMYFUNCTION("CONCATENATE(GOOGLETRANSLATE(B2586, ""en"", ""ja""))"),"減少量")</f>
        <v>減少量</v>
      </c>
    </row>
    <row r="2587" ht="15.75" customHeight="1">
      <c r="A2587" s="1" t="s">
        <v>4916</v>
      </c>
      <c r="B2587" s="1" t="s">
        <v>4917</v>
      </c>
      <c r="C2587" s="1" t="str">
        <f>IFERROR(__xludf.DUMMYFUNCTION("CONCATENATE(GOOGLETRANSLATE(B2587, ""en"", ""zh-cn""))"),"奖金")</f>
        <v>奖金</v>
      </c>
      <c r="D2587" s="1" t="str">
        <f>IFERROR(__xludf.DUMMYFUNCTION("CONCATENATE(GOOGLETRANSLATE(B2587, ""en"", ""ko""))"),"상금")</f>
        <v>상금</v>
      </c>
      <c r="E2587" s="2" t="str">
        <f>IFERROR(__xludf.DUMMYFUNCTION("CONCATENATE(GOOGLETRANSLATE(B2587, ""en"", ""ja""))"),"賞金")</f>
        <v>賞金</v>
      </c>
    </row>
    <row r="2588" ht="15.75" customHeight="1">
      <c r="A2588" s="1" t="s">
        <v>4918</v>
      </c>
      <c r="B2588" s="1" t="s">
        <v>4919</v>
      </c>
      <c r="C2588" s="1" t="str">
        <f>IFERROR(__xludf.DUMMYFUNCTION("CONCATENATE(GOOGLETRANSLATE(B2588, ""en"", ""zh-cn""))"),"商店虚拟明星")</f>
        <v>商店虚拟明星</v>
      </c>
      <c r="D2588" s="1" t="str">
        <f>IFERROR(__xludf.DUMMYFUNCTION("CONCATENATE(GOOGLETRANSLATE(B2588, ""en"", ""ko""))"),"가상 스타 저장")</f>
        <v>가상 스타 저장</v>
      </c>
      <c r="E2588" s="2" t="str">
        <f>IFERROR(__xludf.DUMMYFUNCTION("CONCATENATE(GOOGLETRANSLATE(B2588, ""en"", ""ja""))"),"ストアバーチャルスター")</f>
        <v>ストアバーチャルスター</v>
      </c>
    </row>
    <row r="2589" ht="15.75" customHeight="1">
      <c r="A2589" s="1" t="s">
        <v>4920</v>
      </c>
      <c r="B2589" s="1" t="s">
        <v>4921</v>
      </c>
      <c r="C2589" s="1" t="str">
        <f>IFERROR(__xludf.DUMMYFUNCTION("CONCATENATE(GOOGLETRANSLATE(B2589, ""en"", ""zh-cn""))"),"开启店铺虚拟星级")</f>
        <v>开启店铺虚拟星级</v>
      </c>
      <c r="D2589" s="1" t="str">
        <f>IFERROR(__xludf.DUMMYFUNCTION("CONCATENATE(GOOGLETRANSLATE(B2589, ""en"", ""ko""))"),"상점의 가상 스타 레벨을 엽니다")</f>
        <v>상점의 가상 스타 레벨을 엽니다</v>
      </c>
      <c r="E2589" s="2" t="str">
        <f>IFERROR(__xludf.DUMMYFUNCTION("CONCATENATE(GOOGLETRANSLATE(B2589, ""en"", ""ja""))"),"ストアの仮想スターレベルを開く")</f>
        <v>ストアの仮想スターレベルを開く</v>
      </c>
    </row>
    <row r="2590" ht="15.75" customHeight="1">
      <c r="A2590" s="1" t="s">
        <v>4922</v>
      </c>
      <c r="B2590" s="1" t="s">
        <v>4923</v>
      </c>
      <c r="C2590" s="1" t="str">
        <f>IFERROR(__xludf.DUMMYFUNCTION("CONCATENATE(GOOGLETRANSLATE(B2590, ""en"", ""zh-cn""))"),"回去")</f>
        <v>回去</v>
      </c>
      <c r="D2590" s="1" t="str">
        <f>IFERROR(__xludf.DUMMYFUNCTION("CONCATENATE(GOOGLETRANSLATE(B2590, ""en"", ""ko""))"),"돌아가기")</f>
        <v>돌아가기</v>
      </c>
      <c r="E2590" s="2" t="str">
        <f>IFERROR(__xludf.DUMMYFUNCTION("CONCATENATE(GOOGLETRANSLATE(B2590, ""en"", ""ja""))"),"戻る")</f>
        <v>戻る</v>
      </c>
    </row>
    <row r="2591" ht="15.75" customHeight="1">
      <c r="A2591" s="1" t="s">
        <v>4924</v>
      </c>
      <c r="B2591" s="1" t="s">
        <v>4925</v>
      </c>
      <c r="C2591" s="1" t="str">
        <f>IFERROR(__xludf.DUMMYFUNCTION("CONCATENATE(GOOGLETRANSLATE(B2591, ""en"", ""zh-cn""))"),"方形凭证")</f>
        <v>方形凭证</v>
      </c>
      <c r="D2591" s="1" t="str">
        <f>IFERROR(__xludf.DUMMYFUNCTION("CONCATENATE(GOOGLETRANSLATE(B2591, ""en"", ""ko""))"),"정사각형 자격 증명")</f>
        <v>정사각형 자격 증명</v>
      </c>
      <c r="E2591" s="2" t="str">
        <f>IFERROR(__xludf.DUMMYFUNCTION("CONCATENATE(GOOGLETRANSLATE(B2591, ""en"", ""ja""))"),"スクエアクレデンシャル")</f>
        <v>スクエアクレデンシャル</v>
      </c>
    </row>
    <row r="2592" ht="15.75" customHeight="1">
      <c r="A2592" s="1" t="s">
        <v>4926</v>
      </c>
      <c r="B2592" s="1" t="s">
        <v>4927</v>
      </c>
      <c r="C2592" s="1" t="str">
        <f>IFERROR(__xludf.DUMMYFUNCTION("CONCATENATE(GOOGLETRANSLATE(B2592, ""en"", ""zh-cn""))"),"方形应用程序ID")</f>
        <v>方形应用程序ID</v>
      </c>
      <c r="D2592" s="1" t="str">
        <f>IFERROR(__xludf.DUMMYFUNCTION("CONCATENATE(GOOGLETRANSLATE(B2592, ""en"", ""ko""))"),"정사각형 앱 ID")</f>
        <v>정사각형 앱 ID</v>
      </c>
      <c r="E2592" s="2" t="str">
        <f>IFERROR(__xludf.DUMMYFUNCTION("CONCATENATE(GOOGLETRANSLATE(B2592, ""en"", ""ja""))"),"スクエアアプリID")</f>
        <v>スクエアアプリID</v>
      </c>
    </row>
    <row r="2593" ht="15.75" customHeight="1">
      <c r="A2593" s="1" t="s">
        <v>4928</v>
      </c>
      <c r="B2593" s="1" t="s">
        <v>4929</v>
      </c>
      <c r="C2593" s="1" t="str">
        <f>IFERROR(__xludf.DUMMYFUNCTION("CONCATENATE(GOOGLETRANSLATE(B2593, ""en"", ""zh-cn""))"),"广场位置 ID")</f>
        <v>广场位置 ID</v>
      </c>
      <c r="D2593" s="1" t="str">
        <f>IFERROR(__xludf.DUMMYFUNCTION("CONCATENATE(GOOGLETRANSLATE(B2593, ""en"", ""ko""))"),"광장 위치 ID")</f>
        <v>광장 위치 ID</v>
      </c>
      <c r="E2593" s="2" t="str">
        <f>IFERROR(__xludf.DUMMYFUNCTION("CONCATENATE(GOOGLETRANSLATE(B2593, ""en"", ""ja""))"),"広場の場所ID")</f>
        <v>広場の場所ID</v>
      </c>
    </row>
    <row r="2594" ht="15.75" customHeight="1">
      <c r="A2594" s="1" t="s">
        <v>4930</v>
      </c>
      <c r="B2594" s="1" t="s">
        <v>4931</v>
      </c>
      <c r="C2594" s="1" t="str">
        <f>IFERROR(__xludf.DUMMYFUNCTION("CONCATENATE(GOOGLETRANSLATE(B2594, ""en"", ""zh-cn""))"),"方形代币")</f>
        <v>方形代币</v>
      </c>
      <c r="D2594" s="1" t="str">
        <f>IFERROR(__xludf.DUMMYFUNCTION("CONCATENATE(GOOGLETRANSLATE(B2594, ""en"", ""ko""))"),"스퀘어 토큰")</f>
        <v>스퀘어 토큰</v>
      </c>
      <c r="E2594" s="2" t="str">
        <f>IFERROR(__xludf.DUMMYFUNCTION("CONCATENATE(GOOGLETRANSLATE(B2594, ""en"", ""ja""))"),"スクエアトークン")</f>
        <v>スクエアトークン</v>
      </c>
    </row>
    <row r="2595" ht="15.75" customHeight="1">
      <c r="A2595" s="1" t="s">
        <v>4932</v>
      </c>
      <c r="B2595" s="1" t="s">
        <v>4933</v>
      </c>
      <c r="C2595" s="1" t="str">
        <f>IFERROR(__xludf.DUMMYFUNCTION("CONCATENATE(GOOGLETRANSLATE(B2595, ""en"", ""zh-cn""))"),"Gpay凭证")</f>
        <v>Gpay凭证</v>
      </c>
      <c r="D2595" s="1" t="str">
        <f>IFERROR(__xludf.DUMMYFUNCTION("CONCATENATE(GOOGLETRANSLATE(B2595, ""en"", ""ko""))"),"Gpay 자격증명")</f>
        <v>Gpay 자격증명</v>
      </c>
      <c r="E2595" s="2" t="str">
        <f>IFERROR(__xludf.DUMMYFUNCTION("CONCATENATE(GOOGLETRANSLATE(B2595, ""en"", ""ja""))"),"Gpay 資格情報")</f>
        <v>Gpay 資格情報</v>
      </c>
    </row>
    <row r="2596" ht="15.75" customHeight="1">
      <c r="A2596" s="1" t="s">
        <v>4934</v>
      </c>
      <c r="B2596" s="1" t="s">
        <v>4935</v>
      </c>
      <c r="C2596" s="1" t="str">
        <f>IFERROR(__xludf.DUMMYFUNCTION("CONCATENATE(GOOGLETRANSLATE(B2596, ""en"", ""zh-cn""))"),"付款键")</f>
        <v>付款键</v>
      </c>
      <c r="D2596" s="1" t="str">
        <f>IFERROR(__xludf.DUMMYFUNCTION("CONCATENATE(GOOGLETRANSLATE(B2596, ""en"", ""ko""))"),"결제 키")</f>
        <v>결제 키</v>
      </c>
      <c r="E2596" s="2" t="str">
        <f>IFERROR(__xludf.DUMMYFUNCTION("CONCATENATE(GOOGLETRANSLATE(B2596, ""en"", ""ja""))"),"支払いキー")</f>
        <v>支払いキー</v>
      </c>
    </row>
    <row r="2597" ht="15.75" customHeight="1">
      <c r="A2597" s="1" t="s">
        <v>4936</v>
      </c>
      <c r="B2597" s="1" t="s">
        <v>4937</v>
      </c>
      <c r="C2597" s="1" t="str">
        <f>IFERROR(__xludf.DUMMYFUNCTION("CONCATENATE(GOOGLETRANSLATE(B2597, ""en"", ""zh-cn""))"),"支付网关")</f>
        <v>支付网关</v>
      </c>
      <c r="D2597" s="1" t="str">
        <f>IFERROR(__xludf.DUMMYFUNCTION("CONCATENATE(GOOGLETRANSLATE(B2597, ""en"", ""ko""))"),"결제 게이트웨이")</f>
        <v>결제 게이트웨이</v>
      </c>
      <c r="E2597" s="2" t="str">
        <f>IFERROR(__xludf.DUMMYFUNCTION("CONCATENATE(GOOGLETRANSLATE(B2597, ""en"", ""ja""))"),"ペイメントゲートウェイ")</f>
        <v>ペイメントゲートウェイ</v>
      </c>
    </row>
    <row r="2598" ht="15.75" customHeight="1">
      <c r="A2598" s="1" t="s">
        <v>4938</v>
      </c>
      <c r="B2598" s="1" t="s">
        <v>4939</v>
      </c>
      <c r="C2598" s="1" t="str">
        <f>IFERROR(__xludf.DUMMYFUNCTION("CONCATENATE(GOOGLETRANSLATE(B2598, ""en"", ""zh-cn""))"),"查询网关")</f>
        <v>查询网关</v>
      </c>
      <c r="D2598" s="1" t="str">
        <f>IFERROR(__xludf.DUMMYFUNCTION("CONCATENATE(GOOGLETRANSLATE(B2598, ""en"", ""ko""))"),"쿼리 게이트웨이")</f>
        <v>쿼리 게이트웨이</v>
      </c>
      <c r="E2598" s="2" t="str">
        <f>IFERROR(__xludf.DUMMYFUNCTION("CONCATENATE(GOOGLETRANSLATE(B2598, ""en"", ""ja""))"),"クエリゲートウェイ")</f>
        <v>クエリゲートウェイ</v>
      </c>
    </row>
    <row r="2599" ht="15.75" customHeight="1">
      <c r="A2599" s="1" t="s">
        <v>4940</v>
      </c>
      <c r="B2599" s="1" t="s">
        <v>4941</v>
      </c>
      <c r="C2599" s="1" t="str">
        <f>IFERROR(__xludf.DUMMYFUNCTION("CONCATENATE(GOOGLETRANSLATE(B2599, ""en"", ""zh-cn""))"),"最低充值金额")</f>
        <v>最低充值金额</v>
      </c>
      <c r="D2599" s="1" t="str">
        <f>IFERROR(__xludf.DUMMYFUNCTION("CONCATENATE(GOOGLETRANSLATE(B2599, ""en"", ""ko""))"),"최소 충전 금액")</f>
        <v>최소 충전 금액</v>
      </c>
      <c r="E2599" s="2" t="str">
        <f>IFERROR(__xludf.DUMMYFUNCTION("CONCATENATE(GOOGLETRANSLATE(B2599, ""en"", ""ja""))"),"最低チャージ金額")</f>
        <v>最低チャージ金額</v>
      </c>
    </row>
    <row r="2600" ht="15.75" customHeight="1">
      <c r="A2600" s="1" t="s">
        <v>4942</v>
      </c>
      <c r="B2600" s="1" t="s">
        <v>4943</v>
      </c>
      <c r="C2600" s="1" t="str">
        <f>IFERROR(__xludf.DUMMYFUNCTION("CONCATENATE(GOOGLETRANSLATE(B2600, ""en"", ""zh-cn""))"),"最大充值金额")</f>
        <v>最大充值金额</v>
      </c>
      <c r="D2600" s="1" t="str">
        <f>IFERROR(__xludf.DUMMYFUNCTION("CONCATENATE(GOOGLETRANSLATE(B2600, ""en"", ""ko""))"),"최대 충전량")</f>
        <v>최대 충전량</v>
      </c>
      <c r="E2600" s="2" t="str">
        <f>IFERROR(__xludf.DUMMYFUNCTION("CONCATENATE(GOOGLETRANSLATE(B2600, ""en"", ""ja""))"),"最大チャージ金額")</f>
        <v>最大チャージ金額</v>
      </c>
    </row>
    <row r="2601" ht="15.75" customHeight="1">
      <c r="A2601" s="1" t="s">
        <v>4944</v>
      </c>
      <c r="B2601" s="1" t="s">
        <v>4945</v>
      </c>
      <c r="C2601" s="1" t="str">
        <f>IFERROR(__xludf.DUMMYFUNCTION("CONCATENATE(GOOGLETRANSLATE(B2601, ""en"", ""zh-cn""))"),"充值汇率")</f>
        <v>充值汇率</v>
      </c>
      <c r="D2601" s="1" t="str">
        <f>IFERROR(__xludf.DUMMYFUNCTION("CONCATENATE(GOOGLETRANSLATE(B2601, ""en"", ""ko""))"),"충전 환율")</f>
        <v>충전 환율</v>
      </c>
      <c r="E2601" s="2" t="str">
        <f>IFERROR(__xludf.DUMMYFUNCTION("CONCATENATE(GOOGLETRANSLATE(B2601, ""en"", ""ja""))"),"リチャージ為替レート")</f>
        <v>リチャージ為替レート</v>
      </c>
    </row>
    <row r="2602" ht="15.75" customHeight="1">
      <c r="A2602" s="1" t="s">
        <v>4946</v>
      </c>
      <c r="B2602" s="1" t="s">
        <v>4947</v>
      </c>
      <c r="C2602" s="1" t="str">
        <f>IFERROR(__xludf.DUMMYFUNCTION("CONCATENATE(GOOGLETRANSLATE(B2602, ""en"", ""zh-cn""))"),"IP白名单")</f>
        <v>IP白名单</v>
      </c>
      <c r="D2602" s="1" t="str">
        <f>IFERROR(__xludf.DUMMYFUNCTION("CONCATENATE(GOOGLETRANSLATE(B2602, ""en"", ""ko""))"),"IP 화이트리스트")</f>
        <v>IP 화이트리스트</v>
      </c>
      <c r="E2602" s="2" t="str">
        <f>IFERROR(__xludf.DUMMYFUNCTION("CONCATENATE(GOOGLETRANSLATE(B2602, ""en"", ""ja""))"),"IPホワイトリスト")</f>
        <v>IPホワイトリスト</v>
      </c>
    </row>
    <row r="2603" ht="15.75" customHeight="1">
      <c r="A2603" s="1" t="s">
        <v>4948</v>
      </c>
      <c r="B2603" s="1" t="s">
        <v>4949</v>
      </c>
      <c r="C2603" s="1" t="str">
        <f>IFERROR(__xludf.DUMMYFUNCTION("CONCATENATE(GOOGLETRANSLATE(B2603, ""en"", ""zh-cn""))"),"Qpay凭证")</f>
        <v>Qpay凭证</v>
      </c>
      <c r="D2603" s="1" t="str">
        <f>IFERROR(__xludf.DUMMYFUNCTION("CONCATENATE(GOOGLETRANSLATE(B2603, ""en"", ""ko""))"),"Qpay 자격증명")</f>
        <v>Qpay 자격증명</v>
      </c>
      <c r="E2603" s="2" t="str">
        <f>IFERROR(__xludf.DUMMYFUNCTION("CONCATENATE(GOOGLETRANSLATE(B2603, ""en"", ""ja""))"),"Qpay 資格情報")</f>
        <v>Qpay 資格情報</v>
      </c>
    </row>
    <row r="2604" ht="15.75" customHeight="1">
      <c r="A2604" s="1" t="s">
        <v>4950</v>
      </c>
      <c r="B2604" s="1" t="s">
        <v>4951</v>
      </c>
      <c r="C2604" s="1" t="str">
        <f>IFERROR(__xludf.DUMMYFUNCTION("CONCATENATE(GOOGLETRANSLATE(B2604, ""en"", ""zh-cn""))"),"BIGM 证书")</f>
        <v>BIGM 证书</v>
      </c>
      <c r="D2604" s="1" t="str">
        <f>IFERROR(__xludf.DUMMYFUNCTION("CONCATENATE(GOOGLETRANSLATE(B2604, ""en"", ""ko""))"),"BIGM 자격 증명")</f>
        <v>BIGM 자격 증명</v>
      </c>
      <c r="E2604" s="2" t="str">
        <f>IFERROR(__xludf.DUMMYFUNCTION("CONCATENATE(GOOGLETRANSLATE(B2604, ""en"", ""ja""))"),"BIGM 資格情報")</f>
        <v>BIGM 資格情報</v>
      </c>
    </row>
    <row r="2605" ht="15.75" customHeight="1">
      <c r="A2605" s="1" t="s">
        <v>4952</v>
      </c>
      <c r="B2605" s="1" t="s">
        <v>4953</v>
      </c>
      <c r="C2605" s="1" t="str">
        <f>IFERROR(__xludf.DUMMYFUNCTION("CONCATENATE(GOOGLETRANSLATE(B2605, ""en"", ""zh-cn""))"),"BIGM_QUERY_URL")</f>
        <v>BIGM_QUERY_URL</v>
      </c>
      <c r="D2605" s="1" t="str">
        <f>IFERROR(__xludf.DUMMYFUNCTION("CONCATENATE(GOOGLETRANSLATE(B2605, ""en"", ""ko""))"),"BIGM_QUERY_URL")</f>
        <v>BIGM_QUERY_URL</v>
      </c>
      <c r="E2605" s="2" t="str">
        <f>IFERROR(__xludf.DUMMYFUNCTION("CONCATENATE(GOOGLETRANSLATE(B2605, ""en"", ""ja""))"),"BIGM_QUERY_URL")</f>
        <v>BIGM_QUERY_URL</v>
      </c>
    </row>
    <row r="2606" ht="15.75" customHeight="1">
      <c r="A2606" s="1" t="s">
        <v>4954</v>
      </c>
      <c r="B2606" s="1" t="s">
        <v>4955</v>
      </c>
      <c r="C2606" s="1" t="str">
        <f>IFERROR(__xludf.DUMMYFUNCTION("CONCATENATE(GOOGLETRANSLATE(B2606, ""en"", ""zh-cn""))"),"扎兰多凭证")</f>
        <v>扎兰多凭证</v>
      </c>
      <c r="D2606" s="1" t="str">
        <f>IFERROR(__xludf.DUMMYFUNCTION("CONCATENATE(GOOGLETRANSLATE(B2606, ""en"", ""ko""))"),"Zalando 자격 증명")</f>
        <v>Zalando 자격 증명</v>
      </c>
      <c r="E2606" s="2" t="str">
        <f>IFERROR(__xludf.DUMMYFUNCTION("CONCATENATE(GOOGLETRANSLATE(B2606, ""en"", ""ja""))"),"ザランドの資格情報")</f>
        <v>ザランドの資格情報</v>
      </c>
    </row>
    <row r="2607" ht="15.75" customHeight="1">
      <c r="A2607" s="1" t="s">
        <v>4956</v>
      </c>
      <c r="B2607" s="1" t="s">
        <v>4957</v>
      </c>
      <c r="C2607" s="1" t="str">
        <f>IFERROR(__xludf.DUMMYFUNCTION("CONCATENATE(GOOGLETRANSLATE(B2607, ""en"", ""zh-cn""))"),"卓越资质")</f>
        <v>卓越资质</v>
      </c>
      <c r="D2607" s="1" t="str">
        <f>IFERROR(__xludf.DUMMYFUNCTION("CONCATENATE(GOOGLETRANSLATE(B2607, ""en"", ""ko""))"),"Zhuoyue 자격증")</f>
        <v>Zhuoyue 자격증</v>
      </c>
      <c r="E2607" s="2" t="str">
        <f>IFERROR(__xludf.DUMMYFUNCTION("CONCATENATE(GOOGLETRANSLATE(B2607, ""en"", ""ja""))"),"卓越資格情報")</f>
        <v>卓越資格情報</v>
      </c>
    </row>
    <row r="2608" ht="15.75" customHeight="1">
      <c r="A2608" s="1" t="s">
        <v>4958</v>
      </c>
      <c r="B2608" s="1" t="s">
        <v>4959</v>
      </c>
      <c r="C2608" s="1" t="str">
        <f>IFERROR(__xludf.DUMMYFUNCTION("CONCATENATE(GOOGLETRANSLATE(B2608, ""en"", ""zh-cn""))"),"MLpay凭证")</f>
        <v>MLpay凭证</v>
      </c>
      <c r="D2608" s="1" t="str">
        <f>IFERROR(__xludf.DUMMYFUNCTION("CONCATENATE(GOOGLETRANSLATE(B2608, ""en"", ""ko""))"),"MLpay 자격 증명")</f>
        <v>MLpay 자격 증명</v>
      </c>
      <c r="E2608" s="2" t="str">
        <f>IFERROR(__xludf.DUMMYFUNCTION("CONCATENATE(GOOGLETRANSLATE(B2608, ""en"", ""ja""))"),"MLpay 資格情報")</f>
        <v>MLpay 資格情報</v>
      </c>
    </row>
    <row r="2609" ht="15.75" customHeight="1">
      <c r="A2609" s="1" t="s">
        <v>4960</v>
      </c>
      <c r="B2609" s="1" t="s">
        <v>4961</v>
      </c>
      <c r="C2609" s="1" t="str">
        <f>IFERROR(__xludf.DUMMYFUNCTION("CONCATENATE(GOOGLETRANSLATE(B2609, ""en"", ""zh-cn""))"),"商户UID")</f>
        <v>商户UID</v>
      </c>
      <c r="D2609" s="1" t="str">
        <f>IFERROR(__xludf.DUMMYFUNCTION("CONCATENATE(GOOGLETRANSLATE(B2609, ""en"", ""ko""))"),"판매자 UID")</f>
        <v>판매자 UID</v>
      </c>
      <c r="E2609" s="2" t="str">
        <f>IFERROR(__xludf.DUMMYFUNCTION("CONCATENATE(GOOGLETRANSLATE(B2609, ""en"", ""ja""))"),"販売者UID")</f>
        <v>販売者UID</v>
      </c>
    </row>
    <row r="2610" ht="15.75" customHeight="1">
      <c r="A2610" s="1" t="s">
        <v>4962</v>
      </c>
      <c r="B2610" s="1" t="s">
        <v>4962</v>
      </c>
      <c r="C2610" s="1" t="str">
        <f>IFERROR(__xludf.DUMMYFUNCTION("CONCATENATE(GOOGLETRANSLATE(B2610, ""en"", ""zh-cn""))"),"成员编号")</f>
        <v>成员编号</v>
      </c>
      <c r="D2610" s="1" t="str">
        <f>IFERROR(__xludf.DUMMYFUNCTION("CONCATENATE(GOOGLETRANSLATE(B2610, ""en"", ""ko""))"),"회원 ID")</f>
        <v>회원 ID</v>
      </c>
      <c r="E2610" s="2" t="str">
        <f>IFERROR(__xludf.DUMMYFUNCTION("CONCATENATE(GOOGLETRANSLATE(B2610, ""en"", ""ja""))"),"メンバーID")</f>
        <v>メンバーID</v>
      </c>
    </row>
    <row r="2611" ht="15.75" customHeight="1">
      <c r="A2611" s="1" t="s">
        <v>4963</v>
      </c>
      <c r="B2611" s="1" t="s">
        <v>4963</v>
      </c>
      <c r="C2611" s="1" t="str">
        <f>IFERROR(__xludf.DUMMYFUNCTION("CONCATENATE(GOOGLETRANSLATE(B2611, ""en"", ""zh-cn""))"),"支付码")</f>
        <v>支付码</v>
      </c>
      <c r="D2611" s="1" t="str">
        <f>IFERROR(__xludf.DUMMYFUNCTION("CONCATENATE(GOOGLETRANSLATE(B2611, ""en"", ""ko""))"),"지불 코드")</f>
        <v>지불 코드</v>
      </c>
      <c r="E2611" s="2" t="str">
        <f>IFERROR(__xludf.DUMMYFUNCTION("CONCATENATE(GOOGLETRANSLATE(B2611, ""en"", ""ja""))"),"支払いコード")</f>
        <v>支払いコード</v>
      </c>
    </row>
    <row r="2612" ht="15.75" customHeight="1">
      <c r="A2612" s="1" t="s">
        <v>4964</v>
      </c>
      <c r="B2612" s="1" t="s">
        <v>4965</v>
      </c>
      <c r="C2612" s="1" t="str">
        <f>IFERROR(__xludf.DUMMYFUNCTION("CONCATENATE(GOOGLETRANSLATE(B2612, ""en"", ""zh-cn""))"),"请求网关")</f>
        <v>请求网关</v>
      </c>
      <c r="D2612" s="1" t="str">
        <f>IFERROR(__xludf.DUMMYFUNCTION("CONCATENATE(GOOGLETRANSLATE(B2612, ""en"", ""ko""))"),"요청 게이트웨이")</f>
        <v>요청 게이트웨이</v>
      </c>
      <c r="E2612" s="2" t="str">
        <f>IFERROR(__xludf.DUMMYFUNCTION("CONCATENATE(GOOGLETRANSLATE(B2612, ""en"", ""ja""))"),"リクエストゲートウェイ")</f>
        <v>リクエストゲートウェイ</v>
      </c>
    </row>
    <row r="2613" ht="15.75" customHeight="1">
      <c r="A2613" s="1" t="s">
        <v>4966</v>
      </c>
      <c r="B2613" s="1" t="s">
        <v>4967</v>
      </c>
      <c r="C2613" s="1" t="str">
        <f>IFERROR(__xludf.DUMMYFUNCTION("CONCATENATE(GOOGLETRANSLATE(B2613, ""en"", ""zh-cn""))"),"搜索网关")</f>
        <v>搜索网关</v>
      </c>
      <c r="D2613" s="1" t="str">
        <f>IFERROR(__xludf.DUMMYFUNCTION("CONCATENATE(GOOGLETRANSLATE(B2613, ""en"", ""ko""))"),"검색 게이트웨이")</f>
        <v>검색 게이트웨이</v>
      </c>
      <c r="E2613" s="2" t="str">
        <f>IFERROR(__xludf.DUMMYFUNCTION("CONCATENATE(GOOGLETRANSLATE(B2613, ""en"", ""ja""))"),"検索ゲートウェイ")</f>
        <v>検索ゲートウェイ</v>
      </c>
    </row>
    <row r="2614" ht="15.75" customHeight="1">
      <c r="A2614" s="1" t="s">
        <v>4968</v>
      </c>
      <c r="B2614" s="1" t="s">
        <v>4969</v>
      </c>
      <c r="C2614" s="1" t="str">
        <f>IFERROR(__xludf.DUMMYFUNCTION("CONCATENATE(GOOGLETRANSLATE(B2614, ""en"", ""zh-cn""))"),"变化率")</f>
        <v>变化率</v>
      </c>
      <c r="D2614" s="1" t="str">
        <f>IFERROR(__xludf.DUMMYFUNCTION("CONCATENATE(GOOGLETRANSLATE(B2614, ""en"", ""ko""))"),"변화율")</f>
        <v>변화율</v>
      </c>
      <c r="E2614" s="2" t="str">
        <f>IFERROR(__xludf.DUMMYFUNCTION("CONCATENATE(GOOGLETRANSLATE(B2614, ""en"", ""ja""))"),"変化率")</f>
        <v>変化率</v>
      </c>
    </row>
    <row r="2615" ht="15.75" customHeight="1">
      <c r="A2615" s="1" t="s">
        <v>4970</v>
      </c>
      <c r="B2615" s="1" t="s">
        <v>4971</v>
      </c>
      <c r="C2615" s="1" t="str">
        <f>IFERROR(__xludf.DUMMYFUNCTION("CONCATENATE(GOOGLETRANSLATE(B2615, ""en"", ""zh-cn""))"),"异步网关")</f>
        <v>异步网关</v>
      </c>
      <c r="D2615" s="1" t="str">
        <f>IFERROR(__xludf.DUMMYFUNCTION("CONCATENATE(GOOGLETRANSLATE(B2615, ""en"", ""ko""))"),"비동기 게이트웨이")</f>
        <v>비동기 게이트웨이</v>
      </c>
      <c r="E2615" s="2" t="str">
        <f>IFERROR(__xludf.DUMMYFUNCTION("CONCATENATE(GOOGLETRANSLATE(B2615, ""en"", ""ja""))"),"非同期ゲートウェイ")</f>
        <v>非同期ゲートウェイ</v>
      </c>
    </row>
    <row r="2616" ht="15.75" customHeight="1">
      <c r="A2616" s="1" t="s">
        <v>4972</v>
      </c>
      <c r="B2616" s="1" t="s">
        <v>4973</v>
      </c>
      <c r="C2616" s="1" t="str">
        <f>IFERROR(__xludf.DUMMYFUNCTION("CONCATENATE(GOOGLETRANSLATE(B2616, ""en"", ""zh-cn""))"),"同步网关")</f>
        <v>同步网关</v>
      </c>
      <c r="D2616" s="1" t="str">
        <f>IFERROR(__xludf.DUMMYFUNCTION("CONCATENATE(GOOGLETRANSLATE(B2616, ""en"", ""ko""))"),"동기화 게이트웨이")</f>
        <v>동기화 게이트웨이</v>
      </c>
      <c r="E2616" s="2" t="str">
        <f>IFERROR(__xludf.DUMMYFUNCTION("CONCATENATE(GOOGLETRANSLATE(B2616, ""en"", ""ja""))"),"同期ゲートウェイ")</f>
        <v>同期ゲートウェイ</v>
      </c>
    </row>
    <row r="2617" ht="15.75" customHeight="1">
      <c r="A2617" s="1" t="s">
        <v>4974</v>
      </c>
      <c r="B2617" s="1" t="s">
        <v>4975</v>
      </c>
      <c r="C2617" s="1" t="str">
        <f>IFERROR(__xludf.DUMMYFUNCTION("CONCATENATE(GOOGLETRANSLATE(B2617, ""en"", ""zh-cn""))"),"付费禁用开始时间")</f>
        <v>付费禁用开始时间</v>
      </c>
      <c r="D2617" s="1" t="str">
        <f>IFERROR(__xludf.DUMMYFUNCTION("CONCATENATE(GOOGLETRANSLATE(B2617, ""en"", ""ko""))"),"지불 비활성화 시작 시간")</f>
        <v>지불 비활성화 시작 시간</v>
      </c>
      <c r="E2617" s="2" t="str">
        <f>IFERROR(__xludf.DUMMYFUNCTION("CONCATENATE(GOOGLETRANSLATE(B2617, ""en"", ""ja""))"),"支払い無効開始時間")</f>
        <v>支払い無効開始時間</v>
      </c>
    </row>
    <row r="2618" ht="15.75" customHeight="1">
      <c r="A2618" s="1" t="s">
        <v>4976</v>
      </c>
      <c r="B2618" s="1" t="s">
        <v>4976</v>
      </c>
      <c r="C2618" s="1" t="str">
        <f>IFERROR(__xludf.DUMMYFUNCTION("CONCATENATE(GOOGLETRANSLATE(B2618, ""en"", ""zh-cn""))"),"格式")</f>
        <v>格式</v>
      </c>
      <c r="D2618" s="1" t="str">
        <f>IFERROR(__xludf.DUMMYFUNCTION("CONCATENATE(GOOGLETRANSLATE(B2618, ""en"", ""ko""))"),"체재")</f>
        <v>체재</v>
      </c>
      <c r="E2618" s="2" t="str">
        <f>IFERROR(__xludf.DUMMYFUNCTION("CONCATENATE(GOOGLETRANSLATE(B2618, ""en"", ""ja""))"),"形式")</f>
        <v>形式</v>
      </c>
    </row>
    <row r="2619" ht="15.75" customHeight="1">
      <c r="A2619" s="1" t="s">
        <v>4977</v>
      </c>
      <c r="B2619" s="1" t="s">
        <v>4978</v>
      </c>
      <c r="C2619" s="1" t="str">
        <f>IFERROR(__xludf.DUMMYFUNCTION("CONCATENATE(GOOGLETRANSLATE(B2619, ""en"", ""zh-cn""))"),"付费禁用结束时间")</f>
        <v>付费禁用结束时间</v>
      </c>
      <c r="D2619" s="1" t="str">
        <f>IFERROR(__xludf.DUMMYFUNCTION("CONCATENATE(GOOGLETRANSLATE(B2619, ""en"", ""ko""))"),"지불 비활성화 종료 시간")</f>
        <v>지불 비활성화 종료 시간</v>
      </c>
      <c r="E2619" s="2" t="str">
        <f>IFERROR(__xludf.DUMMYFUNCTION("CONCATENATE(GOOGLETRANSLATE(B2619, ""en"", ""ja""))"),"支払い無効の終了時間")</f>
        <v>支払い無効の終了時間</v>
      </c>
    </row>
    <row r="2620" ht="15.75" customHeight="1">
      <c r="A2620" s="1" t="s">
        <v>4979</v>
      </c>
      <c r="B2620" s="1" t="s">
        <v>4980</v>
      </c>
      <c r="C2620" s="1" t="str">
        <f>IFERROR(__xludf.DUMMYFUNCTION("CONCATENATE(GOOGLETRANSLATE(B2620, ""en"", ""zh-cn""))"),"支付宝")</f>
        <v>支付宝</v>
      </c>
      <c r="D2620" s="1" t="str">
        <f>IFERROR(__xludf.DUMMYFUNCTION("CONCATENATE(GOOGLETRANSLATE(B2620, ""en"", ""ko""))"),"G페이")</f>
        <v>G페이</v>
      </c>
      <c r="E2620" s="2" t="str">
        <f>IFERROR(__xludf.DUMMYFUNCTION("CONCATENATE(GOOGLETRANSLATE(B2620, ""en"", ""ja""))"),"ジーペイ")</f>
        <v>ジーペイ</v>
      </c>
    </row>
    <row r="2621" ht="15.75" customHeight="1">
      <c r="A2621" s="1" t="s">
        <v>4981</v>
      </c>
      <c r="B2621" s="1" t="s">
        <v>4982</v>
      </c>
      <c r="C2621" s="1" t="str">
        <f>IFERROR(__xludf.DUMMYFUNCTION("CONCATENATE(GOOGLETRANSLATE(B2621, ""en"", ""zh-cn""))"),"实物产品")</f>
        <v>实物产品</v>
      </c>
      <c r="D2621" s="1" t="str">
        <f>IFERROR(__xludf.DUMMYFUNCTION("CONCATENATE(GOOGLETRANSLATE(B2621, ""en"", ""ko""))"),"실제 제품")</f>
        <v>실제 제품</v>
      </c>
      <c r="E2621" s="2" t="str">
        <f>IFERROR(__xludf.DUMMYFUNCTION("CONCATENATE(GOOGLETRANSLATE(B2621, ""en"", ""ja""))"),"物理的な製品")</f>
        <v>物理的な製品</v>
      </c>
    </row>
    <row r="2622" ht="15.75" customHeight="1">
      <c r="A2622" s="1" t="s">
        <v>4983</v>
      </c>
      <c r="B2622" s="1" t="s">
        <v>4984</v>
      </c>
      <c r="C2622" s="1" t="str">
        <f>IFERROR(__xludf.DUMMYFUNCTION("CONCATENATE(GOOGLETRANSLATE(B2622, ""en"", ""zh-cn""))"),"虚拟产品")</f>
        <v>虚拟产品</v>
      </c>
      <c r="D2622" s="1" t="str">
        <f>IFERROR(__xludf.DUMMYFUNCTION("CONCATENATE(GOOGLETRANSLATE(B2622, ""en"", ""ko""))"),"가상 제품")</f>
        <v>가상 제품</v>
      </c>
      <c r="E2622" s="2" t="str">
        <f>IFERROR(__xludf.DUMMYFUNCTION("CONCATENATE(GOOGLETRANSLATE(B2622, ""en"", ""ja""))"),"仮想製品")</f>
        <v>仮想製品</v>
      </c>
    </row>
    <row r="2623" ht="15.75" customHeight="1">
      <c r="A2623" s="1" t="s">
        <v>4985</v>
      </c>
      <c r="B2623" s="1" t="s">
        <v>4986</v>
      </c>
      <c r="C2623" s="1" t="str">
        <f>IFERROR(__xludf.DUMMYFUNCTION("CONCATENATE(GOOGLETRANSLATE(B2623, ""en"", ""zh-cn""))"),"虚拟销售")</f>
        <v>虚拟销售</v>
      </c>
      <c r="D2623" s="1" t="str">
        <f>IFERROR(__xludf.DUMMYFUNCTION("CONCATENATE(GOOGLETRANSLATE(B2623, ""en"", ""ko""))"),"사실상 판매")</f>
        <v>사실상 판매</v>
      </c>
      <c r="E2623" s="2" t="str">
        <f>IFERROR(__xludf.DUMMYFUNCTION("CONCATENATE(GOOGLETRANSLATE(B2623, ""en"", ""ja""))"),"実質的な販売")</f>
        <v>実質的な販売</v>
      </c>
    </row>
    <row r="2624" ht="15.75" customHeight="1">
      <c r="A2624" s="1" t="s">
        <v>4987</v>
      </c>
      <c r="B2624" s="1" t="s">
        <v>4988</v>
      </c>
      <c r="C2624" s="1" t="str">
        <f>IFERROR(__xludf.DUMMYFUNCTION("CONCATENATE(GOOGLETRANSLATE(B2624, ""en"", ""zh-cn""))"),"操作用户")</f>
        <v>操作用户</v>
      </c>
      <c r="D2624" s="1" t="str">
        <f>IFERROR(__xludf.DUMMYFUNCTION("CONCATENATE(GOOGLETRANSLATE(B2624, ""en"", ""ko""))"),"운영 사용자")</f>
        <v>운영 사용자</v>
      </c>
      <c r="E2624" s="2" t="str">
        <f>IFERROR(__xludf.DUMMYFUNCTION("CONCATENATE(GOOGLETRANSLATE(B2624, ""en"", ""ja""))"),"操作ユーザー")</f>
        <v>操作ユーザー</v>
      </c>
    </row>
    <row r="2625" ht="15.75" customHeight="1">
      <c r="A2625" s="1" t="s">
        <v>4989</v>
      </c>
      <c r="B2625" s="1" t="s">
        <v>4990</v>
      </c>
      <c r="C2625" s="1" t="str">
        <f>IFERROR(__xludf.DUMMYFUNCTION("CONCATENATE(GOOGLETRANSLATE(B2625, ""en"", ""zh-cn""))"),"删除成功")</f>
        <v>删除成功</v>
      </c>
      <c r="D2625" s="1" t="str">
        <f>IFERROR(__xludf.DUMMYFUNCTION("CONCATENATE(GOOGLETRANSLATE(B2625, ""en"", ""ko""))"),"성공적으로 삭제되었습니다")</f>
        <v>성공적으로 삭제되었습니다</v>
      </c>
      <c r="E2625" s="2" t="str">
        <f>IFERROR(__xludf.DUMMYFUNCTION("CONCATENATE(GOOGLETRANSLATE(B2625, ""en"", ""ja""))"),"正常に削除されました")</f>
        <v>正常に削除されました</v>
      </c>
    </row>
    <row r="2626" ht="15.75" customHeight="1">
      <c r="A2626" s="1" t="s">
        <v>4991</v>
      </c>
      <c r="B2626" s="1" t="s">
        <v>4992</v>
      </c>
      <c r="C2626" s="1" t="str">
        <f>IFERROR(__xludf.DUMMYFUNCTION("CONCATENATE(GOOGLETRANSLATE(B2626, ""en"", ""zh-cn""))"),"店铺级购买记录")</f>
        <v>店铺级购买记录</v>
      </c>
      <c r="D2626" s="1" t="str">
        <f>IFERROR(__xludf.DUMMYFUNCTION("CONCATENATE(GOOGLETRANSLATE(B2626, ""en"", ""ko""))"),"매장 수준 구매 기록")</f>
        <v>매장 수준 구매 기록</v>
      </c>
      <c r="E2626" s="2" t="str">
        <f>IFERROR(__xludf.DUMMYFUNCTION("CONCATENATE(GOOGLETRANSLATE(B2626, ""en"", ""ja""))"),"店舗レベルの購入記録")</f>
        <v>店舗レベルの購入記録</v>
      </c>
    </row>
    <row r="2627" ht="15.75" customHeight="1">
      <c r="A2627" s="1" t="s">
        <v>4993</v>
      </c>
      <c r="B2627" s="1" t="s">
        <v>4994</v>
      </c>
      <c r="C2627" s="1" t="str">
        <f>IFERROR(__xludf.DUMMYFUNCTION("CONCATENATE(GOOGLETRANSLATE(B2627, ""en"", ""zh-cn""))"),"直达列车购买记录")</f>
        <v>直达列车购买记录</v>
      </c>
      <c r="D2627" s="1" t="str">
        <f>IFERROR(__xludf.DUMMYFUNCTION("CONCATENATE(GOOGLETRANSLATE(B2627, ""en"", ""ko""))"),"직행열차 구매실적")</f>
        <v>직행열차 구매실적</v>
      </c>
      <c r="E2627" s="2" t="str">
        <f>IFERROR(__xludf.DUMMYFUNCTION("CONCATENATE(GOOGLETRANSLATE(B2627, ""en"", ""ja""))"),"直通列車の購入記録")</f>
        <v>直通列車の購入記録</v>
      </c>
    </row>
    <row r="2628" ht="15.75" customHeight="1">
      <c r="A2628" s="1" t="s">
        <v>4995</v>
      </c>
      <c r="B2628" s="1" t="s">
        <v>4996</v>
      </c>
      <c r="C2628" s="1" t="str">
        <f>IFERROR(__xludf.DUMMYFUNCTION("CONCATENATE(GOOGLETRANSLATE(B2628, ""en"", ""zh-cn""))"),"浏览量")</f>
        <v>浏览量</v>
      </c>
      <c r="D2628" s="1" t="str">
        <f>IFERROR(__xludf.DUMMYFUNCTION("CONCATENATE(GOOGLETRANSLATE(B2628, ""en"", ""ko""))"),"페이지뷰")</f>
        <v>페이지뷰</v>
      </c>
      <c r="E2628" s="2" t="str">
        <f>IFERROR(__xludf.DUMMYFUNCTION("CONCATENATE(GOOGLETRANSLATE(B2628, ""en"", ""ja""))"),"ページビュー")</f>
        <v>ページビュー</v>
      </c>
    </row>
    <row r="2629" ht="15.75" customHeight="1">
      <c r="A2629" s="1" t="s">
        <v>4997</v>
      </c>
      <c r="B2629" s="1" t="s">
        <v>4998</v>
      </c>
      <c r="C2629" s="1" t="str">
        <f>IFERROR(__xludf.DUMMYFUNCTION("CONCATENATE(GOOGLETRANSLATE(B2629, ""en"", ""zh-cn""))"),"基本访问")</f>
        <v>基本访问</v>
      </c>
      <c r="D2629" s="1" t="str">
        <f>IFERROR(__xludf.DUMMYFUNCTION("CONCATENATE(GOOGLETRANSLATE(B2629, ""en"", ""ko""))"),"기본 방문")</f>
        <v>기본 방문</v>
      </c>
      <c r="E2629" s="2" t="str">
        <f>IFERROR(__xludf.DUMMYFUNCTION("CONCATENATE(GOOGLETRANSLATE(B2629, ""en"", ""ja""))"),"基本的な訪問")</f>
        <v>基本的な訪問</v>
      </c>
    </row>
    <row r="2630" ht="15.75" customHeight="1">
      <c r="A2630" s="1" t="s">
        <v>4999</v>
      </c>
      <c r="B2630" s="1" t="s">
        <v>5000</v>
      </c>
      <c r="C2630" s="1" t="str">
        <f>IFERROR(__xludf.DUMMYFUNCTION("CONCATENATE(GOOGLETRANSLATE(B2630, ""en"", ""zh-cn""))"),"每日增量")</f>
        <v>每日增量</v>
      </c>
      <c r="D2630" s="1" t="str">
        <f>IFERROR(__xludf.DUMMYFUNCTION("CONCATENATE(GOOGLETRANSLATE(B2630, ""en"", ""ko""))"),"일일 증분")</f>
        <v>일일 증분</v>
      </c>
      <c r="E2630" s="2" t="str">
        <f>IFERROR(__xludf.DUMMYFUNCTION("CONCATENATE(GOOGLETRANSLATE(B2630, ""en"", ""ja""))"),"毎日の増分")</f>
        <v>毎日の増分</v>
      </c>
    </row>
    <row r="2631" ht="15.75" customHeight="1">
      <c r="A2631" s="1" t="s">
        <v>5001</v>
      </c>
      <c r="B2631" s="1" t="s">
        <v>5002</v>
      </c>
      <c r="C2631" s="1" t="str">
        <f>IFERROR(__xludf.DUMMYFUNCTION("CONCATENATE(GOOGLETRANSLATE(B2631, ""en"", ""zh-cn""))"),"存货")</f>
        <v>存货</v>
      </c>
      <c r="D2631" s="1" t="str">
        <f>IFERROR(__xludf.DUMMYFUNCTION("CONCATENATE(GOOGLETRANSLATE(B2631, ""en"", ""ko""))"),"목록")</f>
        <v>목록</v>
      </c>
      <c r="E2631" s="2" t="str">
        <f>IFERROR(__xludf.DUMMYFUNCTION("CONCATENATE(GOOGLETRANSLATE(B2631, ""en"", ""ja""))"),"在庫")</f>
        <v>在庫</v>
      </c>
    </row>
    <row r="2632" ht="15.75" customHeight="1">
      <c r="A2632" s="1" t="s">
        <v>5003</v>
      </c>
      <c r="B2632" s="1" t="s">
        <v>5004</v>
      </c>
      <c r="C2632" s="1" t="str">
        <f>IFERROR(__xludf.DUMMYFUNCTION("CONCATENATE(GOOGLETRANSLATE(B2632, ""en"", ""zh-cn""))"),"后台物流钱包充值")</f>
        <v>后台物流钱包充值</v>
      </c>
      <c r="D2632" s="1" t="str">
        <f>IFERROR(__xludf.DUMMYFUNCTION("CONCATENATE(GOOGLETRANSLATE(B2632, ""en"", ""ko""))"),"배경 물류지갑 충전")</f>
        <v>배경 물류지갑 충전</v>
      </c>
      <c r="E2632" s="2" t="str">
        <f>IFERROR(__xludf.DUMMYFUNCTION("CONCATENATE(GOOGLETRANSLATE(B2632, ""en"", ""ja""))"),"バックグラウンド物流ウォレットのリチャージ")</f>
        <v>バックグラウンド物流ウォレットのリチャージ</v>
      </c>
    </row>
    <row r="2633" ht="15.75" customHeight="1">
      <c r="A2633" s="1" t="s">
        <v>5005</v>
      </c>
      <c r="B2633" s="1" t="s">
        <v>5006</v>
      </c>
      <c r="C2633" s="1" t="str">
        <f>IFERROR(__xludf.DUMMYFUNCTION("CONCATENATE(GOOGLETRANSLATE(B2633, ""en"", ""zh-cn""))"),"订单采购")</f>
        <v>订单采购</v>
      </c>
      <c r="D2633" s="1" t="str">
        <f>IFERROR(__xludf.DUMMYFUNCTION("CONCATENATE(GOOGLETRANSLATE(B2633, ""en"", ""ko""))"),"주문조달")</f>
        <v>주문조달</v>
      </c>
      <c r="E2633" s="2" t="str">
        <f>IFERROR(__xludf.DUMMYFUNCTION("CONCATENATE(GOOGLETRANSLATE(B2633, ""en"", ""ja""))"),"受注調達")</f>
        <v>受注調達</v>
      </c>
    </row>
    <row r="2634" ht="15.75" customHeight="1">
      <c r="A2634" s="1" t="s">
        <v>5007</v>
      </c>
      <c r="B2634" s="1" t="s">
        <v>5008</v>
      </c>
      <c r="C2634" s="1" t="str">
        <f>IFERROR(__xludf.DUMMYFUNCTION("CONCATENATE(GOOGLETRANSLATE(B2634, ""en"", ""zh-cn""))"),"最低价格")</f>
        <v>最低价格</v>
      </c>
      <c r="D2634" s="1" t="str">
        <f>IFERROR(__xludf.DUMMYFUNCTION("CONCATENATE(GOOGLETRANSLATE(B2634, ""en"", ""ko""))"),"최저 가격")</f>
        <v>최저 가격</v>
      </c>
      <c r="E2634" s="2" t="str">
        <f>IFERROR(__xludf.DUMMYFUNCTION("CONCATENATE(GOOGLETRANSLATE(B2634, ""en"", ""ja""))"),"最低価格")</f>
        <v>最低価格</v>
      </c>
    </row>
    <row r="2635" ht="15.75" customHeight="1">
      <c r="A2635" s="1" t="s">
        <v>5009</v>
      </c>
      <c r="B2635" s="1" t="s">
        <v>5010</v>
      </c>
      <c r="C2635" s="1" t="str">
        <f>IFERROR(__xludf.DUMMYFUNCTION("CONCATENATE(GOOGLETRANSLATE(B2635, ""en"", ""zh-cn""))"),"最高价格")</f>
        <v>最高价格</v>
      </c>
      <c r="D2635" s="1" t="str">
        <f>IFERROR(__xludf.DUMMYFUNCTION("CONCATENATE(GOOGLETRANSLATE(B2635, ""en"", ""ko""))"),"최대 가격")</f>
        <v>최대 가격</v>
      </c>
      <c r="E2635" s="2" t="str">
        <f>IFERROR(__xludf.DUMMYFUNCTION("CONCATENATE(GOOGLETRANSLATE(B2635, ""en"", ""ja""))"),"最高料金")</f>
        <v>最高料金</v>
      </c>
    </row>
    <row r="2636" ht="15.75" customHeight="1">
      <c r="A2636" s="1" t="s">
        <v>5011</v>
      </c>
      <c r="B2636" s="1" t="s">
        <v>5012</v>
      </c>
      <c r="C2636" s="1" t="str">
        <f>IFERROR(__xludf.DUMMYFUNCTION("CONCATENATE(GOOGLETRANSLATE(B2636, ""en"", ""zh-cn""))"),"首页 顶部")</f>
        <v>首页 顶部</v>
      </c>
      <c r="D2636" s="1" t="str">
        <f>IFERROR(__xludf.DUMMYFUNCTION("CONCATENATE(GOOGLETRANSLATE(B2636, ""en"", ""ko""))"),"홈 톱")</f>
        <v>홈 톱</v>
      </c>
      <c r="E2636" s="2" t="str">
        <f>IFERROR(__xludf.DUMMYFUNCTION("CONCATENATE(GOOGLETRANSLATE(B2636, ""en"", ""ja""))"),"ホームトップ")</f>
        <v>ホームトップ</v>
      </c>
    </row>
    <row r="2637" ht="15.75" customHeight="1">
      <c r="A2637" s="1" t="s">
        <v>5013</v>
      </c>
      <c r="B2637" s="1" t="s">
        <v>5014</v>
      </c>
      <c r="C2637" s="1" t="str">
        <f>IFERROR(__xludf.DUMMYFUNCTION("CONCATENATE(GOOGLETRANSLATE(B2637, ""en"", ""zh-cn""))"),"仓库价格")</f>
        <v>仓库价格</v>
      </c>
      <c r="D2637" s="1" t="str">
        <f>IFERROR(__xludf.DUMMYFUNCTION("CONCATENATE(GOOGLETRANSLATE(B2637, ""en"", ""ko""))"),"창고 가격")</f>
        <v>창고 가격</v>
      </c>
      <c r="E2637" s="2" t="str">
        <f>IFERROR(__xludf.DUMMYFUNCTION("CONCATENATE(GOOGLETRANSLATE(B2637, ""en"", ""ja""))"),"倉庫価格")</f>
        <v>倉庫価格</v>
      </c>
    </row>
    <row r="2638" ht="15.75" customHeight="1">
      <c r="A2638" s="1" t="s">
        <v>5015</v>
      </c>
      <c r="B2638" s="1" t="s">
        <v>5016</v>
      </c>
      <c r="C2638" s="1" t="str">
        <f>IFERROR(__xludf.DUMMYFUNCTION("CONCATENATE(GOOGLETRANSLATE(B2638, ""en"", ""zh-cn""))"),"销售价格")</f>
        <v>销售价格</v>
      </c>
      <c r="D2638" s="1" t="str">
        <f>IFERROR(__xludf.DUMMYFUNCTION("CONCATENATE(GOOGLETRANSLATE(B2638, ""en"", ""ko""))"),"판매가")</f>
        <v>판매가</v>
      </c>
      <c r="E2638" s="2" t="str">
        <f>IFERROR(__xludf.DUMMYFUNCTION("CONCATENATE(GOOGLETRANSLATE(B2638, ""en"", ""ja""))"),"販売価格")</f>
        <v>販売価格</v>
      </c>
    </row>
    <row r="2639" ht="15.75" customHeight="1">
      <c r="A2639" s="1" t="s">
        <v>5017</v>
      </c>
      <c r="B2639" s="1" t="s">
        <v>5018</v>
      </c>
      <c r="C2639" s="1" t="str">
        <f>IFERROR(__xludf.DUMMYFUNCTION("CONCATENATE(GOOGLETRANSLATE(B2639, ""en"", ""zh-cn""))"),"产品销售数量更新成功")</f>
        <v>产品销售数量更新成功</v>
      </c>
      <c r="D2639" s="1" t="str">
        <f>IFERROR(__xludf.DUMMYFUNCTION("CONCATENATE(GOOGLETRANSLATE(B2639, ""en"", ""ko""))"),"제품 판매 수가 성공적으로 업데이트되었습니다.")</f>
        <v>제품 판매 수가 성공적으로 업데이트되었습니다.</v>
      </c>
      <c r="E2639" s="2" t="str">
        <f>IFERROR(__xludf.DUMMYFUNCTION("CONCATENATE(GOOGLETRANSLATE(B2639, ""en"", ""ja""))"),"製品の販売数が正常に更新されました")</f>
        <v>製品の販売数が正常に更新されました</v>
      </c>
    </row>
    <row r="2640" ht="15.75" customHeight="1">
      <c r="A2640" s="1" t="s">
        <v>5019</v>
      </c>
      <c r="B2640" s="1" t="s">
        <v>5020</v>
      </c>
      <c r="C2640" s="1" t="str">
        <f>IFERROR(__xludf.DUMMYFUNCTION("CONCATENATE(GOOGLETRANSLATE(B2640, ""en"", ""zh-cn""))"),"产品排序更新成功")</f>
        <v>产品排序更新成功</v>
      </c>
      <c r="D2640" s="1" t="str">
        <f>IFERROR(__xludf.DUMMYFUNCTION("CONCATENATE(GOOGLETRANSLATE(B2640, ""en"", ""ko""))"),"제품 정렬이 성공적으로 업데이트되었습니다.")</f>
        <v>제품 정렬이 성공적으로 업데이트되었습니다.</v>
      </c>
      <c r="E2640" s="2" t="str">
        <f>IFERROR(__xludf.DUMMYFUNCTION("CONCATENATE(GOOGLETRANSLATE(B2640, ""en"", ""ja""))"),"製品の並べ替えが正常に更新されました")</f>
        <v>製品の並べ替えが正常に更新されました</v>
      </c>
    </row>
    <row r="2641" ht="15.75" customHeight="1">
      <c r="A2641" s="1" t="s">
        <v>5021</v>
      </c>
      <c r="B2641" s="1" t="s">
        <v>5022</v>
      </c>
      <c r="C2641" s="1" t="str">
        <f>IFERROR(__xludf.DUMMYFUNCTION("CONCATENATE(GOOGLETRANSLATE(B2641, ""en"", ""zh-cn""))"),"首页热门产品更新成功")</f>
        <v>首页热门产品更新成功</v>
      </c>
      <c r="D2641" s="1" t="str">
        <f>IFERROR(__xludf.DUMMYFUNCTION("CONCATENATE(GOOGLETRANSLATE(B2641, ""en"", ""ko""))"),"홈 인기 제품이 성공적으로 업데이트되었습니다.")</f>
        <v>홈 인기 제품이 성공적으로 업데이트되었습니다.</v>
      </c>
      <c r="E2641" s="2" t="str">
        <f>IFERROR(__xludf.DUMMYFUNCTION("CONCATENATE(GOOGLETRANSLATE(B2641, ""en"", ""ja""))"),"ホームのトップ製品が正常に更新されました")</f>
        <v>ホームのトップ製品が正常に更新されました</v>
      </c>
    </row>
    <row r="2642" ht="15.75" customHeight="1">
      <c r="A2642" s="1" t="s">
        <v>5023</v>
      </c>
      <c r="B2642" s="1" t="s">
        <v>5024</v>
      </c>
      <c r="C2642" s="1" t="str">
        <f>IFERROR(__xludf.DUMMYFUNCTION("CONCATENATE(GOOGLETRANSLATE(B2642, ""en"", ""zh-cn""))"),"翻译密钥已成功导入。前往应用翻译了解更多信息..")</f>
        <v>翻译密钥已成功导入。前往应用翻译了解更多信息..</v>
      </c>
      <c r="D2642" s="1" t="str">
        <f>IFERROR(__xludf.DUMMYFUNCTION("CONCATENATE(GOOGLETRANSLATE(B2642, ""en"", ""ko""))"),"번역 키를 성공적으로 가져왔습니다. 자세한 내용은 앱 번역으로 이동하세요..")</f>
        <v>번역 키를 성공적으로 가져왔습니다. 자세한 내용은 앱 번역으로 이동하세요..</v>
      </c>
      <c r="E2642" s="2" t="str">
        <f>IFERROR(__xludf.DUMMYFUNCTION("CONCATENATE(GOOGLETRANSLATE(B2642, ""en"", ""ja""))"),"翻訳キーは正常にインポートされました。詳細については、アプリ翻訳にアクセスしてください。")</f>
        <v>翻訳キーは正常にインポートされました。詳細については、アプリ翻訳にアクセスしてください。</v>
      </c>
    </row>
    <row r="2643" ht="15.75" customHeight="1">
      <c r="A2643" s="1" t="s">
        <v>5025</v>
      </c>
      <c r="B2643" s="1" t="s">
        <v>5026</v>
      </c>
      <c r="C2643" s="1" t="str">
        <f>IFERROR(__xludf.DUMMYFUNCTION("CONCATENATE(GOOGLETRANSLATE(B2643, ""en"", ""zh-cn""))"),"余额日志")</f>
        <v>余额日志</v>
      </c>
      <c r="D2643" s="1" t="str">
        <f>IFERROR(__xludf.DUMMYFUNCTION("CONCATENATE(GOOGLETRANSLATE(B2643, ""en"", ""ko""))"),"잔액 로그")</f>
        <v>잔액 로그</v>
      </c>
      <c r="E2643" s="2" t="str">
        <f>IFERROR(__xludf.DUMMYFUNCTION("CONCATENATE(GOOGLETRANSLATE(B2643, ""en"", ""ja""))"),"バランスログ")</f>
        <v>バランスログ</v>
      </c>
    </row>
    <row r="2644" ht="15.75" customHeight="1">
      <c r="A2644" s="1" t="s">
        <v>5027</v>
      </c>
      <c r="B2644" s="1" t="s">
        <v>5028</v>
      </c>
      <c r="C2644" s="1" t="str">
        <f>IFERROR(__xludf.DUMMYFUNCTION("CONCATENATE(GOOGLETRANSLATE(B2644, ""en"", ""zh-cn""))"),"选择业务员")</f>
        <v>选择业务员</v>
      </c>
      <c r="D2644" s="1" t="str">
        <f>IFERROR(__xludf.DUMMYFUNCTION("CONCATENATE(GOOGLETRANSLATE(B2644, ""en"", ""ko""))"),"세일즈맨 선택")</f>
        <v>세일즈맨 선택</v>
      </c>
      <c r="E2644" s="2" t="str">
        <f>IFERROR(__xludf.DUMMYFUNCTION("CONCATENATE(GOOGLETRANSLATE(B2644, ""en"", ""ja""))"),"セールスマンを選択してください")</f>
        <v>セールスマンを選択してください</v>
      </c>
    </row>
    <row r="2645" ht="15.75" customHeight="1">
      <c r="A2645" s="1" t="s">
        <v>5029</v>
      </c>
      <c r="B2645" s="1" t="s">
        <v>5030</v>
      </c>
      <c r="C2645" s="1" t="str">
        <f>IFERROR(__xludf.DUMMYFUNCTION("CONCATENATE(GOOGLETRANSLATE(B2645, ""en"", ""zh-cn""))"),"总余额")</f>
        <v>总余额</v>
      </c>
      <c r="D2645" s="1" t="str">
        <f>IFERROR(__xludf.DUMMYFUNCTION("CONCATENATE(GOOGLETRANSLATE(B2645, ""en"", ""ko""))"),"총 잔액")</f>
        <v>총 잔액</v>
      </c>
      <c r="E2645" s="2" t="str">
        <f>IFERROR(__xludf.DUMMYFUNCTION("CONCATENATE(GOOGLETRANSLATE(B2645, ""en"", ""ja""))"),"合計残高")</f>
        <v>合計残高</v>
      </c>
    </row>
    <row r="2646" ht="15.75" customHeight="1">
      <c r="A2646" s="1" t="s">
        <v>5031</v>
      </c>
      <c r="B2646" s="1" t="s">
        <v>5032</v>
      </c>
      <c r="C2646" s="1" t="str">
        <f>IFERROR(__xludf.DUMMYFUNCTION("CONCATENATE(GOOGLETRANSLATE(B2646, ""en"", ""zh-cn""))"),"充值目标")</f>
        <v>充值目标</v>
      </c>
      <c r="D2646" s="1" t="str">
        <f>IFERROR(__xludf.DUMMYFUNCTION("CONCATENATE(GOOGLETRANSLATE(B2646, ""en"", ""ko""))"),"재충전 대상")</f>
        <v>재충전 대상</v>
      </c>
      <c r="E2646" s="2" t="str">
        <f>IFERROR(__xludf.DUMMYFUNCTION("CONCATENATE(GOOGLETRANSLATE(B2646, ""en"", ""ja""))"),"リチャージ対象")</f>
        <v>リチャージ対象</v>
      </c>
    </row>
    <row r="2647" ht="15.75" customHeight="1">
      <c r="A2647" s="1" t="s">
        <v>5033</v>
      </c>
      <c r="B2647" s="1" t="s">
        <v>5034</v>
      </c>
      <c r="C2647" s="1" t="str">
        <f>IFERROR(__xludf.DUMMYFUNCTION("CONCATENATE(GOOGLETRANSLATE(B2647, ""en"", ""zh-cn""))"),"描述")</f>
        <v>描述</v>
      </c>
      <c r="D2647" s="1" t="str">
        <f>IFERROR(__xludf.DUMMYFUNCTION("CONCATENATE(GOOGLETRANSLATE(B2647, ""en"", ""ko""))"),"설명")</f>
        <v>설명</v>
      </c>
      <c r="E2647" s="2" t="str">
        <f>IFERROR(__xludf.DUMMYFUNCTION("CONCATENATE(GOOGLETRANSLATE(B2647, ""en"", ""ja""))"),"説明")</f>
        <v>説明</v>
      </c>
    </row>
    <row r="2648" ht="15.75" customHeight="1">
      <c r="A2648" s="1" t="s">
        <v>5035</v>
      </c>
      <c r="B2648" s="1" t="s">
        <v>5036</v>
      </c>
      <c r="C2648" s="1" t="str">
        <f>IFERROR(__xludf.DUMMYFUNCTION("CONCATENATE(GOOGLETRANSLATE(B2648, ""en"", ""zh-cn""))"),"选择替换包")</f>
        <v>选择替换包</v>
      </c>
      <c r="D2648" s="1" t="str">
        <f>IFERROR(__xludf.DUMMYFUNCTION("CONCATENATE(GOOGLETRANSLATE(B2648, ""en"", ""ko""))"),"대체 패키지 선택")</f>
        <v>대체 패키지 선택</v>
      </c>
      <c r="E2648" s="2" t="str">
        <f>IFERROR(__xludf.DUMMYFUNCTION("CONCATENATE(GOOGLETRANSLATE(B2648, ""en"", ""ja""))"),"交換用パッケージを選択してください")</f>
        <v>交換用パッケージを選択してください</v>
      </c>
    </row>
    <row r="2649" ht="15.75" customHeight="1">
      <c r="A2649" s="1" t="s">
        <v>5037</v>
      </c>
      <c r="B2649" s="1" t="s">
        <v>5038</v>
      </c>
      <c r="C2649" s="1" t="str">
        <f>IFERROR(__xludf.DUMMYFUNCTION("CONCATENATE(GOOGLETRANSLATE(B2649, ""en"", ""zh-cn""))"),"不能用同一个包替换")</f>
        <v>不能用同一个包替换</v>
      </c>
      <c r="D2649" s="1" t="str">
        <f>IFERROR(__xludf.DUMMYFUNCTION("CONCATENATE(GOOGLETRANSLATE(B2649, ""en"", ""ko""))"),"동일한 패키지로 교체할 수 없습니다.")</f>
        <v>동일한 패키지로 교체할 수 없습니다.</v>
      </c>
      <c r="E2649" s="2" t="str">
        <f>IFERROR(__xludf.DUMMYFUNCTION("CONCATENATE(GOOGLETRANSLATE(B2649, ""en"", ""ja""))"),"同一パッケージでの交換はできません")</f>
        <v>同一パッケージでの交換はできません</v>
      </c>
    </row>
    <row r="2650" ht="15.75" customHeight="1">
      <c r="A2650" s="1" t="s">
        <v>5039</v>
      </c>
      <c r="B2650" s="1" t="s">
        <v>5040</v>
      </c>
      <c r="C2650" s="1" t="str">
        <f>IFERROR(__xludf.DUMMYFUNCTION("CONCATENATE(GOOGLETRANSLATE(B2650, ""en"", ""zh-cn""))"),"-1 = 无穷大")</f>
        <v>-1 = 无穷大</v>
      </c>
      <c r="D2650" s="1" t="str">
        <f>IFERROR(__xludf.DUMMYFUNCTION("CONCATENATE(GOOGLETRANSLATE(B2650, ""en"", ""ko""))"),"-1 = 무한대")</f>
        <v>-1 = 무한대</v>
      </c>
      <c r="E2650" s="2" t="str">
        <f>IFERROR(__xludf.DUMMYFUNCTION("CONCATENATE(GOOGLETRANSLATE(B2650, ""en"", ""ja""))"),"-1 = ∞")</f>
        <v>-1 = ∞</v>
      </c>
    </row>
    <row r="2651" ht="15.75" customHeight="1">
      <c r="A2651" s="1" t="s">
        <v>5041</v>
      </c>
      <c r="B2651" s="1" t="s">
        <v>5042</v>
      </c>
      <c r="C2651" s="1" t="str">
        <f>IFERROR(__xludf.DUMMYFUNCTION("CONCATENATE(GOOGLETRANSLATE(B2651, ""en"", ""zh-cn""))"),"直接购买")</f>
        <v>直接购买</v>
      </c>
      <c r="D2651" s="1" t="str">
        <f>IFERROR(__xludf.DUMMYFUNCTION("CONCATENATE(GOOGLETRANSLATE(B2651, ""en"", ""ko""))"),"직접 구매")</f>
        <v>직접 구매</v>
      </c>
      <c r="E2651" s="2" t="str">
        <f>IFERROR(__xludf.DUMMYFUNCTION("CONCATENATE(GOOGLETRANSLATE(B2651, ""en"", ""ja""))"),"直接購入")</f>
        <v>直接購入</v>
      </c>
    </row>
    <row r="2652" ht="15.75" customHeight="1">
      <c r="A2652" s="1" t="s">
        <v>5043</v>
      </c>
      <c r="B2652" s="1" t="s">
        <v>5044</v>
      </c>
      <c r="C2652" s="1" t="str">
        <f>IFERROR(__xludf.DUMMYFUNCTION("CONCATENATE(GOOGLETRANSLATE(B2652, ""en"", ""zh-cn""))"),"咨询客服")</f>
        <v>咨询客服</v>
      </c>
      <c r="D2652" s="1" t="str">
        <f>IFERROR(__xludf.DUMMYFUNCTION("CONCATENATE(GOOGLETRANSLATE(B2652, ""en"", ""ko""))"),"컨설팅 고객 서비스")</f>
        <v>컨설팅 고객 서비스</v>
      </c>
      <c r="E2652" s="2" t="str">
        <f>IFERROR(__xludf.DUMMYFUNCTION("CONCATENATE(GOOGLETRANSLATE(B2652, ""en"", ""ja""))"),"コンサルティングカスタマーサービス")</f>
        <v>コンサルティングカスタマーサービス</v>
      </c>
    </row>
    <row r="2653" ht="15.75" customHeight="1">
      <c r="A2653" s="1" t="s">
        <v>5045</v>
      </c>
      <c r="B2653" s="1" t="s">
        <v>5046</v>
      </c>
      <c r="C2653" s="1" t="str">
        <f>IFERROR(__xludf.DUMMYFUNCTION("CONCATENATE(GOOGLETRANSLATE(B2653, ""en"", ""zh-cn""))"),"扣除余额")</f>
        <v>扣除余额</v>
      </c>
      <c r="D2653" s="1" t="str">
        <f>IFERROR(__xludf.DUMMYFUNCTION("CONCATENATE(GOOGLETRANSLATE(B2653, ""en"", ""ko""))"),"공제잔액")</f>
        <v>공제잔액</v>
      </c>
      <c r="E2653" s="2" t="str">
        <f>IFERROR(__xludf.DUMMYFUNCTION("CONCATENATE(GOOGLETRANSLATE(B2653, ""en"", ""ja""))"),"控除残高")</f>
        <v>控除残高</v>
      </c>
    </row>
    <row r="2654" ht="15.75" customHeight="1">
      <c r="A2654" s="1" t="s">
        <v>5047</v>
      </c>
      <c r="B2654" s="1" t="s">
        <v>5048</v>
      </c>
      <c r="C2654" s="1" t="str">
        <f>IFERROR(__xludf.DUMMYFUNCTION("CONCATENATE(GOOGLETRANSLATE(B2654, ""en"", ""zh-cn""))"),"粉丝数量")</f>
        <v>粉丝数量</v>
      </c>
      <c r="D2654" s="1" t="str">
        <f>IFERROR(__xludf.DUMMYFUNCTION("CONCATENATE(GOOGLETRANSLATE(B2654, ""en"", ""ko""))"),"팬 수")</f>
        <v>팬 수</v>
      </c>
      <c r="E2654" s="2" t="str">
        <f>IFERROR(__xludf.DUMMYFUNCTION("CONCATENATE(GOOGLETRANSLATE(B2654, ""en"", ""ja""))"),"ファンの数")</f>
        <v>ファンの数</v>
      </c>
    </row>
    <row r="2655" ht="15.75" customHeight="1">
      <c r="A2655" s="1" t="s">
        <v>5049</v>
      </c>
      <c r="B2655" s="1" t="s">
        <v>5050</v>
      </c>
      <c r="C2655" s="1" t="str">
        <f>IFERROR(__xludf.DUMMYFUNCTION("CONCATENATE(GOOGLETRANSLATE(B2655, ""en"", ""zh-cn""))"),"速度")</f>
        <v>速度</v>
      </c>
      <c r="D2655" s="1" t="str">
        <f>IFERROR(__xludf.DUMMYFUNCTION("CONCATENATE(GOOGLETRANSLATE(B2655, ""en"", ""ko""))"),"속도")</f>
        <v>속도</v>
      </c>
      <c r="E2655" s="2" t="str">
        <f>IFERROR(__xludf.DUMMYFUNCTION("CONCATENATE(GOOGLETRANSLATE(B2655, ""en"", ""ja""))"),"スピード")</f>
        <v>スピード</v>
      </c>
    </row>
    <row r="2656" ht="15.75" customHeight="1">
      <c r="A2656" s="1" t="s">
        <v>5051</v>
      </c>
      <c r="B2656" s="1" t="s">
        <v>5052</v>
      </c>
      <c r="C2656" s="1" t="str">
        <f>IFERROR(__xludf.DUMMYFUNCTION("CONCATENATE(GOOGLETRANSLATE(B2656, ""en"", ""zh-cn""))"),"速度越快，每次访问次数越少（1-20）")</f>
        <v>速度越快，每次访问次数越少（1-20）</v>
      </c>
      <c r="D2656" s="1" t="str">
        <f>IFERROR(__xludf.DUMMYFUNCTION("CONCATENATE(GOOGLETRANSLATE(B2656, ""en"", ""ko""))"),"속도가 빠를수록 회당 방문 횟수가 줄어듭니다(1~20).")</f>
        <v>속도가 빠를수록 회당 방문 횟수가 줄어듭니다(1~20).</v>
      </c>
      <c r="E2656" s="2" t="str">
        <f>IFERROR(__xludf.DUMMYFUNCTION("CONCATENATE(GOOGLETRANSLATE(B2656, ""en"", ""ja""))"),"速度が速いほど、1 回あたりの訪問数が少なくなります (1 ～ 20)")</f>
        <v>速度が速いほど、1 回あたりの訪問数が少なくなります (1 ～ 20)</v>
      </c>
    </row>
    <row r="2657" ht="15.75" customHeight="1">
      <c r="A2657" s="1" t="s">
        <v>5053</v>
      </c>
      <c r="B2657" s="1" t="s">
        <v>5054</v>
      </c>
      <c r="C2657" s="1" t="str">
        <f>IFERROR(__xludf.DUMMYFUNCTION("CONCATENATE(GOOGLETRANSLATE(B2657, ""en"", ""zh-cn""))"),"提款账号")</f>
        <v>提款账号</v>
      </c>
      <c r="D2657" s="1" t="str">
        <f>IFERROR(__xludf.DUMMYFUNCTION("CONCATENATE(GOOGLETRANSLATE(B2657, ""en"", ""ko""))"),"출금계좌번호")</f>
        <v>출금계좌번호</v>
      </c>
      <c r="E2657" s="2" t="str">
        <f>IFERROR(__xludf.DUMMYFUNCTION("CONCATENATE(GOOGLETRANSLATE(B2657, ""en"", ""ja""))"),"出金口座番号")</f>
        <v>出金口座番号</v>
      </c>
    </row>
    <row r="2658" ht="15.75" customHeight="1">
      <c r="A2658" s="1" t="s">
        <v>5055</v>
      </c>
      <c r="B2658" s="1" t="s">
        <v>5056</v>
      </c>
      <c r="C2658" s="1" t="str">
        <f>IFERROR(__xludf.DUMMYFUNCTION("CONCATENATE(GOOGLETRANSLATE(B2658, ""en"", ""zh-cn""))"),"选择状态")</f>
        <v>选择状态</v>
      </c>
      <c r="D2658" s="1" t="str">
        <f>IFERROR(__xludf.DUMMYFUNCTION("CONCATENATE(GOOGLETRANSLATE(B2658, ""en"", ""ko""))"),"상태 선택")</f>
        <v>상태 선택</v>
      </c>
      <c r="E2658" s="2" t="str">
        <f>IFERROR(__xludf.DUMMYFUNCTION("CONCATENATE(GOOGLETRANSLATE(B2658, ""en"", ""ja""))"),"ステータスの選択")</f>
        <v>ステータスの選択</v>
      </c>
    </row>
    <row r="2659" ht="15.75" customHeight="1">
      <c r="A2659" s="1" t="s">
        <v>5057</v>
      </c>
      <c r="B2659" s="1" t="s">
        <v>5058</v>
      </c>
      <c r="C2659" s="1" t="str">
        <f>IFERROR(__xludf.DUMMYFUNCTION("CONCATENATE(GOOGLETRANSLATE(B2659, ""en"", ""zh-cn""))"),"被拒绝")</f>
        <v>被拒绝</v>
      </c>
      <c r="D2659" s="1" t="str">
        <f>IFERROR(__xludf.DUMMYFUNCTION("CONCATENATE(GOOGLETRANSLATE(B2659, ""en"", ""ko""))"),"거부됨")</f>
        <v>거부됨</v>
      </c>
      <c r="E2659" s="2" t="str">
        <f>IFERROR(__xludf.DUMMYFUNCTION("CONCATENATE(GOOGLETRANSLATE(B2659, ""en"", ""ja""))"),"拒否されました")</f>
        <v>拒否されました</v>
      </c>
    </row>
    <row r="2660" ht="15.75" customHeight="1">
      <c r="A2660" s="1" t="s">
        <v>5059</v>
      </c>
      <c r="B2660" s="1" t="s">
        <v>5060</v>
      </c>
      <c r="C2660" s="1" t="str">
        <f>IFERROR(__xludf.DUMMYFUNCTION("CONCATENATE(GOOGLETRANSLATE(B2660, ""en"", ""zh-cn""))"),"未经审计")</f>
        <v>未经审计</v>
      </c>
      <c r="D2660" s="1" t="str">
        <f>IFERROR(__xludf.DUMMYFUNCTION("CONCATENATE(GOOGLETRANSLATE(B2660, ""en"", ""ko""))"),"감사되지 않음")</f>
        <v>감사되지 않음</v>
      </c>
      <c r="E2660" s="2" t="str">
        <f>IFERROR(__xludf.DUMMYFUNCTION("CONCATENATE(GOOGLETRANSLATE(B2660, ""en"", ""ja""))"),"未監査")</f>
        <v>未監査</v>
      </c>
    </row>
    <row r="2661" ht="15.75" customHeight="1">
      <c r="A2661" s="1" t="s">
        <v>5061</v>
      </c>
      <c r="B2661" s="1" t="s">
        <v>5062</v>
      </c>
      <c r="C2661" s="1" t="str">
        <f>IFERROR(__xludf.DUMMYFUNCTION("CONCATENATE(GOOGLETRANSLATE(B2661, ""en"", ""zh-cn""))"),"内容或发件人")</f>
        <v>内容或发件人</v>
      </c>
      <c r="D2661" s="1" t="str">
        <f>IFERROR(__xludf.DUMMYFUNCTION("CONCATENATE(GOOGLETRANSLATE(B2661, ""en"", ""ko""))"),"콘텐츠 또는 보낸 사람")</f>
        <v>콘텐츠 또는 보낸 사람</v>
      </c>
      <c r="E2661" s="2" t="str">
        <f>IFERROR(__xludf.DUMMYFUNCTION("CONCATENATE(GOOGLETRANSLATE(B2661, ""en"", ""ja""))"),"内容または送信者")</f>
        <v>内容または送信者</v>
      </c>
    </row>
    <row r="2662" ht="15.75" customHeight="1">
      <c r="A2662" s="1" t="s">
        <v>5063</v>
      </c>
      <c r="B2662" s="1" t="s">
        <v>5064</v>
      </c>
      <c r="C2662" s="1" t="str">
        <f>IFERROR(__xludf.DUMMYFUNCTION("CONCATENATE(GOOGLETRANSLATE(B2662, ""en"", ""zh-cn""))"),"由于客户")</f>
        <v>由于客户</v>
      </c>
      <c r="D2662" s="1" t="str">
        <f>IFERROR(__xludf.DUMMYFUNCTION("CONCATENATE(GOOGLETRANSLATE(B2662, ""en"", ""ko""))"),"고객사로 인해")</f>
        <v>고객사로 인해</v>
      </c>
      <c r="E2662" s="2" t="str">
        <f>IFERROR(__xludf.DUMMYFUNCTION("CONCATENATE(GOOGLETRANSLATE(B2662, ""en"", ""ja""))"),"お客様の都合により")</f>
        <v>お客様の都合により</v>
      </c>
    </row>
    <row r="2663" ht="15.75" customHeight="1">
      <c r="A2663" s="1" t="s">
        <v>5065</v>
      </c>
      <c r="B2663" s="1" t="s">
        <v>5066</v>
      </c>
      <c r="C2663" s="1" t="str">
        <f>IFERROR(__xludf.DUMMYFUNCTION("CONCATENATE(GOOGLETRANSLATE(B2663, ""en"", ""zh-cn""))"),"操作成功")</f>
        <v>操作成功</v>
      </c>
      <c r="D2663" s="1" t="str">
        <f>IFERROR(__xludf.DUMMYFUNCTION("CONCATENATE(GOOGLETRANSLATE(B2663, ""en"", ""ko""))"),"성공적으로 운영됨")</f>
        <v>성공적으로 운영됨</v>
      </c>
      <c r="E2663" s="2" t="str">
        <f>IFERROR(__xludf.DUMMYFUNCTION("CONCATENATE(GOOGLETRANSLATE(B2663, ""en"", ""ja""))"),"操作は成功しました")</f>
        <v>操作は成功しました</v>
      </c>
    </row>
    <row r="2664" ht="15.75" customHeight="1">
      <c r="A2664" s="1" t="s">
        <v>5067</v>
      </c>
      <c r="B2664" s="1" t="s">
        <v>5068</v>
      </c>
      <c r="C2664" s="1" t="str">
        <f>IFERROR(__xludf.DUMMYFUNCTION("CONCATENATE(GOOGLETRANSLATE(B2664, ""en"", ""zh-cn""))"),"对话已成功删除")</f>
        <v>对话已成功删除</v>
      </c>
      <c r="D2664" s="1" t="str">
        <f>IFERROR(__xludf.DUMMYFUNCTION("CONCATENATE(GOOGLETRANSLATE(B2664, ""en"", ""ko""))"),"대화가 삭제되었습니다.")</f>
        <v>대화가 삭제되었습니다.</v>
      </c>
      <c r="E2664" s="2" t="str">
        <f>IFERROR(__xludf.DUMMYFUNCTION("CONCATENATE(GOOGLETRANSLATE(B2664, ""en"", ""ja""))"),"会話は正常に削除されました")</f>
        <v>会話は正常に削除されました</v>
      </c>
    </row>
    <row r="2665" ht="15.75" customHeight="1">
      <c r="A2665" s="1" t="s">
        <v>5069</v>
      </c>
      <c r="B2665" s="1" t="s">
        <v>5070</v>
      </c>
      <c r="C2665" s="1" t="str">
        <f>IFERROR(__xludf.DUMMYFUNCTION("CONCATENATE(GOOGLETRANSLATE(B2665, ""en"", ""zh-cn""))"),"卖家注册协议")</f>
        <v>卖家注册协议</v>
      </c>
      <c r="D2665" s="1" t="str">
        <f>IFERROR(__xludf.DUMMYFUNCTION("CONCATENATE(GOOGLETRANSLATE(B2665, ""en"", ""ko""))"),"판매자 등록 계약")</f>
        <v>판매자 등록 계약</v>
      </c>
      <c r="E2665" s="2" t="str">
        <f>IFERROR(__xludf.DUMMYFUNCTION("CONCATENATE(GOOGLETRANSLATE(B2665, ""en"", ""ja""))"),"販売者登録契約書")</f>
        <v>販売者登録契約書</v>
      </c>
    </row>
    <row r="2666" ht="15.75" customHeight="1">
      <c r="A2666" s="1" t="s">
        <v>5071</v>
      </c>
      <c r="B2666" s="1" t="s">
        <v>5072</v>
      </c>
      <c r="C2666" s="1" t="str">
        <f>IFERROR(__xludf.DUMMYFUNCTION("CONCATENATE(GOOGLETRANSLATE(B2666, ""en"", ""zh-cn""))"),"强制弹出窗口")</f>
        <v>强制弹出窗口</v>
      </c>
      <c r="D2666" s="1" t="str">
        <f>IFERROR(__xludf.DUMMYFUNCTION("CONCATENATE(GOOGLETRANSLATE(B2666, ""en"", ""ko""))"),"강제 팝업")</f>
        <v>강제 팝업</v>
      </c>
      <c r="E2666" s="2" t="str">
        <f>IFERROR(__xludf.DUMMYFUNCTION("CONCATENATE(GOOGLETRANSLATE(B2666, ""en"", ""ja""))"),"強制ポップアップ")</f>
        <v>強制ポップアップ</v>
      </c>
    </row>
    <row r="2667" ht="15.75" customHeight="1">
      <c r="A2667" s="1" t="s">
        <v>5073</v>
      </c>
      <c r="B2667" s="1" t="s">
        <v>5074</v>
      </c>
      <c r="C2667" s="1" t="str">
        <f>IFERROR(__xludf.DUMMYFUNCTION("CONCATENATE(GOOGLETRANSLATE(B2667, ""en"", ""zh-cn""))"),"社区")</f>
        <v>社区</v>
      </c>
      <c r="D2667" s="1" t="str">
        <f>IFERROR(__xludf.DUMMYFUNCTION("CONCATENATE(GOOGLETRANSLATE(B2667, ""en"", ""ko""))"),"지역 사회")</f>
        <v>지역 사회</v>
      </c>
      <c r="E2667" s="2" t="str">
        <f>IFERROR(__xludf.DUMMYFUNCTION("CONCATENATE(GOOGLETRANSLATE(B2667, ""en"", ""ja""))"),"コミュニティ")</f>
        <v>コミュニティ</v>
      </c>
    </row>
    <row r="2668" ht="15.75" customHeight="1">
      <c r="A2668" s="1" t="s">
        <v>5075</v>
      </c>
      <c r="B2668" s="1" t="s">
        <v>5076</v>
      </c>
      <c r="C2668" s="1" t="str">
        <f>IFERROR(__xludf.DUMMYFUNCTION("CONCATENATE(GOOGLETRANSLATE(B2668, ""en"", ""zh-cn""))"),"社区虚拟排名")</f>
        <v>社区虚拟排名</v>
      </c>
      <c r="D2668" s="1" t="str">
        <f>IFERROR(__xludf.DUMMYFUNCTION("CONCATENATE(GOOGLETRANSLATE(B2668, ""en"", ""ko""))"),"커뮤니티 가상 순위")</f>
        <v>커뮤니티 가상 순위</v>
      </c>
      <c r="E2668" s="2" t="str">
        <f>IFERROR(__xludf.DUMMYFUNCTION("CONCATENATE(GOOGLETRANSLATE(B2668, ""en"", ""ja""))"),"コミュニティ仮想ランキング")</f>
        <v>コミュニティ仮想ランキング</v>
      </c>
    </row>
    <row r="2669" ht="15.75" customHeight="1">
      <c r="A2669" s="1" t="s">
        <v>5077</v>
      </c>
      <c r="B2669" s="1" t="s">
        <v>5078</v>
      </c>
      <c r="C2669" s="1" t="str">
        <f>IFERROR(__xludf.DUMMYFUNCTION("CONCATENATE(GOOGLETRANSLATE(B2669, ""en"", ""zh-cn""))"),"社区排名")</f>
        <v>社区排名</v>
      </c>
      <c r="D2669" s="1" t="str">
        <f>IFERROR(__xludf.DUMMYFUNCTION("CONCATENATE(GOOGLETRANSLATE(B2669, ""en"", ""ko""))"),"커뮤니티 랭킹")</f>
        <v>커뮤니티 랭킹</v>
      </c>
      <c r="E2669" s="2" t="str">
        <f>IFERROR(__xludf.DUMMYFUNCTION("CONCATENATE(GOOGLETRANSLATE(B2669, ""en"", ""ja""))"),"コミュニティランキング")</f>
        <v>コミュニティランキング</v>
      </c>
    </row>
    <row r="2670" ht="15.75" customHeight="1">
      <c r="A2670" s="1" t="s">
        <v>5079</v>
      </c>
      <c r="B2670" s="1" t="s">
        <v>5080</v>
      </c>
      <c r="C2670" s="1" t="str">
        <f>IFERROR(__xludf.DUMMYFUNCTION("CONCATENATE(GOOGLETRANSLATE(B2670, ""en"", ""zh-cn""))"),"用户物流钱包充值")</f>
        <v>用户物流钱包充值</v>
      </c>
      <c r="D2670" s="1" t="str">
        <f>IFERROR(__xludf.DUMMYFUNCTION("CONCATENATE(GOOGLETRANSLATE(B2670, ""en"", ""ko""))"),"사용자 물류 지갑 충전")</f>
        <v>사용자 물류 지갑 충전</v>
      </c>
      <c r="E2670" s="2" t="str">
        <f>IFERROR(__xludf.DUMMYFUNCTION("CONCATENATE(GOOGLETRANSLATE(B2670, ""en"", ""ja""))"),"ユーザーロジスティックウォレットのリチャージ")</f>
        <v>ユーザーロジスティックウォレットのリチャージ</v>
      </c>
    </row>
    <row r="2671" ht="15.75" customHeight="1">
      <c r="A2671" s="1" t="s">
        <v>5081</v>
      </c>
      <c r="B2671" s="1" t="s">
        <v>5082</v>
      </c>
      <c r="C2671" s="1" t="str">
        <f>IFERROR(__xludf.DUMMYFUNCTION("CONCATENATE(GOOGLETRANSLATE(B2671, ""en"", ""zh-cn""))"),"订单已取消")</f>
        <v>订单已取消</v>
      </c>
      <c r="D2671" s="1" t="str">
        <f>IFERROR(__xludf.DUMMYFUNCTION("CONCATENATE(GOOGLETRANSLATE(B2671, ""en"", ""ko""))"),"주문이 취소됨")</f>
        <v>주문이 취소됨</v>
      </c>
      <c r="E2671" s="2" t="str">
        <f>IFERROR(__xludf.DUMMYFUNCTION("CONCATENATE(GOOGLETRANSLATE(B2671, ""en"", ""ja""))"),"注文がキャンセルされました")</f>
        <v>注文がキャンセルされました</v>
      </c>
    </row>
    <row r="2672" ht="15.75" customHeight="1">
      <c r="A2672" s="1" t="s">
        <v>5083</v>
      </c>
      <c r="B2672" s="1" t="s">
        <v>5084</v>
      </c>
      <c r="C2672" s="1" t="str">
        <f>IFERROR(__xludf.DUMMYFUNCTION("CONCATENATE(GOOGLETRANSLATE(B2672, ""en"", ""zh-cn""))"),"客服地址")</f>
        <v>客服地址</v>
      </c>
      <c r="D2672" s="1" t="str">
        <f>IFERROR(__xludf.DUMMYFUNCTION("CONCATENATE(GOOGLETRANSLATE(B2672, ""en"", ""ko""))"),"고객 서비스 주소")</f>
        <v>고객 서비스 주소</v>
      </c>
      <c r="E2672" s="2" t="str">
        <f>IFERROR(__xludf.DUMMYFUNCTION("CONCATENATE(GOOGLETRANSLATE(B2672, ""en"", ""ja""))"),"カスタマーサービスの住所")</f>
        <v>カスタマーサービスの住所</v>
      </c>
    </row>
    <row r="2673" ht="15.75" customHeight="1">
      <c r="A2673" s="1" t="s">
        <v>5085</v>
      </c>
      <c r="B2673" s="1" t="s">
        <v>5086</v>
      </c>
      <c r="C2673" s="1" t="str">
        <f>IFERROR(__xludf.DUMMYFUNCTION("CONCATENATE(GOOGLETRANSLATE(B2673, ""en"", ""zh-cn""))"),"客户浮动开关")</f>
        <v>客户浮动开关</v>
      </c>
      <c r="D2673" s="1" t="str">
        <f>IFERROR(__xludf.DUMMYFUNCTION("CONCATENATE(GOOGLETRANSLATE(B2673, ""en"", ""ko""))"),"고객 플로트 스위치")</f>
        <v>고객 플로트 스위치</v>
      </c>
      <c r="E2673" s="2" t="str">
        <f>IFERROR(__xludf.DUMMYFUNCTION("CONCATENATE(GOOGLETRANSLATE(B2673, ""en"", ""ja""))"),"カスタマーフロートスイッチ")</f>
        <v>カスタマーフロートスイッチ</v>
      </c>
    </row>
    <row r="2674" ht="15.75" customHeight="1">
      <c r="A2674" s="1" t="s">
        <v>5087</v>
      </c>
      <c r="B2674" s="1" t="s">
        <v>5088</v>
      </c>
      <c r="C2674" s="1" t="str">
        <f>IFERROR(__xludf.DUMMYFUNCTION("CONCATENATE(GOOGLETRANSLATE(B2674, ""en"", ""zh-cn""))"),"客户前台开关")</f>
        <v>客户前台开关</v>
      </c>
      <c r="D2674" s="1" t="str">
        <f>IFERROR(__xludf.DUMMYFUNCTION("CONCATENATE(GOOGLETRANSLATE(B2674, ""en"", ""ko""))"),"고객 프론트 데스크 스위치")</f>
        <v>고객 프론트 데스크 스위치</v>
      </c>
      <c r="E2674" s="2" t="str">
        <f>IFERROR(__xludf.DUMMYFUNCTION("CONCATENATE(GOOGLETRANSLATE(B2674, ""en"", ""ja""))"),"お客様フロントスイッチ")</f>
        <v>お客様フロントスイッチ</v>
      </c>
    </row>
    <row r="2675" ht="15.75" customHeight="1">
      <c r="A2675" s="1" t="s">
        <v>5089</v>
      </c>
      <c r="B2675" s="1" t="s">
        <v>5090</v>
      </c>
      <c r="C2675" s="1" t="str">
        <f>IFERROR(__xludf.DUMMYFUNCTION("CONCATENATE(GOOGLETRANSLATE(B2675, ""en"", ""zh-cn""))"),"客户卖家后台切换")</f>
        <v>客户卖家后台切换</v>
      </c>
      <c r="D2675" s="1" t="str">
        <f>IFERROR(__xludf.DUMMYFUNCTION("CONCATENATE(GOOGLETRANSLATE(B2675, ""en"", ""ko""))"),"고객 판매자 백엔드 스위치")</f>
        <v>고객 판매자 백엔드 스위치</v>
      </c>
      <c r="E2675" s="2" t="str">
        <f>IFERROR(__xludf.DUMMYFUNCTION("CONCATENATE(GOOGLETRANSLATE(B2675, ""en"", ""ja""))"),"顧客販売者のバックエンド スイッチ")</f>
        <v>顧客販売者のバックエンド スイッチ</v>
      </c>
    </row>
    <row r="2676" ht="15.75" customHeight="1">
      <c r="A2676" s="1" t="s">
        <v>5091</v>
      </c>
      <c r="B2676" s="1" t="s">
        <v>5092</v>
      </c>
      <c r="C2676" s="1" t="str">
        <f>IFERROR(__xludf.DUMMYFUNCTION("CONCATENATE(GOOGLETRANSLATE(B2676, ""en"", ""zh-cn""))"),"商户最低提现金额")</f>
        <v>商户最低提现金额</v>
      </c>
      <c r="D2676" s="1" t="str">
        <f>IFERROR(__xludf.DUMMYFUNCTION("CONCATENATE(GOOGLETRANSLATE(B2676, ""en"", ""ko""))"),"가맹점 최소 출금액")</f>
        <v>가맹점 최소 출금액</v>
      </c>
      <c r="E2676" s="2" t="str">
        <f>IFERROR(__xludf.DUMMYFUNCTION("CONCATENATE(GOOGLETRANSLATE(B2676, ""en"", ""ja""))"),"加盟店の最低出金額")</f>
        <v>加盟店の最低出金額</v>
      </c>
    </row>
    <row r="2677" ht="15.75" customHeight="1">
      <c r="A2677" s="1" t="s">
        <v>5093</v>
      </c>
      <c r="B2677" s="1" t="s">
        <v>5094</v>
      </c>
      <c r="C2677" s="1" t="str">
        <f>IFERROR(__xludf.DUMMYFUNCTION("CONCATENATE(GOOGLETRANSLATE(B2677, ""en"", ""zh-cn""))"),"商户最大提现金额")</f>
        <v>商户最大提现金额</v>
      </c>
      <c r="D2677" s="1" t="str">
        <f>IFERROR(__xludf.DUMMYFUNCTION("CONCATENATE(GOOGLETRANSLATE(B2677, ""en"", ""ko""))"),"가맹점 최대 출금금액")</f>
        <v>가맹점 최대 출금금액</v>
      </c>
      <c r="E2677" s="2" t="str">
        <f>IFERROR(__xludf.DUMMYFUNCTION("CONCATENATE(GOOGLETRANSLATE(B2677, ""en"", ""ja""))"),"加盟店の出金上限額")</f>
        <v>加盟店の出金上限額</v>
      </c>
    </row>
    <row r="2678" ht="15.75" customHeight="1">
      <c r="A2678" s="1" t="s">
        <v>5095</v>
      </c>
      <c r="B2678" s="1" t="s">
        <v>5096</v>
      </c>
      <c r="C2678" s="1" t="str">
        <f>IFERROR(__xludf.DUMMYFUNCTION("CONCATENATE(GOOGLETRANSLATE(B2678, ""en"", ""zh-cn""))"),"卖家提款手续费")</f>
        <v>卖家提款手续费</v>
      </c>
      <c r="D2678" s="1" t="str">
        <f>IFERROR(__xludf.DUMMYFUNCTION("CONCATENATE(GOOGLETRANSLATE(B2678, ""en"", ""ko""))"),"판매자 출금 처리 수수료")</f>
        <v>판매자 출금 처리 수수료</v>
      </c>
      <c r="E2678" s="2" t="str">
        <f>IFERROR(__xludf.DUMMYFUNCTION("CONCATENATE(GOOGLETRANSLATE(B2678, ""en"", ""ja""))"),"販売者の退会手数料")</f>
        <v>販売者の退会手数料</v>
      </c>
    </row>
    <row r="2679" ht="15.75" customHeight="1">
      <c r="A2679" s="1" t="s">
        <v>5097</v>
      </c>
      <c r="B2679" s="1" t="s">
        <v>5098</v>
      </c>
      <c r="C2679" s="1" t="str">
        <f>IFERROR(__xludf.DUMMYFUNCTION("CONCATENATE(GOOGLETRANSLATE(B2679, ""en"", ""zh-cn""))"),"卖家更新产品价格的次数")</f>
        <v>卖家更新产品价格的次数</v>
      </c>
      <c r="D2679" s="1" t="str">
        <f>IFERROR(__xludf.DUMMYFUNCTION("CONCATENATE(GOOGLETRANSLATE(B2679, ""en"", ""ko""))"),"판매자가 상품 가격을 업데이트한 횟수")</f>
        <v>판매자가 상품 가격을 업데이트한 횟수</v>
      </c>
      <c r="E2679" s="2" t="str">
        <f>IFERROR(__xludf.DUMMYFUNCTION("CONCATENATE(GOOGLETRANSLATE(B2679, ""en"", ""ja""))"),"販売者が商品価格を更新した回数")</f>
        <v>販売者が商品価格を更新した回数</v>
      </c>
    </row>
    <row r="2680" ht="15.75" customHeight="1">
      <c r="A2680" s="1" t="s">
        <v>5099</v>
      </c>
      <c r="B2680" s="1" t="s">
        <v>5100</v>
      </c>
      <c r="C2680" s="1" t="str">
        <f>IFERROR(__xludf.DUMMYFUNCTION("CONCATENATE(GOOGLETRANSLATE(B2680, ""en"", ""zh-cn""))"),"卖家发布权限")</f>
        <v>卖家发布权限</v>
      </c>
      <c r="D2680" s="1" t="str">
        <f>IFERROR(__xludf.DUMMYFUNCTION("CONCATENATE(GOOGLETRANSLATE(B2680, ""en"", ""ko""))"),"판매자 게시 권한")</f>
        <v>판매자 게시 권한</v>
      </c>
      <c r="E2680" s="2" t="str">
        <f>IFERROR(__xludf.DUMMYFUNCTION("CONCATENATE(GOOGLETRANSLATE(B2680, ""en"", ""ja""))"),"販売者の公開許可")</f>
        <v>販売者の公開許可</v>
      </c>
    </row>
    <row r="2681" ht="15.75" customHeight="1">
      <c r="A2681" s="1" t="s">
        <v>5101</v>
      </c>
      <c r="B2681" s="1" t="s">
        <v>5102</v>
      </c>
      <c r="C2681" s="1" t="str">
        <f>IFERROR(__xludf.DUMMYFUNCTION("CONCATENATE(GOOGLETRANSLATE(B2681, ""en"", ""zh-cn""))"),"商场取货")</f>
        <v>商场取货</v>
      </c>
      <c r="D2681" s="1" t="str">
        <f>IFERROR(__xludf.DUMMYFUNCTION("CONCATENATE(GOOGLETRANSLATE(B2681, ""en"", ""ko""))"),"쇼핑몰 픽업")</f>
        <v>쇼핑몰 픽업</v>
      </c>
      <c r="E2681" s="2" t="str">
        <f>IFERROR(__xludf.DUMMYFUNCTION("CONCATENATE(GOOGLETRANSLATE(B2681, ""en"", ""ja""))"),"ショッピングモールでの受け取り")</f>
        <v>ショッピングモールでの受け取り</v>
      </c>
    </row>
    <row r="2682" ht="15.75" customHeight="1">
      <c r="A2682" s="1" t="s">
        <v>5103</v>
      </c>
      <c r="B2682" s="1" t="s">
        <v>5104</v>
      </c>
      <c r="C2682" s="1" t="str">
        <f>IFERROR(__xludf.DUMMYFUNCTION("CONCATENATE(GOOGLETRANSLATE(B2682, ""en"", ""zh-cn""))"),"买家对话检查")</f>
        <v>买家对话检查</v>
      </c>
      <c r="D2682" s="1" t="str">
        <f>IFERROR(__xludf.DUMMYFUNCTION("CONCATENATE(GOOGLETRANSLATE(B2682, ""en"", ""ko""))"),"구매자 대화 조사")</f>
        <v>구매자 대화 조사</v>
      </c>
      <c r="E2682" s="2" t="str">
        <f>IFERROR(__xludf.DUMMYFUNCTION("CONCATENATE(GOOGLETRANSLATE(B2682, ""en"", ""ja""))"),"バイヤーとの会話の調査")</f>
        <v>バイヤーとの会話の調査</v>
      </c>
    </row>
    <row r="2683" ht="15.75" customHeight="1">
      <c r="A2683" s="1" t="s">
        <v>5105</v>
      </c>
      <c r="B2683" s="1" t="s">
        <v>5106</v>
      </c>
      <c r="C2683" s="1" t="str">
        <f>IFERROR(__xludf.DUMMYFUNCTION("CONCATENATE(GOOGLETRANSLATE(B2683, ""en"", ""zh-cn""))"),"买家评论检查")</f>
        <v>买家评论检查</v>
      </c>
      <c r="D2683" s="1" t="str">
        <f>IFERROR(__xludf.DUMMYFUNCTION("CONCATENATE(GOOGLETRANSLATE(B2683, ""en"", ""ko""))"),"구매자 의견 조사")</f>
        <v>구매자 의견 조사</v>
      </c>
      <c r="E2683" s="2" t="str">
        <f>IFERROR(__xludf.DUMMYFUNCTION("CONCATENATE(GOOGLETRANSLATE(B2683, ""en"", ""ja""))"),"バイヤーコメント検討")</f>
        <v>バイヤーコメント検討</v>
      </c>
    </row>
    <row r="2684" ht="15.75" customHeight="1">
      <c r="A2684" s="1" t="s">
        <v>5107</v>
      </c>
      <c r="B2684" s="1" t="s">
        <v>5108</v>
      </c>
      <c r="C2684" s="1" t="str">
        <f>IFERROR(__xludf.DUMMYFUNCTION("CONCATENATE(GOOGLETRANSLATE(B2684, ""en"", ""zh-cn""))"),"自动收款")</f>
        <v>自动收款</v>
      </c>
      <c r="D2684" s="1" t="str">
        <f>IFERROR(__xludf.DUMMYFUNCTION("CONCATENATE(GOOGLETRANSLATE(B2684, ""en"", ""ko""))"),"자동결제수집")</f>
        <v>자동결제수집</v>
      </c>
      <c r="E2684" s="2" t="str">
        <f>IFERROR(__xludf.DUMMYFUNCTION("CONCATENATE(GOOGLETRANSLATE(B2684, ""en"", ""ja""))"),"自動代金回収")</f>
        <v>自動代金回収</v>
      </c>
    </row>
    <row r="2685" ht="15.75" customHeight="1">
      <c r="A2685" s="1" t="s">
        <v>5109</v>
      </c>
      <c r="B2685" s="1" t="s">
        <v>5110</v>
      </c>
      <c r="C2685" s="1" t="str">
        <f>IFERROR(__xludf.DUMMYFUNCTION("CONCATENATE(GOOGLETRANSLATE(B2685, ""en"", ""zh-cn""))"),"卖家验证数据")</f>
        <v>卖家验证数据</v>
      </c>
      <c r="D2685" s="1" t="str">
        <f>IFERROR(__xludf.DUMMYFUNCTION("CONCATENATE(GOOGLETRANSLATE(B2685, ""en"", ""ko""))"),"판매자 검증 데이터")</f>
        <v>판매자 검증 데이터</v>
      </c>
      <c r="E2685" s="2" t="str">
        <f>IFERROR(__xludf.DUMMYFUNCTION("CONCATENATE(GOOGLETRANSLATE(B2685, ""en"", ""ja""))"),"販売者の検証データ")</f>
        <v>販売者の検証データ</v>
      </c>
    </row>
    <row r="2686" ht="15.75" customHeight="1">
      <c r="A2686" s="1" t="s">
        <v>5111</v>
      </c>
      <c r="B2686" s="1" t="s">
        <v>5112</v>
      </c>
      <c r="C2686" s="1" t="str">
        <f>IFERROR(__xludf.DUMMYFUNCTION("CONCATENATE(GOOGLETRANSLATE(B2686, ""en"", ""zh-cn""))"),"卖家正面照片")</f>
        <v>卖家正面照片</v>
      </c>
      <c r="D2686" s="1" t="str">
        <f>IFERROR(__xludf.DUMMYFUNCTION("CONCATENATE(GOOGLETRANSLATE(B2686, ""en"", ""ko""))"),"판매자 전면 사진")</f>
        <v>판매자 전면 사진</v>
      </c>
      <c r="E2686" s="2" t="str">
        <f>IFERROR(__xludf.DUMMYFUNCTION("CONCATENATE(GOOGLETRANSLATE(B2686, ""en"", ""ja""))"),"販売者の正面写真")</f>
        <v>販売者の正面写真</v>
      </c>
    </row>
    <row r="2687" ht="15.75" customHeight="1">
      <c r="A2687" s="1" t="s">
        <v>5113</v>
      </c>
      <c r="B2687" s="1" t="s">
        <v>5114</v>
      </c>
      <c r="C2687" s="1" t="str">
        <f>IFERROR(__xludf.DUMMYFUNCTION("CONCATENATE(GOOGLETRANSLATE(B2687, ""en"", ""zh-cn""))"),"卖家凭证")</f>
        <v>卖家凭证</v>
      </c>
      <c r="D2687" s="1" t="str">
        <f>IFERROR(__xludf.DUMMYFUNCTION("CONCATENATE(GOOGLETRANSLATE(B2687, ""en"", ""ko""))"),"판매자 자격 증명")</f>
        <v>판매자 자격 증명</v>
      </c>
      <c r="E2687" s="2" t="str">
        <f>IFERROR(__xludf.DUMMYFUNCTION("CONCATENATE(GOOGLETRANSLATE(B2687, ""en"", ""ja""))"),"販売者の資格情報")</f>
        <v>販売者の資格情報</v>
      </c>
    </row>
    <row r="2688" ht="15.75" customHeight="1">
      <c r="A2688" s="1" t="s">
        <v>5115</v>
      </c>
      <c r="B2688" s="1" t="s">
        <v>5116</v>
      </c>
      <c r="C2688" s="1" t="str">
        <f>IFERROR(__xludf.DUMMYFUNCTION("CONCATENATE(GOOGLETRANSLATE(B2688, ""en"", ""zh-cn""))"),"需要邀请码")</f>
        <v>需要邀请码</v>
      </c>
      <c r="D2688" s="1" t="str">
        <f>IFERROR(__xludf.DUMMYFUNCTION("CONCATENATE(GOOGLETRANSLATE(B2688, ""en"", ""ko""))"),"초대코드가 필요합니다")</f>
        <v>초대코드가 필요합니다</v>
      </c>
      <c r="E2688" s="2" t="str">
        <f>IFERROR(__xludf.DUMMYFUNCTION("CONCATENATE(GOOGLETRANSLATE(B2688, ""en"", ""ja""))"),"招待コードが必要です")</f>
        <v>招待コードが必要です</v>
      </c>
    </row>
    <row r="2689" ht="15.75" customHeight="1">
      <c r="A2689" s="1" t="s">
        <v>5117</v>
      </c>
      <c r="B2689" s="1" t="s">
        <v>5118</v>
      </c>
      <c r="C2689" s="1" t="str">
        <f>IFERROR(__xludf.DUMMYFUNCTION("CONCATENATE(GOOGLETRANSLATE(B2689, ""en"", ""zh-cn""))"),"离线充值上传图片")</f>
        <v>离线充值上传图片</v>
      </c>
      <c r="D2689" s="1" t="str">
        <f>IFERROR(__xludf.DUMMYFUNCTION("CONCATENATE(GOOGLETRANSLATE(B2689, ""en"", ""ko""))"),"오프라인 충전 업로드 이미지")</f>
        <v>오프라인 충전 업로드 이미지</v>
      </c>
      <c r="E2689" s="2" t="str">
        <f>IFERROR(__xludf.DUMMYFUNCTION("CONCATENATE(GOOGLETRANSLATE(B2689, ""en"", ""ja""))"),"オフラインリチャージアップロード画像")</f>
        <v>オフラインリチャージアップロード画像</v>
      </c>
    </row>
    <row r="2690" ht="15.75" customHeight="1">
      <c r="A2690" s="1" t="s">
        <v>5119</v>
      </c>
      <c r="B2690" s="1" t="s">
        <v>5120</v>
      </c>
      <c r="C2690" s="1" t="str">
        <f>IFERROR(__xludf.DUMMYFUNCTION("CONCATENATE(GOOGLETRANSLATE(B2690, ""en"", ""zh-cn""))"),"卖家提货验证密码")</f>
        <v>卖家提货验证密码</v>
      </c>
      <c r="D2690" s="1" t="str">
        <f>IFERROR(__xludf.DUMMYFUNCTION("CONCATENATE(GOOGLETRANSLATE(B2690, ""en"", ""ko""))"),"판매자 픽업 인증 비밀번호")</f>
        <v>판매자 픽업 인증 비밀번호</v>
      </c>
      <c r="E2690" s="2" t="str">
        <f>IFERROR(__xludf.DUMMYFUNCTION("CONCATENATE(GOOGLETRANSLATE(B2690, ""en"", ""ja""))"),"販売者ピックアップ確認パスワード")</f>
        <v>販売者ピックアップ確認パスワード</v>
      </c>
    </row>
    <row r="2691" ht="15.75" customHeight="1">
      <c r="A2691" s="1" t="s">
        <v>5121</v>
      </c>
      <c r="B2691" s="1" t="s">
        <v>5122</v>
      </c>
      <c r="C2691" s="1" t="str">
        <f>IFERROR(__xludf.DUMMYFUNCTION("CONCATENATE(GOOGLETRANSLATE(B2691, ""en"", ""zh-cn""))"),"卖家提现验证密码")</f>
        <v>卖家提现验证密码</v>
      </c>
      <c r="D2691" s="1" t="str">
        <f>IFERROR(__xludf.DUMMYFUNCTION("CONCATENATE(GOOGLETRANSLATE(B2691, ""en"", ""ko""))"),"판매자 탈퇴 확인 비밀번호")</f>
        <v>판매자 탈퇴 확인 비밀번호</v>
      </c>
      <c r="E2691" s="2" t="str">
        <f>IFERROR(__xludf.DUMMYFUNCTION("CONCATENATE(GOOGLETRANSLATE(B2691, ""en"", ""ja""))"),"販売者の出金確認パスワード")</f>
        <v>販売者の出金確認パスワード</v>
      </c>
    </row>
    <row r="2692" ht="15.75" customHeight="1">
      <c r="A2692" s="1" t="s">
        <v>5123</v>
      </c>
      <c r="B2692" s="1" t="s">
        <v>5124</v>
      </c>
      <c r="C2692" s="1" t="str">
        <f>IFERROR(__xludf.DUMMYFUNCTION("CONCATENATE(GOOGLETRANSLATE(B2692, ""en"", ""zh-cn""))"),"卖家订单通知")</f>
        <v>卖家订单通知</v>
      </c>
      <c r="D2692" s="1" t="str">
        <f>IFERROR(__xludf.DUMMYFUNCTION("CONCATENATE(GOOGLETRANSLATE(B2692, ""en"", ""ko""))"),"판매자 주문 공지")</f>
        <v>판매자 주문 공지</v>
      </c>
      <c r="E2692" s="2" t="str">
        <f>IFERROR(__xludf.DUMMYFUNCTION("CONCATENATE(GOOGLETRANSLATE(B2692, ""en"", ""ja""))"),"販売者の注文通知")</f>
        <v>販売者の注文通知</v>
      </c>
    </row>
    <row r="2693" ht="15.75" customHeight="1">
      <c r="A2693" s="1" t="s">
        <v>5125</v>
      </c>
      <c r="B2693" s="1" t="s">
        <v>5126</v>
      </c>
      <c r="C2693" s="1" t="str">
        <f>IFERROR(__xludf.DUMMYFUNCTION("CONCATENATE(GOOGLETRANSLATE(B2693, ""en"", ""zh-cn""))"),"注册IP")</f>
        <v>注册IP</v>
      </c>
      <c r="D2693" s="1" t="str">
        <f>IFERROR(__xludf.DUMMYFUNCTION("CONCATENATE(GOOGLETRANSLATE(B2693, ""en"", ""ko""))"),"IP 등록")</f>
        <v>IP 등록</v>
      </c>
      <c r="E2693" s="2" t="str">
        <f>IFERROR(__xludf.DUMMYFUNCTION("CONCATENATE(GOOGLETRANSLATE(B2693, ""en"", ""ja""))"),"IPを登録する")</f>
        <v>IPを登録する</v>
      </c>
    </row>
    <row r="2694" ht="15.75" customHeight="1">
      <c r="A2694" s="1" t="s">
        <v>5127</v>
      </c>
      <c r="B2694" s="1" t="s">
        <v>5128</v>
      </c>
      <c r="C2694" s="1" t="str">
        <f>IFERROR(__xludf.DUMMYFUNCTION("CONCATENATE(GOOGLETRANSLATE(B2694, ""en"", ""zh-cn""))"),"卖家库存")</f>
        <v>卖家库存</v>
      </c>
      <c r="D2694" s="1" t="str">
        <f>IFERROR(__xludf.DUMMYFUNCTION("CONCATENATE(GOOGLETRANSLATE(B2694, ""en"", ""ko""))"),"판매자 재고")</f>
        <v>판매자 재고</v>
      </c>
      <c r="E2694" s="2" t="str">
        <f>IFERROR(__xludf.DUMMYFUNCTION("CONCATENATE(GOOGLETRANSLATE(B2694, ""en"", ""ja""))"),"販売者の在庫")</f>
        <v>販売者の在庫</v>
      </c>
    </row>
    <row r="2695" ht="15.75" customHeight="1">
      <c r="A2695" s="1" t="s">
        <v>5129</v>
      </c>
      <c r="B2695" s="1" t="s">
        <v>5130</v>
      </c>
      <c r="C2695" s="1" t="str">
        <f>IFERROR(__xludf.DUMMYFUNCTION("CONCATENATE(GOOGLETRANSLATE(B2695, ""en"", ""zh-cn""))"),"卖家盲盒产品总数")</f>
        <v>卖家盲盒产品总数</v>
      </c>
      <c r="D2695" s="1" t="str">
        <f>IFERROR(__xludf.DUMMYFUNCTION("CONCATENATE(GOOGLETRANSLATE(B2695, ""en"", ""ko""))"),"판매자의 블라인드박스 제품 총 수량")</f>
        <v>판매자의 블라인드박스 제품 총 수량</v>
      </c>
      <c r="E2695" s="2" t="str">
        <f>IFERROR(__xludf.DUMMYFUNCTION("CONCATENATE(GOOGLETRANSLATE(B2695, ""en"", ""ja""))"),"販売者のブラインドボックス製品の合計数量")</f>
        <v>販売者のブラインドボックス製品の合計数量</v>
      </c>
    </row>
    <row r="2696" ht="15.75" customHeight="1">
      <c r="A2696" s="1" t="s">
        <v>5131</v>
      </c>
      <c r="B2696" s="1" t="s">
        <v>5132</v>
      </c>
      <c r="C2696" s="1" t="str">
        <f>IFERROR(__xludf.DUMMYFUNCTION("CONCATENATE(GOOGLETRANSLATE(B2696, ""en"", ""zh-cn""))"),"访问模板")</f>
        <v>访问模板</v>
      </c>
      <c r="D2696" s="1" t="str">
        <f>IFERROR(__xludf.DUMMYFUNCTION("CONCATENATE(GOOGLETRANSLATE(B2696, ""en"", ""ko""))"),"액세스 템플릿")</f>
        <v>액세스 템플릿</v>
      </c>
      <c r="E2696" s="2" t="str">
        <f>IFERROR(__xludf.DUMMYFUNCTION("CONCATENATE(GOOGLETRANSLATE(B2696, ""en"", ""ja""))"),"テンプレートにアクセスする")</f>
        <v>テンプレートにアクセスする</v>
      </c>
    </row>
    <row r="2697" ht="15.75" customHeight="1">
      <c r="A2697" s="1" t="s">
        <v>5133</v>
      </c>
      <c r="B2697" s="1" t="s">
        <v>5134</v>
      </c>
      <c r="C2697" s="1" t="str">
        <f>IFERROR(__xludf.DUMMYFUNCTION("CONCATENATE(GOOGLETRANSLATE(B2697, ""en"", ""zh-cn""))"),"审查充值和提现限制")</f>
        <v>审查充值和提现限制</v>
      </c>
      <c r="D2697" s="1" t="str">
        <f>IFERROR(__xludf.DUMMYFUNCTION("CONCATENATE(GOOGLETRANSLATE(B2697, ""en"", ""ko""))"),"충전 및 출금 제한사항 검토")</f>
        <v>충전 및 출금 제한사항 검토</v>
      </c>
      <c r="E2697" s="2" t="str">
        <f>IFERROR(__xludf.DUMMYFUNCTION("CONCATENATE(GOOGLETRANSLATE(B2697, ""en"", ""ja""))"),"チャージと引き出しの制限を確認する")</f>
        <v>チャージと引き出しの制限を確認する</v>
      </c>
    </row>
    <row r="2698" ht="15.75" customHeight="1">
      <c r="A2698" s="1" t="s">
        <v>5135</v>
      </c>
      <c r="B2698" s="1" t="s">
        <v>5136</v>
      </c>
      <c r="C2698" s="1" t="str">
        <f>IFERROR(__xludf.DUMMYFUNCTION("CONCATENATE(GOOGLETRANSLATE(B2698, ""en"", ""zh-cn""))"),"删除帐户")</f>
        <v>删除帐户</v>
      </c>
      <c r="D2698" s="1" t="str">
        <f>IFERROR(__xludf.DUMMYFUNCTION("CONCATENATE(GOOGLETRANSLATE(B2698, ""en"", ""ko""))"),"계정 삭제")</f>
        <v>계정 삭제</v>
      </c>
      <c r="E2698" s="2" t="str">
        <f>IFERROR(__xludf.DUMMYFUNCTION("CONCATENATE(GOOGLETRANSLATE(B2698, ""en"", ""ja""))"),"アカウントを削除する")</f>
        <v>アカウントを削除する</v>
      </c>
    </row>
    <row r="2699" ht="15.75" customHeight="1">
      <c r="A2699" s="1" t="s">
        <v>5137</v>
      </c>
      <c r="B2699" s="1" t="s">
        <v>5138</v>
      </c>
      <c r="C2699" s="1" t="str">
        <f>IFERROR(__xludf.DUMMYFUNCTION("CONCATENATE(GOOGLETRANSLATE(B2699, ""en"", ""zh-cn""))"),"产品复制")</f>
        <v>产品复制</v>
      </c>
      <c r="D2699" s="1" t="str">
        <f>IFERROR(__xludf.DUMMYFUNCTION("CONCATENATE(GOOGLETRANSLATE(B2699, ""en"", ""ko""))"),"제품 복제")</f>
        <v>제품 복제</v>
      </c>
      <c r="E2699" s="2" t="str">
        <f>IFERROR(__xludf.DUMMYFUNCTION("CONCATENATE(GOOGLETRANSLATE(B2699, ""en"", ""ja""))"),"製品の複製")</f>
        <v>製品の複製</v>
      </c>
    </row>
    <row r="2700" ht="15.75" customHeight="1">
      <c r="A2700" s="1" t="s">
        <v>5139</v>
      </c>
      <c r="B2700" s="1" t="s">
        <v>5140</v>
      </c>
      <c r="C2700" s="1" t="str">
        <f>IFERROR(__xludf.DUMMYFUNCTION("CONCATENATE(GOOGLETRANSLATE(B2700, ""en"", ""zh-cn""))"),"可以成本平衡")</f>
        <v>可以成本平衡</v>
      </c>
      <c r="D2700" s="1" t="str">
        <f>IFERROR(__xludf.DUMMYFUNCTION("CONCATENATE(GOOGLETRANSLATE(B2700, ""en"", ""ko""))"),"비용 균형 가능")</f>
        <v>비용 균형 가능</v>
      </c>
      <c r="E2700" s="2" t="str">
        <f>IFERROR(__xludf.DUMMYFUNCTION("CONCATENATE(GOOGLETRANSLATE(B2700, ""en"", ""ja""))"),"缶コストバランス")</f>
        <v>缶コストバランス</v>
      </c>
    </row>
    <row r="2701" ht="15.75" customHeight="1">
      <c r="A2701" s="1" t="s">
        <v>5141</v>
      </c>
      <c r="B2701" s="1" t="s">
        <v>5142</v>
      </c>
      <c r="C2701" s="1" t="str">
        <f>IFERROR(__xludf.DUMMYFUNCTION("CONCATENATE(GOOGLETRANSLATE(B2701, ""en"", ""zh-cn""))"),"发布产品是否需要验证")</f>
        <v>发布产品是否需要验证</v>
      </c>
      <c r="D2701" s="1" t="str">
        <f>IFERROR(__xludf.DUMMYFUNCTION("CONCATENATE(GOOGLETRANSLATE(B2701, ""en"", ""ko""))"),"제품 게시에 인증이 필요합니까?")</f>
        <v>제품 게시에 인증이 필요합니까?</v>
      </c>
      <c r="E2701" s="2" t="str">
        <f>IFERROR(__xludf.DUMMYFUNCTION("CONCATENATE(GOOGLETRANSLATE(B2701, ""en"", ""ja""))"),"製品を公開するには検証が必要ですか")</f>
        <v>製品を公開するには検証が必要ですか</v>
      </c>
    </row>
    <row r="2702" ht="15.75" customHeight="1">
      <c r="A2702" s="1" t="s">
        <v>5143</v>
      </c>
      <c r="B2702" s="1" t="s">
        <v>5144</v>
      </c>
      <c r="C2702" s="1" t="str">
        <f>IFERROR(__xludf.DUMMYFUNCTION("CONCATENATE(GOOGLETRANSLATE(B2702, ""en"", ""zh-cn""))"),"提现金额是否必须是整数")</f>
        <v>提现金额是否必须是整数</v>
      </c>
      <c r="D2702" s="1" t="str">
        <f>IFERROR(__xludf.DUMMYFUNCTION("CONCATENATE(GOOGLETRANSLATE(B2702, ""en"", ""ko""))"),"출금은 정수여야 하나요?")</f>
        <v>출금은 정수여야 하나요?</v>
      </c>
      <c r="E2702" s="2" t="str">
        <f>IFERROR(__xludf.DUMMYFUNCTION("CONCATENATE(GOOGLETRANSLATE(B2702, ""en"", ""ja""))"),"引き出しは整数である必要がありますか")</f>
        <v>引き出しは整数である必要がありますか</v>
      </c>
    </row>
    <row r="2703" ht="15.75" customHeight="1">
      <c r="A2703" s="1" t="s">
        <v>5145</v>
      </c>
      <c r="B2703" s="1" t="s">
        <v>5146</v>
      </c>
      <c r="C2703" s="1" t="str">
        <f>IFERROR(__xludf.DUMMYFUNCTION("CONCATENATE(GOOGLETRANSLATE(B2703, ""en"", ""zh-cn""))"),"按国家注册")</f>
        <v>按国家注册</v>
      </c>
      <c r="D2703" s="1" t="str">
        <f>IFERROR(__xludf.DUMMYFUNCTION("CONCATENATE(GOOGLETRANSLATE(B2703, ""en"", ""ko""))"),"국가별로 등록")</f>
        <v>국가별로 등록</v>
      </c>
      <c r="E2703" s="2" t="str">
        <f>IFERROR(__xludf.DUMMYFUNCTION("CONCATENATE(GOOGLETRANSLATE(B2703, ""en"", ""ja""))"),"国別に登録する")</f>
        <v>国別に登録する</v>
      </c>
    </row>
    <row r="2704" ht="15.75" customHeight="1">
      <c r="A2704" s="1" t="s">
        <v>5147</v>
      </c>
      <c r="B2704" s="1" t="s">
        <v>5148</v>
      </c>
      <c r="C2704" s="1" t="str">
        <f>IFERROR(__xludf.DUMMYFUNCTION("CONCATENATE(GOOGLETRANSLATE(B2704, ""en"", ""zh-cn""))"),"业务员钱包充值审核")</f>
        <v>业务员钱包充值审核</v>
      </c>
      <c r="D2704" s="1" t="str">
        <f>IFERROR(__xludf.DUMMYFUNCTION("CONCATENATE(GOOGLETRANSLATE(B2704, ""en"", ""ko""))"),"세일즈맨 지갑 충전 후기")</f>
        <v>세일즈맨 지갑 충전 후기</v>
      </c>
      <c r="E2704" s="2" t="str">
        <f>IFERROR(__xludf.DUMMYFUNCTION("CONCATENATE(GOOGLETRANSLATE(B2704, ""en"", ""ja""))"),"セールスマンウォレットのリチャージレビュー")</f>
        <v>セールスマンウォレットのリチャージレビュー</v>
      </c>
    </row>
    <row r="2705" ht="15.75" customHeight="1">
      <c r="A2705" s="1" t="s">
        <v>5149</v>
      </c>
      <c r="B2705" s="1" t="s">
        <v>5150</v>
      </c>
      <c r="C2705" s="1" t="str">
        <f>IFERROR(__xludf.DUMMYFUNCTION("CONCATENATE(GOOGLETRANSLATE(B2705, ""en"", ""zh-cn""))"),"业务员钱包提现审核")</f>
        <v>业务员钱包提现审核</v>
      </c>
      <c r="D2705" s="1" t="str">
        <f>IFERROR(__xludf.DUMMYFUNCTION("CONCATENATE(GOOGLETRANSLATE(B2705, ""en"", ""ko""))"),"세일즈맨 지갑 출금 리뷰")</f>
        <v>세일즈맨 지갑 출금 리뷰</v>
      </c>
      <c r="E2705" s="2" t="str">
        <f>IFERROR(__xludf.DUMMYFUNCTION("CONCATENATE(GOOGLETRANSLATE(B2705, ""en"", ""ja""))"),"セールスマンウォレットの出金レビュー")</f>
        <v>セールスマンウォレットの出金レビュー</v>
      </c>
    </row>
    <row r="2706" ht="15.75" customHeight="1">
      <c r="A2706" s="1" t="s">
        <v>5151</v>
      </c>
      <c r="B2706" s="1" t="s">
        <v>5152</v>
      </c>
      <c r="C2706" s="1" t="str">
        <f>IFERROR(__xludf.DUMMYFUNCTION("CONCATENATE(GOOGLETRANSLATE(B2706, ""en"", ""zh-cn""))"),"刀片装载")</f>
        <v>刀片装载</v>
      </c>
      <c r="D2706" s="1" t="str">
        <f>IFERROR(__xludf.DUMMYFUNCTION("CONCATENATE(GOOGLETRANSLATE(B2706, ""en"", ""ko""))"),"블레이드 로딩")</f>
        <v>블레이드 로딩</v>
      </c>
      <c r="E2706" s="2" t="str">
        <f>IFERROR(__xludf.DUMMYFUNCTION("CONCATENATE(GOOGLETRANSLATE(B2706, ""en"", ""ja""))"),"ブレードの装填")</f>
        <v>ブレードの装填</v>
      </c>
    </row>
    <row r="2707" ht="15.75" customHeight="1">
      <c r="A2707" s="1" t="s">
        <v>5153</v>
      </c>
      <c r="B2707" s="1" t="s">
        <v>5154</v>
      </c>
      <c r="C2707" s="1" t="str">
        <f>IFERROR(__xludf.DUMMYFUNCTION("CONCATENATE(GOOGLETRANSLATE(B2707, ""en"", ""zh-cn""))"),"加载中1")</f>
        <v>加载中1</v>
      </c>
      <c r="D2707" s="1" t="str">
        <f>IFERROR(__xludf.DUMMYFUNCTION("CONCATENATE(GOOGLETRANSLATE(B2707, ""en"", ""ko""))"),"로딩1")</f>
        <v>로딩1</v>
      </c>
      <c r="E2707" s="2" t="str">
        <f>IFERROR(__xludf.DUMMYFUNCTION("CONCATENATE(GOOGLETRANSLATE(B2707, ""en"", ""ja""))"),"読み込み中1")</f>
        <v>読み込み中1</v>
      </c>
    </row>
    <row r="2708" ht="15.75" customHeight="1">
      <c r="A2708" s="1" t="s">
        <v>5155</v>
      </c>
      <c r="B2708" s="1" t="s">
        <v>5156</v>
      </c>
      <c r="C2708" s="1" t="str">
        <f>IFERROR(__xludf.DUMMYFUNCTION("CONCATENATE(GOOGLETRANSLATE(B2708, ""en"", ""zh-cn""))"),"加载中2")</f>
        <v>加载中2</v>
      </c>
      <c r="D2708" s="1" t="str">
        <f>IFERROR(__xludf.DUMMYFUNCTION("CONCATENATE(GOOGLETRANSLATE(B2708, ""en"", ""ko""))"),"로딩2")</f>
        <v>로딩2</v>
      </c>
      <c r="E2708" s="2" t="str">
        <f>IFERROR(__xludf.DUMMYFUNCTION("CONCATENATE(GOOGLETRANSLATE(B2708, ""en"", ""ja""))"),"読み込み中2")</f>
        <v>読み込み中2</v>
      </c>
    </row>
    <row r="2709" ht="15.75" customHeight="1">
      <c r="A2709" s="1" t="s">
        <v>5157</v>
      </c>
      <c r="B2709" s="1" t="s">
        <v>5158</v>
      </c>
      <c r="C2709" s="1" t="str">
        <f>IFERROR(__xludf.DUMMYFUNCTION("CONCATENATE(GOOGLETRANSLATE(B2709, ""en"", ""zh-cn""))"),"加载中3")</f>
        <v>加载中3</v>
      </c>
      <c r="D2709" s="1" t="str">
        <f>IFERROR(__xludf.DUMMYFUNCTION("CONCATENATE(GOOGLETRANSLATE(B2709, ""en"", ""ko""))"),"로딩3")</f>
        <v>로딩3</v>
      </c>
      <c r="E2709" s="2" t="str">
        <f>IFERROR(__xludf.DUMMYFUNCTION("CONCATENATE(GOOGLETRANSLATE(B2709, ""en"", ""ja""))"),"読み込み中3")</f>
        <v>読み込み中3</v>
      </c>
    </row>
    <row r="2710" ht="15.75" customHeight="1">
      <c r="A2710" s="1" t="s">
        <v>5159</v>
      </c>
      <c r="B2710" s="1" t="s">
        <v>5160</v>
      </c>
      <c r="C2710" s="1" t="str">
        <f>IFERROR(__xludf.DUMMYFUNCTION("CONCATENATE(GOOGLETRANSLATE(B2710, ""en"", ""zh-cn""))"),"加载4")</f>
        <v>加载4</v>
      </c>
      <c r="D2710" s="1" t="str">
        <f>IFERROR(__xludf.DUMMYFUNCTION("CONCATENATE(GOOGLETRANSLATE(B2710, ""en"", ""ko""))"),"로딩4")</f>
        <v>로딩4</v>
      </c>
      <c r="E2710" s="2" t="str">
        <f>IFERROR(__xludf.DUMMYFUNCTION("CONCATENATE(GOOGLETRANSLATE(B2710, ""en"", ""ja""))"),"読み込み中4")</f>
        <v>読み込み中4</v>
      </c>
    </row>
    <row r="2711" ht="15.75" customHeight="1">
      <c r="A2711" s="1" t="s">
        <v>5161</v>
      </c>
      <c r="B2711" s="1" t="s">
        <v>5162</v>
      </c>
      <c r="C2711" s="1" t="str">
        <f>IFERROR(__xludf.DUMMYFUNCTION("CONCATENATE(GOOGLETRANSLATE(B2711, ""en"", ""zh-cn""))"),"加载中5")</f>
        <v>加载中5</v>
      </c>
      <c r="D2711" s="1" t="str">
        <f>IFERROR(__xludf.DUMMYFUNCTION("CONCATENATE(GOOGLETRANSLATE(B2711, ""en"", ""ko""))"),"로딩5")</f>
        <v>로딩5</v>
      </c>
      <c r="E2711" s="2" t="str">
        <f>IFERROR(__xludf.DUMMYFUNCTION("CONCATENATE(GOOGLETRANSLATE(B2711, ""en"", ""ja""))"),"読み込み中5")</f>
        <v>読み込み中5</v>
      </c>
    </row>
    <row r="2712" ht="15.75" customHeight="1">
      <c r="A2712" s="1" t="s">
        <v>5163</v>
      </c>
      <c r="B2712" s="1" t="s">
        <v>5164</v>
      </c>
      <c r="C2712" s="1" t="str">
        <f>IFERROR(__xludf.DUMMYFUNCTION("CONCATENATE(GOOGLETRANSLATE(B2712, ""en"", ""zh-cn""))"),"登录注册方式")</f>
        <v>登录注册方式</v>
      </c>
      <c r="D2712" s="1" t="str">
        <f>IFERROR(__xludf.DUMMYFUNCTION("CONCATENATE(GOOGLETRANSLATE(B2712, ""en"", ""ko""))"),"로그인 등록 모드")</f>
        <v>로그인 등록 모드</v>
      </c>
      <c r="E2712" s="2" t="str">
        <f>IFERROR(__xludf.DUMMYFUNCTION("CONCATENATE(GOOGLETRANSLATE(B2712, ""en"", ""ja""))"),"ログイン登録モード")</f>
        <v>ログイン登録モード</v>
      </c>
    </row>
    <row r="2713" ht="15.75" customHeight="1">
      <c r="A2713" s="1" t="s">
        <v>5165</v>
      </c>
      <c r="B2713" s="1" t="s">
        <v>5166</v>
      </c>
      <c r="C2713" s="1" t="str">
        <f>IFERROR(__xludf.DUMMYFUNCTION("CONCATENATE(GOOGLETRANSLATE(B2713, ""en"", ""zh-cn""))"),"产品价格模式")</f>
        <v>产品价格模式</v>
      </c>
      <c r="D2713" s="1" t="str">
        <f>IFERROR(__xludf.DUMMYFUNCTION("CONCATENATE(GOOGLETRANSLATE(B2713, ""en"", ""ko""))"),"제품 가격 모드")</f>
        <v>제품 가격 모드</v>
      </c>
      <c r="E2713" s="2" t="str">
        <f>IFERROR(__xludf.DUMMYFUNCTION("CONCATENATE(GOOGLETRANSLATE(B2713, ""en"", ""ja""))"),"製品価格モード")</f>
        <v>製品価格モード</v>
      </c>
    </row>
    <row r="2714" ht="15.75" customHeight="1">
      <c r="A2714" s="1" t="s">
        <v>5167</v>
      </c>
      <c r="B2714" s="1" t="s">
        <v>5168</v>
      </c>
      <c r="C2714" s="1" t="str">
        <f>IFERROR(__xludf.DUMMYFUNCTION("CONCATENATE(GOOGLETRANSLATE(B2714, ""en"", ""zh-cn""))"),"产品性价比")</f>
        <v>产品性价比</v>
      </c>
      <c r="D2714" s="1" t="str">
        <f>IFERROR(__xludf.DUMMYFUNCTION("CONCATENATE(GOOGLETRANSLATE(B2714, ""en"", ""ko""))"),"제품 가격 비율")</f>
        <v>제품 가격 비율</v>
      </c>
      <c r="E2714" s="2" t="str">
        <f>IFERROR(__xludf.DUMMYFUNCTION("CONCATENATE(GOOGLETRANSLATE(B2714, ""en"", ""ja""))"),"製品価格比率")</f>
        <v>製品価格比率</v>
      </c>
    </row>
    <row r="2715" ht="15.75" customHeight="1">
      <c r="A2715" s="1" t="s">
        <v>5169</v>
      </c>
      <c r="B2715" s="1" t="s">
        <v>5170</v>
      </c>
      <c r="C2715" s="1" t="str">
        <f>IFERROR(__xludf.DUMMYFUNCTION("CONCATENATE(GOOGLETRANSLATE(B2715, ""en"", ""zh-cn""))"),"随时签到")</f>
        <v>随时签到</v>
      </c>
      <c r="D2715" s="1" t="str">
        <f>IFERROR(__xludf.DUMMYFUNCTION("CONCATENATE(GOOGLETRANSLATE(B2715, ""en"", ""ko""))"),"언제든지 서명하세요")</f>
        <v>언제든지 서명하세요</v>
      </c>
      <c r="E2715" s="2" t="str">
        <f>IFERROR(__xludf.DUMMYFUNCTION("CONCATENATE(GOOGLETRANSLATE(B2715, ""en"", ""ja""))"),"いつでも署名してください")</f>
        <v>いつでも署名してください</v>
      </c>
    </row>
    <row r="2716" ht="15.75" customHeight="1">
      <c r="A2716" s="1" t="s">
        <v>5171</v>
      </c>
      <c r="B2716" s="1" t="s">
        <v>5172</v>
      </c>
      <c r="C2716" s="1" t="str">
        <f>IFERROR(__xludf.DUMMYFUNCTION("CONCATENATE(GOOGLETRANSLATE(B2716, ""en"", ""zh-cn""))"),"身份证验证")</f>
        <v>身份证验证</v>
      </c>
      <c r="D2716" s="1" t="str">
        <f>IFERROR(__xludf.DUMMYFUNCTION("CONCATENATE(GOOGLETRANSLATE(B2716, ""en"", ""ko""))"),"신분증 확인")</f>
        <v>신분증 확인</v>
      </c>
      <c r="E2716" s="2" t="str">
        <f>IFERROR(__xludf.DUMMYFUNCTION("CONCATENATE(GOOGLETRANSLATE(B2716, ""en"", ""ja""))"),"IDカードの確認")</f>
        <v>IDカードの確認</v>
      </c>
    </row>
    <row r="2717" ht="15.75" customHeight="1">
      <c r="A2717" s="1" t="s">
        <v>5173</v>
      </c>
      <c r="B2717" s="1" t="s">
        <v>5174</v>
      </c>
      <c r="C2717" s="1" t="str">
        <f>IFERROR(__xludf.DUMMYFUNCTION("CONCATENATE(GOOGLETRANSLATE(B2717, ""en"", ""zh-cn""))"),"下架")</f>
        <v>下架</v>
      </c>
      <c r="D2717" s="1" t="str">
        <f>IFERROR(__xludf.DUMMYFUNCTION("CONCATENATE(GOOGLETRANSLATE(B2717, ""en"", ""ko""))"),"선반 외부")</f>
        <v>선반 외부</v>
      </c>
      <c r="E2717" s="2" t="str">
        <f>IFERROR(__xludf.DUMMYFUNCTION("CONCATENATE(GOOGLETRANSLATE(B2717, ""en"", ""ja""))"),"棚から外して")</f>
        <v>棚から外して</v>
      </c>
    </row>
    <row r="2718" ht="15.75" customHeight="1">
      <c r="A2718" s="1" t="s">
        <v>5175</v>
      </c>
      <c r="B2718" s="1" t="s">
        <v>5176</v>
      </c>
      <c r="C2718" s="1" t="str">
        <f>IFERROR(__xludf.DUMMYFUNCTION("CONCATENATE(GOOGLETRANSLATE(B2718, ""en"", ""zh-cn""))"),"今日优惠")</f>
        <v>今日优惠</v>
      </c>
      <c r="D2718" s="1" t="str">
        <f>IFERROR(__xludf.DUMMYFUNCTION("CONCATENATE(GOOGLETRANSLATE(B2718, ""en"", ""ko""))"),"오늘의 특가")</f>
        <v>오늘의 특가</v>
      </c>
      <c r="E2718" s="2" t="str">
        <f>IFERROR(__xludf.DUMMYFUNCTION("CONCATENATE(GOOGLETRANSLATE(B2718, ""en"", ""ja""))"),"本日オフセール")</f>
        <v>本日オフセール</v>
      </c>
    </row>
    <row r="2719" ht="15.75" customHeight="1">
      <c r="A2719" s="1" t="s">
        <v>5177</v>
      </c>
      <c r="B2719" s="1" t="s">
        <v>5178</v>
      </c>
      <c r="C2719" s="1" t="str">
        <f>IFERROR(__xludf.DUMMYFUNCTION("CONCATENATE(GOOGLETRANSLATE(B2719, ""en"", ""zh-cn""))"),"关闭精选")</f>
        <v>关闭精选</v>
      </c>
      <c r="D2719" s="1" t="str">
        <f>IFERROR(__xludf.DUMMYFUNCTION("CONCATENATE(GOOGLETRANSLATE(B2719, ""en"", ""ko""))"),"끄기 추천")</f>
        <v>끄기 추천</v>
      </c>
      <c r="E2719" s="2" t="str">
        <f>IFERROR(__xludf.DUMMYFUNCTION("CONCATENATE(GOOGLETRANSLATE(B2719, ""en"", ""ja""))"),"オフの注目")</f>
        <v>オフの注目</v>
      </c>
    </row>
    <row r="2720" ht="15.75" customHeight="1">
      <c r="A2720" s="1" t="s">
        <v>5179</v>
      </c>
      <c r="B2720" s="1" t="s">
        <v>5180</v>
      </c>
      <c r="C2720" s="1" t="str">
        <f>IFERROR(__xludf.DUMMYFUNCTION("CONCATENATE(GOOGLETRANSLATE(B2720, ""en"", ""zh-cn""))"),"关闭主页顶部")</f>
        <v>关闭主页顶部</v>
      </c>
      <c r="D2720" s="1" t="str">
        <f>IFERROR(__xludf.DUMMYFUNCTION("CONCATENATE(GOOGLETRANSLATE(B2720, ""en"", ""ko""))"),"오프 홈 탑")</f>
        <v>오프 홈 탑</v>
      </c>
      <c r="E2720" s="2" t="str">
        <f>IFERROR(__xludf.DUMMYFUNCTION("CONCATENATE(GOOGLETRANSLATE(B2720, ""en"", ""ja""))"),"オフホームトップ")</f>
        <v>オフホームトップ</v>
      </c>
    </row>
    <row r="2721" ht="15.75" customHeight="1">
      <c r="A2721" s="1" t="s">
        <v>5181</v>
      </c>
      <c r="B2721" s="1" t="s">
        <v>5182</v>
      </c>
      <c r="C2721" s="1" t="str">
        <f>IFERROR(__xludf.DUMMYFUNCTION("CONCATENATE(GOOGLETRANSLATE(B2721, ""en"", ""zh-cn""))"),"优越的")</f>
        <v>优越的</v>
      </c>
      <c r="D2721" s="1" t="str">
        <f>IFERROR(__xludf.DUMMYFUNCTION("CONCATENATE(GOOGLETRANSLATE(B2721, ""en"", ""ko""))"),"우수한")</f>
        <v>우수한</v>
      </c>
      <c r="E2721" s="2" t="str">
        <f>IFERROR(__xludf.DUMMYFUNCTION("CONCATENATE(GOOGLETRANSLATE(B2721, ""en"", ""ja""))"),"優れた")</f>
        <v>優れた</v>
      </c>
    </row>
    <row r="2722" ht="15.75" customHeight="1">
      <c r="A2722" s="1" t="s">
        <v>5183</v>
      </c>
      <c r="B2722" s="1" t="s">
        <v>5184</v>
      </c>
      <c r="C2722" s="1" t="str">
        <f>IFERROR(__xludf.DUMMYFUNCTION("CONCATENATE(GOOGLETRANSLATE(B2722, ""en"", ""zh-cn""))"),"身份证号码")</f>
        <v>身份证号码</v>
      </c>
      <c r="D2722" s="1" t="str">
        <f>IFERROR(__xludf.DUMMYFUNCTION("CONCATENATE(GOOGLETRANSLATE(B2722, ""en"", ""ko""))"),"신분증 번호")</f>
        <v>신분증 번호</v>
      </c>
      <c r="E2722" s="2" t="str">
        <f>IFERROR(__xludf.DUMMYFUNCTION("CONCATENATE(GOOGLETRANSLATE(B2722, ""en"", ""ja""))"),"IDカード番号")</f>
        <v>IDカード番号</v>
      </c>
    </row>
    <row r="2723" ht="15.75" customHeight="1">
      <c r="A2723" s="1" t="s">
        <v>5185</v>
      </c>
      <c r="B2723" s="1" t="s">
        <v>5186</v>
      </c>
      <c r="C2723" s="1" t="str">
        <f>IFERROR(__xludf.DUMMYFUNCTION("CONCATENATE(GOOGLETRANSLATE(B2723, ""en"", ""zh-cn""))"),"身份证编辑")</f>
        <v>身份证编辑</v>
      </c>
      <c r="D2723" s="1" t="str">
        <f>IFERROR(__xludf.DUMMYFUNCTION("CONCATENATE(GOOGLETRANSLATE(B2723, ""en"", ""ko""))"),"신분증 편집")</f>
        <v>신분증 편집</v>
      </c>
      <c r="E2723" s="2" t="str">
        <f>IFERROR(__xludf.DUMMYFUNCTION("CONCATENATE(GOOGLETRANSLATE(B2723, ""en"", ""ja""))"),"IDカード編集")</f>
        <v>IDカード編集</v>
      </c>
    </row>
    <row r="2724" ht="15.75" customHeight="1">
      <c r="A2724" s="1" t="s">
        <v>5187</v>
      </c>
      <c r="B2724" s="1" t="s">
        <v>5188</v>
      </c>
      <c r="C2724" s="1" t="str">
        <f>IFERROR(__xludf.DUMMYFUNCTION("CONCATENATE(GOOGLETRANSLATE(B2724, ""en"", ""zh-cn""))"),"支付宝")</f>
        <v>支付宝</v>
      </c>
      <c r="D2724" s="1" t="str">
        <f>IFERROR(__xludf.DUMMYFUNCTION("CONCATENATE(GOOGLETRANSLATE(B2724, ""en"", ""ko""))"),"페이페이")</f>
        <v>페이페이</v>
      </c>
      <c r="E2724" s="2" t="str">
        <f>IFERROR(__xludf.DUMMYFUNCTION("CONCATENATE(GOOGLETRANSLATE(B2724, ""en"", ""ja""))"),"ペイペイ")</f>
        <v>ペイペイ</v>
      </c>
    </row>
    <row r="2725" ht="15.75" customHeight="1">
      <c r="A2725" s="1" t="s">
        <v>5189</v>
      </c>
      <c r="B2725" s="1" t="s">
        <v>5190</v>
      </c>
      <c r="C2725" s="1" t="str">
        <f>IFERROR(__xludf.DUMMYFUNCTION("CONCATENATE(GOOGLETRANSLATE(B2725, ""en"", ""zh-cn""))"),"支付宝ID")</f>
        <v>支付宝ID</v>
      </c>
      <c r="D2725" s="1" t="str">
        <f>IFERROR(__xludf.DUMMYFUNCTION("CONCATENATE(GOOGLETRANSLATE(B2725, ""en"", ""ko""))"),"페이페이 아이디")</f>
        <v>페이페이 아이디</v>
      </c>
      <c r="E2725" s="2" t="str">
        <f>IFERROR(__xludf.DUMMYFUNCTION("CONCATENATE(GOOGLETRANSLATE(B2725, ""en"", ""ja""))"),"ペイペイID")</f>
        <v>ペイペイID</v>
      </c>
    </row>
    <row r="2726" ht="15.75" customHeight="1">
      <c r="A2726" s="1" t="s">
        <v>5191</v>
      </c>
      <c r="B2726" s="1" t="s">
        <v>5192</v>
      </c>
      <c r="C2726" s="1" t="str">
        <f>IFERROR(__xludf.DUMMYFUNCTION("CONCATENATE(GOOGLETRANSLATE(B2726, ""en"", ""zh-cn""))"),"支付宝账户")</f>
        <v>支付宝账户</v>
      </c>
      <c r="D2726" s="1" t="str">
        <f>IFERROR(__xludf.DUMMYFUNCTION("CONCATENATE(GOOGLETRANSLATE(B2726, ""en"", ""ko""))"),"페이페이 계정")</f>
        <v>페이페이 계정</v>
      </c>
      <c r="E2726" s="2" t="str">
        <f>IFERROR(__xludf.DUMMYFUNCTION("CONCATENATE(GOOGLETRANSLATE(B2726, ""en"", ""ja""))"),"ペイペイアカウント")</f>
        <v>ペイペイアカウント</v>
      </c>
    </row>
    <row r="2727" ht="15.75" customHeight="1">
      <c r="A2727" s="1" t="s">
        <v>5193</v>
      </c>
      <c r="B2727" s="1" t="s">
        <v>5194</v>
      </c>
      <c r="C2727" s="1" t="str">
        <f>IFERROR(__xludf.DUMMYFUNCTION("CONCATENATE(GOOGLETRANSLATE(B2727, ""en"", ""zh-cn""))"),"支付宝二维码")</f>
        <v>支付宝二维码</v>
      </c>
      <c r="D2727" s="1" t="str">
        <f>IFERROR(__xludf.DUMMYFUNCTION("CONCATENATE(GOOGLETRANSLATE(B2727, ""en"", ""ko""))"),"페이페이 QR코드")</f>
        <v>페이페이 QR코드</v>
      </c>
      <c r="E2727" s="2" t="str">
        <f>IFERROR(__xludf.DUMMYFUNCTION("CONCATENATE(GOOGLETRANSLATE(B2727, ""en"", ""ja""))"),"ペイペイQRコード")</f>
        <v>ペイペイQRコード</v>
      </c>
    </row>
    <row r="2728" ht="15.75" customHeight="1">
      <c r="A2728" s="1" t="s">
        <v>5195</v>
      </c>
      <c r="B2728" s="1" t="s">
        <v>5196</v>
      </c>
      <c r="C2728" s="1" t="str">
        <f>IFERROR(__xludf.DUMMYFUNCTION("CONCATENATE(GOOGLETRANSLATE(B2728, ""en"", ""zh-cn""))"),"商户提现")</f>
        <v>商户提现</v>
      </c>
      <c r="D2728" s="1" t="str">
        <f>IFERROR(__xludf.DUMMYFUNCTION("CONCATENATE(GOOGLETRANSLATE(B2728, ""en"", ""ko""))"),"가맹점 철수")</f>
        <v>가맹점 철수</v>
      </c>
      <c r="E2728" s="2" t="str">
        <f>IFERROR(__xludf.DUMMYFUNCTION("CONCATENATE(GOOGLETRANSLATE(B2728, ""en"", ""ja""))"),"加盟店の撤退")</f>
        <v>加盟店の撤退</v>
      </c>
    </row>
    <row r="2729" ht="15.75" customHeight="1">
      <c r="A2729" s="1" t="s">
        <v>5197</v>
      </c>
      <c r="B2729" s="1" t="s">
        <v>5198</v>
      </c>
      <c r="C2729" s="1" t="str">
        <f>IFERROR(__xludf.DUMMYFUNCTION("CONCATENATE(GOOGLETRANSLATE(B2729, ""en"", ""zh-cn""))"),"冻结")</f>
        <v>冻结</v>
      </c>
      <c r="D2729" s="1" t="str">
        <f>IFERROR(__xludf.DUMMYFUNCTION("CONCATENATE(GOOGLETRANSLATE(B2729, ""en"", ""ko""))"),"꼭 매달리게 하다")</f>
        <v>꼭 매달리게 하다</v>
      </c>
      <c r="E2729" s="2" t="str">
        <f>IFERROR(__xludf.DUMMYFUNCTION("CONCATENATE(GOOGLETRANSLATE(B2729, ""en"", ""ja""))"),"フリーズ")</f>
        <v>フリーズ</v>
      </c>
    </row>
    <row r="2730" ht="15.75" customHeight="1">
      <c r="A2730" s="1" t="s">
        <v>5199</v>
      </c>
      <c r="B2730" s="1" t="s">
        <v>5200</v>
      </c>
      <c r="C2730" s="1" t="str">
        <f>IFERROR(__xludf.DUMMYFUNCTION("CONCATENATE(GOOGLETRANSLATE(B2730, ""en"", ""zh-cn""))"),"操作成功")</f>
        <v>操作成功</v>
      </c>
      <c r="D2730" s="1" t="str">
        <f>IFERROR(__xludf.DUMMYFUNCTION("CONCATENATE(GOOGLETRANSLATE(B2730, ""en"", ""ko""))"),"작업 성공")</f>
        <v>작업 성공</v>
      </c>
      <c r="E2730" s="2" t="str">
        <f>IFERROR(__xludf.DUMMYFUNCTION("CONCATENATE(GOOGLETRANSLATE(B2730, ""en"", ""ja""))"),"操作は成功しました")</f>
        <v>操作は成功しました</v>
      </c>
    </row>
    <row r="2731" ht="15.75" customHeight="1">
      <c r="A2731" s="1" t="s">
        <v>5201</v>
      </c>
      <c r="B2731" s="1" t="s">
        <v>5202</v>
      </c>
      <c r="C2731" s="1" t="str">
        <f>IFERROR(__xludf.DUMMYFUNCTION("CONCATENATE(GOOGLETRANSLATE(B2731, ""en"", ""zh-cn""))"),"解冻账户")</f>
        <v>解冻账户</v>
      </c>
      <c r="D2731" s="1" t="str">
        <f>IFERROR(__xludf.DUMMYFUNCTION("CONCATENATE(GOOGLETRANSLATE(B2731, ""en"", ""ko""))"),"계정 동결 해제")</f>
        <v>계정 동결 해제</v>
      </c>
      <c r="E2731" s="2" t="str">
        <f>IFERROR(__xludf.DUMMYFUNCTION("CONCATENATE(GOOGLETRANSLATE(B2731, ""en"", ""ja""))"),"アカウントの凍結を解除する")</f>
        <v>アカウントの凍結を解除する</v>
      </c>
    </row>
    <row r="2732" ht="15.75" customHeight="1">
      <c r="A2732" s="1" t="s">
        <v>5203</v>
      </c>
      <c r="B2732" s="1" t="s">
        <v>5204</v>
      </c>
      <c r="C2732" s="1" t="str">
        <f>IFERROR(__xludf.DUMMYFUNCTION("CONCATENATE(GOOGLETRANSLATE(B2732, ""en"", ""zh-cn""))"),"拜访商户")</f>
        <v>拜访商户</v>
      </c>
      <c r="D2732" s="1" t="str">
        <f>IFERROR(__xludf.DUMMYFUNCTION("CONCATENATE(GOOGLETRANSLATE(B2732, ""en"", ""ko""))"),"판매자 방문")</f>
        <v>판매자 방문</v>
      </c>
      <c r="E2732" s="2" t="str">
        <f>IFERROR(__xludf.DUMMYFUNCTION("CONCATENATE(GOOGLETRANSLATE(B2732, ""en"", ""ja""))"),"販売者を訪問")</f>
        <v>販売者を訪問</v>
      </c>
    </row>
    <row r="2733" ht="15.75" customHeight="1">
      <c r="A2733" s="1" t="s">
        <v>5205</v>
      </c>
      <c r="B2733" s="1" t="s">
        <v>5206</v>
      </c>
      <c r="C2733" s="1" t="str">
        <f>IFERROR(__xludf.DUMMYFUNCTION("CONCATENATE(GOOGLETRANSLATE(B2733, ""en"", ""zh-cn""))"),"其他信息")</f>
        <v>其他信息</v>
      </c>
      <c r="D2733" s="1" t="str">
        <f>IFERROR(__xludf.DUMMYFUNCTION("CONCATENATE(GOOGLETRANSLATE(B2733, ""en"", ""ko""))"),"기타 정보")</f>
        <v>기타 정보</v>
      </c>
      <c r="E2733" s="2" t="str">
        <f>IFERROR(__xludf.DUMMYFUNCTION("CONCATENATE(GOOGLETRANSLATE(B2733, ""en"", ""ja""))"),"その他の情報")</f>
        <v>その他の情報</v>
      </c>
    </row>
    <row r="2734" ht="15.75" customHeight="1">
      <c r="A2734" s="1" t="s">
        <v>5207</v>
      </c>
      <c r="B2734" s="1" t="s">
        <v>5208</v>
      </c>
      <c r="C2734" s="1" t="str">
        <f>IFERROR(__xludf.DUMMYFUNCTION("CONCATENATE(GOOGLETRANSLATE(B2734, ""en"", ""zh-cn""))"),"报名日期")</f>
        <v>报名日期</v>
      </c>
      <c r="D2734" s="1" t="str">
        <f>IFERROR(__xludf.DUMMYFUNCTION("CONCATENATE(GOOGLETRANSLATE(B2734, ""en"", ""ko""))"),"등록일")</f>
        <v>등록일</v>
      </c>
      <c r="E2734" s="2" t="str">
        <f>IFERROR(__xludf.DUMMYFUNCTION("CONCATENATE(GOOGLETRANSLATE(B2734, ""en"", ""ja""))"),"登録日")</f>
        <v>登録日</v>
      </c>
    </row>
    <row r="2735" ht="15.75" customHeight="1">
      <c r="A2735" s="1" t="s">
        <v>5209</v>
      </c>
      <c r="B2735" s="1" t="s">
        <v>5210</v>
      </c>
      <c r="C2735" s="1" t="str">
        <f>IFERROR(__xludf.DUMMYFUNCTION("CONCATENATE(GOOGLETRANSLATE(B2735, ""en"", ""zh-cn""))"),"从仓库中删除选择")</f>
        <v>从仓库中删除选择</v>
      </c>
      <c r="D2735" s="1" t="str">
        <f>IFERROR(__xludf.DUMMYFUNCTION("CONCATENATE(GOOGLETRANSLATE(B2735, ""en"", ""ko""))"),"창고에서 선택 항목 제거")</f>
        <v>창고에서 선택 항목 제거</v>
      </c>
      <c r="E2735" s="2" t="str">
        <f>IFERROR(__xludf.DUMMYFUNCTION("CONCATENATE(GOOGLETRANSLATE(B2735, ""en"", ""ja""))"),"選択範囲をストアハウスから削除する")</f>
        <v>選択範囲をストアハウスから削除する</v>
      </c>
    </row>
    <row r="2736" ht="15.75" customHeight="1">
      <c r="A2736" s="1" t="s">
        <v>5211</v>
      </c>
      <c r="B2736" s="1" t="s">
        <v>5212</v>
      </c>
      <c r="C2736" s="1" t="str">
        <f>IFERROR(__xludf.DUMMYFUNCTION("CONCATENATE(GOOGLETRANSLATE(B2736, ""en"", ""zh-cn""))"),"删除通知")</f>
        <v>删除通知</v>
      </c>
      <c r="D2736" s="1" t="str">
        <f>IFERROR(__xludf.DUMMYFUNCTION("CONCATENATE(GOOGLETRANSLATE(B2736, ""en"", ""ko""))"),"알림 삭제")</f>
        <v>알림 삭제</v>
      </c>
      <c r="E2736" s="2" t="str">
        <f>IFERROR(__xludf.DUMMYFUNCTION("CONCATENATE(GOOGLETRANSLATE(B2736, ""en"", ""ja""))"),"通知の削除")</f>
        <v>通知の削除</v>
      </c>
    </row>
    <row r="2737" ht="15.75" customHeight="1">
      <c r="A2737" s="1" t="s">
        <v>5213</v>
      </c>
      <c r="B2737" s="1" t="s">
        <v>5214</v>
      </c>
      <c r="C2737" s="1" t="str">
        <f>IFERROR(__xludf.DUMMYFUNCTION("CONCATENATE(GOOGLETRANSLATE(B2737, ""en"", ""zh-cn""))"),"请输入订单号以删除通知")</f>
        <v>请输入订单号以删除通知</v>
      </c>
      <c r="D2737" s="1" t="str">
        <f>IFERROR(__xludf.DUMMYFUNCTION("CONCATENATE(GOOGLETRANSLATE(B2737, ""en"", ""ko""))"),"알림을 삭제하려면 주문번호를 입력하세요.")</f>
        <v>알림을 삭제하려면 주문번호를 입력하세요.</v>
      </c>
      <c r="E2737" s="2" t="str">
        <f>IFERROR(__xludf.DUMMYFUNCTION("CONCATENATE(GOOGLETRANSLATE(B2737, ""en"", ""ja""))"),"通知を削除するには注文番号を入力してください")</f>
        <v>通知を削除するには注文番号を入力してください</v>
      </c>
    </row>
    <row r="2738" ht="15.75" customHeight="1">
      <c r="A2738" s="1" t="s">
        <v>5215</v>
      </c>
      <c r="B2738" s="1" t="s">
        <v>5216</v>
      </c>
      <c r="C2738" s="1" t="str">
        <f>IFERROR(__xludf.DUMMYFUNCTION("CONCATENATE(GOOGLETRANSLATE(B2738, ""en"", ""zh-cn""))"),"通知删除成功")</f>
        <v>通知删除成功</v>
      </c>
      <c r="D2738" s="1" t="str">
        <f>IFERROR(__xludf.DUMMYFUNCTION("CONCATENATE(GOOGLETRANSLATE(B2738, ""en"", ""ko""))"),"알림이 삭제되었습니다.")</f>
        <v>알림이 삭제되었습니다.</v>
      </c>
      <c r="E2738" s="2" t="str">
        <f>IFERROR(__xludf.DUMMYFUNCTION("CONCATENATE(GOOGLETRANSLATE(B2738, ""en"", ""ja""))"),"通知は正常に削除されました")</f>
        <v>通知は正常に削除されました</v>
      </c>
    </row>
    <row r="2739" ht="15.75" customHeight="1">
      <c r="A2739" s="1" t="s">
        <v>5217</v>
      </c>
      <c r="B2739" s="1" t="s">
        <v>5218</v>
      </c>
      <c r="C2739" s="1" t="str">
        <f>IFERROR(__xludf.DUMMYFUNCTION("CONCATENATE(GOOGLETRANSLATE(B2739, ""en"", ""zh-cn""))"),"批量评论")</f>
        <v>批量评论</v>
      </c>
      <c r="D2739" s="1" t="str">
        <f>IFERROR(__xludf.DUMMYFUNCTION("CONCATENATE(GOOGLETRANSLATE(B2739, ""en"", ""ko""))"),"대량 댓글")</f>
        <v>대량 댓글</v>
      </c>
      <c r="E2739" s="2" t="str">
        <f>IFERROR(__xludf.DUMMYFUNCTION("CONCATENATE(GOOGLETRANSLATE(B2739, ""en"", ""ja""))"),"一括コメント")</f>
        <v>一括コメント</v>
      </c>
    </row>
    <row r="2740" ht="15.75" customHeight="1">
      <c r="A2740" s="1" t="s">
        <v>5219</v>
      </c>
      <c r="B2740" s="1" t="s">
        <v>5220</v>
      </c>
      <c r="C2740" s="1" t="str">
        <f>IFERROR(__xludf.DUMMYFUNCTION("CONCATENATE(GOOGLETRANSLATE(B2740, ""en"", ""zh-cn""))"),"卖家账单")</f>
        <v>卖家账单</v>
      </c>
      <c r="D2740" s="1" t="str">
        <f>IFERROR(__xludf.DUMMYFUNCTION("CONCATENATE(GOOGLETRANSLATE(B2740, ""en"", ""ko""))"),"판매자 청구서")</f>
        <v>판매자 청구서</v>
      </c>
      <c r="E2740" s="2" t="str">
        <f>IFERROR(__xludf.DUMMYFUNCTION("CONCATENATE(GOOGLETRANSLATE(B2740, ""en"", ""ja""))"),"売主の請求書")</f>
        <v>売主の請求書</v>
      </c>
    </row>
    <row r="2741" ht="15.75" customHeight="1">
      <c r="A2741" s="1" t="s">
        <v>5221</v>
      </c>
      <c r="B2741" s="1" t="s">
        <v>5222</v>
      </c>
      <c r="C2741" s="1" t="str">
        <f>IFERROR(__xludf.DUMMYFUNCTION("CONCATENATE(GOOGLETRANSLATE(B2741, ""en"", ""zh-cn""))"),"星空凭证")</f>
        <v>星空凭证</v>
      </c>
      <c r="D2741" s="1" t="str">
        <f>IFERROR(__xludf.DUMMYFUNCTION("CONCATENATE(GOOGLETRANSLATE(B2741, ""en"", ""ko""))"),"싱콩 자격증")</f>
        <v>싱콩 자격증</v>
      </c>
      <c r="E2741" s="2" t="str">
        <f>IFERROR(__xludf.DUMMYFUNCTION("CONCATENATE(GOOGLETRANSLATE(B2741, ""en"", ""ja""))"),"Xingkong 資格情報")</f>
        <v>Xingkong 資格情報</v>
      </c>
    </row>
    <row r="2742" ht="15.75" customHeight="1">
      <c r="A2742" s="1" t="s">
        <v>5223</v>
      </c>
      <c r="B2742" s="1" t="s">
        <v>5224</v>
      </c>
      <c r="C2742" s="1" t="str">
        <f>IFERROR(__xludf.DUMMYFUNCTION("CONCATENATE(GOOGLETRANSLATE(B2742, ""en"", ""zh-cn""))"),"邮箱更改成功")</f>
        <v>邮箱更改成功</v>
      </c>
      <c r="D2742" s="1" t="str">
        <f>IFERROR(__xludf.DUMMYFUNCTION("CONCATENATE(GOOGLETRANSLATE(B2742, ""en"", ""ko""))"),"이메일이 성공적으로 변경되었습니다.")</f>
        <v>이메일이 성공적으로 변경되었습니다.</v>
      </c>
      <c r="E2742" s="2" t="str">
        <f>IFERROR(__xludf.DUMMYFUNCTION("CONCATENATE(GOOGLETRANSLATE(B2742, ""en"", ""ja""))"),"メールアドレスが正常に変更されました")</f>
        <v>メールアドレスが正常に変更されました</v>
      </c>
    </row>
    <row r="2743" ht="15.75" customHeight="1">
      <c r="A2743" s="1" t="s">
        <v>5225</v>
      </c>
      <c r="B2743" s="1" t="s">
        <v>5226</v>
      </c>
      <c r="C2743" s="1" t="str">
        <f>IFERROR(__xludf.DUMMYFUNCTION("CONCATENATE(GOOGLETRANSLATE(B2743, ""en"", ""zh-cn""))"),"电子邮件未经过验证。请重新发送您的邮件！")</f>
        <v>电子邮件未经过验证。请重新发送您的邮件！</v>
      </c>
      <c r="D2743" s="1" t="str">
        <f>IFERROR(__xludf.DUMMYFUNCTION("CONCATENATE(GOOGLETRANSLATE(B2743, ""en"", ""ko""))"),"이메일이 확인되지 않았습니다. 메일을 다시 보내주세요!")</f>
        <v>이메일이 확인되지 않았습니다. 메일을 다시 보내주세요!</v>
      </c>
      <c r="E2743" s="2" t="str">
        <f>IFERROR(__xludf.DUMMYFUNCTION("CONCATENATE(GOOGLETRANSLATE(B2743, ""en"", ""ja""))"),"メールが認証されませんでした。メールを再送信してください。")</f>
        <v>メールが認証されませんでした。メールを再送信してください。</v>
      </c>
    </row>
    <row r="2744" ht="15.75" customHeight="1">
      <c r="A2744" s="1" t="s">
        <v>5227</v>
      </c>
      <c r="B2744" s="1" t="s">
        <v>5228</v>
      </c>
      <c r="C2744" s="1" t="str">
        <f>IFERROR(__xludf.DUMMYFUNCTION("CONCATENATE(GOOGLETRANSLATE(B2744, ""en"", ""zh-cn""))"),"提款帐号")</f>
        <v>提款帐号</v>
      </c>
      <c r="D2744" s="1" t="str">
        <f>IFERROR(__xludf.DUMMYFUNCTION("CONCATENATE(GOOGLETRANSLATE(B2744, ""en"", ""ko""))"),"출금계좌번호")</f>
        <v>출금계좌번호</v>
      </c>
      <c r="E2744" s="2" t="str">
        <f>IFERROR(__xludf.DUMMYFUNCTION("CONCATENATE(GOOGLETRANSLATE(B2744, ""en"", ""ja""))"),"出金口座番号")</f>
        <v>出金口座番号</v>
      </c>
    </row>
    <row r="2745" ht="15.75" customHeight="1">
      <c r="A2745" s="1" t="s">
        <v>5229</v>
      </c>
      <c r="B2745" s="1" t="s">
        <v>5230</v>
      </c>
      <c r="C2745" s="1" t="str">
        <f>IFERROR(__xludf.DUMMYFUNCTION("CONCATENATE(GOOGLETRANSLATE(B2745, ""en"", ""zh-cn""))"),"卖家钱包余额")</f>
        <v>卖家钱包余额</v>
      </c>
      <c r="D2745" s="1" t="str">
        <f>IFERROR(__xludf.DUMMYFUNCTION("CONCATENATE(GOOGLETRANSLATE(B2745, ""en"", ""ko""))"),"판매자 지갑 잔액")</f>
        <v>판매자 지갑 잔액</v>
      </c>
      <c r="E2745" s="2" t="str">
        <f>IFERROR(__xludf.DUMMYFUNCTION("CONCATENATE(GOOGLETRANSLATE(B2745, ""en"", ""ja""))"),"販売者のウォレット残高")</f>
        <v>販売者のウォレット残高</v>
      </c>
    </row>
    <row r="2746" ht="15.75" customHeight="1">
      <c r="A2746" s="1" t="s">
        <v>5231</v>
      </c>
      <c r="B2746" s="1" t="s">
        <v>5232</v>
      </c>
      <c r="C2746" s="1" t="str">
        <f>IFERROR(__xludf.DUMMYFUNCTION("CONCATENATE(GOOGLETRANSLATE(B2746, ""en"", ""zh-cn""))"),"卖家保证余额")</f>
        <v>卖家保证余额</v>
      </c>
      <c r="D2746" s="1" t="str">
        <f>IFERROR(__xludf.DUMMYFUNCTION("CONCATENATE(GOOGLETRANSLATE(B2746, ""en"", ""ko""))"),"판매자 보증 잔액")</f>
        <v>판매자 보증 잔액</v>
      </c>
      <c r="E2746" s="2" t="str">
        <f>IFERROR(__xludf.DUMMYFUNCTION("CONCATENATE(GOOGLETRANSLATE(B2746, ""en"", ""ja""))"),"売主保証残高")</f>
        <v>売主保証残高</v>
      </c>
    </row>
    <row r="2747" ht="15.75" customHeight="1">
      <c r="A2747" s="1" t="s">
        <v>5233</v>
      </c>
      <c r="B2747" s="1" t="s">
        <v>5234</v>
      </c>
      <c r="C2747" s="1" t="str">
        <f>IFERROR(__xludf.DUMMYFUNCTION("CONCATENATE(GOOGLETRANSLATE(B2747, ""en"", ""zh-cn""))"),"评论")</f>
        <v>评论</v>
      </c>
      <c r="D2747" s="1" t="str">
        <f>IFERROR(__xludf.DUMMYFUNCTION("CONCATENATE(GOOGLETRANSLATE(B2747, ""en"", ""ko""))"),"주목")</f>
        <v>주목</v>
      </c>
      <c r="E2747" s="2" t="str">
        <f>IFERROR(__xludf.DUMMYFUNCTION("CONCATENATE(GOOGLETRANSLATE(B2747, ""en"", ""ja""))"),"述べる")</f>
        <v>述べる</v>
      </c>
    </row>
    <row r="2748" ht="15.75" customHeight="1">
      <c r="A2748" s="1" t="s">
        <v>5235</v>
      </c>
      <c r="B2748" s="1" t="s">
        <v>5236</v>
      </c>
      <c r="C2748" s="1" t="str">
        <f>IFERROR(__xludf.DUMMYFUNCTION("CONCATENATE(GOOGLETRANSLATE(B2748, ""en"", ""zh-cn""))"),"允许上架”")</f>
        <v>允许上架”</v>
      </c>
      <c r="D2748" s="1" t="str">
        <f>IFERROR(__xludf.DUMMYFUNCTION("CONCATENATE(GOOGLETRANSLATE(B2748, ""en"", ""ko""))"),"선반에 올려두는 것이 허용됩니다.""")</f>
        <v>선반에 올려두는 것이 허용됩니다."</v>
      </c>
      <c r="E2748" s="2" t="str">
        <f>IFERROR(__xludf.DUMMYFUNCTION("CONCATENATE(GOOGLETRANSLATE(B2748, ""en"", ""ja""))"),"棚に置くことを許可します」")</f>
        <v>棚に置くことを許可します」</v>
      </c>
    </row>
    <row r="2749" ht="15.75" customHeight="1">
      <c r="A2749" s="1" t="s">
        <v>5237</v>
      </c>
      <c r="B2749" s="1" t="s">
        <v>5238</v>
      </c>
      <c r="C2749" s="1" t="str">
        <f>IFERROR(__xludf.DUMMYFUNCTION("CONCATENATE(GOOGLETRANSLATE(B2749, ""en"", ""zh-cn""))"),"用户名 |电子邮件 |地址")</f>
        <v>用户名 |电子邮件 |地址</v>
      </c>
      <c r="D2749" s="1" t="str">
        <f>IFERROR(__xludf.DUMMYFUNCTION("CONCATENATE(GOOGLETRANSLATE(B2749, ""en"", ""ko""))"),"사용자 이름 | 이메일 | 주소")</f>
        <v>사용자 이름 | 이메일 | 주소</v>
      </c>
      <c r="E2749" s="2" t="str">
        <f>IFERROR(__xludf.DUMMYFUNCTION("CONCATENATE(GOOGLETRANSLATE(B2749, ""en"", ""ja""))"),"ユーザー名 |電子メール |住所")</f>
        <v>ユーザー名 |電子メール |住所</v>
      </c>
    </row>
    <row r="2750" ht="15.75" customHeight="1">
      <c r="A2750" s="1" t="s">
        <v>5239</v>
      </c>
      <c r="B2750" s="1" t="s">
        <v>5240</v>
      </c>
      <c r="C2750" s="1" t="str">
        <f>IFERROR(__xludf.DUMMYFUNCTION("CONCATENATE(GOOGLETRANSLATE(B2750, ""en"", ""zh-cn""))"),"用户身份")</f>
        <v>用户身份</v>
      </c>
      <c r="D2750" s="1" t="str">
        <f>IFERROR(__xludf.DUMMYFUNCTION("CONCATENATE(GOOGLETRANSLATE(B2750, ""en"", ""ko""))"),"사용자 ID")</f>
        <v>사용자 ID</v>
      </c>
      <c r="E2750" s="2" t="str">
        <f>IFERROR(__xludf.DUMMYFUNCTION("CONCATENATE(GOOGLETRANSLATE(B2750, ""en"", ""ja""))"),"ユーザーID")</f>
        <v>ユーザーID</v>
      </c>
    </row>
    <row r="2751" ht="15.75" customHeight="1">
      <c r="A2751" s="1" t="s">
        <v>5241</v>
      </c>
      <c r="B2751" s="1" t="s">
        <v>4632</v>
      </c>
      <c r="C2751" s="1" t="str">
        <f>IFERROR(__xludf.DUMMYFUNCTION("CONCATENATE(GOOGLETRANSLATE(B2751, ""en"", ""zh-cn""))"),"店铺登记")</f>
        <v>店铺登记</v>
      </c>
      <c r="D2751" s="1" t="str">
        <f>IFERROR(__xludf.DUMMYFUNCTION("CONCATENATE(GOOGLETRANSLATE(B2751, ""en"", ""ko""))"),"매장 등록")</f>
        <v>매장 등록</v>
      </c>
      <c r="E2751" s="2" t="str">
        <f>IFERROR(__xludf.DUMMYFUNCTION("CONCATENATE(GOOGLETRANSLATE(B2751, ""en"", ""ja""))"),"店舗レジ")</f>
        <v>店舗レジ</v>
      </c>
    </row>
    <row r="2752" ht="15.75" customHeight="1">
      <c r="A2752" s="1" t="s">
        <v>5242</v>
      </c>
      <c r="B2752" s="1" t="s">
        <v>5243</v>
      </c>
      <c r="C2752" s="1" t="str">
        <f>IFERROR(__xludf.DUMMYFUNCTION("CONCATENATE(GOOGLETRANSLATE(B2752, ""en"", ""zh-cn""))"),"账户状态")</f>
        <v>账户状态</v>
      </c>
      <c r="D2752" s="1" t="str">
        <f>IFERROR(__xludf.DUMMYFUNCTION("CONCATENATE(GOOGLETRANSLATE(B2752, ""en"", ""ko""))"),"계정 상태")</f>
        <v>계정 상태</v>
      </c>
      <c r="E2752" s="2" t="str">
        <f>IFERROR(__xludf.DUMMYFUNCTION("CONCATENATE(GOOGLETRANSLATE(B2752, ""en"", ""ja""))"),"アカウントのステータス")</f>
        <v>アカウントのステータス</v>
      </c>
    </row>
    <row r="2753" ht="15.75" customHeight="1">
      <c r="A2753" s="1" t="s">
        <v>5244</v>
      </c>
      <c r="B2753" s="1" t="s">
        <v>5245</v>
      </c>
      <c r="C2753" s="1" t="str">
        <f>IFERROR(__xludf.DUMMYFUNCTION("CONCATENATE(GOOGLETRANSLATE(B2753, ""en"", ""zh-cn""))"),"未验证")</f>
        <v>未验证</v>
      </c>
      <c r="D2753" s="1" t="str">
        <f>IFERROR(__xludf.DUMMYFUNCTION("CONCATENATE(GOOGLETRANSLATE(B2753, ""en"", ""ko""))"),"확인하지 않음")</f>
        <v>확인하지 않음</v>
      </c>
      <c r="E2753" s="2" t="str">
        <f>IFERROR(__xludf.DUMMYFUNCTION("CONCATENATE(GOOGLETRANSLATE(B2753, ""en"", ""ja""))"),"検証しない")</f>
        <v>検証しない</v>
      </c>
    </row>
    <row r="2754" ht="15.75" customHeight="1">
      <c r="A2754" s="1" t="s">
        <v>5246</v>
      </c>
      <c r="B2754" s="1" t="s">
        <v>5247</v>
      </c>
      <c r="C2754" s="1" t="str">
        <f>IFERROR(__xludf.DUMMYFUNCTION("CONCATENATE(GOOGLETRANSLATE(B2754, ""en"", ""zh-cn""))"),"选择卖家")</f>
        <v>选择卖家</v>
      </c>
      <c r="D2754" s="1" t="str">
        <f>IFERROR(__xludf.DUMMYFUNCTION("CONCATENATE(GOOGLETRANSLATE(B2754, ""en"", ""ko""))"),"판매자 선택")</f>
        <v>판매자 선택</v>
      </c>
      <c r="E2754" s="2" t="str">
        <f>IFERROR(__xludf.DUMMYFUNCTION("CONCATENATE(GOOGLETRANSLATE(B2754, ""en"", ""ja""))"),"販売者の選択")</f>
        <v>販売者の選択</v>
      </c>
    </row>
    <row r="2755" ht="15.75" customHeight="1">
      <c r="A2755" s="1" t="s">
        <v>5248</v>
      </c>
      <c r="B2755" s="1" t="s">
        <v>5249</v>
      </c>
      <c r="C2755" s="1" t="str">
        <f>IFERROR(__xludf.DUMMYFUNCTION("CONCATENATE(GOOGLETRANSLATE(B2755, ""en"", ""zh-cn""))"),"未找到通知")</f>
        <v>未找到通知</v>
      </c>
      <c r="D2755" s="1" t="str">
        <f>IFERROR(__xludf.DUMMYFUNCTION("CONCATENATE(GOOGLETRANSLATE(B2755, ""en"", ""ko""))"),"알림을 찾을 수 없습니다.")</f>
        <v>알림을 찾을 수 없습니다.</v>
      </c>
      <c r="E2755" s="2" t="str">
        <f>IFERROR(__xludf.DUMMYFUNCTION("CONCATENATE(GOOGLETRANSLATE(B2755, ""en"", ""ja""))"),"通知が見つかりません")</f>
        <v>通知が見つかりません</v>
      </c>
    </row>
    <row r="2756" ht="15.75" customHeight="1">
      <c r="A2756" s="1" t="s">
        <v>5250</v>
      </c>
      <c r="B2756" s="1" t="s">
        <v>5251</v>
      </c>
      <c r="C2756" s="1" t="str">
        <f>IFERROR(__xludf.DUMMYFUNCTION("CONCATENATE(GOOGLETRANSLATE(B2756, ""en"", ""zh-cn""))"),"出了点问题")</f>
        <v>出了点问题</v>
      </c>
      <c r="D2756" s="1" t="str">
        <f>IFERROR(__xludf.DUMMYFUNCTION("CONCATENATE(GOOGLETRANSLATE(B2756, ""en"", ""ko""))"),"문제가 발생했습니다.")</f>
        <v>문제가 발생했습니다.</v>
      </c>
      <c r="E2756" s="2" t="str">
        <f>IFERROR(__xludf.DUMMYFUNCTION("CONCATENATE(GOOGLETRANSLATE(B2756, ""en"", ""ja""))"),"何かが間違っていました")</f>
        <v>何かが間違っていました</v>
      </c>
    </row>
    <row r="2757" ht="15.75" customHeight="1">
      <c r="A2757" s="1" t="s">
        <v>5252</v>
      </c>
      <c r="B2757" s="1" t="s">
        <v>5253</v>
      </c>
      <c r="C2757" s="1" t="str">
        <f>IFERROR(__xludf.DUMMYFUNCTION("CONCATENATE(GOOGLETRANSLATE(B2757, ""en"", ""zh-cn""))"),"该注册账号尚未审核通过")</f>
        <v>该注册账号尚未审核通过</v>
      </c>
      <c r="D2757" s="1" t="str">
        <f>IFERROR(__xludf.DUMMYFUNCTION("CONCATENATE(GOOGLETRANSLATE(B2757, ""en"", ""ko""))"),"이 등록된 계정은 승인되지 않았습니다.")</f>
        <v>이 등록된 계정은 승인되지 않았습니다.</v>
      </c>
      <c r="E2757" s="2" t="str">
        <f>IFERROR(__xludf.DUMMYFUNCTION("CONCATENATE(GOOGLETRANSLATE(B2757, ""en"", ""ja""))"),"この登録されたアカウントは承認されていません")</f>
        <v>この登録されたアカウントは承認されていません</v>
      </c>
    </row>
    <row r="2758" ht="15.75" customHeight="1">
      <c r="A2758" s="1" t="s">
        <v>5254</v>
      </c>
      <c r="B2758" s="1" t="s">
        <v>5255</v>
      </c>
      <c r="C2758" s="1" t="str">
        <f>IFERROR(__xludf.DUMMYFUNCTION("CONCATENATE(GOOGLETRANSLATE(B2758, ""en"", ""zh-cn""))"),"请选择一位客户")</f>
        <v>请选择一位客户</v>
      </c>
      <c r="D2758" s="1" t="str">
        <f>IFERROR(__xludf.DUMMYFUNCTION("CONCATENATE(GOOGLETRANSLATE(B2758, ""en"", ""ko""))"),"고객을 선택하세요.")</f>
        <v>고객을 선택하세요.</v>
      </c>
      <c r="E2758" s="2" t="str">
        <f>IFERROR(__xludf.DUMMYFUNCTION("CONCATENATE(GOOGLETRANSLATE(B2758, ""en"", ""ja""))"),"お客様を選択してください")</f>
        <v>お客様を選択してください</v>
      </c>
    </row>
    <row r="2759" ht="15.75" customHeight="1">
      <c r="A2759" s="1" t="s">
        <v>5256</v>
      </c>
      <c r="B2759" s="1" t="s">
        <v>5257</v>
      </c>
      <c r="C2759" s="1" t="str">
        <f>IFERROR(__xludf.DUMMYFUNCTION("CONCATENATE(GOOGLETRANSLATE(B2759, ""en"", ""zh-cn""))"),"状态信息")</f>
        <v>状态信息</v>
      </c>
      <c r="D2759" s="1" t="str">
        <f>IFERROR(__xludf.DUMMYFUNCTION("CONCATENATE(GOOGLETRANSLATE(B2759, ""en"", ""ko""))"),"주 정보")</f>
        <v>주 정보</v>
      </c>
      <c r="E2759" s="2" t="str">
        <f>IFERROR(__xludf.DUMMYFUNCTION("CONCATENATE(GOOGLETRANSLATE(B2759, ""en"", ""ja""))"),"状態情報")</f>
        <v>状態情報</v>
      </c>
    </row>
    <row r="2760" ht="15.75" customHeight="1">
      <c r="A2760" s="1" t="s">
        <v>5258</v>
      </c>
      <c r="B2760" s="1" t="s">
        <v>5259</v>
      </c>
      <c r="C2760" s="1" t="str">
        <f>IFERROR(__xludf.DUMMYFUNCTION("CONCATENATE(GOOGLETRANSLATE(B2760, ""en"", ""zh-cn""))"),"编辑状态")</f>
        <v>编辑状态</v>
      </c>
      <c r="D2760" s="1" t="str">
        <f>IFERROR(__xludf.DUMMYFUNCTION("CONCATENATE(GOOGLETRANSLATE(B2760, ""en"", ""ko""))"),"상태 편집")</f>
        <v>상태 편집</v>
      </c>
      <c r="E2760" s="2" t="str">
        <f>IFERROR(__xludf.DUMMYFUNCTION("CONCATENATE(GOOGLETRANSLATE(B2760, ""en"", ""ja""))"),"状態の編集")</f>
        <v>状態の編集</v>
      </c>
    </row>
    <row r="2761" ht="15.75" customHeight="1">
      <c r="A2761" s="1" t="s">
        <v>5260</v>
      </c>
      <c r="B2761" s="1" t="s">
        <v>5261</v>
      </c>
      <c r="C2761" s="1" t="str">
        <f>IFERROR(__xludf.DUMMYFUNCTION("CONCATENATE(GOOGLETRANSLATE(B2761, ""en"", ""zh-cn""))"),"酶编号")</f>
        <v>酶编号</v>
      </c>
      <c r="D2761" s="1" t="str">
        <f>IFERROR(__xludf.DUMMYFUNCTION("CONCATENATE(GOOGLETRANSLATE(B2761, ""en"", ""ko""))"),"아세 번호")</f>
        <v>아세 번호</v>
      </c>
      <c r="E2761" s="2" t="str">
        <f>IFERROR(__xludf.DUMMYFUNCTION("CONCATENATE(GOOGLETRANSLATE(B2761, ""en"", ""ja""))"),"アセ番号")</f>
        <v>アセ番号</v>
      </c>
    </row>
    <row r="2762" ht="15.75" customHeight="1">
      <c r="A2762" s="1" t="s">
        <v>5262</v>
      </c>
      <c r="B2762" s="1" t="s">
        <v>5263</v>
      </c>
      <c r="C2762" s="1" t="str">
        <f>IFERROR(__xludf.DUMMYFUNCTION("CONCATENATE(GOOGLETRANSLATE(B2762, ""en"", ""zh-cn""))"),"卖家登录")</f>
        <v>卖家登录</v>
      </c>
      <c r="D2762" s="1" t="str">
        <f>IFERROR(__xludf.DUMMYFUNCTION("CONCATENATE(GOOGLETRANSLATE(B2762, ""en"", ""ko""))"),"판매자 로그인")</f>
        <v>판매자 로그인</v>
      </c>
      <c r="E2762" s="2" t="str">
        <f>IFERROR(__xludf.DUMMYFUNCTION("CONCATENATE(GOOGLETRANSLATE(B2762, ""en"", ""ja""))"),"販売者ログイン")</f>
        <v>販売者ログイン</v>
      </c>
    </row>
    <row r="2763" ht="15.75" customHeight="1">
      <c r="A2763" s="1" t="s">
        <v>5264</v>
      </c>
      <c r="B2763" s="1" t="s">
        <v>5265</v>
      </c>
      <c r="C2763" s="1" t="str">
        <f>IFERROR(__xludf.DUMMYFUNCTION("CONCATENATE(GOOGLETRANSLATE(B2763, ""en"", ""zh-cn""))"),"价格排序")</f>
        <v>价格排序</v>
      </c>
      <c r="D2763" s="1" t="str">
        <f>IFERROR(__xludf.DUMMYFUNCTION("CONCATENATE(GOOGLETRANSLATE(B2763, ""en"", ""ko""))"),"가격 정렬")</f>
        <v>가격 정렬</v>
      </c>
      <c r="E2763" s="2" t="str">
        <f>IFERROR(__xludf.DUMMYFUNCTION("CONCATENATE(GOOGLETRANSLATE(B2763, ""en"", ""ja""))"),"価格順")</f>
        <v>価格順</v>
      </c>
    </row>
    <row r="2764" ht="15.75" customHeight="1">
      <c r="A2764" s="1" t="s">
        <v>5266</v>
      </c>
      <c r="B2764" s="1" t="s">
        <v>5267</v>
      </c>
      <c r="C2764" s="1" t="str">
        <f>IFERROR(__xludf.DUMMYFUNCTION("CONCATENATE(GOOGLETRANSLATE(B2764, ""en"", ""zh-cn""))"),"价格说明")</f>
        <v>价格说明</v>
      </c>
      <c r="D2764" s="1" t="str">
        <f>IFERROR(__xludf.DUMMYFUNCTION("CONCATENATE(GOOGLETRANSLATE(B2764, ""en"", ""ko""))"),"가격 설명")</f>
        <v>가격 설명</v>
      </c>
      <c r="E2764" s="2" t="str">
        <f>IFERROR(__xludf.DUMMYFUNCTION("CONCATENATE(GOOGLETRANSLATE(B2764, ""en"", ""ja""))"),"価格説明")</f>
        <v>価格説明</v>
      </c>
    </row>
    <row r="2765" ht="15.75" customHeight="1">
      <c r="A2765" s="1" t="s">
        <v>5268</v>
      </c>
      <c r="B2765" s="1" t="s">
        <v>5269</v>
      </c>
      <c r="C2765" s="1" t="str">
        <f>IFERROR(__xludf.DUMMYFUNCTION("CONCATENATE(GOOGLETRANSLATE(B2765, ""en"", ""zh-cn""))"),"价格上升")</f>
        <v>价格上升</v>
      </c>
      <c r="D2765" s="1" t="str">
        <f>IFERROR(__xludf.DUMMYFUNCTION("CONCATENATE(GOOGLETRANSLATE(B2765, ""en"", ""ko""))"),"가격 오름차순")</f>
        <v>가격 오름차순</v>
      </c>
      <c r="E2765" s="2" t="str">
        <f>IFERROR(__xludf.DUMMYFUNCTION("CONCATENATE(GOOGLETRANSLATE(B2765, ""en"", ""ja""))"),"昇順価格")</f>
        <v>昇順価格</v>
      </c>
    </row>
    <row r="2766" ht="15.75" customHeight="1">
      <c r="A2766" s="1" t="s">
        <v>5270</v>
      </c>
      <c r="B2766" s="1" t="s">
        <v>5271</v>
      </c>
      <c r="C2766" s="1" t="str">
        <f>IFERROR(__xludf.DUMMYFUNCTION("CONCATENATE(GOOGLETRANSLATE(B2766, ""en"", ""zh-cn""))"),"邀请码无效！")</f>
        <v>邀请码无效！</v>
      </c>
      <c r="D2766" s="1" t="str">
        <f>IFERROR(__xludf.DUMMYFUNCTION("CONCATENATE(GOOGLETRANSLATE(B2766, ""en"", ""ko""))"),"초대 코드가 유효하지 않습니다!")</f>
        <v>초대 코드가 유효하지 않습니다!</v>
      </c>
      <c r="E2766" s="2" t="str">
        <f>IFERROR(__xludf.DUMMYFUNCTION("CONCATENATE(GOOGLETRANSLATE(B2766, ""en"", ""ja""))"),"招待コードが無効です!")</f>
        <v>招待コードが無効です!</v>
      </c>
    </row>
    <row r="2767" ht="15.75" customHeight="1">
      <c r="A2767" s="1" t="s">
        <v>5272</v>
      </c>
      <c r="B2767" s="1" t="s">
        <v>5273</v>
      </c>
      <c r="C2767" s="1" t="str">
        <f>IFERROR(__xludf.DUMMYFUNCTION("CONCATENATE(GOOGLETRANSLATE(B2767, ""en"", ""zh-cn""))"),"您无权访问所请求的页面！")</f>
        <v>您无权访问所请求的页面！</v>
      </c>
      <c r="D2767" s="1" t="str">
        <f>IFERROR(__xludf.DUMMYFUNCTION("CONCATENATE(GOOGLETRANSLATE(B2767, ""en"", ""ko""))"),"요청하신 페이지에 접근하실 수 없습니다!")</f>
        <v>요청하신 페이지에 접근하실 수 없습니다!</v>
      </c>
      <c r="E2767" s="2" t="str">
        <f>IFERROR(__xludf.DUMMYFUNCTION("CONCATENATE(GOOGLETRANSLATE(B2767, ""en"", ""ja""))"),"要求されたページにアクセスできません。")</f>
        <v>要求されたページにアクセスできません。</v>
      </c>
    </row>
    <row r="2768" ht="15.75" customHeight="1">
      <c r="A2768" s="1" t="s">
        <v>5274</v>
      </c>
      <c r="B2768" s="1" t="s">
        <v>5275</v>
      </c>
      <c r="C2768" s="1" t="str">
        <f>IFERROR(__xludf.DUMMYFUNCTION("CONCATENATE(GOOGLETRANSLATE(B2768, ""en"", ""zh-cn""))"),"税务文件")</f>
        <v>税务文件</v>
      </c>
      <c r="D2768" s="1" t="str">
        <f>IFERROR(__xludf.DUMMYFUNCTION("CONCATENATE(GOOGLETRANSLATE(B2768, ""en"", ""ko""))"),"세금 서류")</f>
        <v>세금 서류</v>
      </c>
      <c r="E2768" s="2" t="str">
        <f>IFERROR(__xludf.DUMMYFUNCTION("CONCATENATE(GOOGLETRANSLATE(B2768, ""en"", ""ja""))"),"税務書類")</f>
        <v>税務書類</v>
      </c>
    </row>
    <row r="2769" ht="15.75" customHeight="1">
      <c r="A2769" s="1" t="s">
        <v>5276</v>
      </c>
      <c r="B2769" s="1" t="s">
        <v>5277</v>
      </c>
      <c r="C2769" s="1" t="str">
        <f>IFERROR(__xludf.DUMMYFUNCTION("CONCATENATE(GOOGLETRANSLATE(B2769, ""en"", ""zh-cn""))"),"卖家邀请链接")</f>
        <v>卖家邀请链接</v>
      </c>
      <c r="D2769" s="1" t="str">
        <f>IFERROR(__xludf.DUMMYFUNCTION("CONCATENATE(GOOGLETRANSLATE(B2769, ""en"", ""ko""))"),"판매자 초대 링크")</f>
        <v>판매자 초대 링크</v>
      </c>
      <c r="E2769" s="2" t="str">
        <f>IFERROR(__xludf.DUMMYFUNCTION("CONCATENATE(GOOGLETRANSLATE(B2769, ""en"", ""ja""))"),"販売者の招待リンク")</f>
        <v>販売者の招待リンク</v>
      </c>
    </row>
    <row r="2770" ht="15.75" customHeight="1">
      <c r="A2770" s="1" t="s">
        <v>5278</v>
      </c>
      <c r="B2770" s="1" t="s">
        <v>5279</v>
      </c>
      <c r="C2770" s="1" t="str">
        <f>IFERROR(__xludf.DUMMYFUNCTION("CONCATENATE(GOOGLETRANSLATE(B2770, ""en"", ""zh-cn""))"),"机器本票")</f>
        <v>机器本票</v>
      </c>
      <c r="D2770" s="1" t="str">
        <f>IFERROR(__xludf.DUMMYFUNCTION("CONCATENATE(GOOGLETRANSLATE(B2770, ""en"", ""ko""))"),"기계 출납원 주문")</f>
        <v>기계 출납원 주문</v>
      </c>
      <c r="E2770" s="2" t="str">
        <f>IFERROR(__xludf.DUMMYFUNCTION("CONCATENATE(GOOGLETRANSLATE(B2770, ""en"", ""ja""))"),"機械レジでの注文")</f>
        <v>機械レジでの注文</v>
      </c>
    </row>
    <row r="2771" ht="15.75" customHeight="1">
      <c r="A2771" s="1" t="s">
        <v>5280</v>
      </c>
      <c r="B2771" s="1" t="s">
        <v>5281</v>
      </c>
      <c r="C2771" s="1" t="str">
        <f>IFERROR(__xludf.DUMMYFUNCTION("CONCATENATE(GOOGLETRANSLATE(B2771, ""en"", ""zh-cn""))"),"统计页")</f>
        <v>统计页</v>
      </c>
      <c r="D2771" s="1" t="str">
        <f>IFERROR(__xludf.DUMMYFUNCTION("CONCATENATE(GOOGLETRANSLATE(B2771, ""en"", ""ko""))"),"통계 페이지")</f>
        <v>통계 페이지</v>
      </c>
      <c r="E2771" s="2" t="str">
        <f>IFERROR(__xludf.DUMMYFUNCTION("CONCATENATE(GOOGLETRANSLATE(B2771, ""en"", ""ja""))"),"統計ページ")</f>
        <v>統計ページ</v>
      </c>
    </row>
    <row r="2772" ht="15.75" customHeight="1">
      <c r="A2772" s="1" t="s">
        <v>5282</v>
      </c>
      <c r="B2772" s="1" t="s">
        <v>5283</v>
      </c>
      <c r="C2772" s="1" t="str">
        <f>IFERROR(__xludf.DUMMYFUNCTION("CONCATENATE(GOOGLETRANSLATE(B2772, ""en"", ""zh-cn""))"),"物流钱包日志")</f>
        <v>物流钱包日志</v>
      </c>
      <c r="D2772" s="1" t="str">
        <f>IFERROR(__xludf.DUMMYFUNCTION("CONCATENATE(GOOGLETRANSLATE(B2772, ""en"", ""ko""))"),"물류 지갑 로그")</f>
        <v>물류 지갑 로그</v>
      </c>
      <c r="E2772" s="2" t="str">
        <f>IFERROR(__xludf.DUMMYFUNCTION("CONCATENATE(GOOGLETRANSLATE(B2772, ""en"", ""ja""))"),"ロジスティックウォレットログ")</f>
        <v>ロジスティックウォレットログ</v>
      </c>
    </row>
    <row r="2773" ht="15.75" customHeight="1">
      <c r="A2773" s="1" t="s">
        <v>5284</v>
      </c>
      <c r="B2773" s="1" t="s">
        <v>5285</v>
      </c>
      <c r="C2773" s="1" t="str">
        <f>IFERROR(__xludf.DUMMYFUNCTION("CONCATENATE(GOOGLETRANSLATE(B2773, ""en"", ""zh-cn""))"),"卖家添加产品")</f>
        <v>卖家添加产品</v>
      </c>
      <c r="D2773" s="1" t="str">
        <f>IFERROR(__xludf.DUMMYFUNCTION("CONCATENATE(GOOGLETRANSLATE(B2773, ""en"", ""ko""))"),"판매자가 제품을 추가합니다.")</f>
        <v>판매자가 제품을 추가합니다.</v>
      </c>
      <c r="E2773" s="2" t="str">
        <f>IFERROR(__xludf.DUMMYFUNCTION("CONCATENATE(GOOGLETRANSLATE(B2773, ""en"", ""ja""))"),"販売者が商品を追加する")</f>
        <v>販売者が商品を追加する</v>
      </c>
    </row>
    <row r="2774" ht="15.75" customHeight="1">
      <c r="A2774" s="1" t="s">
        <v>5286</v>
      </c>
      <c r="B2774" s="1" t="s">
        <v>5287</v>
      </c>
      <c r="C2774" s="1" t="str">
        <f>IFERROR(__xludf.DUMMYFUNCTION("CONCATENATE(GOOGLETRANSLATE(B2774, ""en"", ""zh-cn""))"),"高级电子邮件")</f>
        <v>高级电子邮件</v>
      </c>
      <c r="D2774" s="1" t="str">
        <f>IFERROR(__xludf.DUMMYFUNCTION("CONCATENATE(GOOGLETRANSLATE(B2774, ""en"", ""ko""))"),"우수한 이메일")</f>
        <v>우수한 이메일</v>
      </c>
      <c r="E2774" s="2" t="str">
        <f>IFERROR(__xludf.DUMMYFUNCTION("CONCATENATE(GOOGLETRANSLATE(B2774, ""en"", ""ja""))"),"優れた電子メール")</f>
        <v>優れた電子メール</v>
      </c>
    </row>
    <row r="2775" ht="15.75" customHeight="1">
      <c r="A2775" s="1" t="s">
        <v>5288</v>
      </c>
      <c r="B2775" s="1" t="s">
        <v>5289</v>
      </c>
      <c r="C2775" s="1" t="str">
        <f>IFERROR(__xludf.DUMMYFUNCTION("CONCATENATE(GOOGLETRANSLATE(B2775, ""en"", ""zh-cn""))"),"充值总额")</f>
        <v>充值总额</v>
      </c>
      <c r="D2775" s="1" t="str">
        <f>IFERROR(__xludf.DUMMYFUNCTION("CONCATENATE(GOOGLETRANSLATE(B2775, ""en"", ""ko""))"),"충전총액")</f>
        <v>충전총액</v>
      </c>
      <c r="E2775" s="2" t="str">
        <f>IFERROR(__xludf.DUMMYFUNCTION("CONCATENATE(GOOGLETRANSLATE(B2775, ""en"", ""ja""))"),"リチャージ合計金額")</f>
        <v>リチャージ合計金額</v>
      </c>
    </row>
    <row r="2776" ht="15.75" customHeight="1">
      <c r="A2776" s="1" t="s">
        <v>5290</v>
      </c>
      <c r="B2776" s="1" t="s">
        <v>5291</v>
      </c>
      <c r="C2776" s="1" t="str">
        <f>IFERROR(__xludf.DUMMYFUNCTION("CONCATENATE(GOOGLETRANSLATE(B2776, ""en"", ""zh-cn""))"),"钱包总额")</f>
        <v>钱包总额</v>
      </c>
      <c r="D2776" s="1" t="str">
        <f>IFERROR(__xludf.DUMMYFUNCTION("CONCATENATE(GOOGLETRANSLATE(B2776, ""en"", ""ko""))"),"지갑 총액")</f>
        <v>지갑 총액</v>
      </c>
      <c r="E2776" s="2" t="str">
        <f>IFERROR(__xludf.DUMMYFUNCTION("CONCATENATE(GOOGLETRANSLATE(B2776, ""en"", ""ja""))"),"ウォレットの合計金額")</f>
        <v>ウォレットの合計金額</v>
      </c>
    </row>
    <row r="2777" ht="15.75" customHeight="1">
      <c r="A2777" s="1" t="s">
        <v>5292</v>
      </c>
      <c r="B2777" s="1" t="s">
        <v>5293</v>
      </c>
      <c r="C2777" s="1" t="str">
        <f>IFERROR(__xludf.DUMMYFUNCTION("CONCATENATE(GOOGLETRANSLATE(B2777, ""en"", ""zh-cn""))"),"页面浏览量")</f>
        <v>页面浏览量</v>
      </c>
      <c r="D2777" s="1" t="str">
        <f>IFERROR(__xludf.DUMMYFUNCTION("CONCATENATE(GOOGLETRANSLATE(B2777, ""en"", ""ko""))"),"페이지 조회수")</f>
        <v>페이지 조회수</v>
      </c>
      <c r="E2777" s="2" t="str">
        <f>IFERROR(__xludf.DUMMYFUNCTION("CONCATENATE(GOOGLETRANSLATE(B2777, ""en"", ""ja""))"),"ページビュー")</f>
        <v>ページビュー</v>
      </c>
    </row>
    <row r="2778" ht="15.75" customHeight="1">
      <c r="A2778" s="1" t="s">
        <v>5294</v>
      </c>
      <c r="B2778" s="1" t="s">
        <v>5295</v>
      </c>
      <c r="C2778" s="1" t="str">
        <f>IFERROR(__xludf.DUMMYFUNCTION("CONCATENATE(GOOGLETRANSLATE(B2778, ""en"", ""zh-cn""))"),"产品下架")</f>
        <v>产品下架</v>
      </c>
      <c r="D2778" s="1" t="str">
        <f>IFERROR(__xludf.DUMMYFUNCTION("CONCATENATE(GOOGLETRANSLATE(B2778, ""en"", ""ko""))"),"상품 상장폐지")</f>
        <v>상품 상장폐지</v>
      </c>
      <c r="E2778" s="2" t="str">
        <f>IFERROR(__xludf.DUMMYFUNCTION("CONCATENATE(GOOGLETRANSLATE(B2778, ""en"", ""ja""))"),"製品の上場廃止")</f>
        <v>製品の上場廃止</v>
      </c>
    </row>
    <row r="2779" ht="15.75" customHeight="1">
      <c r="A2779" s="1" t="s">
        <v>5296</v>
      </c>
      <c r="B2779" s="1" t="s">
        <v>5297</v>
      </c>
      <c r="C2779" s="1" t="str">
        <f>IFERROR(__xludf.DUMMYFUNCTION("CONCATENATE(GOOGLETRANSLATE(B2779, ""en"", ""zh-cn""))"),"订单异常")</f>
        <v>订单异常</v>
      </c>
      <c r="D2779" s="1" t="str">
        <f>IFERROR(__xludf.DUMMYFUNCTION("CONCATENATE(GOOGLETRANSLATE(B2779, ""en"", ""ko""))"),"주문 예외")</f>
        <v>주문 예외</v>
      </c>
      <c r="E2779" s="2" t="str">
        <f>IFERROR(__xludf.DUMMYFUNCTION("CONCATENATE(GOOGLETRANSLATE(B2779, ""en"", ""ja""))"),"注文の例外")</f>
        <v>注文の例外</v>
      </c>
    </row>
    <row r="2780" ht="15.75" customHeight="1">
      <c r="A2780" s="1" t="s">
        <v>5298</v>
      </c>
      <c r="B2780" s="1" t="s">
        <v>5299</v>
      </c>
      <c r="C2780" s="1" t="str">
        <f>IFERROR(__xludf.DUMMYFUNCTION("CONCATENATE(GOOGLETRANSLATE(B2780, ""en"", ""zh-cn""))"),"输入卖家账户并按回车键")</f>
        <v>输入卖家账户并按回车键</v>
      </c>
      <c r="D2780" s="1" t="str">
        <f>IFERROR(__xludf.DUMMYFUNCTION("CONCATENATE(GOOGLETRANSLATE(B2780, ""en"", ""ko""))"),"판매자 계정을 입력하고 Enter를 누르세요.")</f>
        <v>판매자 계정을 입력하고 Enter를 누르세요.</v>
      </c>
      <c r="E2780" s="2" t="str">
        <f>IFERROR(__xludf.DUMMYFUNCTION("CONCATENATE(GOOGLETRANSLATE(B2780, ""en"", ""ja""))"),"販売者アカウントを入力して Enter キーを押します")</f>
        <v>販売者アカウントを入力して Enter キーを押します</v>
      </c>
    </row>
    <row r="2781" ht="15.75" customHeight="1">
      <c r="A2781" s="1" t="s">
        <v>5300</v>
      </c>
      <c r="B2781" s="1" t="s">
        <v>5301</v>
      </c>
      <c r="C2781" s="1" t="str">
        <f>IFERROR(__xludf.DUMMYFUNCTION("CONCATENATE(GOOGLETRANSLATE(B2781, ""en"", ""zh-cn""))"),"批次状态")</f>
        <v>批次状态</v>
      </c>
      <c r="D2781" s="1" t="str">
        <f>IFERROR(__xludf.DUMMYFUNCTION("CONCATENATE(GOOGLETRANSLATE(B2781, ""en"", ""ko""))"),"배치 상태")</f>
        <v>배치 상태</v>
      </c>
      <c r="E2781" s="2" t="str">
        <f>IFERROR(__xludf.DUMMYFUNCTION("CONCATENATE(GOOGLETRANSLATE(B2781, ""en"", ""ja""))"),"バッチステータス")</f>
        <v>バッチステータス</v>
      </c>
    </row>
    <row r="2782" ht="15.75" customHeight="1">
      <c r="A2782" s="1" t="s">
        <v>5302</v>
      </c>
      <c r="B2782" s="1" t="s">
        <v>5303</v>
      </c>
      <c r="C2782" s="1" t="str">
        <f>IFERROR(__xludf.DUMMYFUNCTION("CONCATENATE(GOOGLETRANSLATE(B2782, ""en"", ""zh-cn""))"),"至少选择一项")</f>
        <v>至少选择一项</v>
      </c>
      <c r="D2782" s="1" t="str">
        <f>IFERROR(__xludf.DUMMYFUNCTION("CONCATENATE(GOOGLETRANSLATE(B2782, ""en"", ""ko""))"),"하나 이상 선택하세요.")</f>
        <v>하나 이상 선택하세요.</v>
      </c>
      <c r="E2782" s="2" t="str">
        <f>IFERROR(__xludf.DUMMYFUNCTION("CONCATENATE(GOOGLETRANSLATE(B2782, ""en"", ""ja""))"),"少なくとも 1 つ選択してください")</f>
        <v>少なくとも 1 つ選択してください</v>
      </c>
    </row>
    <row r="2783" ht="15.75" customHeight="1">
      <c r="A2783" s="1" t="s">
        <v>5304</v>
      </c>
      <c r="B2783" s="1" t="s">
        <v>5305</v>
      </c>
      <c r="C2783" s="1" t="str">
        <f>IFERROR(__xludf.DUMMYFUNCTION("CONCATENATE(GOOGLETRANSLATE(B2783, ""en"", ""zh-cn""))"),"更新成功。")</f>
        <v>更新成功。</v>
      </c>
      <c r="D2783" s="1" t="str">
        <f>IFERROR(__xludf.DUMMYFUNCTION("CONCATENATE(GOOGLETRANSLATE(B2783, ""en"", ""ko""))"),"업데이트가 완료되었습니다.")</f>
        <v>업데이트가 완료되었습니다.</v>
      </c>
      <c r="E2783" s="2" t="str">
        <f>IFERROR(__xludf.DUMMYFUNCTION("CONCATENATE(GOOGLETRANSLATE(B2783, ""en"", ""ja""))"),"アップデートが成功しました。")</f>
        <v>アップデートが成功しました。</v>
      </c>
    </row>
    <row r="2784" ht="15.75" customHeight="1">
      <c r="A2784" s="1" t="s">
        <v>5306</v>
      </c>
      <c r="B2784" s="1" t="s">
        <v>5307</v>
      </c>
      <c r="C2784" s="1" t="str">
        <f>IFERROR(__xludf.DUMMYFUNCTION("CONCATENATE(GOOGLETRANSLATE(B2784, ""en"", ""zh-cn""))"),"会员编号")</f>
        <v>会员编号</v>
      </c>
      <c r="D2784" s="1" t="str">
        <f>IFERROR(__xludf.DUMMYFUNCTION("CONCATENATE(GOOGLETRANSLATE(B2784, ""en"", ""ko""))"),"회원번호")</f>
        <v>회원번호</v>
      </c>
      <c r="E2784" s="2" t="str">
        <f>IFERROR(__xludf.DUMMYFUNCTION("CONCATENATE(GOOGLETRANSLATE(B2784, ""en"", ""ja""))"),"会員番号")</f>
        <v>会員番号</v>
      </c>
    </row>
    <row r="2785" ht="15.75" customHeight="1">
      <c r="A2785" s="1" t="s">
        <v>5308</v>
      </c>
      <c r="B2785" s="1" t="s">
        <v>5309</v>
      </c>
      <c r="C2785" s="1" t="str">
        <f>IFERROR(__xludf.DUMMYFUNCTION("CONCATENATE(GOOGLETRANSLATE(B2785, ""en"", ""zh-cn""))"),"充值号码")</f>
        <v>充值号码</v>
      </c>
      <c r="D2785" s="1" t="str">
        <f>IFERROR(__xludf.DUMMYFUNCTION("CONCATENATE(GOOGLETRANSLATE(B2785, ""en"", ""ko""))"),"재충전 번호")</f>
        <v>재충전 번호</v>
      </c>
      <c r="E2785" s="2" t="str">
        <f>IFERROR(__xludf.DUMMYFUNCTION("CONCATENATE(GOOGLETRANSLATE(B2785, ""en"", ""ja""))"),"リチャージ番号")</f>
        <v>リチャージ番号</v>
      </c>
    </row>
    <row r="2786" ht="15.75" customHeight="1">
      <c r="A2786" s="1" t="s">
        <v>5310</v>
      </c>
      <c r="B2786" s="1" t="s">
        <v>5311</v>
      </c>
      <c r="C2786" s="1" t="str">
        <f>IFERROR(__xludf.DUMMYFUNCTION("CONCATENATE(GOOGLETRANSLATE(B2786, ""en"", ""zh-cn""))"),"钱包号码")</f>
        <v>钱包号码</v>
      </c>
      <c r="D2786" s="1" t="str">
        <f>IFERROR(__xludf.DUMMYFUNCTION("CONCATENATE(GOOGLETRANSLATE(B2786, ""en"", ""ko""))"),"지갑 번호")</f>
        <v>지갑 번호</v>
      </c>
      <c r="E2786" s="2" t="str">
        <f>IFERROR(__xludf.DUMMYFUNCTION("CONCATENATE(GOOGLETRANSLATE(B2786, ""en"", ""ja""))"),"ウォレット番号")</f>
        <v>ウォレット番号</v>
      </c>
    </row>
    <row r="2787" ht="15.75" customHeight="1">
      <c r="A2787" s="1" t="s">
        <v>5312</v>
      </c>
      <c r="B2787" s="1" t="s">
        <v>5313</v>
      </c>
      <c r="C2787" s="1" t="str">
        <f>IFERROR(__xludf.DUMMYFUNCTION("CONCATENATE(GOOGLETRANSLATE(B2787, ""en"", ""zh-cn""))"),"物流充值金额")</f>
        <v>物流充值金额</v>
      </c>
      <c r="D2787" s="1" t="str">
        <f>IFERROR(__xludf.DUMMYFUNCTION("CONCATENATE(GOOGLETRANSLATE(B2787, ""en"", ""ko""))"),"물류충전금액")</f>
        <v>물류충전금액</v>
      </c>
      <c r="E2787" s="2" t="str">
        <f>IFERROR(__xludf.DUMMYFUNCTION("CONCATENATE(GOOGLETRANSLATE(B2787, ""en"", ""ja""))"),"物流チャージ額")</f>
        <v>物流チャージ額</v>
      </c>
    </row>
    <row r="2788" ht="15.75" customHeight="1">
      <c r="A2788" s="1" t="s">
        <v>5314</v>
      </c>
      <c r="B2788" s="1" t="s">
        <v>5315</v>
      </c>
      <c r="C2788" s="1" t="str">
        <f>IFERROR(__xludf.DUMMYFUNCTION("CONCATENATE(GOOGLETRANSLATE(B2788, ""en"", ""zh-cn""))"),"表现")</f>
        <v>表现</v>
      </c>
      <c r="D2788" s="1" t="str">
        <f>IFERROR(__xludf.DUMMYFUNCTION("CONCATENATE(GOOGLETRANSLATE(B2788, ""en"", ""ko""))"),"성능")</f>
        <v>성능</v>
      </c>
      <c r="E2788" s="2" t="str">
        <f>IFERROR(__xludf.DUMMYFUNCTION("CONCATENATE(GOOGLETRANSLATE(B2788, ""en"", ""ja""))"),"パフォーマンス")</f>
        <v>パフォーマンス</v>
      </c>
    </row>
    <row r="2789" ht="15.75" customHeight="1">
      <c r="A2789" s="1" t="s">
        <v>5316</v>
      </c>
      <c r="B2789" s="1" t="s">
        <v>5317</v>
      </c>
      <c r="C2789" s="1" t="str">
        <f>IFERROR(__xludf.DUMMYFUNCTION("CONCATENATE(GOOGLETRANSLATE(B2789, ""en"", ""zh-cn""))"),"冻结总额")</f>
        <v>冻结总额</v>
      </c>
      <c r="D2789" s="1" t="str">
        <f>IFERROR(__xludf.DUMMYFUNCTION("CONCATENATE(GOOGLETRANSLATE(B2789, ""en"", ""ko""))"),"동결총액")</f>
        <v>동결총액</v>
      </c>
      <c r="E2789" s="2" t="str">
        <f>IFERROR(__xludf.DUMMYFUNCTION("CONCATENATE(GOOGLETRANSLATE(B2789, ""en"", ""ja""))"),"凍結された合計金額")</f>
        <v>凍結された合計金額</v>
      </c>
    </row>
    <row r="2790" ht="15.75" customHeight="1">
      <c r="A2790" s="1" t="s">
        <v>5318</v>
      </c>
      <c r="B2790" s="1" t="s">
        <v>5319</v>
      </c>
      <c r="C2790" s="1" t="str">
        <f>IFERROR(__xludf.DUMMYFUNCTION("CONCATENATE(GOOGLETRANSLATE(B2790, ""en"", ""zh-cn""))"),"保留总额")</f>
        <v>保留总额</v>
      </c>
      <c r="D2790" s="1" t="str">
        <f>IFERROR(__xludf.DUMMYFUNCTION("CONCATENATE(GOOGLETRANSLATE(B2790, ""en"", ""ko""))"),"보유총액")</f>
        <v>보유총액</v>
      </c>
      <c r="E2790" s="2" t="str">
        <f>IFERROR(__xludf.DUMMYFUNCTION("CONCATENATE(GOOGLETRANSLATE(B2790, ""en"", ""ja""))"),"留保総額")</f>
        <v>留保総額</v>
      </c>
    </row>
    <row r="2791" ht="15.75" customHeight="1">
      <c r="A2791" s="1" t="s">
        <v>5320</v>
      </c>
      <c r="B2791" s="1" t="s">
        <v>5320</v>
      </c>
      <c r="C2791" s="1" t="str">
        <f>IFERROR(__xludf.DUMMYFUNCTION("CONCATENATE(GOOGLETRANSLATE(B2791, ""en"", ""zh-cn""))"),"团队")</f>
        <v>团队</v>
      </c>
      <c r="D2791" s="1" t="str">
        <f>IFERROR(__xludf.DUMMYFUNCTION("CONCATENATE(GOOGLETRANSLATE(B2791, ""en"", ""ko""))"),"팀")</f>
        <v>팀</v>
      </c>
      <c r="E2791" s="2" t="str">
        <f>IFERROR(__xludf.DUMMYFUNCTION("CONCATENATE(GOOGLETRANSLATE(B2791, ""en"", ""ja""))"),"チーム")</f>
        <v>チーム</v>
      </c>
    </row>
    <row r="2792" ht="15.75" customHeight="1">
      <c r="A2792" s="1" t="s">
        <v>5321</v>
      </c>
      <c r="B2792" s="1" t="s">
        <v>5322</v>
      </c>
      <c r="C2792" s="1" t="str">
        <f>IFERROR(__xludf.DUMMYFUNCTION("CONCATENATE(GOOGLETRANSLATE(B2792, ""en"", ""zh-cn""))"),"订单数量")</f>
        <v>订单数量</v>
      </c>
      <c r="D2792" s="1" t="str">
        <f>IFERROR(__xludf.DUMMYFUNCTION("CONCATENATE(GOOGLETRANSLATE(B2792, ""en"", ""ko""))"),"주문 수량")</f>
        <v>주문 수량</v>
      </c>
      <c r="E2792" s="2" t="str">
        <f>IFERROR(__xludf.DUMMYFUNCTION("CONCATENATE(GOOGLETRANSLATE(B2792, ""en"", ""ja""))"),"注文数量")</f>
        <v>注文数量</v>
      </c>
    </row>
    <row r="2793" ht="15.75" customHeight="1">
      <c r="A2793" s="1" t="s">
        <v>5323</v>
      </c>
      <c r="B2793" s="1" t="s">
        <v>5324</v>
      </c>
      <c r="C2793" s="1" t="str">
        <f>IFERROR(__xludf.DUMMYFUNCTION("CONCATENATE(GOOGLETRANSLATE(B2793, ""en"", ""zh-cn""))"),"订单详情 项目")</f>
        <v>订单详情 项目</v>
      </c>
      <c r="D2793" s="1" t="str">
        <f>IFERROR(__xludf.DUMMYFUNCTION("CONCATENATE(GOOGLETRANSLATE(B2793, ""en"", ""ko""))"),"주문 세부정보 항목")</f>
        <v>주문 세부정보 항목</v>
      </c>
      <c r="E2793" s="2" t="str">
        <f>IFERROR(__xludf.DUMMYFUNCTION("CONCATENATE(GOOGLETRANSLATE(B2793, ""en"", ""ja""))"),"注文詳細項目")</f>
        <v>注文詳細項目</v>
      </c>
    </row>
    <row r="2794" ht="15.75" customHeight="1">
      <c r="A2794" s="1" t="s">
        <v>5325</v>
      </c>
      <c r="B2794" s="1" t="s">
        <v>5326</v>
      </c>
      <c r="C2794" s="1" t="str">
        <f>IFERROR(__xludf.DUMMYFUNCTION("CONCATENATE(GOOGLETRANSLATE(B2794, ""en"", ""zh-cn""))"),"产品数量")</f>
        <v>产品数量</v>
      </c>
      <c r="D2794" s="1" t="str">
        <f>IFERROR(__xludf.DUMMYFUNCTION("CONCATENATE(GOOGLETRANSLATE(B2794, ""en"", ""ko""))"),"제품 수량")</f>
        <v>제품 수량</v>
      </c>
      <c r="E2794" s="2" t="str">
        <f>IFERROR(__xludf.DUMMYFUNCTION("CONCATENATE(GOOGLETRANSLATE(B2794, ""en"", ""ja""))"),"製品の数量")</f>
        <v>製品の数量</v>
      </c>
    </row>
    <row r="2795" ht="15.75" customHeight="1">
      <c r="A2795" s="1" t="s">
        <v>5327</v>
      </c>
      <c r="B2795" s="1" t="s">
        <v>5328</v>
      </c>
      <c r="C2795" s="1" t="str">
        <f>IFERROR(__xludf.DUMMYFUNCTION("CONCATENATE(GOOGLETRANSLATE(B2795, ""en"", ""zh-cn""))"),"生产订单")</f>
        <v>生产订单</v>
      </c>
      <c r="D2795" s="1" t="str">
        <f>IFERROR(__xludf.DUMMYFUNCTION("CONCATENATE(GOOGLETRANSLATE(B2795, ""en"", ""ko""))"),"생산순서")</f>
        <v>생산순서</v>
      </c>
      <c r="E2795" s="2" t="str">
        <f>IFERROR(__xludf.DUMMYFUNCTION("CONCATENATE(GOOGLETRANSLATE(B2795, ""en"", ""ja""))"),"製造オーダー")</f>
        <v>製造オーダー</v>
      </c>
    </row>
    <row r="2796" ht="15.75" customHeight="1">
      <c r="A2796" s="1" t="s">
        <v>5329</v>
      </c>
      <c r="B2796" s="1" t="s">
        <v>5330</v>
      </c>
      <c r="C2796" s="1" t="str">
        <f>IFERROR(__xludf.DUMMYFUNCTION("CONCATENATE(GOOGLETRANSLATE(B2796, ""en"", ""zh-cn""))"),"下单时间")</f>
        <v>下单时间</v>
      </c>
      <c r="D2796" s="1" t="str">
        <f>IFERROR(__xludf.DUMMYFUNCTION("CONCATENATE(GOOGLETRANSLATE(B2796, ""en"", ""ko""))"),"주문 시간")</f>
        <v>주문 시간</v>
      </c>
      <c r="E2796" s="2" t="str">
        <f>IFERROR(__xludf.DUMMYFUNCTION("CONCATENATE(GOOGLETRANSLATE(B2796, ""en"", ""ja""))"),"注文時間")</f>
        <v>注文時間</v>
      </c>
    </row>
    <row r="2797" ht="15.75" customHeight="1">
      <c r="A2797" s="1" t="s">
        <v>5331</v>
      </c>
      <c r="B2797" s="1" t="s">
        <v>5332</v>
      </c>
      <c r="C2797" s="1" t="str">
        <f>IFERROR(__xludf.DUMMYFUNCTION("CONCATENATE(GOOGLETRANSLATE(B2797, ""en"", ""zh-cn""))"),"剩余客户数量")</f>
        <v>剩余客户数量</v>
      </c>
      <c r="D2797" s="1" t="str">
        <f>IFERROR(__xludf.DUMMYFUNCTION("CONCATENATE(GOOGLETRANSLATE(B2797, ""en"", ""ko""))"),"남은 고객 수")</f>
        <v>남은 고객 수</v>
      </c>
      <c r="E2797" s="2" t="str">
        <f>IFERROR(__xludf.DUMMYFUNCTION("CONCATENATE(GOOGLETRANSLATE(B2797, ""en"", ""ja""))"),"残りの顧客数")</f>
        <v>残りの顧客数</v>
      </c>
    </row>
    <row r="2798" ht="15.75" customHeight="1">
      <c r="A2798" s="1" t="s">
        <v>5333</v>
      </c>
      <c r="B2798" s="1" t="s">
        <v>5334</v>
      </c>
      <c r="C2798" s="1" t="str">
        <f>IFERROR(__xludf.DUMMYFUNCTION("CONCATENATE(GOOGLETRANSLATE(B2798, ""en"", ""zh-cn""))"),"总量")</f>
        <v>总量</v>
      </c>
      <c r="D2798" s="1" t="str">
        <f>IFERROR(__xludf.DUMMYFUNCTION("CONCATENATE(GOOGLETRANSLATE(B2798, ""en"", ""ko""))"),"총 수량")</f>
        <v>총 수량</v>
      </c>
      <c r="E2798" s="2" t="str">
        <f>IFERROR(__xludf.DUMMYFUNCTION("CONCATENATE(GOOGLETRANSLATE(B2798, ""en"", ""ja""))"),"合計数量")</f>
        <v>合計数量</v>
      </c>
    </row>
    <row r="2799" ht="15.75" customHeight="1">
      <c r="A2799" s="1" t="s">
        <v>5335</v>
      </c>
      <c r="B2799" s="1" t="s">
        <v>5336</v>
      </c>
      <c r="C2799" s="1" t="str">
        <f>IFERROR(__xludf.DUMMYFUNCTION("CONCATENATE(GOOGLETRANSLATE(B2799, ""en"", ""zh-cn""))"),"添加到卖家产品")</f>
        <v>添加到卖家产品</v>
      </c>
      <c r="D2799" s="1" t="str">
        <f>IFERROR(__xludf.DUMMYFUNCTION("CONCATENATE(GOOGLETRANSLATE(B2799, ""en"", ""ko""))"),"판매자 제품에 추가")</f>
        <v>판매자 제품에 추가</v>
      </c>
      <c r="E2799" s="2" t="str">
        <f>IFERROR(__xludf.DUMMYFUNCTION("CONCATENATE(GOOGLETRANSLATE(B2799, ""en"", ""ja""))"),"販売者製品に追加")</f>
        <v>販売者製品に追加</v>
      </c>
    </row>
    <row r="2800" ht="15.75" customHeight="1">
      <c r="A2800" s="1" t="s">
        <v>5337</v>
      </c>
      <c r="B2800" s="1" t="s">
        <v>5338</v>
      </c>
      <c r="C2800" s="1" t="str">
        <f>IFERROR(__xludf.DUMMYFUNCTION("CONCATENATE(GOOGLETRANSLATE(B2800, ""en"", ""zh-cn""))"),"线下卖家价差套餐付款请求")</f>
        <v>线下卖家价差套餐付款请求</v>
      </c>
      <c r="D2800" s="1" t="str">
        <f>IFERROR(__xludf.DUMMYFUNCTION("CONCATENATE(GOOGLETRANSLATE(B2800, ""en"", ""ko""))"),"오프라인 판매자 스프레드 패키지 결제 요청")</f>
        <v>오프라인 판매자 스프레드 패키지 결제 요청</v>
      </c>
      <c r="E2800" s="2" t="str">
        <f>IFERROR(__xludf.DUMMYFUNCTION("CONCATENATE(GOOGLETRANSLATE(B2800, ""en"", ""ja""))"),"オフライン販売者のスプレッドパッケージ支払いリクエスト")</f>
        <v>オフライン販売者のスプレッドパッケージ支払いリクエスト</v>
      </c>
    </row>
    <row r="2801" ht="15.75" customHeight="1">
      <c r="A2801" s="1" t="s">
        <v>5339</v>
      </c>
      <c r="B2801" s="1" t="s">
        <v>5340</v>
      </c>
      <c r="C2801" s="1" t="str">
        <f>IFERROR(__xludf.DUMMYFUNCTION("CONCATENATE(GOOGLETRANSLATE(B2801, ""en"", ""zh-cn""))"),"线下卖家价差套餐付款已成功批准")</f>
        <v>线下卖家价差套餐付款已成功批准</v>
      </c>
      <c r="D2801" s="1" t="str">
        <f>IFERROR(__xludf.DUMMYFUNCTION("CONCATENATE(GOOGLETRANSLATE(B2801, ""en"", ""ko""))"),"오프라인 판매자 스프레드 패키지 결제가 성공적으로 승인되었습니다.")</f>
        <v>오프라인 판매자 스프레드 패키지 결제가 성공적으로 승인되었습니다.</v>
      </c>
      <c r="E2801" s="2" t="str">
        <f>IFERROR(__xludf.DUMMYFUNCTION("CONCATENATE(GOOGLETRANSLATE(B2801, ""en"", ""ja""))"),"オフライン販売者スプレッドパッケージ支払いが正常に承認されました")</f>
        <v>オフライン販売者スプレッドパッケージ支払いが正常に承認されました</v>
      </c>
    </row>
    <row r="2802" ht="15.75" customHeight="1">
      <c r="A2802" s="1" t="s">
        <v>5341</v>
      </c>
      <c r="B2802" s="1" t="s">
        <v>5342</v>
      </c>
      <c r="C2802" s="1" t="str">
        <f>IFERROR(__xludf.DUMMYFUNCTION("CONCATENATE(GOOGLETRANSLATE(B2802, ""en"", ""zh-cn""))"),"处理状态")</f>
        <v>处理状态</v>
      </c>
      <c r="D2802" s="1" t="str">
        <f>IFERROR(__xludf.DUMMYFUNCTION("CONCATENATE(GOOGLETRANSLATE(B2802, ""en"", ""ko""))"),"처리상태")</f>
        <v>처리상태</v>
      </c>
      <c r="E2802" s="2" t="str">
        <f>IFERROR(__xludf.DUMMYFUNCTION("CONCATENATE(GOOGLETRANSLATE(B2802, ""en"", ""ja""))"),"処理状況")</f>
        <v>処理状況</v>
      </c>
    </row>
    <row r="2803" ht="15.75" customHeight="1">
      <c r="A2803" s="1" t="s">
        <v>5343</v>
      </c>
      <c r="B2803" s="1" t="s">
        <v>5344</v>
      </c>
      <c r="C2803" s="1" t="str">
        <f>IFERROR(__xludf.DUMMYFUNCTION("CONCATENATE(GOOGLETRANSLATE(B2803, ""en"", ""zh-cn""))"),"未经处理")</f>
        <v>未经处理</v>
      </c>
      <c r="D2803" s="1" t="str">
        <f>IFERROR(__xludf.DUMMYFUNCTION("CONCATENATE(GOOGLETRANSLATE(B2803, ""en"", ""ko""))"),"치료받지 않은")</f>
        <v>치료받지 않은</v>
      </c>
      <c r="E2803" s="2" t="str">
        <f>IFERROR(__xludf.DUMMYFUNCTION("CONCATENATE(GOOGLETRANSLATE(B2803, ""en"", ""ja""))"),"未処理")</f>
        <v>未処理</v>
      </c>
    </row>
    <row r="2804" ht="15.75" customHeight="1">
      <c r="A2804" s="1" t="s">
        <v>5345</v>
      </c>
      <c r="B2804" s="1" t="s">
        <v>5346</v>
      </c>
      <c r="C2804" s="1" t="str">
        <f>IFERROR(__xludf.DUMMYFUNCTION("CONCATENATE(GOOGLETRANSLATE(B2804, ""en"", ""zh-cn""))"),"已加工")</f>
        <v>已加工</v>
      </c>
      <c r="D2804" s="1" t="str">
        <f>IFERROR(__xludf.DUMMYFUNCTION("CONCATENATE(GOOGLETRANSLATE(B2804, ""en"", ""ko""))"),"처리됨")</f>
        <v>처리됨</v>
      </c>
      <c r="E2804" s="2" t="str">
        <f>IFERROR(__xludf.DUMMYFUNCTION("CONCATENATE(GOOGLETRANSLATE(B2804, ""en"", ""ja""))"),"加工済み")</f>
        <v>加工済み</v>
      </c>
    </row>
    <row r="2805" ht="15.75" customHeight="1">
      <c r="A2805" s="1" t="s">
        <v>5347</v>
      </c>
      <c r="B2805" s="1" t="s">
        <v>5348</v>
      </c>
      <c r="C2805" s="1" t="str">
        <f>IFERROR(__xludf.DUMMYFUNCTION("CONCATENATE(GOOGLETRANSLATE(B2805, ""en"", ""zh-cn""))"),"处理时间")</f>
        <v>处理时间</v>
      </c>
      <c r="D2805" s="1" t="str">
        <f>IFERROR(__xludf.DUMMYFUNCTION("CONCATENATE(GOOGLETRANSLATE(B2805, ""en"", ""ko""))"),"처리 시간")</f>
        <v>처리 시간</v>
      </c>
      <c r="E2805" s="2" t="str">
        <f>IFERROR(__xludf.DUMMYFUNCTION("CONCATENATE(GOOGLETRANSLATE(B2805, ""en"", ""ja""))"),"処理時間")</f>
        <v>処理時間</v>
      </c>
    </row>
    <row r="2806" ht="15.75" customHeight="1">
      <c r="A2806" s="1" t="s">
        <v>5349</v>
      </c>
      <c r="B2806" s="1" t="s">
        <v>5350</v>
      </c>
      <c r="C2806" s="1" t="str">
        <f>IFERROR(__xludf.DUMMYFUNCTION("CONCATENATE(GOOGLETRANSLATE(B2806, ""en"", ""zh-cn""))"),"后台用户充值")</f>
        <v>后台用户充值</v>
      </c>
      <c r="D2806" s="1" t="str">
        <f>IFERROR(__xludf.DUMMYFUNCTION("CONCATENATE(GOOGLETRANSLATE(B2806, ""en"", ""ko""))"),"백엔드 사용자 재충전")</f>
        <v>백엔드 사용자 재충전</v>
      </c>
      <c r="E2806" s="2" t="str">
        <f>IFERROR(__xludf.DUMMYFUNCTION("CONCATENATE(GOOGLETRANSLATE(B2806, ""en"", ""ja""))"),"バックエンドユーザーのリチャージ")</f>
        <v>バックエンドユーザーのリチャージ</v>
      </c>
    </row>
    <row r="2807" ht="15.75" customHeight="1">
      <c r="A2807" s="1" t="s">
        <v>5351</v>
      </c>
      <c r="B2807" s="1" t="s">
        <v>5352</v>
      </c>
      <c r="C2807" s="1" t="str">
        <f>IFERROR(__xludf.DUMMYFUNCTION("CONCATENATE(GOOGLETRANSLATE(B2807, ""en"", ""zh-cn""))"),"后台卖家充值钱包")</f>
        <v>后台卖家充值钱包</v>
      </c>
      <c r="D2807" s="1" t="str">
        <f>IFERROR(__xludf.DUMMYFUNCTION("CONCATENATE(GOOGLETRANSLATE(B2807, ""en"", ""ko""))"),"백엔드 판매자 충전 지갑")</f>
        <v>백엔드 판매자 충전 지갑</v>
      </c>
      <c r="E2807" s="2" t="str">
        <f>IFERROR(__xludf.DUMMYFUNCTION("CONCATENATE(GOOGLETRANSLATE(B2807, ""en"", ""ja""))"),"バックエンドセラーのリチャージウォレット")</f>
        <v>バックエンドセラーのリチャージウォレット</v>
      </c>
    </row>
    <row r="2808" ht="15.75" customHeight="1">
      <c r="A2808" s="1" t="s">
        <v>5353</v>
      </c>
      <c r="B2808" s="1" t="s">
        <v>5354</v>
      </c>
      <c r="C2808" s="1" t="str">
        <f>IFERROR(__xludf.DUMMYFUNCTION("CONCATENATE(GOOGLETRANSLATE(B2808, ""en"", ""zh-cn""))"),"后台免费现金")</f>
        <v>后台免费现金</v>
      </c>
      <c r="D2808" s="1" t="str">
        <f>IFERROR(__xludf.DUMMYFUNCTION("CONCATENATE(GOOGLETRANSLATE(B2808, ""en"", ""ko""))"),"백그라운드에서 무료 현금")</f>
        <v>백그라운드에서 무료 현금</v>
      </c>
      <c r="E2808" s="2" t="str">
        <f>IFERROR(__xludf.DUMMYFUNCTION("CONCATENATE(GOOGLETRANSLATE(B2808, ""en"", ""ja""))"),"バックグラウンドでの無料現金")</f>
        <v>バックグラウンドでの無料現金</v>
      </c>
    </row>
    <row r="2809" ht="15.75" customHeight="1">
      <c r="A2809" s="1" t="s">
        <v>5355</v>
      </c>
      <c r="B2809" s="1" t="s">
        <v>5356</v>
      </c>
      <c r="C2809" s="1" t="str">
        <f>IFERROR(__xludf.DUMMYFUNCTION("CONCATENATE(GOOGLETRANSLATE(B2809, ""en"", ""zh-cn""))"),"线下支付充值")</f>
        <v>线下支付充值</v>
      </c>
      <c r="D2809" s="1" t="str">
        <f>IFERROR(__xludf.DUMMYFUNCTION("CONCATENATE(GOOGLETRANSLATE(B2809, ""en"", ""ko""))"),"오프라인 결제 충전")</f>
        <v>오프라인 결제 충전</v>
      </c>
      <c r="E2809" s="2" t="str">
        <f>IFERROR(__xludf.DUMMYFUNCTION("CONCATENATE(GOOGLETRANSLATE(B2809, ""en"", ""ja""))"),"オフライン決済リチャージ")</f>
        <v>オフライン決済リチャージ</v>
      </c>
    </row>
    <row r="2810" ht="15.75" customHeight="1">
      <c r="A2810" s="1" t="s">
        <v>5357</v>
      </c>
      <c r="B2810" s="1" t="s">
        <v>5358</v>
      </c>
      <c r="C2810" s="1" t="str">
        <f>IFERROR(__xludf.DUMMYFUNCTION("CONCATENATE(GOOGLETRANSLATE(B2810, ""en"", ""zh-cn""))"),"加密货币支付充值")</f>
        <v>加密货币支付充值</v>
      </c>
      <c r="D2810" s="1" t="str">
        <f>IFERROR(__xludf.DUMMYFUNCTION("CONCATENATE(GOOGLETRANSLATE(B2810, ""en"", ""ko""))"),"암호화폐 결제 충전")</f>
        <v>암호화폐 결제 충전</v>
      </c>
      <c r="E2810" s="2" t="str">
        <f>IFERROR(__xludf.DUMMYFUNCTION("CONCATENATE(GOOGLETRANSLATE(B2810, ""en"", ""ja""))"),"仮想通貨のチャージチャージ")</f>
        <v>仮想通貨のチャージチャージ</v>
      </c>
    </row>
    <row r="2811" ht="15.75" customHeight="1">
      <c r="A2811" s="1" t="s">
        <v>5359</v>
      </c>
      <c r="B2811" s="1" t="s">
        <v>5360</v>
      </c>
      <c r="C2811" s="1" t="str">
        <f>IFERROR(__xludf.DUMMYFUNCTION("CONCATENATE(GOOGLETRANSLATE(B2811, ""en"", ""zh-cn""))"),"卖家提取现金")</f>
        <v>卖家提取现金</v>
      </c>
      <c r="D2811" s="1" t="str">
        <f>IFERROR(__xludf.DUMMYFUNCTION("CONCATENATE(GOOGLETRANSLATE(B2811, ""en"", ""ko""))"),"판매자가 현금을 인출함")</f>
        <v>판매자가 현금을 인출함</v>
      </c>
      <c r="E2811" s="2" t="str">
        <f>IFERROR(__xludf.DUMMYFUNCTION("CONCATENATE(GOOGLETRANSLATE(B2811, ""en"", ""ja""))"),"売主が現金を引き出す")</f>
        <v>売主が現金を引き出す</v>
      </c>
    </row>
    <row r="2812" ht="15.75" customHeight="1">
      <c r="A2812" s="1" t="s">
        <v>5361</v>
      </c>
      <c r="B2812" s="1" t="s">
        <v>5362</v>
      </c>
      <c r="C2812" s="1" t="str">
        <f>IFERROR(__xludf.DUMMYFUNCTION("CONCATENATE(GOOGLETRANSLATE(B2812, ""en"", ""zh-cn""))"),"收银员下订单")</f>
        <v>收银员下订单</v>
      </c>
      <c r="D2812" s="1" t="str">
        <f>IFERROR(__xludf.DUMMYFUNCTION("CONCATENATE(GOOGLETRANSLATE(B2812, ""en"", ""ko""))"),"계산원이 주문을 합니다")</f>
        <v>계산원이 주문을 합니다</v>
      </c>
      <c r="E2812" s="2" t="str">
        <f>IFERROR(__xludf.DUMMYFUNCTION("CONCATENATE(GOOGLETRANSLATE(B2812, ""en"", ""ja""))"),"レジ係が注文を出します")</f>
        <v>レジ係が注文を出します</v>
      </c>
    </row>
    <row r="2813" ht="15.75" customHeight="1">
      <c r="A2813" s="1" t="s">
        <v>5363</v>
      </c>
      <c r="B2813" s="1" t="s">
        <v>5364</v>
      </c>
      <c r="C2813" s="1" t="str">
        <f>IFERROR(__xludf.DUMMYFUNCTION("CONCATENATE(GOOGLETRANSLATE(B2813, ""en"", ""zh-cn""))"),"收银台预定订单")</f>
        <v>收银台预定订单</v>
      </c>
      <c r="D2813" s="1" t="str">
        <f>IFERROR(__xludf.DUMMYFUNCTION("CONCATENATE(GOOGLETRANSLATE(B2813, ""en"", ""ko""))"),"계산원에서 예약된 주문")</f>
        <v>계산원에서 예약된 주문</v>
      </c>
      <c r="E2813" s="2" t="str">
        <f>IFERROR(__xludf.DUMMYFUNCTION("CONCATENATE(GOOGLETRANSLATE(B2813, ""en"", ""ja""))"),"レジでの予約注文")</f>
        <v>レジでの予約注文</v>
      </c>
    </row>
    <row r="2814" ht="15.75" customHeight="1">
      <c r="A2814" s="1" t="s">
        <v>5365</v>
      </c>
      <c r="B2814" s="1" t="s">
        <v>5366</v>
      </c>
      <c r="C2814" s="1" t="str">
        <f>IFERROR(__xludf.DUMMYFUNCTION("CONCATENATE(GOOGLETRANSLATE(B2814, ""en"", ""zh-cn""))"),"卖家收取货款")</f>
        <v>卖家收取货款</v>
      </c>
      <c r="D2814" s="1" t="str">
        <f>IFERROR(__xludf.DUMMYFUNCTION("CONCATENATE(GOOGLETRANSLATE(B2814, ""en"", ""ko""))"),"판매자가 대금 수령")</f>
        <v>판매자가 대금 수령</v>
      </c>
      <c r="E2814" s="2" t="str">
        <f>IFERROR(__xludf.DUMMYFUNCTION("CONCATENATE(GOOGLETRANSLATE(B2814, ""en"", ""ja""))"),"売主が支払いを受け取る")</f>
        <v>売主が支払いを受け取る</v>
      </c>
    </row>
    <row r="2815" ht="15.75" customHeight="1">
      <c r="A2815" s="1" t="s">
        <v>5367</v>
      </c>
      <c r="B2815" s="1" t="s">
        <v>5368</v>
      </c>
      <c r="C2815" s="1" t="str">
        <f>IFERROR(__xludf.DUMMYFUNCTION("CONCATENATE(GOOGLETRANSLATE(B2815, ""en"", ""zh-cn""))"),"取消订单")</f>
        <v>取消订单</v>
      </c>
      <c r="D2815" s="1" t="str">
        <f>IFERROR(__xludf.DUMMYFUNCTION("CONCATENATE(GOOGLETRANSLATE(B2815, ""en"", ""ko""))"),"주문 취소")</f>
        <v>주문 취소</v>
      </c>
      <c r="E2815" s="2" t="str">
        <f>IFERROR(__xludf.DUMMYFUNCTION("CONCATENATE(GOOGLETRANSLATE(B2815, ""en"", ""ja""))"),"注文をキャンセルする")</f>
        <v>注文をキャンセルする</v>
      </c>
    </row>
    <row r="2816" ht="15.75" customHeight="1">
      <c r="A2816" s="1" t="s">
        <v>5369</v>
      </c>
      <c r="B2816" s="1" t="s">
        <v>5370</v>
      </c>
      <c r="C2816" s="1" t="str">
        <f>IFERROR(__xludf.DUMMYFUNCTION("CONCATENATE(GOOGLETRANSLATE(B2816, ""en"", ""zh-cn""))"),"货品解冻资金")</f>
        <v>货品解冻资金</v>
      </c>
      <c r="D2816" s="1" t="str">
        <f>IFERROR(__xludf.DUMMYFUNCTION("CONCATENATE(GOOGLETRANSLATE(B2816, ""en"", ""ko""))"),"물품 출고 동결자금")</f>
        <v>물품 출고 동결자금</v>
      </c>
      <c r="E2816" s="2" t="str">
        <f>IFERROR(__xludf.DUMMYFUNCTION("CONCATENATE(GOOGLETRANSLATE(B2816, ""en"", ""ja""))"),"商品は凍結された資金を解放します")</f>
        <v>商品は凍結された資金を解放します</v>
      </c>
    </row>
    <row r="2817" ht="15.75" customHeight="1">
      <c r="A2817" s="1" t="s">
        <v>5371</v>
      </c>
      <c r="B2817" s="1" t="s">
        <v>5372</v>
      </c>
      <c r="C2817" s="1" t="str">
        <f>IFERROR(__xludf.DUMMYFUNCTION("CONCATENATE(GOOGLETRANSLATE(B2817, ""en"", ""zh-cn""))"),"产品销售者的分配奖励")</f>
        <v>产品销售者的分配奖励</v>
      </c>
      <c r="D2817" s="1" t="str">
        <f>IFERROR(__xludf.DUMMYFUNCTION("CONCATENATE(GOOGLETRANSLATE(B2817, ""en"", ""ko""))"),"상품 판매자에 대한 유통 보상")</f>
        <v>상품 판매자에 대한 유통 보상</v>
      </c>
      <c r="E2817" s="2" t="str">
        <f>IFERROR(__xludf.DUMMYFUNCTION("CONCATENATE(GOOGLETRANSLATE(B2817, ""en"", ""ja""))"),"商品販売者への配布報酬")</f>
        <v>商品販売者への配布報酬</v>
      </c>
    </row>
    <row r="2818" ht="15.75" customHeight="1">
      <c r="A2818" s="1" t="s">
        <v>5373</v>
      </c>
      <c r="B2818" s="1" t="s">
        <v>5374</v>
      </c>
      <c r="C2818" s="1" t="str">
        <f>IFERROR(__xludf.DUMMYFUNCTION("CONCATENATE(GOOGLETRANSLATE(B2818, ""en"", ""zh-cn""))"),"产品用户分配奖励")</f>
        <v>产品用户分配奖励</v>
      </c>
      <c r="D2818" s="1" t="str">
        <f>IFERROR(__xludf.DUMMYFUNCTION("CONCATENATE(GOOGLETRANSLATE(B2818, ""en"", ""ko""))"),"제품 사용자 분포 보상")</f>
        <v>제품 사용자 분포 보상</v>
      </c>
      <c r="E2818" s="2" t="str">
        <f>IFERROR(__xludf.DUMMYFUNCTION("CONCATENATE(GOOGLETRANSLATE(B2818, ""en"", ""ja""))"),"製品ユーザー配布特典")</f>
        <v>製品ユーザー配布特典</v>
      </c>
    </row>
    <row r="2819" ht="15.75" customHeight="1">
      <c r="A2819" s="1" t="s">
        <v>5375</v>
      </c>
      <c r="B2819" s="1" t="s">
        <v>5376</v>
      </c>
      <c r="C2819" s="1" t="str">
        <f>IFERROR(__xludf.DUMMYFUNCTION("CONCATENATE(GOOGLETRANSLATE(B2819, ""en"", ""zh-cn""))"),"钱包支付")</f>
        <v>钱包支付</v>
      </c>
      <c r="D2819" s="1" t="str">
        <f>IFERROR(__xludf.DUMMYFUNCTION("CONCATENATE(GOOGLETRANSLATE(B2819, ""en"", ""ko""))"),"지갑결제")</f>
        <v>지갑결제</v>
      </c>
      <c r="E2819" s="2" t="str">
        <f>IFERROR(__xludf.DUMMYFUNCTION("CONCATENATE(GOOGLETRANSLATE(B2819, ""en"", ""ja""))"),"ウォレット支払い")</f>
        <v>ウォレット支払い</v>
      </c>
    </row>
    <row r="2820" ht="15.75" customHeight="1">
      <c r="A2820" s="1" t="s">
        <v>5377</v>
      </c>
      <c r="B2820" s="1" t="s">
        <v>5378</v>
      </c>
      <c r="C2820" s="1" t="str">
        <f>IFERROR(__xludf.DUMMYFUNCTION("CONCATENATE(GOOGLETRANSLATE(B2820, ""en"", ""zh-cn""))"),"产品用户购买")</f>
        <v>产品用户购买</v>
      </c>
      <c r="D2820" s="1" t="str">
        <f>IFERROR(__xludf.DUMMYFUNCTION("CONCATENATE(GOOGLETRANSLATE(B2820, ""en"", ""ko""))"),"사용자가 구매하는 제품")</f>
        <v>사용자가 구매하는 제품</v>
      </c>
      <c r="E2820" s="2" t="str">
        <f>IFERROR(__xludf.DUMMYFUNCTION("CONCATENATE(GOOGLETRANSLATE(B2820, ""en"", ""ja""))"),"ユーザーが購入する製品")</f>
        <v>ユーザーが購入する製品</v>
      </c>
    </row>
    <row r="2821" ht="15.75" customHeight="1">
      <c r="A2821" s="1" t="s">
        <v>5379</v>
      </c>
      <c r="B2821" s="1" t="s">
        <v>5380</v>
      </c>
      <c r="C2821" s="1" t="str">
        <f>IFERROR(__xludf.DUMMYFUNCTION("CONCATENATE(GOOGLETRANSLATE(B2821, ""en"", ""zh-cn""))"),"店铺级别")</f>
        <v>店铺级别</v>
      </c>
      <c r="D2821" s="1" t="str">
        <f>IFERROR(__xludf.DUMMYFUNCTION("CONCATENATE(GOOGLETRANSLATE(B2821, ""en"", ""ko""))"),"매장 수준")</f>
        <v>매장 수준</v>
      </c>
      <c r="E2821" s="2" t="str">
        <f>IFERROR(__xludf.DUMMYFUNCTION("CONCATENATE(GOOGLETRANSLATE(B2821, ""en"", ""ja""))"),"店舗レベル")</f>
        <v>店舗レベル</v>
      </c>
    </row>
    <row r="2822" ht="15.75" customHeight="1">
      <c r="A2822" s="1" t="s">
        <v>5381</v>
      </c>
      <c r="B2822" s="1" t="s">
        <v>5382</v>
      </c>
      <c r="C2822" s="1" t="str">
        <f>IFERROR(__xludf.DUMMYFUNCTION("CONCATENATE(GOOGLETRANSLATE(B2822, ""en"", ""zh-cn""))"),"专卖店快递")</f>
        <v>专卖店快递</v>
      </c>
      <c r="D2822" s="1" t="str">
        <f>IFERROR(__xludf.DUMMYFUNCTION("CONCATENATE(GOOGLETRANSLATE(B2822, ""en"", ""ko""))"),"스토어 익스프레스")</f>
        <v>스토어 익스프레스</v>
      </c>
      <c r="E2822" s="2" t="str">
        <f>IFERROR(__xludf.DUMMYFUNCTION("CONCATENATE(GOOGLETRANSLATE(B2822, ""en"", ""ja""))"),"ストアエクスプレス")</f>
        <v>ストアエクスプレス</v>
      </c>
    </row>
    <row r="2823" ht="15.75" customHeight="1">
      <c r="A2823" s="1" t="s">
        <v>5383</v>
      </c>
      <c r="B2823" s="1" t="s">
        <v>5384</v>
      </c>
      <c r="C2823" s="1" t="str">
        <f>IFERROR(__xludf.DUMMYFUNCTION("CONCATENATE(GOOGLETRANSLATE(B2823, ""en"", ""zh-cn""))"),"撤回冻结资金的解除")</f>
        <v>撤回冻结资金的解除</v>
      </c>
      <c r="D2823" s="1" t="str">
        <f>IFERROR(__xludf.DUMMYFUNCTION("CONCATENATE(GOOGLETRANSLATE(B2823, ""en"", ""ko""))"),"동결자금 해제 철회")</f>
        <v>동결자금 해제 철회</v>
      </c>
      <c r="E2823" s="2" t="str">
        <f>IFERROR(__xludf.DUMMYFUNCTION("CONCATENATE(GOOGLETRANSLATE(B2823, ""en"", ""ja""))"),"凍結資金の解除の撤回")</f>
        <v>凍結資金の解除の撤回</v>
      </c>
    </row>
    <row r="2824" ht="15.75" customHeight="1">
      <c r="A2824" s="1" t="s">
        <v>5385</v>
      </c>
      <c r="B2824" s="1" t="s">
        <v>5386</v>
      </c>
      <c r="C2824" s="1" t="str">
        <f>IFERROR(__xludf.DUMMYFUNCTION("CONCATENATE(GOOGLETRANSLATE(B2824, ""en"", ""zh-cn""))"),"撤回商户分配，释放冻结资金")</f>
        <v>撤回商户分配，释放冻结资金</v>
      </c>
      <c r="D2824" s="1" t="str">
        <f>IFERROR(__xludf.DUMMYFUNCTION("CONCATENATE(GOOGLETRANSLATE(B2824, ""en"", ""ko""))"),"동결자금 풀기 위해 가맹점 유통철회")</f>
        <v>동결자금 풀기 위해 가맹점 유통철회</v>
      </c>
      <c r="E2824" s="2" t="str">
        <f>IFERROR(__xludf.DUMMYFUNCTION("CONCATENATE(GOOGLETRANSLATE(B2824, ""en"", ""ja""))"),"凍結された資金を解放するために加盟店の分配を撤回する")</f>
        <v>凍結された資金を解放するために加盟店の分配を撤回する</v>
      </c>
    </row>
    <row r="2825" ht="15.75" customHeight="1">
      <c r="A2825" s="1" t="s">
        <v>5387</v>
      </c>
      <c r="B2825" s="1" t="s">
        <v>5388</v>
      </c>
      <c r="C2825" s="1" t="str">
        <f>IFERROR(__xludf.DUMMYFUNCTION("CONCATENATE(GOOGLETRANSLATE(B2825, ""en"", ""zh-cn""))"),"提取用户分配以释放冻结资金")</f>
        <v>提取用户分配以释放冻结资金</v>
      </c>
      <c r="D2825" s="1" t="str">
        <f>IFERROR(__xludf.DUMMYFUNCTION("CONCATENATE(GOOGLETRANSLATE(B2825, ""en"", ""ko""))"),"동결된 자금을 풀기 위해 사용자 배포를 철회합니다")</f>
        <v>동결된 자금을 풀기 위해 사용자 배포를 철회합니다</v>
      </c>
      <c r="E2825" s="2" t="str">
        <f>IFERROR(__xludf.DUMMYFUNCTION("CONCATENATE(GOOGLETRANSLATE(B2825, ""en"", ""ja""))"),"凍結された資金を解放するためにユーザーの分配を撤回する")</f>
        <v>凍結された資金を解放するためにユーザーの分配を撤回する</v>
      </c>
    </row>
    <row r="2826" ht="15.75" customHeight="1">
      <c r="A2826" s="1" t="s">
        <v>5389</v>
      </c>
      <c r="B2826" s="1" t="s">
        <v>5390</v>
      </c>
      <c r="C2826" s="1" t="str">
        <f>IFERROR(__xludf.DUMMYFUNCTION("CONCATENATE(GOOGLETRANSLATE(B2826, ""en"", ""zh-cn""))"),"用户提现")</f>
        <v>用户提现</v>
      </c>
      <c r="D2826" s="1" t="str">
        <f>IFERROR(__xludf.DUMMYFUNCTION("CONCATENATE(GOOGLETRANSLATE(B2826, ""en"", ""ko""))"),"사용자 탈퇴")</f>
        <v>사용자 탈퇴</v>
      </c>
      <c r="E2826" s="2" t="str">
        <f>IFERROR(__xludf.DUMMYFUNCTION("CONCATENATE(GOOGLETRANSLATE(B2826, ""en"", ""ja""))"),"ユーザーの退会")</f>
        <v>ユーザーの退会</v>
      </c>
    </row>
    <row r="2827" ht="15.75" customHeight="1">
      <c r="A2827" s="1" t="s">
        <v>5391</v>
      </c>
      <c r="B2827" s="1" t="s">
        <v>5392</v>
      </c>
      <c r="C2827" s="1" t="str">
        <f>IFERROR(__xludf.DUMMYFUNCTION("CONCATENATE(GOOGLETRANSLATE(B2827, ""en"", ""zh-cn""))"),"在线钱包充值")</f>
        <v>在线钱包充值</v>
      </c>
      <c r="D2827" s="1" t="str">
        <f>IFERROR(__xludf.DUMMYFUNCTION("CONCATENATE(GOOGLETRANSLATE(B2827, ""en"", ""ko""))"),"온라인 지갑 충전")</f>
        <v>온라인 지갑 충전</v>
      </c>
      <c r="E2827" s="2" t="str">
        <f>IFERROR(__xludf.DUMMYFUNCTION("CONCATENATE(GOOGLETRANSLATE(B2827, ""en"", ""ja""))"),"オンラインウォレットチャージ")</f>
        <v>オンラインウォレットチャージ</v>
      </c>
    </row>
    <row r="2828" ht="15.75" customHeight="1">
      <c r="A2828" s="1" t="s">
        <v>5393</v>
      </c>
      <c r="B2828" s="1" t="s">
        <v>5394</v>
      </c>
      <c r="C2828" s="1" t="str">
        <f>IFERROR(__xludf.DUMMYFUNCTION("CONCATENATE(GOOGLETRANSLATE(B2828, ""en"", ""zh-cn""))"),"网上存款充值")</f>
        <v>网上存款充值</v>
      </c>
      <c r="D2828" s="1" t="str">
        <f>IFERROR(__xludf.DUMMYFUNCTION("CONCATENATE(GOOGLETRANSLATE(B2828, ""en"", ""ko""))"),"온라인 예금 충전")</f>
        <v>온라인 예금 충전</v>
      </c>
      <c r="E2828" s="2" t="str">
        <f>IFERROR(__xludf.DUMMYFUNCTION("CONCATENATE(GOOGLETRANSLATE(B2828, ""en"", ""ja""))"),"オンラインデポジットリチャージ")</f>
        <v>オンラインデポジットリチャージ</v>
      </c>
    </row>
    <row r="2829" ht="15.75" customHeight="1">
      <c r="A2829" s="1" t="s">
        <v>5395</v>
      </c>
      <c r="B2829" s="1" t="s">
        <v>5396</v>
      </c>
      <c r="C2829" s="1" t="str">
        <f>IFERROR(__xludf.DUMMYFUNCTION("CONCATENATE(GOOGLETRANSLATE(B2829, ""en"", ""zh-cn""))"),"后台用户赠送金额")</f>
        <v>后台用户赠送金额</v>
      </c>
      <c r="D2829" s="1" t="str">
        <f>IFERROR(__xludf.DUMMYFUNCTION("CONCATENATE(GOOGLETRANSLATE(B2829, ""en"", ""ko""))"),"백그라운드 사용자 선물 금액")</f>
        <v>백그라운드 사용자 선물 금액</v>
      </c>
      <c r="E2829" s="2" t="str">
        <f>IFERROR(__xludf.DUMMYFUNCTION("CONCATENATE(GOOGLETRANSLATE(B2829, ""en"", ""ja""))"),"バックグラウンドユーザーギフト金額")</f>
        <v>バックグラウンドユーザーギフト金額</v>
      </c>
    </row>
    <row r="2830" ht="15.75" customHeight="1">
      <c r="A2830" s="1" t="s">
        <v>5397</v>
      </c>
      <c r="B2830" s="1" t="s">
        <v>5398</v>
      </c>
      <c r="C2830" s="1" t="str">
        <f>IFERROR(__xludf.DUMMYFUNCTION("CONCATENATE(GOOGLETRANSLATE(B2830, ""en"", ""zh-cn""))"),"后端卖家成本钱包")</f>
        <v>后端卖家成本钱包</v>
      </c>
      <c r="D2830" s="1" t="str">
        <f>IFERROR(__xludf.DUMMYFUNCTION("CONCATENATE(GOOGLETRANSLATE(B2830, ""en"", ""ko""))"),"백엔드 판매자 비용 지갑")</f>
        <v>백엔드 판매자 비용 지갑</v>
      </c>
      <c r="E2830" s="2" t="str">
        <f>IFERROR(__xludf.DUMMYFUNCTION("CONCATENATE(GOOGLETRANSLATE(B2830, ""en"", ""ja""))"),"バックエンド販売者コストウォレット")</f>
        <v>バックエンド販売者コストウォレット</v>
      </c>
    </row>
    <row r="2831" ht="15.75" customHeight="1">
      <c r="A2831" s="1" t="s">
        <v>5399</v>
      </c>
      <c r="B2831" s="1" t="s">
        <v>5400</v>
      </c>
      <c r="C2831" s="1" t="str">
        <f>IFERROR(__xludf.DUMMYFUNCTION("CONCATENATE(GOOGLETRANSLATE(B2831, ""en"", ""zh-cn""))"),"输入卖家电话并按回车键")</f>
        <v>输入卖家电话并按回车键</v>
      </c>
      <c r="D2831" s="1" t="str">
        <f>IFERROR(__xludf.DUMMYFUNCTION("CONCATENATE(GOOGLETRANSLATE(B2831, ""en"", ""ko""))"),"판매자 전화번호를 입력하고 엔터를 누르세요")</f>
        <v>판매자 전화번호를 입력하고 엔터를 누르세요</v>
      </c>
      <c r="E2831" s="2" t="str">
        <f>IFERROR(__xludf.DUMMYFUNCTION("CONCATENATE(GOOGLETRANSLATE(B2831, ""en"", ""ja""))"),"販売者の電話番号を入力して Enter キーを押します")</f>
        <v>販売者の電話番号を入力して Enter キーを押します</v>
      </c>
    </row>
    <row r="2832" ht="15.75" customHeight="1">
      <c r="A2832" s="1" t="s">
        <v>5401</v>
      </c>
      <c r="B2832" s="1" t="s">
        <v>5402</v>
      </c>
      <c r="C2832" s="1" t="str">
        <f>IFERROR(__xludf.DUMMYFUNCTION("CONCATENATE(GOOGLETRANSLATE(B2832, ""en"", ""zh-cn""))"),"需要回复")</f>
        <v>需要回复</v>
      </c>
      <c r="D2832" s="1" t="str">
        <f>IFERROR(__xludf.DUMMYFUNCTION("CONCATENATE(GOOGLETRANSLATE(B2832, ""en"", ""ko""))"),"답장은 필수입니다")</f>
        <v>답장은 필수입니다</v>
      </c>
      <c r="E2832" s="2" t="str">
        <f>IFERROR(__xludf.DUMMYFUNCTION("CONCATENATE(GOOGLETRANSLATE(B2832, ""en"", ""ja""))"),"返信は必須です")</f>
        <v>返信は必須です</v>
      </c>
    </row>
    <row r="2833" ht="15.75" customHeight="1">
      <c r="A2833" s="1" t="s">
        <v>5403</v>
      </c>
      <c r="B2833" s="1" t="s">
        <v>5404</v>
      </c>
      <c r="C2833" s="1" t="str">
        <f>IFERROR(__xludf.DUMMYFUNCTION("CONCATENATE(GOOGLETRANSLATE(B2833, ""en"", ""zh-cn""))"),"完整地址")</f>
        <v>完整地址</v>
      </c>
      <c r="D2833" s="1" t="str">
        <f>IFERROR(__xludf.DUMMYFUNCTION("CONCATENATE(GOOGLETRANSLATE(B2833, ""en"", ""ko""))"),"전체 주소")</f>
        <v>전체 주소</v>
      </c>
      <c r="E2833" s="2" t="str">
        <f>IFERROR(__xludf.DUMMYFUNCTION("CONCATENATE(GOOGLETRANSLATE(B2833, ""en"", ""ja""))"),"完全な住所")</f>
        <v>完全な住所</v>
      </c>
    </row>
    <row r="2834" ht="15.75" customHeight="1">
      <c r="A2834" s="1" t="s">
        <v>5405</v>
      </c>
      <c r="B2834" s="1" t="s">
        <v>5406</v>
      </c>
      <c r="C2834" s="1" t="str">
        <f>IFERROR(__xludf.DUMMYFUNCTION("CONCATENATE(GOOGLETRANSLATE(B2834, ""en"", ""zh-cn""))"),"成为卖家")</f>
        <v>成为卖家</v>
      </c>
      <c r="D2834" s="1" t="str">
        <f>IFERROR(__xludf.DUMMYFUNCTION("CONCATENATE(GOOGLETRANSLATE(B2834, ""en"", ""ko""))"),"판매자 되기")</f>
        <v>판매자 되기</v>
      </c>
      <c r="E2834" s="2" t="str">
        <f>IFERROR(__xludf.DUMMYFUNCTION("CONCATENATE(GOOGLETRANSLATE(B2834, ""en"", ""ja""))"),"販売者になる")</f>
        <v>販売者になる</v>
      </c>
    </row>
    <row r="2835" ht="15.75" customHeight="1">
      <c r="A2835" s="1" t="s">
        <v>5407</v>
      </c>
      <c r="B2835" s="1" t="s">
        <v>5408</v>
      </c>
      <c r="C2835" s="1" t="str">
        <f>IFERROR(__xludf.DUMMYFUNCTION("CONCATENATE(GOOGLETRANSLATE(B2835, ""en"", ""zh-cn""))"),"营业执照")</f>
        <v>营业执照</v>
      </c>
      <c r="D2835" s="1" t="str">
        <f>IFERROR(__xludf.DUMMYFUNCTION("CONCATENATE(GOOGLETRANSLATE(B2835, ""en"", ""ko""))"),"사업 허가증")</f>
        <v>사업 허가증</v>
      </c>
      <c r="E2835" s="2" t="str">
        <f>IFERROR(__xludf.DUMMYFUNCTION("CONCATENATE(GOOGLETRANSLATE(B2835, ""en"", ""ja""))"),"営業許可")</f>
        <v>営業許可</v>
      </c>
    </row>
    <row r="2836" ht="15.75" customHeight="1">
      <c r="A2836" s="1" t="s">
        <v>5409</v>
      </c>
      <c r="B2836" s="1" t="s">
        <v>5410</v>
      </c>
      <c r="C2836" s="1" t="str">
        <f>IFERROR(__xludf.DUMMYFUNCTION("CONCATENATE(GOOGLETRANSLATE(B2836, ""en"", ""zh-cn""))"),"店铺名称")</f>
        <v>店铺名称</v>
      </c>
      <c r="D2836" s="1" t="str">
        <f>IFERROR(__xludf.DUMMYFUNCTION("CONCATENATE(GOOGLETRANSLATE(B2836, ""en"", ""ko""))"),"매장명")</f>
        <v>매장명</v>
      </c>
      <c r="E2836" s="2" t="str">
        <f>IFERROR(__xludf.DUMMYFUNCTION("CONCATENATE(GOOGLETRANSLATE(B2836, ""en"", ""ja""))"),"店名")</f>
        <v>店名</v>
      </c>
    </row>
    <row r="2837" ht="15.75" customHeight="1">
      <c r="A2837" s="1" t="s">
        <v>5411</v>
      </c>
      <c r="B2837" s="1" t="s">
        <v>5412</v>
      </c>
      <c r="C2837" s="1" t="str">
        <f>IFERROR(__xludf.DUMMYFUNCTION("CONCATENATE(GOOGLETRANSLATE(B2837, ""en"", ""zh-cn""))"),"电话号码")</f>
        <v>电话号码</v>
      </c>
      <c r="D2837" s="1" t="str">
        <f>IFERROR(__xludf.DUMMYFUNCTION("CONCATENATE(GOOGLETRANSLATE(B2837, ""en"", ""ko""))"),"전화 번호")</f>
        <v>전화 번호</v>
      </c>
      <c r="E2837" s="2" t="str">
        <f>IFERROR(__xludf.DUMMYFUNCTION("CONCATENATE(GOOGLETRANSLATE(B2837, ""en"", ""ja""))"),"電話番号")</f>
        <v>電話番号</v>
      </c>
    </row>
    <row r="2838" ht="15.75" customHeight="1">
      <c r="A2838" s="1" t="s">
        <v>5413</v>
      </c>
      <c r="B2838" s="1" t="s">
        <v>5414</v>
      </c>
      <c r="C2838" s="1" t="str">
        <f>IFERROR(__xludf.DUMMYFUNCTION("CONCATENATE(GOOGLETRANSLATE(B2838, ""en"", ""zh-cn""))"),"请填写描述以回复。")</f>
        <v>请填写描述以回复。</v>
      </c>
      <c r="D2838" s="1" t="str">
        <f>IFERROR(__xludf.DUMMYFUNCTION("CONCATENATE(GOOGLETRANSLATE(B2838, ""en"", ""ko""))"),"회신하려면 설명을 작성해 주세요.")</f>
        <v>회신하려면 설명을 작성해 주세요.</v>
      </c>
      <c r="E2838" s="2" t="str">
        <f>IFERROR(__xludf.DUMMYFUNCTION("CONCATENATE(GOOGLETRANSLATE(B2838, ""en"", ""ja""))"),"説明を入力して返信してください。")</f>
        <v>説明を入力して返信してください。</v>
      </c>
    </row>
    <row r="2839" ht="15.75" customHeight="1">
      <c r="A2839" s="1" t="s">
        <v>5415</v>
      </c>
      <c r="B2839" s="1" t="s">
        <v>5416</v>
      </c>
      <c r="C2839" s="1" t="str">
        <f>IFERROR(__xludf.DUMMYFUNCTION("CONCATENATE(GOOGLETRANSLATE(B2839, ""en"", ""zh-cn""))"),"转变")</f>
        <v>转变</v>
      </c>
      <c r="D2839" s="1" t="str">
        <f>IFERROR(__xludf.DUMMYFUNCTION("CONCATENATE(GOOGLETRANSLATE(B2839, ""en"", ""ko""))"),"스위치")</f>
        <v>스위치</v>
      </c>
      <c r="E2839" s="2" t="str">
        <f>IFERROR(__xludf.DUMMYFUNCTION("CONCATENATE(GOOGLETRANSLATE(B2839, ""en"", ""ja""))"),"スイッチ")</f>
        <v>スイッチ</v>
      </c>
    </row>
    <row r="2840" ht="15.75" customHeight="1">
      <c r="A2840" s="1" t="s">
        <v>5417</v>
      </c>
      <c r="B2840" s="1" t="s">
        <v>5418</v>
      </c>
      <c r="C2840" s="1" t="str">
        <f>IFERROR(__xludf.DUMMYFUNCTION("CONCATENATE(GOOGLETRANSLATE(B2840, ""en"", ""zh-cn""))"),"编辑地址")</f>
        <v>编辑地址</v>
      </c>
      <c r="D2840" s="1" t="str">
        <f>IFERROR(__xludf.DUMMYFUNCTION("CONCATENATE(GOOGLETRANSLATE(B2840, ""en"", ""ko""))"),"주소 편집")</f>
        <v>주소 편집</v>
      </c>
      <c r="E2840" s="2" t="str">
        <f>IFERROR(__xludf.DUMMYFUNCTION("CONCATENATE(GOOGLETRANSLATE(B2840, ""en"", ""ja""))"),"住所の編集")</f>
        <v>住所の編集</v>
      </c>
    </row>
    <row r="2841" ht="15.75" customHeight="1">
      <c r="A2841" s="1" t="s">
        <v>5419</v>
      </c>
      <c r="B2841" s="1" t="s">
        <v>5420</v>
      </c>
      <c r="C2841" s="1" t="str">
        <f>IFERROR(__xludf.DUMMYFUNCTION("CONCATENATE(GOOGLETRANSLATE(B2841, ""en"", ""zh-cn""))"),"请选择订单创建时间")</f>
        <v>请选择订单创建时间</v>
      </c>
      <c r="D2841" s="1" t="str">
        <f>IFERROR(__xludf.DUMMYFUNCTION("CONCATENATE(GOOGLETRANSLATE(B2841, ""en"", ""ko""))"),"주문 생성 시간을 선택하세요.")</f>
        <v>주문 생성 시간을 선택하세요.</v>
      </c>
      <c r="E2841" s="2" t="str">
        <f>IFERROR(__xludf.DUMMYFUNCTION("CONCATENATE(GOOGLETRANSLATE(B2841, ""en"", ""ja""))"),"注文作成時間を選択してください")</f>
        <v>注文作成時間を選択してください</v>
      </c>
    </row>
    <row r="2842" ht="15.75" customHeight="1">
      <c r="A2842" s="1" t="s">
        <v>5421</v>
      </c>
      <c r="B2842" s="1" t="s">
        <v>5422</v>
      </c>
      <c r="C2842" s="1" t="str">
        <f>IFERROR(__xludf.DUMMYFUNCTION("CONCATENATE(GOOGLETRANSLATE(B2842, ""en"", ""zh-cn""))"),"您无权访问所请求的页面！")</f>
        <v>您无权访问所请求的页面！</v>
      </c>
      <c r="D2842" s="1" t="str">
        <f>IFERROR(__xludf.DUMMYFUNCTION("CONCATENATE(GOOGLETRANSLATE(B2842, ""en"", ""ko""))"),"요청하신 페이지에 접근하실 수 없습니다!")</f>
        <v>요청하신 페이지에 접근하실 수 없습니다!</v>
      </c>
      <c r="E2842" s="2" t="str">
        <f>IFERROR(__xludf.DUMMYFUNCTION("CONCATENATE(GOOGLETRANSLATE(B2842, ""en"", ""ja""))"),"要求されたページにアクセスできません。")</f>
        <v>要求されたページにアクセスできません。</v>
      </c>
    </row>
    <row r="2843" ht="15.75" customHeight="1">
      <c r="A2843" s="1" t="s">
        <v>5423</v>
      </c>
      <c r="B2843" s="1" t="s">
        <v>5424</v>
      </c>
      <c r="C2843" s="1" t="str">
        <f>IFERROR(__xludf.DUMMYFUNCTION("CONCATENATE(GOOGLETRANSLATE(B2843, ""en"", ""zh-cn""))"),"重复订单数量")</f>
        <v>重复订单数量</v>
      </c>
      <c r="D2843" s="1" t="str">
        <f>IFERROR(__xludf.DUMMYFUNCTION("CONCATENATE(GOOGLETRANSLATE(B2843, ""en"", ""ko""))"),"중복 주문 수")</f>
        <v>중복 주문 수</v>
      </c>
      <c r="E2843" s="2" t="str">
        <f>IFERROR(__xludf.DUMMYFUNCTION("CONCATENATE(GOOGLETRANSLATE(B2843, ""en"", ""ja""))"),"重複注文の数")</f>
        <v>重複注文の数</v>
      </c>
    </row>
    <row r="2844" ht="15.75" customHeight="1">
      <c r="A2844" s="1" t="s">
        <v>5425</v>
      </c>
      <c r="B2844" s="1" t="s">
        <v>5426</v>
      </c>
      <c r="C2844" s="1" t="str">
        <f>IFERROR(__xludf.DUMMYFUNCTION("CONCATENATE(GOOGLETRANSLATE(B2844, ""en"", ""zh-cn""))"),"请选择卖家")</f>
        <v>请选择卖家</v>
      </c>
      <c r="D2844" s="1" t="str">
        <f>IFERROR(__xludf.DUMMYFUNCTION("CONCATENATE(GOOGLETRANSLATE(B2844, ""en"", ""ko""))"),"판매자를 선택해주세요")</f>
        <v>판매자를 선택해주세요</v>
      </c>
      <c r="E2844" s="2" t="str">
        <f>IFERROR(__xludf.DUMMYFUNCTION("CONCATENATE(GOOGLETRANSLATE(B2844, ""en"", ""ja""))"),"販売者を選択してください")</f>
        <v>販売者を選択してください</v>
      </c>
    </row>
    <row r="2845" ht="15.75" customHeight="1">
      <c r="A2845" s="1" t="s">
        <v>5427</v>
      </c>
      <c r="B2845" s="1" t="s">
        <v>5428</v>
      </c>
      <c r="C2845" s="1" t="str">
        <f>IFERROR(__xludf.DUMMYFUNCTION("CONCATENATE(GOOGLETRANSLATE(B2845, ""en"", ""zh-cn""))"),"订单数量必须大于0")</f>
        <v>订单数量必须大于0</v>
      </c>
      <c r="D2845" s="1" t="str">
        <f>IFERROR(__xludf.DUMMYFUNCTION("CONCATENATE(GOOGLETRANSLATE(B2845, ""en"", ""ko""))"),"주문 수량은 0보다 커야 합니다.")</f>
        <v>주문 수량은 0보다 커야 합니다.</v>
      </c>
      <c r="E2845" s="2" t="str">
        <f>IFERROR(__xludf.DUMMYFUNCTION("CONCATENATE(GOOGLETRANSLATE(B2845, ""en"", ""ja""))"),"注文数量は 0 より大きくなければなりません")</f>
        <v>注文数量は 0 より大きくなければなりません</v>
      </c>
    </row>
    <row r="2846" ht="15.75" customHeight="1">
      <c r="A2846" s="1" t="s">
        <v>5429</v>
      </c>
      <c r="B2846" s="1" t="s">
        <v>5430</v>
      </c>
      <c r="C2846" s="1" t="str">
        <f>IFERROR(__xludf.DUMMYFUNCTION("CONCATENATE(GOOGLETRANSLATE(B2846, ""en"", ""zh-cn""))"),"价格必须大于 0")</f>
        <v>价格必须大于 0</v>
      </c>
      <c r="D2846" s="1" t="str">
        <f>IFERROR(__xludf.DUMMYFUNCTION("CONCATENATE(GOOGLETRANSLATE(B2846, ""en"", ""ko""))"),"가격은 0보다 커야 합니다.")</f>
        <v>가격은 0보다 커야 합니다.</v>
      </c>
      <c r="E2846" s="2" t="str">
        <f>IFERROR(__xludf.DUMMYFUNCTION("CONCATENATE(GOOGLETRANSLATE(B2846, ""en"", ""ja""))"),"価格は0より大きくなければなりません")</f>
        <v>価格は0より大きくなければなりません</v>
      </c>
    </row>
    <row r="2847" ht="15.75" customHeight="1">
      <c r="A2847" s="1" t="s">
        <v>5431</v>
      </c>
      <c r="B2847" s="1" t="s">
        <v>5432</v>
      </c>
      <c r="C2847" s="1" t="str">
        <f>IFERROR(__xludf.DUMMYFUNCTION("CONCATENATE(GOOGLETRANSLATE(B2847, ""en"", ""zh-cn""))"),"按国家过滤")</f>
        <v>按国家过滤</v>
      </c>
      <c r="D2847" s="1" t="str">
        <f>IFERROR(__xludf.DUMMYFUNCTION("CONCATENATE(GOOGLETRANSLATE(B2847, ""en"", ""ko""))"),"국가별로 필터링")</f>
        <v>국가별로 필터링</v>
      </c>
      <c r="E2847" s="2" t="str">
        <f>IFERROR(__xludf.DUMMYFUNCTION("CONCATENATE(GOOGLETRANSLATE(B2847, ""en"", ""ja""))"),"国でフィルターする")</f>
        <v>国でフィルターする</v>
      </c>
    </row>
    <row r="2848" ht="15.75" customHeight="1">
      <c r="A2848" s="1" t="s">
        <v>5433</v>
      </c>
      <c r="B2848" s="1" t="s">
        <v>5434</v>
      </c>
      <c r="C2848" s="1" t="str">
        <f>IFERROR(__xludf.DUMMYFUNCTION("CONCATENATE(GOOGLETRANSLATE(B2848, ""en"", ""zh-cn""))"),"未选择数据")</f>
        <v>未选择数据</v>
      </c>
      <c r="D2848" s="1" t="str">
        <f>IFERROR(__xludf.DUMMYFUNCTION("CONCATENATE(GOOGLETRANSLATE(B2848, ""en"", ""ko""))"),"선택한 데이터가 없습니다.")</f>
        <v>선택한 데이터가 없습니다.</v>
      </c>
      <c r="E2848" s="2" t="str">
        <f>IFERROR(__xludf.DUMMYFUNCTION("CONCATENATE(GOOGLETRANSLATE(B2848, ""en"", ""ja""))"),"データが選択されていません")</f>
        <v>データが選択されていません</v>
      </c>
    </row>
    <row r="2849" ht="15.75" customHeight="1">
      <c r="A2849" s="1" t="s">
        <v>5435</v>
      </c>
      <c r="B2849" s="1" t="s">
        <v>5436</v>
      </c>
      <c r="C2849" s="1" t="str">
        <f>IFERROR(__xludf.DUMMYFUNCTION("CONCATENATE(GOOGLETRANSLATE(B2849, ""en"", ""zh-cn""))"),"正在提交")</f>
        <v>正在提交</v>
      </c>
      <c r="D2849" s="1" t="str">
        <f>IFERROR(__xludf.DUMMYFUNCTION("CONCATENATE(GOOGLETRANSLATE(B2849, ""en"", ""ko""))"),"제출 중")</f>
        <v>제출 중</v>
      </c>
      <c r="E2849" s="2" t="str">
        <f>IFERROR(__xludf.DUMMYFUNCTION("CONCATENATE(GOOGLETRANSLATE(B2849, ""en"", ""ja""))"),"提出中")</f>
        <v>提出中</v>
      </c>
    </row>
    <row r="2850" ht="15.75" customHeight="1">
      <c r="A2850" s="1" t="s">
        <v>5437</v>
      </c>
      <c r="B2850" s="1" t="s">
        <v>5438</v>
      </c>
      <c r="C2850" s="1" t="str">
        <f>IFERROR(__xludf.DUMMYFUNCTION("CONCATENATE(GOOGLETRANSLATE(B2850, ""en"", ""zh-cn""))"),"名称并输入")</f>
        <v>名称并输入</v>
      </c>
      <c r="D2850" s="1" t="str">
        <f>IFERROR(__xludf.DUMMYFUNCTION("CONCATENATE(GOOGLETRANSLATE(B2850, ""en"", ""ko""))"),"이름 및 입력")</f>
        <v>이름 및 입력</v>
      </c>
      <c r="E2850" s="2" t="str">
        <f>IFERROR(__xludf.DUMMYFUNCTION("CONCATENATE(GOOGLETRANSLATE(B2850, ""en"", ""ja""))"),"名前を付けて入力してください")</f>
        <v>名前を付けて入力してください</v>
      </c>
    </row>
    <row r="2851" ht="15.75" customHeight="1">
      <c r="A2851" s="1" t="s">
        <v>5439</v>
      </c>
      <c r="B2851" s="1" t="s">
        <v>5440</v>
      </c>
      <c r="C2851" s="1" t="str">
        <f>IFERROR(__xludf.DUMMYFUNCTION("CONCATENATE(GOOGLETRANSLATE(B2851, ""en"", ""zh-cn""))"),"匿名与否")</f>
        <v>匿名与否</v>
      </c>
      <c r="D2851" s="1" t="str">
        <f>IFERROR(__xludf.DUMMYFUNCTION("CONCATENATE(GOOGLETRANSLATE(B2851, ""en"", ""ko""))"),"익명이든 아니든")</f>
        <v>익명이든 아니든</v>
      </c>
      <c r="E2851" s="2" t="str">
        <f>IFERROR(__xludf.DUMMYFUNCTION("CONCATENATE(GOOGLETRANSLATE(B2851, ""en"", ""ja""))"),"匿名かどうか")</f>
        <v>匿名かどうか</v>
      </c>
    </row>
    <row r="2852" ht="15.75" customHeight="1">
      <c r="A2852" s="1" t="s">
        <v>5441</v>
      </c>
      <c r="B2852" s="1" t="s">
        <v>5442</v>
      </c>
      <c r="C2852" s="1" t="str">
        <f>IFERROR(__xludf.DUMMYFUNCTION("CONCATENATE(GOOGLETRANSLATE(B2852, ""en"", ""zh-cn""))"),"请选择产品")</f>
        <v>请选择产品</v>
      </c>
      <c r="D2852" s="1" t="str">
        <f>IFERROR(__xludf.DUMMYFUNCTION("CONCATENATE(GOOGLETRANSLATE(B2852, ""en"", ""ko""))"),"제품을 선택해주세요")</f>
        <v>제품을 선택해주세요</v>
      </c>
      <c r="E2852" s="2" t="str">
        <f>IFERROR(__xludf.DUMMYFUNCTION("CONCATENATE(GOOGLETRANSLATE(B2852, ""en"", ""ja""))"),"製品を選択してください")</f>
        <v>製品を選択してください</v>
      </c>
    </row>
    <row r="2853" ht="15.75" customHeight="1">
      <c r="A2853" s="1" t="s">
        <v>5443</v>
      </c>
      <c r="B2853" s="1" t="s">
        <v>5444</v>
      </c>
      <c r="C2853" s="1" t="str">
        <f>IFERROR(__xludf.DUMMYFUNCTION("CONCATENATE(GOOGLETRANSLATE(B2853, ""en"", ""zh-cn""))"),"未选择对话")</f>
        <v>未选择对话</v>
      </c>
      <c r="D2853" s="1" t="str">
        <f>IFERROR(__xludf.DUMMYFUNCTION("CONCATENATE(GOOGLETRANSLATE(B2853, ""en"", ""ko""))"),"선택한 대화가 없습니다.")</f>
        <v>선택한 대화가 없습니다.</v>
      </c>
      <c r="E2853" s="2" t="str">
        <f>IFERROR(__xludf.DUMMYFUNCTION("CONCATENATE(GOOGLETRANSLATE(B2853, ""en"", ""ja""))"),"会話が選択されていません")</f>
        <v>会話が選択されていません</v>
      </c>
    </row>
    <row r="2854" ht="15.75" customHeight="1">
      <c r="A2854" s="1" t="s">
        <v>5445</v>
      </c>
      <c r="B2854" s="1" t="s">
        <v>5446</v>
      </c>
      <c r="C2854" s="1" t="str">
        <f>IFERROR(__xludf.DUMMYFUNCTION("CONCATENATE(GOOGLETRANSLATE(B2854, ""en"", ""zh-cn""))"),"登录成功")</f>
        <v>登录成功</v>
      </c>
      <c r="D2854" s="1" t="str">
        <f>IFERROR(__xludf.DUMMYFUNCTION("CONCATENATE(GOOGLETRANSLATE(B2854, ""en"", ""ko""))"),"성공적으로 로그인되었습니다")</f>
        <v>성공적으로 로그인되었습니다</v>
      </c>
      <c r="E2854" s="2" t="str">
        <f>IFERROR(__xludf.DUMMYFUNCTION("CONCATENATE(GOOGLETRANSLATE(B2854, ""en"", ""ja""))"),"正常にログインしました")</f>
        <v>正常にログインしました</v>
      </c>
    </row>
    <row r="2855" ht="15.75" customHeight="1">
      <c r="A2855" s="1" t="s">
        <v>5447</v>
      </c>
      <c r="B2855" s="1" t="s">
        <v>5448</v>
      </c>
      <c r="C2855" s="1" t="str">
        <f>IFERROR(__xludf.DUMMYFUNCTION("CONCATENATE(GOOGLETRANSLATE(B2855, ""en"", ""zh-cn""))"),"顾客： ")</f>
        <v>顾客： </v>
      </c>
      <c r="D2855" s="1" t="str">
        <f>IFERROR(__xludf.DUMMYFUNCTION("CONCATENATE(GOOGLETRANSLATE(B2855, ""en"", ""ko""))"),"고객: ")</f>
        <v>고객: </v>
      </c>
      <c r="E2855" s="2" t="str">
        <f>IFERROR(__xludf.DUMMYFUNCTION("CONCATENATE(GOOGLETRANSLATE(B2855, ""en"", ""ja""))"),"お客様： ")</f>
        <v>お客様： </v>
      </c>
    </row>
    <row r="2856" ht="15.75" customHeight="1">
      <c r="A2856" s="1" t="s">
        <v>5449</v>
      </c>
      <c r="B2856" s="1" t="s">
        <v>5450</v>
      </c>
      <c r="C2856" s="1" t="str">
        <f>IFERROR(__xludf.DUMMYFUNCTION("CONCATENATE(GOOGLETRANSLATE(B2856, ""en"", ""zh-cn""))"),"请选择客户")</f>
        <v>请选择客户</v>
      </c>
      <c r="D2856" s="1" t="str">
        <f>IFERROR(__xludf.DUMMYFUNCTION("CONCATENATE(GOOGLETRANSLATE(B2856, ""en"", ""ko""))"),"고객을 선택해 주세요")</f>
        <v>고객을 선택해 주세요</v>
      </c>
      <c r="E2856" s="2" t="str">
        <f>IFERROR(__xludf.DUMMYFUNCTION("CONCATENATE(GOOGLETRANSLATE(B2856, ""en"", ""ja""))"),"お客様を選択してください")</f>
        <v>お客様を選択してください</v>
      </c>
    </row>
    <row r="2857" ht="15.75" customHeight="1">
      <c r="A2857" s="1" t="s">
        <v>5451</v>
      </c>
      <c r="B2857" s="1" t="s">
        <v>5452</v>
      </c>
      <c r="C2857" s="1" t="str">
        <f>IFERROR(__xludf.DUMMYFUNCTION("CONCATENATE(GOOGLETRANSLATE(B2857, ""en"", ""zh-cn""))"),"管理员取消")</f>
        <v>管理员取消</v>
      </c>
      <c r="D2857" s="1" t="str">
        <f>IFERROR(__xludf.DUMMYFUNCTION("CONCATENATE(GOOGLETRANSLATE(B2857, ""en"", ""ko""))"),"관리자가 취소함")</f>
        <v>관리자가 취소함</v>
      </c>
      <c r="E2857" s="2" t="str">
        <f>IFERROR(__xludf.DUMMYFUNCTION("CONCATENATE(GOOGLETRANSLATE(B2857, ""en"", ""ja""))"),"管理者がキャンセルする")</f>
        <v>管理者がキャンセルする</v>
      </c>
    </row>
    <row r="2858" ht="15.75" customHeight="1">
      <c r="A2858" s="1" t="s">
        <v>5453</v>
      </c>
      <c r="B2858" s="1" t="s">
        <v>5454</v>
      </c>
      <c r="C2858" s="1" t="str">
        <f>IFERROR(__xludf.DUMMYFUNCTION("CONCATENATE(GOOGLETRANSLATE(B2858, ""en"", ""zh-cn""))"),"卖家没有提货")</f>
        <v>卖家没有提货</v>
      </c>
      <c r="D2858" s="1" t="str">
        <f>IFERROR(__xludf.DUMMYFUNCTION("CONCATENATE(GOOGLETRANSLATE(B2858, ""en"", ""ko""))"),"판매자가 물건을 픽업하지 않았습니다.")</f>
        <v>판매자가 물건을 픽업하지 않았습니다.</v>
      </c>
      <c r="E2858" s="2" t="str">
        <f>IFERROR(__xludf.DUMMYFUNCTION("CONCATENATE(GOOGLETRANSLATE(B2858, ""en"", ""ja""))"),"売主が商品を受け取らなかった")</f>
        <v>売主が商品を受け取らなかった</v>
      </c>
    </row>
    <row r="2859" ht="15.75" customHeight="1">
      <c r="A2859" s="1" t="s">
        <v>5455</v>
      </c>
      <c r="B2859" s="1" t="s">
        <v>5456</v>
      </c>
      <c r="C2859" s="1" t="str">
        <f>IFERROR(__xludf.DUMMYFUNCTION("CONCATENATE(GOOGLETRANSLATE(B2859, ""en"", ""zh-cn""))"),"订单明细项必须大于0")</f>
        <v>订单明细项必须大于0</v>
      </c>
      <c r="D2859" s="1" t="str">
        <f>IFERROR(__xludf.DUMMYFUNCTION("CONCATENATE(GOOGLETRANSLATE(B2859, ""en"", ""ko""))"),"주문 세부 항목은 0보다 커야 합니다.")</f>
        <v>주문 세부 항목은 0보다 커야 합니다.</v>
      </c>
      <c r="E2859" s="2" t="str">
        <f>IFERROR(__xludf.DUMMYFUNCTION("CONCATENATE(GOOGLETRANSLATE(B2859, ""en"", ""ja""))"),"注文詳細項目は 0 より大きくなければなりません")</f>
        <v>注文詳細項目は 0 より大きくなければなりません</v>
      </c>
    </row>
    <row r="2860" ht="15.75" customHeight="1">
      <c r="A2860" s="1" t="s">
        <v>5457</v>
      </c>
      <c r="B2860" s="1" t="s">
        <v>5458</v>
      </c>
      <c r="C2860" s="1" t="str">
        <f>IFERROR(__xludf.DUMMYFUNCTION("CONCATENATE(GOOGLETRANSLATE(B2860, ""en"", ""zh-cn""))"),"推销员取消")</f>
        <v>推销员取消</v>
      </c>
      <c r="D2860" s="1" t="str">
        <f>IFERROR(__xludf.DUMMYFUNCTION("CONCATENATE(GOOGLETRANSLATE(B2860, ""en"", ""ko""))"),"세일즈맨이 취소함")</f>
        <v>세일즈맨이 취소함</v>
      </c>
      <c r="E2860" s="2" t="str">
        <f>IFERROR(__xludf.DUMMYFUNCTION("CONCATENATE(GOOGLETRANSLATE(B2860, ""en"", ""ja""))"),"セールスマンがキャンセル")</f>
        <v>セールスマンがキャンセル</v>
      </c>
    </row>
    <row r="2861" ht="15.75" customHeight="1">
      <c r="A2861" s="1" t="s">
        <v>5459</v>
      </c>
      <c r="B2861" s="1" t="s">
        <v>5460</v>
      </c>
      <c r="C2861" s="1" t="str">
        <f>IFERROR(__xludf.DUMMYFUNCTION("CONCATENATE(GOOGLETRANSLATE(B2861, ""en"", ""zh-cn""))"),"未经授权")</f>
        <v>未经授权</v>
      </c>
      <c r="D2861" s="1" t="str">
        <f>IFERROR(__xludf.DUMMYFUNCTION("CONCATENATE(GOOGLETRANSLATE(B2861, ""en"", ""ko""))"),"승인되지 않은")</f>
        <v>승인되지 않은</v>
      </c>
      <c r="E2861" s="2" t="str">
        <f>IFERROR(__xludf.DUMMYFUNCTION("CONCATENATE(GOOGLETRANSLATE(B2861, ""en"", ""ja""))"),"無許可")</f>
        <v>無許可</v>
      </c>
    </row>
    <row r="2862" ht="15.75" customHeight="1">
      <c r="A2862" s="1" t="s">
        <v>5461</v>
      </c>
      <c r="B2862" s="1" t="s">
        <v>5462</v>
      </c>
      <c r="C2862" s="1" t="str">
        <f>IFERROR(__xludf.DUMMYFUNCTION("CONCATENATE(GOOGLETRANSLATE(B2862, ""en"", ""zh-cn""))"),"请验证您的帐户")</f>
        <v>请验证您的帐户</v>
      </c>
      <c r="D2862" s="1" t="str">
        <f>IFERROR(__xludf.DUMMYFUNCTION("CONCATENATE(GOOGLETRANSLATE(B2862, ""en"", ""ko""))"),"계정을 확인하세요")</f>
        <v>계정을 확인하세요</v>
      </c>
      <c r="E2862" s="2" t="str">
        <f>IFERROR(__xludf.DUMMYFUNCTION("CONCATENATE(GOOGLETRANSLATE(B2862, ""en"", ""ja""))"),"アカウントを確認してください")</f>
        <v>アカウントを確認してください</v>
      </c>
    </row>
    <row r="2863" ht="15.75" customHeight="1">
      <c r="A2863" s="1" t="s">
        <v>5463</v>
      </c>
      <c r="B2863" s="1" t="s">
        <v>5464</v>
      </c>
      <c r="C2863" s="1" t="str">
        <f>IFERROR(__xludf.DUMMYFUNCTION("CONCATENATE(GOOGLETRANSLATE(B2863, ""en"", ""zh-cn""))"),"付款成功！等待装货和发货")</f>
        <v>付款成功！等待装货和发货</v>
      </c>
      <c r="D2863" s="1" t="str">
        <f>IFERROR(__xludf.DUMMYFUNCTION("CONCATENATE(GOOGLETRANSLATE(B2863, ""en"", ""ko""))"),"결제 성공! 로딩 및 배송을 기다리는 중")</f>
        <v>결제 성공! 로딩 및 배송을 기다리는 중</v>
      </c>
      <c r="E2863" s="2" t="str">
        <f>IFERROR(__xludf.DUMMYFUNCTION("CONCATENATE(GOOGLETRANSLATE(B2863, ""en"", ""ja""))"),"支払いが成功しました！積み込みと配送を待っています")</f>
        <v>支払いが成功しました！積み込みと配送を待っています</v>
      </c>
    </row>
    <row r="2864" ht="15.75" customHeight="1">
      <c r="A2864" s="1" t="s">
        <v>5465</v>
      </c>
      <c r="B2864" s="1" t="s">
        <v>5466</v>
      </c>
      <c r="C2864" s="1" t="str">
        <f>IFERROR(__xludf.DUMMYFUNCTION("CONCATENATE(GOOGLETRANSLATE(B2864, ""en"", ""zh-cn""))"),"快递已送达，正在发往下一站")</f>
        <v>快递已送达，正在发往下一站</v>
      </c>
      <c r="D2864" s="1" t="str">
        <f>IFERROR(__xludf.DUMMYFUNCTION("CONCATENATE(GOOGLETRANSLATE(B2864, ""en"", ""ko""))"),"특급배송이 완료되어 다음역으로 배송중입니다")</f>
        <v>특급배송이 완료되어 다음역으로 배송중입니다</v>
      </c>
      <c r="E2864" s="2" t="str">
        <f>IFERROR(__xludf.DUMMYFUNCTION("CONCATENATE(GOOGLETRANSLATE(B2864, ""en"", ""ja""))"),"速達が配達され、次の駅に送られています")</f>
        <v>速達が配達され、次の駅に送られています</v>
      </c>
    </row>
    <row r="2865" ht="15.75" customHeight="1">
      <c r="A2865" s="1" t="s">
        <v>5467</v>
      </c>
      <c r="B2865" s="1" t="s">
        <v>5468</v>
      </c>
      <c r="C2865" s="1" t="str">
        <f>IFERROR(__xludf.DUMMYFUNCTION("CONCATENATE(GOOGLETRANSLATE(B2865, ""en"", ""zh-cn""))"),"快件已装车，正在发往中转中心")</f>
        <v>快件已装车，正在发往中转中心</v>
      </c>
      <c r="D2865" s="1" t="str">
        <f>IFERROR(__xludf.DUMMYFUNCTION("CONCATENATE(GOOGLETRANSLATE(B2865, ""en"", ""ko""))"),"특급 배송이 완료되어 환승 센터로 배송 중입니다.")</f>
        <v>특급 배송이 완료되어 환승 센터로 배송 중입니다.</v>
      </c>
      <c r="E2865" s="2" t="str">
        <f>IFERROR(__xludf.DUMMYFUNCTION("CONCATENATE(GOOGLETRANSLATE(B2865, ""en"", ""ja""))"),"速達便が積み込まれ、中継センターに送られています")</f>
        <v>速達便が積み込まれ、中継センターに送られています</v>
      </c>
    </row>
    <row r="2866" ht="15.75" customHeight="1">
      <c r="A2866" s="1" t="s">
        <v>5469</v>
      </c>
      <c r="B2866" s="1" t="s">
        <v>5470</v>
      </c>
      <c r="C2866" s="1" t="str">
        <f>IFERROR(__xludf.DUMMYFUNCTION("CONCATENATE(GOOGLETRANSLATE(B2866, ""en"", ""zh-cn""))"),"快件已到达区域中转站，正在运送至城市分拣中心")</f>
        <v>快件已到达区域中转站，正在运送至城市分拣中心</v>
      </c>
      <c r="D2866" s="1" t="str">
        <f>IFERROR(__xludf.DUMMYFUNCTION("CONCATENATE(GOOGLETRANSLATE(B2866, ""en"", ""ko""))"),"특급배송이 지역환승역에 도착하여 시내분류센터로 배송중입니다.")</f>
        <v>특급배송이 지역환승역에 도착하여 시내분류센터로 배송중입니다.</v>
      </c>
      <c r="E2866" s="2" t="str">
        <f>IFERROR(__xludf.DUMMYFUNCTION("CONCATENATE(GOOGLETRANSLATE(B2866, ""en"", ""ja""))"),"速達便が地域の中継駅に到着し、市の仕分けセンターに配達されています")</f>
        <v>速達便が地域の中継駅に到着し、市の仕分けセンターに配達されています</v>
      </c>
    </row>
    <row r="2867" ht="15.75" customHeight="1">
      <c r="A2867" s="1" t="s">
        <v>5471</v>
      </c>
      <c r="B2867" s="1" t="s">
        <v>5472</v>
      </c>
      <c r="C2867" s="1" t="str">
        <f>IFERROR(__xludf.DUMMYFUNCTION("CONCATENATE(GOOGLETRANSLATE(B2867, ""en"", ""zh-cn""))"),"快件已到达城市分拣中心，正在分拣")</f>
        <v>快件已到达城市分拣中心，正在分拣</v>
      </c>
      <c r="D2867" s="1" t="str">
        <f>IFERROR(__xludf.DUMMYFUNCTION("CONCATENATE(GOOGLETRANSLATE(B2867, ""en"", ""ko""))"),"택배가 시내 분류센터에 도착하여 분류중입니다.")</f>
        <v>택배가 시내 분류센터에 도착하여 분류중입니다.</v>
      </c>
      <c r="E2867" s="2" t="str">
        <f>IFERROR(__xludf.DUMMYFUNCTION("CONCATENATE(GOOGLETRANSLATE(B2867, ""en"", ""ja""))"),"速達便が市内仕分けセンターに到着し仕分け中です")</f>
        <v>速達便が市内仕分けセンターに到着し仕分け中です</v>
      </c>
    </row>
    <row r="2868" ht="15.75" customHeight="1">
      <c r="A2868" s="1" t="s">
        <v>5473</v>
      </c>
      <c r="B2868" s="1" t="s">
        <v>5474</v>
      </c>
      <c r="C2868" s="1" t="str">
        <f>IFERROR(__xludf.DUMMYFUNCTION("CONCATENATE(GOOGLETRANSLATE(B2868, ""en"", ""zh-cn""))"),"快件已整理，正在发货")</f>
        <v>快件已整理，正在发货</v>
      </c>
      <c r="D2868" s="1" t="str">
        <f>IFERROR(__xludf.DUMMYFUNCTION("CONCATENATE(GOOGLETRANSLATE(B2868, ""en"", ""ko""))"),"택배가 정리되어 배송중입니다")</f>
        <v>택배가 정리되어 배송중입니다</v>
      </c>
      <c r="E2868" s="2" t="str">
        <f>IFERROR(__xludf.DUMMYFUNCTION("CONCATENATE(GOOGLETRANSLATE(B2868, ""en"", ""ja""))"),"速達便は仕分けされ配達中です")</f>
        <v>速達便は仕分けされ配達中です</v>
      </c>
    </row>
    <row r="2869" ht="15.75" customHeight="1">
      <c r="A2869" s="1" t="s">
        <v>5475</v>
      </c>
      <c r="B2869" s="1" t="s">
        <v>5476</v>
      </c>
      <c r="C2869" s="1" t="str">
        <f>IFERROR(__xludf.DUMMYFUNCTION("CONCATENATE(GOOGLETRANSLATE(B2869, ""en"", ""zh-cn""))"),"用户已签收，发货完成。感谢您的等待！")</f>
        <v>用户已签收，发货完成。感谢您的等待！</v>
      </c>
      <c r="D2869" s="1" t="str">
        <f>IFERROR(__xludf.DUMMYFUNCTION("CONCATENATE(GOOGLETRANSLATE(B2869, ""en"", ""ko""))"),"사용자가 이에 서명하고 배송이 완료되었습니다. 기다려주셔서 감사합니다!")</f>
        <v>사용자가 이에 서명하고 배송이 완료되었습니다. 기다려주셔서 감사합니다!</v>
      </c>
      <c r="E2869" s="2" t="str">
        <f>IFERROR(__xludf.DUMMYFUNCTION("CONCATENATE(GOOGLETRANSLATE(B2869, ""en"", ""ja""))"),"ユーザーが署名すると、配信が完了します。お待たせしました！")</f>
        <v>ユーザーが署名すると、配信が完了します。お待たせしました！</v>
      </c>
    </row>
    <row r="2870" ht="15.75" customHeight="1">
      <c r="A2870" s="1" t="s">
        <v>5477</v>
      </c>
      <c r="B2870" s="1" t="s">
        <v>5478</v>
      </c>
      <c r="C2870" s="1" t="str">
        <f>IFERROR(__xludf.DUMMYFUNCTION("CONCATENATE(GOOGLETRANSLATE(B2870, ""en"", ""zh-cn""))"),"已出现订单异常")</f>
        <v>已出现订单异常</v>
      </c>
      <c r="D2870" s="1" t="str">
        <f>IFERROR(__xludf.DUMMYFUNCTION("CONCATENATE(GOOGLETRANSLATE(B2870, ""en"", ""ko""))"),"주문 예외가 발생했습니다")</f>
        <v>주문 예외가 발생했습니다</v>
      </c>
      <c r="E2870" s="2" t="str">
        <f>IFERROR(__xludf.DUMMYFUNCTION("CONCATENATE(GOOGLETRANSLATE(B2870, ""en"", ""ja""))"),"注文例外になりました")</f>
        <v>注文例外になりました</v>
      </c>
    </row>
    <row r="2871" ht="15.75" customHeight="1">
      <c r="A2871" s="1" t="s">
        <v>5479</v>
      </c>
      <c r="B2871" s="1" t="s">
        <v>5480</v>
      </c>
      <c r="C2871" s="1" t="str">
        <f>IFERROR(__xludf.DUMMYFUNCTION("CONCATENATE(GOOGLETRANSLATE(B2871, ""en"", ""zh-cn""))"),"更新时间")</f>
        <v>更新时间</v>
      </c>
      <c r="D2871" s="1" t="str">
        <f>IFERROR(__xludf.DUMMYFUNCTION("CONCATENATE(GOOGLETRANSLATE(B2871, ""en"", ""ko""))"),"업데이트 시간")</f>
        <v>업데이트 시간</v>
      </c>
      <c r="E2871" s="2" t="str">
        <f>IFERROR(__xludf.DUMMYFUNCTION("CONCATENATE(GOOGLETRANSLATE(B2871, ""en"", ""ja""))"),"更新時間")</f>
        <v>更新時間</v>
      </c>
    </row>
    <row r="2872" ht="15.75" customHeight="1">
      <c r="A2872" s="1" t="s">
        <v>5481</v>
      </c>
      <c r="B2872" s="1" t="s">
        <v>5482</v>
      </c>
      <c r="C2872" s="1" t="str">
        <f>IFERROR(__xludf.DUMMYFUNCTION("CONCATENATE(GOOGLETRANSLATE(B2872, ""en"", ""zh-cn""))"),"保存更改")</f>
        <v>保存更改</v>
      </c>
      <c r="D2872" s="1" t="str">
        <f>IFERROR(__xludf.DUMMYFUNCTION("CONCATENATE(GOOGLETRANSLATE(B2872, ""en"", ""ko""))"),"변경사항 저장")</f>
        <v>변경사항 저장</v>
      </c>
      <c r="E2872" s="2" t="str">
        <f>IFERROR(__xludf.DUMMYFUNCTION("CONCATENATE(GOOGLETRANSLATE(B2872, ""en"", ""ja""))"),"変更を保存する")</f>
        <v>変更を保存する</v>
      </c>
    </row>
    <row r="2873" ht="15.75" customHeight="1">
      <c r="A2873" s="1" t="s">
        <v>5483</v>
      </c>
      <c r="B2873" s="1" t="s">
        <v>5484</v>
      </c>
      <c r="C2873" s="1" t="str">
        <f>IFERROR(__xludf.DUMMYFUNCTION("CONCATENATE(GOOGLETRANSLATE(B2873, ""en"", ""zh-cn""))"),"送货信息已成功更新")</f>
        <v>送货信息已成功更新</v>
      </c>
      <c r="D2873" s="1" t="str">
        <f>IFERROR(__xludf.DUMMYFUNCTION("CONCATENATE(GOOGLETRANSLATE(B2873, ""en"", ""ko""))"),"배송 정보가 성공적으로 업데이트되었습니다.")</f>
        <v>배송 정보가 성공적으로 업데이트되었습니다.</v>
      </c>
      <c r="E2873" s="2" t="str">
        <f>IFERROR(__xludf.DUMMYFUNCTION("CONCATENATE(GOOGLETRANSLATE(B2873, ""en"", ""ja""))"),"配送情報が正常に更新されました")</f>
        <v>配送情報が正常に更新されました</v>
      </c>
    </row>
    <row r="2874" ht="15.75" customHeight="1">
      <c r="A2874" s="1" t="s">
        <v>5485</v>
      </c>
      <c r="B2874" s="1" t="s">
        <v>5486</v>
      </c>
      <c r="C2874" s="1" t="str">
        <f>IFERROR(__xludf.DUMMYFUNCTION("CONCATENATE(GOOGLETRANSLATE(B2874, ""en"", ""zh-cn""))"),"选择 Flash 标题")</f>
        <v>选择 Flash 标题</v>
      </c>
      <c r="D2874" s="1" t="str">
        <f>IFERROR(__xludf.DUMMYFUNCTION("CONCATENATE(GOOGLETRANSLATE(B2874, ""en"", ""ko""))"),"플래시 제목 선택")</f>
        <v>플래시 제목 선택</v>
      </c>
      <c r="E2874" s="2" t="str">
        <f>IFERROR(__xludf.DUMMYFUNCTION("CONCATENATE(GOOGLETRANSLATE(B2874, ""en"", ""ja""))"),"Flash タイトルを選択してください")</f>
        <v>Flash タイトルを選択してください</v>
      </c>
    </row>
    <row r="2875" ht="15.75" customHeight="1">
      <c r="A2875" s="1" t="s">
        <v>5487</v>
      </c>
      <c r="B2875" s="1" t="s">
        <v>5488</v>
      </c>
      <c r="C2875" s="1" t="str">
        <f>IFERROR(__xludf.DUMMYFUNCTION("CONCATENATE(GOOGLETRANSLATE(B2875, ""en"", ""zh-cn""))"),"选择折扣类型")</f>
        <v>选择折扣类型</v>
      </c>
      <c r="D2875" s="1" t="str">
        <f>IFERROR(__xludf.DUMMYFUNCTION("CONCATENATE(GOOGLETRANSLATE(B2875, ""en"", ""ko""))"),"할인 유형 선택")</f>
        <v>할인 유형 선택</v>
      </c>
      <c r="E2875" s="2" t="str">
        <f>IFERROR(__xludf.DUMMYFUNCTION("CONCATENATE(GOOGLETRANSLATE(B2875, ""en"", ""ja""))"),"割引タイプを選択してください")</f>
        <v>割引タイプを選択してください</v>
      </c>
    </row>
    <row r="2876" ht="15.75" customHeight="1">
      <c r="A2876" s="1" t="s">
        <v>5489</v>
      </c>
      <c r="B2876" s="1" t="s">
        <v>5490</v>
      </c>
      <c r="C2876" s="1" t="str">
        <f>IFERROR(__xludf.DUMMYFUNCTION("CONCATENATE(GOOGLETRANSLATE(B2876, ""en"", ""zh-cn""))"),"批量上传")</f>
        <v>批量上传</v>
      </c>
      <c r="D2876" s="1" t="str">
        <f>IFERROR(__xludf.DUMMYFUNCTION("CONCATENATE(GOOGLETRANSLATE(B2876, ""en"", ""ko""))"),"일괄 업로드")</f>
        <v>일괄 업로드</v>
      </c>
      <c r="E2876" s="2" t="str">
        <f>IFERROR(__xludf.DUMMYFUNCTION("CONCATENATE(GOOGLETRANSLATE(B2876, ""en"", ""ja""))"),"バッチアップロード")</f>
        <v>バッチアップロード</v>
      </c>
    </row>
    <row r="2877" ht="15.75" customHeight="1">
      <c r="A2877" s="1" t="s">
        <v>5491</v>
      </c>
      <c r="B2877" s="1" t="s">
        <v>5492</v>
      </c>
      <c r="C2877" s="1" t="str">
        <f>IFERROR(__xludf.DUMMYFUNCTION("CONCATENATE(GOOGLETRANSLATE(B2877, ""en"", ""zh-cn""))"),"批量上传产品")</f>
        <v>批量上传产品</v>
      </c>
      <c r="D2877" s="1" t="str">
        <f>IFERROR(__xludf.DUMMYFUNCTION("CONCATENATE(GOOGLETRANSLATE(B2877, ""en"", ""ko""))"),"일괄 업로드 제품")</f>
        <v>일괄 업로드 제품</v>
      </c>
      <c r="E2877" s="2" t="str">
        <f>IFERROR(__xludf.DUMMYFUNCTION("CONCATENATE(GOOGLETRANSLATE(B2877, ""en"", ""ja""))"),"製品のバッチアップロード")</f>
        <v>製品のバッチアップロード</v>
      </c>
    </row>
    <row r="2878" ht="15.75" customHeight="1">
      <c r="A2878" s="1" t="s">
        <v>5493</v>
      </c>
      <c r="B2878" s="1" t="s">
        <v>5494</v>
      </c>
      <c r="C2878" s="1" t="str">
        <f>IFERROR(__xludf.DUMMYFUNCTION("CONCATENATE(GOOGLETRANSLATE(B2878, ""en"", ""zh-cn""))"),"请选择类别")</f>
        <v>请选择类别</v>
      </c>
      <c r="D2878" s="1" t="str">
        <f>IFERROR(__xludf.DUMMYFUNCTION("CONCATENATE(GOOGLETRANSLATE(B2878, ""en"", ""ko""))"),"카테고리를 선택하세요")</f>
        <v>카테고리를 선택하세요</v>
      </c>
      <c r="E2878" s="2" t="str">
        <f>IFERROR(__xludf.DUMMYFUNCTION("CONCATENATE(GOOGLETRANSLATE(B2878, ""en"", ""ja""))"),"カテゴリを選択してください")</f>
        <v>カテゴリを選択してください</v>
      </c>
    </row>
    <row r="2879" ht="15.75" customHeight="1">
      <c r="A2879" s="1" t="s">
        <v>5495</v>
      </c>
      <c r="B2879" s="1" t="s">
        <v>5496</v>
      </c>
      <c r="C2879" s="1" t="str">
        <f>IFERROR(__xludf.DUMMYFUNCTION("CONCATENATE(GOOGLETRANSLATE(B2879, ""en"", ""zh-cn""))"),"批量上传文件")</f>
        <v>批量上传文件</v>
      </c>
      <c r="D2879" s="1" t="str">
        <f>IFERROR(__xludf.DUMMYFUNCTION("CONCATENATE(GOOGLETRANSLATE(B2879, ""en"", ""ko""))"),"일괄 업로드 파일")</f>
        <v>일괄 업로드 파일</v>
      </c>
      <c r="E2879" s="2" t="str">
        <f>IFERROR(__xludf.DUMMYFUNCTION("CONCATENATE(GOOGLETRANSLATE(B2879, ""en"", ""ja""))"),"ファイルの一括アップロード")</f>
        <v>ファイルの一括アップロード</v>
      </c>
    </row>
    <row r="2880" ht="15.75" customHeight="1">
      <c r="A2880" s="1" t="s">
        <v>5497</v>
      </c>
      <c r="B2880" s="1" t="s">
        <v>5498</v>
      </c>
      <c r="C2880" s="1" t="str">
        <f>IFERROR(__xludf.DUMMYFUNCTION("CONCATENATE(GOOGLETRANSLATE(B2880, ""en"", ""zh-cn""))"),"下载示例文件")</f>
        <v>下载示例文件</v>
      </c>
      <c r="D2880" s="1" t="str">
        <f>IFERROR(__xludf.DUMMYFUNCTION("CONCATENATE(GOOGLETRANSLATE(B2880, ""en"", ""ko""))"),"샘플 파일 다운로드")</f>
        <v>샘플 파일 다운로드</v>
      </c>
      <c r="E2880" s="2" t="str">
        <f>IFERROR(__xludf.DUMMYFUNCTION("CONCATENATE(GOOGLETRANSLATE(B2880, ""en"", ""ja""))"),"サンプルファイルをダウンロード")</f>
        <v>サンプルファイルをダウンロード</v>
      </c>
    </row>
    <row r="2881" ht="15.75" customHeight="1">
      <c r="A2881" s="1" t="s">
        <v>5499</v>
      </c>
      <c r="B2881" s="1" t="s">
        <v>5500</v>
      </c>
      <c r="C2881" s="1" t="str">
        <f>IFERROR(__xludf.DUMMYFUNCTION("CONCATENATE(GOOGLETRANSLATE(B2881, ""en"", ""zh-cn""))"),"该订单已交付")</f>
        <v>该订单已交付</v>
      </c>
      <c r="D2881" s="1" t="str">
        <f>IFERROR(__xludf.DUMMYFUNCTION("CONCATENATE(GOOGLETRANSLATE(B2881, ""en"", ""ko""))"),"이 주문은 이미 배송되었습니다.")</f>
        <v>이 주문은 이미 배송되었습니다.</v>
      </c>
      <c r="E2881" s="2" t="str">
        <f>IFERROR(__xludf.DUMMYFUNCTION("CONCATENATE(GOOGLETRANSLATE(B2881, ""en"", ""ja""))"),"この注文はすでに配達されています")</f>
        <v>この注文はすでに配達されています</v>
      </c>
    </row>
    <row r="2882" ht="15.75" customHeight="1">
      <c r="A2882" s="1" t="s">
        <v>5501</v>
      </c>
      <c r="B2882" s="1" t="s">
        <v>5502</v>
      </c>
      <c r="C2882" s="1" t="str">
        <f>IFERROR(__xludf.DUMMYFUNCTION("CONCATENATE(GOOGLETRANSLATE(B2882, ""en"", ""zh-cn""))"),"批量上传数字商品")</f>
        <v>批量上传数字商品</v>
      </c>
      <c r="D2882" s="1" t="str">
        <f>IFERROR(__xludf.DUMMYFUNCTION("CONCATENATE(GOOGLETRANSLATE(B2882, ""en"", ""ko""))"),"디지털 상품 일괄 업로드")</f>
        <v>디지털 상품 일괄 업로드</v>
      </c>
      <c r="E2882" s="2" t="str">
        <f>IFERROR(__xludf.DUMMYFUNCTION("CONCATENATE(GOOGLETRANSLATE(B2882, ""en"", ""ja""))"),"デジタルグッズの一括アップロード")</f>
        <v>デジタルグッズの一括アップロード</v>
      </c>
    </row>
    <row r="2883" ht="15.75" customHeight="1">
      <c r="A2883" s="1" t="s">
        <v>5503</v>
      </c>
      <c r="B2883" s="1" t="s">
        <v>5504</v>
      </c>
      <c r="C2883" s="1" t="str">
        <f>IFERROR(__xludf.DUMMYFUNCTION("CONCATENATE(GOOGLETRANSLATE(B2883, ""en"", ""zh-cn""))"),"批量上传数字产品")</f>
        <v>批量上传数字产品</v>
      </c>
      <c r="D2883" s="1" t="str">
        <f>IFERROR(__xludf.DUMMYFUNCTION("CONCATENATE(GOOGLETRANSLATE(B2883, ""en"", ""ko""))"),"디지털 제품 일괄 업로드")</f>
        <v>디지털 제품 일괄 업로드</v>
      </c>
      <c r="E2883" s="2" t="str">
        <f>IFERROR(__xludf.DUMMYFUNCTION("CONCATENATE(GOOGLETRANSLATE(B2883, ""en"", ""ja""))"),"デジタル製品のバッチアップロード")</f>
        <v>デジタル製品のバッチアップロード</v>
      </c>
    </row>
    <row r="2884" ht="15.75" customHeight="1">
      <c r="A2884" s="1" t="s">
        <v>5505</v>
      </c>
      <c r="B2884" s="1" t="s">
        <v>5506</v>
      </c>
      <c r="C2884" s="1" t="str">
        <f>IFERROR(__xludf.DUMMYFUNCTION("CONCATENATE(GOOGLETRANSLATE(B2884, ""en"", ""zh-cn""))"),"请选择品牌")</f>
        <v>请选择品牌</v>
      </c>
      <c r="D2884" s="1" t="str">
        <f>IFERROR(__xludf.DUMMYFUNCTION("CONCATENATE(GOOGLETRANSLATE(B2884, ""en"", ""ko""))"),"브랜드를 선택해 주세요")</f>
        <v>브랜드를 선택해 주세요</v>
      </c>
      <c r="E2884" s="2" t="str">
        <f>IFERROR(__xludf.DUMMYFUNCTION("CONCATENATE(GOOGLETRANSLATE(B2884, ""en"", ""ja""))"),"ブランドを選択してください")</f>
        <v>ブランドを選択してください</v>
      </c>
    </row>
    <row r="2885" ht="15.75" customHeight="1">
      <c r="A2885" s="1" t="s">
        <v>5507</v>
      </c>
      <c r="B2885" s="1" t="s">
        <v>5508</v>
      </c>
      <c r="C2885" s="1" t="str">
        <f>IFERROR(__xludf.DUMMYFUNCTION("CONCATENATE(GOOGLETRANSLATE(B2885, ""en"", ""zh-cn""))"),"请填写此字段！")</f>
        <v>请填写此字段！</v>
      </c>
      <c r="D2885" s="1" t="str">
        <f>IFERROR(__xludf.DUMMYFUNCTION("CONCATENATE(GOOGLETRANSLATE(B2885, ""en"", ""ko""))"),"이 필드를 작성해주세요!")</f>
        <v>이 필드를 작성해주세요!</v>
      </c>
      <c r="E2885" s="2" t="str">
        <f>IFERROR(__xludf.DUMMYFUNCTION("CONCATENATE(GOOGLETRANSLATE(B2885, ""en"", ""ja""))"),"このフィールドに記入してください。")</f>
        <v>このフィールドに記入してください。</v>
      </c>
    </row>
    <row r="2886" ht="15.75" customHeight="1">
      <c r="A2886" s="1" t="s">
        <v>5509</v>
      </c>
      <c r="B2886" s="1" t="s">
        <v>5510</v>
      </c>
      <c r="C2886" s="1" t="str">
        <f>IFERROR(__xludf.DUMMYFUNCTION("CONCATENATE(GOOGLETRANSLATE(B2886, ""en"", ""zh-cn""))"),"请输入有效的电子邮件地址！")</f>
        <v>请输入有效的电子邮件地址！</v>
      </c>
      <c r="D2886" s="1" t="str">
        <f>IFERROR(__xludf.DUMMYFUNCTION("CONCATENATE(GOOGLETRANSLATE(B2886, ""en"", ""ko""))"),"유효한 이메일 주소를 입력해주세요!")</f>
        <v>유효한 이메일 주소를 입력해주세요!</v>
      </c>
      <c r="E2886" s="2" t="str">
        <f>IFERROR(__xludf.DUMMYFUNCTION("CONCATENATE(GOOGLETRANSLATE(B2886, ""en"", ""ja""))"),"有効なメールアドレスを入力してください！")</f>
        <v>有効なメールアドレスを入力してください！</v>
      </c>
    </row>
    <row r="2887" ht="15.75" customHeight="1">
      <c r="A2887" s="1" t="s">
        <v>5511</v>
      </c>
      <c r="B2887" s="1" t="s">
        <v>5512</v>
      </c>
      <c r="C2887" s="1" t="str">
        <f>IFERROR(__xludf.DUMMYFUNCTION("CONCATENATE(GOOGLETRANSLATE(B2887, ""en"", ""zh-cn""))"),"如果您想继续，请勾选此框。")</f>
        <v>如果您想继续，请勾选此框。</v>
      </c>
      <c r="D2887" s="1" t="str">
        <f>IFERROR(__xludf.DUMMYFUNCTION("CONCATENATE(GOOGLETRANSLATE(B2887, ""en"", ""ko""))"),"계속 진행하려면 이 확인란을 선택하세요.")</f>
        <v>계속 진행하려면 이 확인란을 선택하세요.</v>
      </c>
      <c r="E2887" s="2" t="str">
        <f>IFERROR(__xludf.DUMMYFUNCTION("CONCATENATE(GOOGLETRANSLATE(B2887, ""en"", ""ja""))"),"続行する場合は、このボックスにチェックを入れてください。")</f>
        <v>続行する場合は、このボックスにチェックを入れてください。</v>
      </c>
    </row>
    <row r="2888" ht="15.75" customHeight="1">
      <c r="A2888" s="1" t="s">
        <v>5513</v>
      </c>
      <c r="B2888" s="1" t="s">
        <v>5514</v>
      </c>
      <c r="C2888" s="1" t="str">
        <f>IFERROR(__xludf.DUMMYFUNCTION("CONCATENATE(GOOGLETRANSLATE(B2888, ""en"", ""zh-cn""))"),"最后发货时间不能大于当前时间")</f>
        <v>最后发货时间不能大于当前时间</v>
      </c>
      <c r="D2888" s="1" t="str">
        <f>IFERROR(__xludf.DUMMYFUNCTION("CONCATENATE(GOOGLETRANSLATE(B2888, ""en"", ""ko""))"),"마지막 배송 시간은 현재 시간보다 클 수 없습니다.")</f>
        <v>마지막 배송 시간은 현재 시간보다 클 수 없습니다.</v>
      </c>
      <c r="E2888" s="2" t="str">
        <f>IFERROR(__xludf.DUMMYFUNCTION("CONCATENATE(GOOGLETRANSLATE(B2888, ""en"", ""ja""))"),"最終配信時刻を現在の時刻より大きくすることはできません")</f>
        <v>最終配信時刻を現在の時刻より大きくすることはできません</v>
      </c>
    </row>
    <row r="2889" ht="15.75" customHeight="1">
      <c r="A2889" s="1" t="s">
        <v>5515</v>
      </c>
      <c r="B2889" s="1" t="s">
        <v>5516</v>
      </c>
      <c r="C2889" s="1" t="str">
        <f>IFERROR(__xludf.DUMMYFUNCTION("CONCATENATE(GOOGLETRANSLATE(B2889, ""en"", ""zh-cn""))"),"选择全部")</f>
        <v>选择全部</v>
      </c>
      <c r="D2889" s="1" t="str">
        <f>IFERROR(__xludf.DUMMYFUNCTION("CONCATENATE(GOOGLETRANSLATE(B2889, ""en"", ""ko""))"),"모두 선택")</f>
        <v>모두 선택</v>
      </c>
      <c r="E2889" s="2" t="str">
        <f>IFERROR(__xludf.DUMMYFUNCTION("CONCATENATE(GOOGLETRANSLATE(B2889, ""en"", ""ja""))"),"すべて選択")</f>
        <v>すべて選択</v>
      </c>
    </row>
    <row r="2890" ht="15.75" customHeight="1">
      <c r="A2890" s="1" t="s">
        <v>5517</v>
      </c>
      <c r="B2890" s="1" t="s">
        <v>5518</v>
      </c>
      <c r="C2890" s="1" t="str">
        <f>IFERROR(__xludf.DUMMYFUNCTION("CONCATENATE(GOOGLETRANSLATE(B2890, ""en"", ""zh-cn""))"),"取消全选")</f>
        <v>取消全选</v>
      </c>
      <c r="D2890" s="1" t="str">
        <f>IFERROR(__xludf.DUMMYFUNCTION("CONCATENATE(GOOGLETRANSLATE(B2890, ""en"", ""ko""))"),"모두 선택 취소")</f>
        <v>모두 선택 취소</v>
      </c>
      <c r="E2890" s="2" t="str">
        <f>IFERROR(__xludf.DUMMYFUNCTION("CONCATENATE(GOOGLETRANSLATE(B2890, ""en"", ""ja""))"),"すべての選択を解除")</f>
        <v>すべての選択を解除</v>
      </c>
    </row>
    <row r="2891" ht="15.75" customHeight="1">
      <c r="A2891" s="1" t="s">
        <v>5477</v>
      </c>
      <c r="B2891" s="1" t="s">
        <v>5478</v>
      </c>
      <c r="C2891" s="1" t="str">
        <f>IFERROR(__xludf.DUMMYFUNCTION("CONCATENATE(GOOGLETRANSLATE(B2891, ""en"", ""zh-cn""))"),"已出现订单异常")</f>
        <v>已出现订单异常</v>
      </c>
      <c r="D2891" s="1" t="str">
        <f>IFERROR(__xludf.DUMMYFUNCTION("CONCATENATE(GOOGLETRANSLATE(B2891, ""en"", ""ko""))"),"주문 예외가 발생했습니다")</f>
        <v>주문 예외가 발생했습니다</v>
      </c>
      <c r="E2891" s="2" t="str">
        <f>IFERROR(__xludf.DUMMYFUNCTION("CONCATENATE(GOOGLETRANSLATE(B2891, ""en"", ""ja""))"),"注文例外になりました")</f>
        <v>注文例外になりました</v>
      </c>
    </row>
    <row r="2892" ht="15.75" customHeight="1">
      <c r="A2892" s="1" t="s">
        <v>5519</v>
      </c>
      <c r="B2892" s="1" t="s">
        <v>5520</v>
      </c>
      <c r="C2892" s="1" t="str">
        <f>IFERROR(__xludf.DUMMYFUNCTION("CONCATENATE(GOOGLETRANSLATE(B2892, ""en"", ""zh-cn""))"),"最低库存")</f>
        <v>最低库存</v>
      </c>
      <c r="D2892" s="1" t="str">
        <f>IFERROR(__xludf.DUMMYFUNCTION("CONCATENATE(GOOGLETRANSLATE(B2892, ""en"", ""ko""))"),"최소 재고")</f>
        <v>최소 재고</v>
      </c>
      <c r="E2892" s="2" t="str">
        <f>IFERROR(__xludf.DUMMYFUNCTION("CONCATENATE(GOOGLETRANSLATE(B2892, ""en"", ""ja""))"),"最小在庫")</f>
        <v>最小在庫</v>
      </c>
    </row>
    <row r="2893" ht="15.75" customHeight="1">
      <c r="A2893" s="1" t="s">
        <v>5521</v>
      </c>
      <c r="B2893" s="1" t="s">
        <v>5522</v>
      </c>
      <c r="C2893" s="1" t="str">
        <f>IFERROR(__xludf.DUMMYFUNCTION("CONCATENATE(GOOGLETRANSLATE(B2893, ""en"", ""zh-cn""))"),"最大库存")</f>
        <v>最大库存</v>
      </c>
      <c r="D2893" s="1" t="str">
        <f>IFERROR(__xludf.DUMMYFUNCTION("CONCATENATE(GOOGLETRANSLATE(B2893, ""en"", ""ko""))"),"최대 재고")</f>
        <v>최대 재고</v>
      </c>
      <c r="E2893" s="2" t="str">
        <f>IFERROR(__xludf.DUMMYFUNCTION("CONCATENATE(GOOGLETRANSLATE(B2893, ""en"", ""ja""))"),"最大在庫数")</f>
        <v>最大在庫数</v>
      </c>
    </row>
    <row r="2894" ht="15.75" customHeight="1">
      <c r="A2894" s="1" t="s">
        <v>5477</v>
      </c>
      <c r="B2894" s="1" t="s">
        <v>5478</v>
      </c>
      <c r="C2894" s="1" t="str">
        <f>IFERROR(__xludf.DUMMYFUNCTION("CONCATENATE(GOOGLETRANSLATE(B2894, ""en"", ""zh-cn""))"),"已出现订单异常")</f>
        <v>已出现订单异常</v>
      </c>
      <c r="D2894" s="1" t="str">
        <f>IFERROR(__xludf.DUMMYFUNCTION("CONCATENATE(GOOGLETRANSLATE(B2894, ""en"", ""ko""))"),"주문 예외가 발생했습니다")</f>
        <v>주문 예외가 발생했습니다</v>
      </c>
      <c r="E2894" s="2" t="str">
        <f>IFERROR(__xludf.DUMMYFUNCTION("CONCATENATE(GOOGLETRANSLATE(B2894, ""en"", ""ja""))"),"注文例外になりました")</f>
        <v>注文例外になりました</v>
      </c>
    </row>
    <row r="2895" ht="15.75" customHeight="1">
      <c r="A2895" s="1" t="s">
        <v>5523</v>
      </c>
      <c r="B2895" s="1" t="s">
        <v>5523</v>
      </c>
      <c r="C2895" s="1" t="str">
        <f>IFERROR(__xludf.DUMMYFUNCTION("CONCATENATE(GOOGLETRANSLATE(B2895, ""en"", ""zh-cn""))"),"文本")</f>
        <v>文本</v>
      </c>
      <c r="D2895" s="1" t="str">
        <f>IFERROR(__xludf.DUMMYFUNCTION("CONCATENATE(GOOGLETRANSLATE(B2895, ""en"", ""ko""))"),"텍스트")</f>
        <v>텍스트</v>
      </c>
      <c r="E2895" s="2" t="str">
        <f>IFERROR(__xludf.DUMMYFUNCTION("CONCATENATE(GOOGLETRANSLATE(B2895, ""en"", ""ja""))"),"文章")</f>
        <v>文章</v>
      </c>
    </row>
    <row r="2896" ht="15.75" customHeight="1">
      <c r="A2896" s="1" t="s">
        <v>5524</v>
      </c>
      <c r="B2896" s="1" t="s">
        <v>5525</v>
      </c>
      <c r="C2896" s="1" t="str">
        <f>IFERROR(__xludf.DUMMYFUNCTION("CONCATENATE(GOOGLETRANSLATE(B2896, ""en"", ""zh-cn""))"),"添加选项")</f>
        <v>添加选项</v>
      </c>
      <c r="D2896" s="1" t="str">
        <f>IFERROR(__xludf.DUMMYFUNCTION("CONCATENATE(GOOGLETRANSLATE(B2896, ""en"", ""ko""))"),"옵션 추가")</f>
        <v>옵션 추가</v>
      </c>
      <c r="E2896" s="2" t="str">
        <f>IFERROR(__xludf.DUMMYFUNCTION("CONCATENATE(GOOGLETRANSLATE(B2896, ""en"", ""ja""))"),"オプションを追加")</f>
        <v>オプションを追加</v>
      </c>
    </row>
    <row r="2897" ht="15.75" customHeight="1">
      <c r="A2897" s="1" t="s">
        <v>5526</v>
      </c>
      <c r="B2897" s="1" t="s">
        <v>5527</v>
      </c>
      <c r="C2897" s="1" t="str">
        <f>IFERROR(__xludf.DUMMYFUNCTION("CONCATENATE(GOOGLETRANSLATE(B2897, ""en"", ""zh-cn""))"),"当电话不存在时，电子邮件字段是必需的")</f>
        <v>当电话不存在时，电子邮件字段是必需的</v>
      </c>
      <c r="D2897" s="1" t="str">
        <f>IFERROR(__xludf.DUMMYFUNCTION("CONCATENATE(GOOGLETRANSLATE(B2897, ""en"", ""ko""))"),"전화가 없는 경우 이메일 필드가 필요합니다.")</f>
        <v>전화가 없는 경우 이메일 필드가 필요합니다.</v>
      </c>
      <c r="E2897" s="2" t="str">
        <f>IFERROR(__xludf.DUMMYFUNCTION("CONCATENATE(GOOGLETRANSLATE(B2897, ""en"", ""ja""))"),"電話が存在しない場合、電子メールフィールドは必須です")</f>
        <v>電話が存在しない場合、電子メールフィールドは必須です</v>
      </c>
    </row>
    <row r="2898" ht="15.75" customHeight="1">
      <c r="A2898" s="1" t="s">
        <v>5528</v>
      </c>
      <c r="B2898" s="1" t="s">
        <v>5529</v>
      </c>
      <c r="C2898" s="1" t="str">
        <f>IFERROR(__xludf.DUMMYFUNCTION("CONCATENATE(GOOGLETRANSLATE(B2898, ""en"", ""zh-cn""))"),"当电子邮件不存在时，电话字段是必需的")</f>
        <v>当电子邮件不存在时，电话字段是必需的</v>
      </c>
      <c r="D2898" s="1" t="str">
        <f>IFERROR(__xludf.DUMMYFUNCTION("CONCATENATE(GOOGLETRANSLATE(B2898, ""en"", ""ko""))"),"이메일이 없는 경우 전화 필드는 필수입니다.")</f>
        <v>이메일이 없는 경우 전화 필드는 필수입니다.</v>
      </c>
      <c r="E2898" s="2" t="str">
        <f>IFERROR(__xludf.DUMMYFUNCTION("CONCATENATE(GOOGLETRANSLATE(B2898, ""en"", ""ja""))"),"電子メールが存在しない場合、電話番号フィールドは必須です")</f>
        <v>電子メールが存在しない場合、電話番号フィールドは必須です</v>
      </c>
    </row>
    <row r="2899" ht="15.75" customHeight="1">
      <c r="A2899" s="1" t="s">
        <v>5530</v>
      </c>
      <c r="B2899" s="1" t="s">
        <v>5531</v>
      </c>
      <c r="C2899" s="1" t="str">
        <f>IFERROR(__xludf.DUMMYFUNCTION("CONCATENATE(GOOGLETRANSLATE(B2899, ""en"", ""zh-cn""))"),"密码字段为必填项")</f>
        <v>密码字段为必填项</v>
      </c>
      <c r="D2899" s="1" t="str">
        <f>IFERROR(__xludf.DUMMYFUNCTION("CONCATENATE(GOOGLETRANSLATE(B2899, ""en"", ""ko""))"),"비밀번호 필드는 필수입니다")</f>
        <v>비밀번호 필드는 필수입니다</v>
      </c>
      <c r="E2899" s="2" t="str">
        <f>IFERROR(__xludf.DUMMYFUNCTION("CONCATENATE(GOOGLETRANSLATE(B2899, ""en"", ""ja""))"),"パスワードフィールドは必須です")</f>
        <v>パスワードフィールドは必須です</v>
      </c>
    </row>
    <row r="2900" ht="15.75" customHeight="1">
      <c r="A2900" s="1" t="s">
        <v>5532</v>
      </c>
      <c r="B2900" s="1" t="s">
        <v>5533</v>
      </c>
      <c r="C2900" s="1" t="str">
        <f>IFERROR(__xludf.DUMMYFUNCTION("CONCATENATE(GOOGLETRANSLATE(B2900, ""en"", ""zh-cn""))"),"身份")</f>
        <v>身份</v>
      </c>
      <c r="D2900" s="1" t="str">
        <f>IFERROR(__xludf.DUMMYFUNCTION("CONCATENATE(GOOGLETRANSLATE(B2900, ""en"", ""ko""))"),"신원")</f>
        <v>신원</v>
      </c>
      <c r="E2900" s="2" t="str">
        <f>IFERROR(__xludf.DUMMYFUNCTION("CONCATENATE(GOOGLETRANSLATE(B2900, ""en"", ""ja""))"),"身元")</f>
        <v>身元</v>
      </c>
    </row>
    <row r="2901" ht="15.75" customHeight="1">
      <c r="A2901" s="1" t="s">
        <v>5534</v>
      </c>
      <c r="B2901" s="1" t="s">
        <v>5535</v>
      </c>
      <c r="C2901" s="1" t="str">
        <f>IFERROR(__xludf.DUMMYFUNCTION("CONCATENATE(GOOGLETRANSLATE(B2901, ""en"", ""zh-cn""))"),"新页面已成功创建")</f>
        <v>新页面已成功创建</v>
      </c>
      <c r="D2901" s="1" t="str">
        <f>IFERROR(__xludf.DUMMYFUNCTION("CONCATENATE(GOOGLETRANSLATE(B2901, ""en"", ""ko""))"),"새 페이지가 성공적으로 생성되었습니다")</f>
        <v>새 페이지가 성공적으로 생성되었습니다</v>
      </c>
      <c r="E2901" s="2" t="str">
        <f>IFERROR(__xludf.DUMMYFUNCTION("CONCATENATE(GOOGLETRANSLATE(B2901, ""en"", ""ja""))"),"新しいページが正常に作成されました")</f>
        <v>新しいページが正常に作成されました</v>
      </c>
    </row>
    <row r="2902" ht="15.75" customHeight="1">
      <c r="A2902" s="1" t="s">
        <v>5536</v>
      </c>
      <c r="B2902" s="1" t="s">
        <v>5537</v>
      </c>
      <c r="C2902" s="1" t="str">
        <f>IFERROR(__xludf.DUMMYFUNCTION("CONCATENATE(GOOGLETRANSLATE(B2902, ""en"", ""zh-cn""))"),"：数据")</f>
        <v>：数据</v>
      </c>
      <c r="D2902" s="1" t="str">
        <f>IFERROR(__xludf.DUMMYFUNCTION("CONCATENATE(GOOGLETRANSLATE(B2902, ""en"", ""ko""))"),":데이터")</f>
        <v>:데이터</v>
      </c>
      <c r="E2902" s="2" t="str">
        <f>IFERROR(__xludf.DUMMYFUNCTION("CONCATENATE(GOOGLETRANSLATE(B2902, ""en"", ""ja""))"),"：データ")</f>
        <v>：データ</v>
      </c>
    </row>
    <row r="2903" ht="15.75" customHeight="1">
      <c r="A2903" s="1" t="s">
        <v>5477</v>
      </c>
      <c r="B2903" s="1" t="s">
        <v>5478</v>
      </c>
      <c r="C2903" s="1" t="str">
        <f>IFERROR(__xludf.DUMMYFUNCTION("CONCATENATE(GOOGLETRANSLATE(B2903, ""en"", ""zh-cn""))"),"已出现订单异常")</f>
        <v>已出现订单异常</v>
      </c>
      <c r="D2903" s="1" t="str">
        <f>IFERROR(__xludf.DUMMYFUNCTION("CONCATENATE(GOOGLETRANSLATE(B2903, ""en"", ""ko""))"),"주문 예외가 발생했습니다")</f>
        <v>주문 예외가 발생했습니다</v>
      </c>
      <c r="E2903" s="2" t="str">
        <f>IFERROR(__xludf.DUMMYFUNCTION("CONCATENATE(GOOGLETRANSLATE(B2903, ""en"", ""ja""))"),"注文例外になりました")</f>
        <v>注文例外になりました</v>
      </c>
    </row>
    <row r="2904" ht="15.75" customHeight="1">
      <c r="A2904" s="1" t="s">
        <v>5538</v>
      </c>
      <c r="B2904" s="1" t="s">
        <v>5539</v>
      </c>
      <c r="C2904" s="1" t="str">
        <f>IFERROR(__xludf.DUMMYFUNCTION("CONCATENATE(GOOGLETRANSLATE(B2904, ""en"", ""zh-cn""))"),"选择")</f>
        <v>选择</v>
      </c>
      <c r="D2904" s="1" t="str">
        <f>IFERROR(__xludf.DUMMYFUNCTION("CONCATENATE(GOOGLETRANSLATE(B2904, ""en"", ""ko""))"),"선택하다")</f>
        <v>선택하다</v>
      </c>
      <c r="E2904" s="2" t="str">
        <f>IFERROR(__xludf.DUMMYFUNCTION("CONCATENATE(GOOGLETRANSLATE(B2904, ""en"", ""ja""))"),"選ぶ")</f>
        <v>選ぶ</v>
      </c>
    </row>
    <row r="2905" ht="15.75" customHeight="1">
      <c r="A2905" s="1" t="s">
        <v>5540</v>
      </c>
      <c r="B2905" s="1" t="s">
        <v>5541</v>
      </c>
      <c r="C2905" s="1" t="str">
        <f>IFERROR(__xludf.DUMMYFUNCTION("CONCATENATE(GOOGLETRANSLATE(B2905, ""en"", ""zh-cn""))"),"今天")</f>
        <v>今天</v>
      </c>
      <c r="D2905" s="1" t="str">
        <f>IFERROR(__xludf.DUMMYFUNCTION("CONCATENATE(GOOGLETRANSLATE(B2905, ""en"", ""ko""))"),"오늘")</f>
        <v>오늘</v>
      </c>
      <c r="E2905" s="2" t="str">
        <f>IFERROR(__xludf.DUMMYFUNCTION("CONCATENATE(GOOGLETRANSLATE(B2905, ""en"", ""ja""))"),"今日")</f>
        <v>今日</v>
      </c>
    </row>
    <row r="2906" ht="15.75" customHeight="1">
      <c r="A2906" s="1" t="s">
        <v>5542</v>
      </c>
      <c r="B2906" s="1" t="s">
        <v>5543</v>
      </c>
      <c r="C2906" s="1" t="str">
        <f>IFERROR(__xludf.DUMMYFUNCTION("CONCATENATE(GOOGLETRANSLATE(B2906, ""en"", ""zh-cn""))"),"过去 7 天")</f>
        <v>过去 7 天</v>
      </c>
      <c r="D2906" s="1" t="str">
        <f>IFERROR(__xludf.DUMMYFUNCTION("CONCATENATE(GOOGLETRANSLATE(B2906, ""en"", ""ko""))"),"지난 7일")</f>
        <v>지난 7일</v>
      </c>
      <c r="E2906" s="2" t="str">
        <f>IFERROR(__xludf.DUMMYFUNCTION("CONCATENATE(GOOGLETRANSLATE(B2906, ""en"", ""ja""))"),"過去 7 日間")</f>
        <v>過去 7 日間</v>
      </c>
    </row>
    <row r="2907" ht="15.75" customHeight="1">
      <c r="A2907" s="1" t="s">
        <v>5544</v>
      </c>
      <c r="B2907" s="1" t="s">
        <v>5545</v>
      </c>
      <c r="C2907" s="1" t="str">
        <f>IFERROR(__xludf.DUMMYFUNCTION("CONCATENATE(GOOGLETRANSLATE(B2907, ""en"", ""zh-cn""))"),"过去 30 天")</f>
        <v>过去 30 天</v>
      </c>
      <c r="D2907" s="1" t="str">
        <f>IFERROR(__xludf.DUMMYFUNCTION("CONCATENATE(GOOGLETRANSLATE(B2907, ""en"", ""ko""))"),"지난 30일")</f>
        <v>지난 30일</v>
      </c>
      <c r="E2907" s="2" t="str">
        <f>IFERROR(__xludf.DUMMYFUNCTION("CONCATENATE(GOOGLETRANSLATE(B2907, ""en"", ""ja""))"),"過去 30 日間")</f>
        <v>過去 30 日間</v>
      </c>
    </row>
    <row r="2908" ht="15.75" customHeight="1">
      <c r="A2908" s="1" t="s">
        <v>5546</v>
      </c>
      <c r="B2908" s="1" t="s">
        <v>5547</v>
      </c>
      <c r="C2908" s="1" t="str">
        <f>IFERROR(__xludf.DUMMYFUNCTION("CONCATENATE(GOOGLETRANSLATE(B2908, ""en"", ""zh-cn""))"),"一月")</f>
        <v>一月</v>
      </c>
      <c r="D2908" s="1" t="str">
        <f>IFERROR(__xludf.DUMMYFUNCTION("CONCATENATE(GOOGLETRANSLATE(B2908, ""en"", ""ko""))"),"1월")</f>
        <v>1월</v>
      </c>
      <c r="E2908" s="2" t="str">
        <f>IFERROR(__xludf.DUMMYFUNCTION("CONCATENATE(GOOGLETRANSLATE(B2908, ""en"", ""ja""))"),"1月")</f>
        <v>1月</v>
      </c>
    </row>
    <row r="2909" ht="15.75" customHeight="1">
      <c r="A2909" s="1" t="s">
        <v>5548</v>
      </c>
      <c r="B2909" s="1" t="s">
        <v>5549</v>
      </c>
      <c r="C2909" s="1" t="str">
        <f>IFERROR(__xludf.DUMMYFUNCTION("CONCATENATE(GOOGLETRANSLATE(B2909, ""en"", ""zh-cn""))"),"二月")</f>
        <v>二月</v>
      </c>
      <c r="D2909" s="1" t="str">
        <f>IFERROR(__xludf.DUMMYFUNCTION("CONCATENATE(GOOGLETRANSLATE(B2909, ""en"", ""ko""))"),"2월")</f>
        <v>2월</v>
      </c>
      <c r="E2909" s="2" t="str">
        <f>IFERROR(__xludf.DUMMYFUNCTION("CONCATENATE(GOOGLETRANSLATE(B2909, ""en"", ""ja""))"),"2月")</f>
        <v>2月</v>
      </c>
    </row>
    <row r="2910" ht="15.75" customHeight="1">
      <c r="A2910" s="1" t="s">
        <v>5550</v>
      </c>
      <c r="B2910" s="1" t="s">
        <v>5551</v>
      </c>
      <c r="C2910" s="1" t="str">
        <f>IFERROR(__xludf.DUMMYFUNCTION("CONCATENATE(GOOGLETRANSLATE(B2910, ""en"", ""zh-cn""))"),"行进")</f>
        <v>行进</v>
      </c>
      <c r="D2910" s="1" t="str">
        <f>IFERROR(__xludf.DUMMYFUNCTION("CONCATENATE(GOOGLETRANSLATE(B2910, ""en"", ""ko""))"),"3월")</f>
        <v>3월</v>
      </c>
      <c r="E2910" s="2" t="str">
        <f>IFERROR(__xludf.DUMMYFUNCTION("CONCATENATE(GOOGLETRANSLATE(B2910, ""en"", ""ja""))"),"行進")</f>
        <v>行進</v>
      </c>
    </row>
    <row r="2911" ht="15.75" customHeight="1">
      <c r="A2911" s="1" t="s">
        <v>5552</v>
      </c>
      <c r="B2911" s="1" t="s">
        <v>5553</v>
      </c>
      <c r="C2911" s="1" t="str">
        <f>IFERROR(__xludf.DUMMYFUNCTION("CONCATENATE(GOOGLETRANSLATE(B2911, ""en"", ""zh-cn""))"),"四月")</f>
        <v>四月</v>
      </c>
      <c r="D2911" s="1" t="str">
        <f>IFERROR(__xludf.DUMMYFUNCTION("CONCATENATE(GOOGLETRANSLATE(B2911, ""en"", ""ko""))"),"4월")</f>
        <v>4월</v>
      </c>
      <c r="E2911" s="2" t="str">
        <f>IFERROR(__xludf.DUMMYFUNCTION("CONCATENATE(GOOGLETRANSLATE(B2911, ""en"", ""ja""))"),"4月")</f>
        <v>4月</v>
      </c>
    </row>
    <row r="2912" ht="15.75" customHeight="1">
      <c r="A2912" s="1" t="s">
        <v>5554</v>
      </c>
      <c r="B2912" s="1" t="s">
        <v>5555</v>
      </c>
      <c r="C2912" s="1" t="str">
        <f>IFERROR(__xludf.DUMMYFUNCTION("CONCATENATE(GOOGLETRANSLATE(B2912, ""en"", ""zh-cn""))"),"可能")</f>
        <v>可能</v>
      </c>
      <c r="D2912" s="1" t="str">
        <f>IFERROR(__xludf.DUMMYFUNCTION("CONCATENATE(GOOGLETRANSLATE(B2912, ""en"", ""ko""))"),"5월")</f>
        <v>5월</v>
      </c>
      <c r="E2912" s="2" t="str">
        <f>IFERROR(__xludf.DUMMYFUNCTION("CONCATENATE(GOOGLETRANSLATE(B2912, ""en"", ""ja""))"),"5月")</f>
        <v>5月</v>
      </c>
    </row>
    <row r="2913" ht="15.75" customHeight="1">
      <c r="A2913" s="1" t="s">
        <v>5556</v>
      </c>
      <c r="B2913" s="1" t="s">
        <v>5557</v>
      </c>
      <c r="C2913" s="1" t="str">
        <f>IFERROR(__xludf.DUMMYFUNCTION("CONCATENATE(GOOGLETRANSLATE(B2913, ""en"", ""zh-cn""))"),"六月")</f>
        <v>六月</v>
      </c>
      <c r="D2913" s="1" t="str">
        <f>IFERROR(__xludf.DUMMYFUNCTION("CONCATENATE(GOOGLETRANSLATE(B2913, ""en"", ""ko""))"),"6월")</f>
        <v>6월</v>
      </c>
      <c r="E2913" s="2" t="str">
        <f>IFERROR(__xludf.DUMMYFUNCTION("CONCATENATE(GOOGLETRANSLATE(B2913, ""en"", ""ja""))"),"6月")</f>
        <v>6月</v>
      </c>
    </row>
    <row r="2914" ht="15.75" customHeight="1">
      <c r="A2914" s="1" t="s">
        <v>5558</v>
      </c>
      <c r="B2914" s="1" t="s">
        <v>5559</v>
      </c>
      <c r="C2914" s="1" t="str">
        <f>IFERROR(__xludf.DUMMYFUNCTION("CONCATENATE(GOOGLETRANSLATE(B2914, ""en"", ""zh-cn""))"),"七月")</f>
        <v>七月</v>
      </c>
      <c r="D2914" s="1" t="str">
        <f>IFERROR(__xludf.DUMMYFUNCTION("CONCATENATE(GOOGLETRANSLATE(B2914, ""en"", ""ko""))"),"칠월")</f>
        <v>칠월</v>
      </c>
      <c r="E2914" s="2" t="str">
        <f>IFERROR(__xludf.DUMMYFUNCTION("CONCATENATE(GOOGLETRANSLATE(B2914, ""en"", ""ja""))"),"7月")</f>
        <v>7月</v>
      </c>
    </row>
    <row r="2915" ht="15.75" customHeight="1">
      <c r="A2915" s="1" t="s">
        <v>5560</v>
      </c>
      <c r="B2915" s="1" t="s">
        <v>5561</v>
      </c>
      <c r="C2915" s="1" t="str">
        <f>IFERROR(__xludf.DUMMYFUNCTION("CONCATENATE(GOOGLETRANSLATE(B2915, ""en"", ""zh-cn""))"),"八月")</f>
        <v>八月</v>
      </c>
      <c r="D2915" s="1" t="str">
        <f>IFERROR(__xludf.DUMMYFUNCTION("CONCATENATE(GOOGLETRANSLATE(B2915, ""en"", ""ko""))"),"팔월")</f>
        <v>팔월</v>
      </c>
      <c r="E2915" s="2" t="str">
        <f>IFERROR(__xludf.DUMMYFUNCTION("CONCATENATE(GOOGLETRANSLATE(B2915, ""en"", ""ja""))"),"8月")</f>
        <v>8月</v>
      </c>
    </row>
    <row r="2916" ht="15.75" customHeight="1">
      <c r="A2916" s="1" t="s">
        <v>5562</v>
      </c>
      <c r="B2916" s="1" t="s">
        <v>5563</v>
      </c>
      <c r="C2916" s="1" t="str">
        <f>IFERROR(__xludf.DUMMYFUNCTION("CONCATENATE(GOOGLETRANSLATE(B2916, ""en"", ""zh-cn""))"),"九月")</f>
        <v>九月</v>
      </c>
      <c r="D2916" s="1" t="str">
        <f>IFERROR(__xludf.DUMMYFUNCTION("CONCATENATE(GOOGLETRANSLATE(B2916, ""en"", ""ko""))"),"구월")</f>
        <v>구월</v>
      </c>
      <c r="E2916" s="2" t="str">
        <f>IFERROR(__xludf.DUMMYFUNCTION("CONCATENATE(GOOGLETRANSLATE(B2916, ""en"", ""ja""))"),"9月")</f>
        <v>9月</v>
      </c>
    </row>
    <row r="2917" ht="15.75" customHeight="1">
      <c r="A2917" s="1" t="s">
        <v>5564</v>
      </c>
      <c r="B2917" s="1" t="s">
        <v>5565</v>
      </c>
      <c r="C2917" s="1" t="str">
        <f>IFERROR(__xludf.DUMMYFUNCTION("CONCATENATE(GOOGLETRANSLATE(B2917, ""en"", ""zh-cn""))"),"十月")</f>
        <v>十月</v>
      </c>
      <c r="D2917" s="1" t="str">
        <f>IFERROR(__xludf.DUMMYFUNCTION("CONCATENATE(GOOGLETRANSLATE(B2917, ""en"", ""ko""))"),"십월")</f>
        <v>십월</v>
      </c>
      <c r="E2917" s="2" t="str">
        <f>IFERROR(__xludf.DUMMYFUNCTION("CONCATENATE(GOOGLETRANSLATE(B2917, ""en"", ""ja""))"),"10月")</f>
        <v>10月</v>
      </c>
    </row>
    <row r="2918" ht="15.75" customHeight="1">
      <c r="A2918" s="1" t="s">
        <v>5566</v>
      </c>
      <c r="B2918" s="1" t="s">
        <v>5567</v>
      </c>
      <c r="C2918" s="1" t="str">
        <f>IFERROR(__xludf.DUMMYFUNCTION("CONCATENATE(GOOGLETRANSLATE(B2918, ""en"", ""zh-cn""))"),"十一月")</f>
        <v>十一月</v>
      </c>
      <c r="D2918" s="1" t="str">
        <f>IFERROR(__xludf.DUMMYFUNCTION("CONCATENATE(GOOGLETRANSLATE(B2918, ""en"", ""ko""))"),"십일월")</f>
        <v>십일월</v>
      </c>
      <c r="E2918" s="2" t="str">
        <f>IFERROR(__xludf.DUMMYFUNCTION("CONCATENATE(GOOGLETRANSLATE(B2918, ""en"", ""ja""))"),"11月")</f>
        <v>11月</v>
      </c>
    </row>
    <row r="2919" ht="15.75" customHeight="1">
      <c r="A2919" s="1" t="s">
        <v>5568</v>
      </c>
      <c r="B2919" s="1" t="s">
        <v>5569</v>
      </c>
      <c r="C2919" s="1" t="str">
        <f>IFERROR(__xludf.DUMMYFUNCTION("CONCATENATE(GOOGLETRANSLATE(B2919, ""en"", ""zh-cn""))"),"十二月")</f>
        <v>十二月</v>
      </c>
      <c r="D2919" s="1" t="str">
        <f>IFERROR(__xludf.DUMMYFUNCTION("CONCATENATE(GOOGLETRANSLATE(B2919, ""en"", ""ko""))"),"12월")</f>
        <v>12월</v>
      </c>
      <c r="E2919" s="2" t="str">
        <f>IFERROR(__xludf.DUMMYFUNCTION("CONCATENATE(GOOGLETRANSLATE(B2919, ""en"", ""ja""))"),"12月")</f>
        <v>12月</v>
      </c>
    </row>
    <row r="2920" ht="15.75" customHeight="1">
      <c r="A2920" s="1" t="s">
        <v>5570</v>
      </c>
      <c r="B2920" s="1" t="s">
        <v>5571</v>
      </c>
      <c r="C2920" s="1" t="str">
        <f>IFERROR(__xludf.DUMMYFUNCTION("CONCATENATE(GOOGLETRANSLATE(B2920, ""en"", ""zh-cn""))"),"页面已成功删除")</f>
        <v>页面已成功删除</v>
      </c>
      <c r="D2920" s="1" t="str">
        <f>IFERROR(__xludf.DUMMYFUNCTION("CONCATENATE(GOOGLETRANSLATE(B2920, ""en"", ""ko""))"),"페이지가 성공적으로 삭제되었습니다")</f>
        <v>페이지가 성공적으로 삭제되었습니다</v>
      </c>
      <c r="E2920" s="2" t="str">
        <f>IFERROR(__xludf.DUMMYFUNCTION("CONCATENATE(GOOGLETRANSLATE(B2920, ""en"", ""ja""))"),"ページは正常に削除されました")</f>
        <v>ページは正常に削除されました</v>
      </c>
    </row>
    <row r="2921" ht="15.75" customHeight="1">
      <c r="A2921" s="1" t="s">
        <v>5572</v>
      </c>
      <c r="B2921" s="1" t="s">
        <v>5573</v>
      </c>
      <c r="C2921" s="1" t="str">
        <f>IFERROR(__xludf.DUMMYFUNCTION("CONCATENATE(GOOGLETRANSLATE(B2921, ""en"", ""zh-cn""))"),"Slug已被使用")</f>
        <v>Slug已被使用</v>
      </c>
      <c r="D2921" s="1" t="str">
        <f>IFERROR(__xludf.DUMMYFUNCTION("CONCATENATE(GOOGLETRANSLATE(B2921, ""en"", ""ko""))"),"슬러그는 이미 사용되었습니다")</f>
        <v>슬러그는 이미 사용되었습니다</v>
      </c>
      <c r="E2921" s="2" t="str">
        <f>IFERROR(__xludf.DUMMYFUNCTION("CONCATENATE(GOOGLETRANSLATE(B2921, ""en"", ""ja""))"),"スラッグはすでに使用されています")</f>
        <v>スラッグはすでに使用されています</v>
      </c>
    </row>
  </sheetData>
  <printOptions/>
  <pageMargins bottom="0.75" footer="0.0" header="0.0" left="0.7" right="0.7" top="0.75"/>
  <pageSetup orientation="portrait"/>
  <drawing r:id="rId1"/>
</worksheet>
</file>