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Sheet" sheetId="1" r:id="rId4"/>
  </sheets>
  <definedNames/>
  <calcPr/>
</workbook>
</file>

<file path=xl/sharedStrings.xml><?xml version="1.0" encoding="utf-8"?>
<sst xmlns="http://schemas.openxmlformats.org/spreadsheetml/2006/main" count="768" uniqueCount="381">
  <si>
    <t>product_id</t>
  </si>
  <si>
    <t>unit</t>
  </si>
  <si>
    <t>en-name</t>
  </si>
  <si>
    <t>cn-name</t>
  </si>
  <si>
    <t>kr-name</t>
  </si>
  <si>
    <t>jp-name</t>
  </si>
  <si>
    <t>pc</t>
  </si>
  <si>
    <t>Canon PG-260 Genuine Black Ink Cartridge, Compatible with TS5320/6420/6420a,TR7020/7020a</t>
  </si>
  <si>
    <t>HP 910 Cyan, Magenta, Yellow Ink Cartridges | Works with HP OfficeJet 8010, 8020 Series, HP OfficeJet Pro 8020, 8030 Series | Eligible for Instant Ink | 3YN97AN, 3 Count (Pack of 1)</t>
  </si>
  <si>
    <t>HP 910XL Black High-yield Ink Cartridge | Works with HP OfficeJet 8010, 8020 Series, HP OfficeJet Pro 8020, 8030 Series | Eligible for Instant Ink | 3YL65AN</t>
  </si>
  <si>
    <t>HP DeskJet 2855e Wireless All-in-One Color Inkjet Printer, Scanner, Copier, Best-for-home, 3 months of Instant Ink included (588S5A)</t>
  </si>
  <si>
    <t>Brother DS-640 Compact Mobile Document Scanner, (Model: DS640) 1.5"x2"x11.9"</t>
  </si>
  <si>
    <t>Brother P-Touch, PTD210, Easy-to-Use Label Maker Bundle (4 Label Tapes Included), White, Small</t>
  </si>
  <si>
    <t>Brother P-Touch, PTM95, Monochrome, Handy Label Maker, 9 Type Styles, 8 Deco Mode Patterns, Navy Blue, Blue Gray</t>
  </si>
  <si>
    <t>Scotch Dry Erase Thermal Laminating Pouches, 50-Pack, Works with Dry Erase Markers, Reuseable Worksheets, Calendars, Checklists, 8.9 x 11.4 Inches, Letter Size, Clear Professional Finish (TP3854-50DE)</t>
  </si>
  <si>
    <t>Scotch Thermal Laminator, 2 Roller System for a Professional Finish, Use for Home, Office or School, Suitable for use with Photos (TL901X)</t>
  </si>
  <si>
    <t>Scotch Removable Mounting Squares, Grey, 1 in. x 1 in., Holds up to 1lb., 16-Squares</t>
  </si>
  <si>
    <t>Scotch LS851G Business Cards Laminating Pouches, 3-7/8-Inch x2-7/8-Inch ,25/PK,Clear</t>
  </si>
  <si>
    <t>MSI GF63 Thin Gaming Laptop, 15.6" FHD IPS 144Hz, 12th Gen Intel 10-Core i7-12650H, Geforce RTX 4050, 32GB DDR4, 1TB PCIe SSD+1TB HDD, Backlit, RJ45, USB-C, WiFi 6, Win 11, Free HDMI 2.1 Cable</t>
  </si>
  <si>
    <t>MSI Thin GF63 12UCX Gaming Laptop, 2024, 15.6" 1920x1080 144Hz, Intel 8-Core i5-12450H, NVIDIA GeForce RTX 2050, 32GB DDR4, 1TB SSD, Win11 Home, Backlit KB, Wi-Fi 6, BT 5.2, 720p HD Camera, Black</t>
  </si>
  <si>
    <t>Microsoft Surface Laptop Go Core i5-1035G1 1GHz 128GB SSD 8GB RAM 12.4"</t>
  </si>
  <si>
    <t>Microsoft Surface Laptop 5 15" QHD+ TOUCH 2.7 GHz i7-1265U 16GB 256GB Excellent</t>
  </si>
  <si>
    <t>Open Box/NEW Microsoft Surface Laptop Black Snapdragon X Plus 16GB RAM 512GB</t>
  </si>
  <si>
    <t>Microsoft Surface Laptop 2 13.5" Touch i7-8650U  16GB RAM 512GB SSD W10 Black</t>
  </si>
  <si>
    <t>Dell Inspiron 3511 15.6-inch FHD Laptop, 11th Gen Intel Core i5-1135G7 Quad-Core, 16GB RAM, 1TB SSD, HDMI, Webcam, Windows 10, Black (Renewed)</t>
  </si>
  <si>
    <t>Dell Inspiron 3511 Laptop, 15.6" Full HD Touchscreen, Intel Core i5-1135G7 (Beats Intel i7-1065G7), 32GB DDR4 RAM, 1TB PCIe SSD, SD Card Reader, HDMI, Wi-Fi, Windows 11 Home, Black</t>
  </si>
  <si>
    <t>Dell 2024 Inspiron 15 Business Laptop, 15.6" 1920x1080 FHD, 12th Gen Intel i5-1235U 4.4 GHz,with Microsoft Office 365, Win 11 Home, Webcam,Bluetooth, Carbon Black (16GB RAM | 512GB PCIe SSD)</t>
  </si>
  <si>
    <t>Dell Inspiron 14 2-in-1 Personal Laptop, 2024, 14" 1920 x 1200 Touch IPS, Intel Core 7 150U 10-Core, 64GB DDR5, 4TB SSD, Win11 Pro, Backlit Keyboard, Wi-Fi 6E, BT 5.3, 1080p FHD Camera, Ice Blue</t>
  </si>
  <si>
    <t>2020 Apple MacBook Air with Apple M1 Chip (13-inch, 8GB RAM, 512GB SSD Storage) Gold (Renewed)</t>
  </si>
  <si>
    <t>2019 Apple MacBook Pro with 1.4GHz Intel Core i5 (13 inch, 8GB RAM, 128GB SSD) - Space Gray (Renewed)</t>
  </si>
  <si>
    <t>2024 Apple MacBook Pro with Apple M4 Chip (14-inch, 16GB RAM, 512GB SSD Storage) (QWERTY English) Space Black (Renewed)</t>
  </si>
  <si>
    <t>Apple MacBook Pro 13 Laptop Intel Core i5 1.4GHz 8GB RAM 256GB SSD Space Gray - MUHP2LL/A</t>
  </si>
  <si>
    <t>Apple Macbook Pro 13.3in Laptop Computer Intel Core i5 2.5Ghz 8GB 500GB MD101LLA (Renewed)</t>
  </si>
  <si>
    <t>Canon PG-245 Genuine Black Ink Cartridge, Compatible with iP2820, MG2420/2924/2920/3020/2522/2525, MX492, TS3120/302/302a/202/202a/4520/3320</t>
  </si>
  <si>
    <t>Canon Genuine Ink PG-240 XL / CL-241 XL Value Pack (2 Cartridges), Compatible with MG2120/3120/4120/2220/3220/4220/3520/3620, MX372/392/432/452/472/512/522/532, TS5120</t>
  </si>
  <si>
    <t>Canon Genuine Toner Cartridge 137 Black (9435B001), 1-Pack ImageCLASS MF212w, MF216n, MF217w, MF244dw, MF247dw, MF249dw, MF227dw, MF229dw, MF232w, MF236n, LBP151dw, D570 Laser Printers</t>
  </si>
  <si>
    <t>HP 962 Cyan, Magenta, Yellow Ink Cartridges (3-pack) | Works with OfficeJet 9010 Series,OfficeJet Pro 9010, 9020 Series | Eligible for Instant Ink | 3YP00AN</t>
  </si>
  <si>
    <t>Original HP 910 Cyan, Magenta, Yellow / 910XL Black Ink Cartridges (4-pack) | Works with HP OfficeJet 8010, 8020 Series; HP OfficeJet Pro 8020, 8030 Series | Eligible for Instant Ink | 3JB41AN</t>
  </si>
  <si>
    <t>HP Smart Tank 5101 Wireless All-in-One Ink Tank Printer with 2 years of ink included,Print, scan, copy, Best-for-home, Refillable ink tank (1F3Y0A)</t>
  </si>
  <si>
    <t>Brother Genuine TN760 High Yield Black Toner Cartridge, (For use with MFC-L2710DW MFC-L2750DW HL-L2350DW HL-L2370DW HL-L2395DW HL-L2390DW DCP-L2550DW Printers)</t>
  </si>
  <si>
    <t>Scotch Self-Sealing Laminating Pouches, Glossy Finish, 4.3 x 6.3 Inches, 5 Pouches (PL900G)</t>
  </si>
  <si>
    <t>Scotch Front and Back Lamination Refill Cartridge, Heat-Free, Can Accommodate Items up to 12" Wide (DL961)</t>
  </si>
  <si>
    <t>Scotch Thermal Laminating Pouches, for Use with Thermal Laminators, 8.9 x 11.4 Inches, Letter Size Sheets, 100 Count</t>
  </si>
  <si>
    <t>Scotch DL961 Dual Laminate Refills, 5.4mil, 9-Inch x90-Ft , Gloss</t>
  </si>
  <si>
    <t>Scotch Display Pocket for items up to 8.5 in x 11 in (WL854C)</t>
  </si>
  <si>
    <t>MSI Thin 15 15.6” 144Hz FHD Gaming Laptop: Intel Core i7-13620H, NVIDIA Geforce RTX 4050, 16GB DDR4, 512GB NVMe SSD, WiFi 6E, Win 11: Black B13VE-2678US</t>
  </si>
  <si>
    <t>MSI Raider GE76 Gaming Laptop: Intel Core i9-12900H, GeForce RTX 3060, 17.3" 144Hz FHD Display,16GB DDR5, 1TB NVMe SSD, Thunderbolt 4, Cooler Boost 5, Win 11 Home: Titanium Blue 12UE-871</t>
  </si>
  <si>
    <t>MSI Cyborg Gaming Laptop 2024 , 15.6" FHD 144Hz Display, 13th Gen Intel Core i7-13620H, NVIDIA GeForce RTX 4050 Graphics, 16GB DDR5 RAM, 512GB SSD, Wi-Fi 6, Windows 11 Home, with Gaming Mouse</t>
  </si>
  <si>
    <t>MSI GF63 15.6" FHD Premium Gaming Laptop | Intel 6-Core i5-10500H | 8GB RAM | 256GB SSD | NVIDIA GeForce GTX 1650 Max-Q | Backlit Keyboard | Windows 11 | with HDMI Cable Bundle</t>
  </si>
  <si>
    <t>MSI Gaming Laptop Katana GF66 12UE | Intel Core i7-12700H 14-Core | NVIDIA GeForce RTX 3060 6GB | 16GB DDR4 | 512GB SSD | 15.6" 1920 x 1080 144 Hz | Win10 Home - Backlit Keyboard - Black</t>
  </si>
  <si>
    <t>Microsoft Surface Pro 7 Intel i5 1035G4 1.10GHz 8GB RAM 128GB SSD 12.3" Win 11</t>
  </si>
  <si>
    <t>Microsoft Surface Laptop Go, Intel i5-1035G1 8GB RAM 128GB Sandstone</t>
  </si>
  <si>
    <t>Microsoft Surface Laptop 5 13.5" Core i7-12th Gen 16GB 256GB Matte Black</t>
  </si>
  <si>
    <t>Microsoft Surface Laptop, Copilot+ PC 13".8 /16/512 - Platinum</t>
  </si>
  <si>
    <t>Lenovo IdeaPad 1 Student Laptop, 15.6" FHD Display, Intel Dual Core Processor, 12GB RAM, 512GB SSD + 128GB eMMC, 1 Year Office 365, Wi-Fi 6, Webcam, Bluetooth, SD Card Reader, Windows 11 Home, Grey</t>
  </si>
  <si>
    <t>Dell Latitude 7420 FHD Laptop Notebook with Intel Core i7 11th Gen Processor (16GB Ram, 512GB SSD, WiFi, Bluetooth) Windows 11 Pro - Carbon Fiber (Renewed)</t>
  </si>
  <si>
    <t>ASUS ZenBook S UX391UA-XB71-R Ultra-thin and light 13.3-inch Full HD Laptop, Intel Core i7-8550U, 8GB RAM, 256GB M.2 SSD, Windows 10 Pro, FP Sensor, Thunderbolt, Burgundy Red</t>
  </si>
  <si>
    <t>ASUS ROG Strix Scar 15 Gaming Laptop, 15.6" 300Hz FHD IPS Display, AMD Ryzen 9 5900HX, 64GB DDR4 RAM, 4TB SSD, NVIDIA GeForce RTX 3080, Opti-Mechanical English Per-Key RGB Keyboard, Windows 11 Home</t>
  </si>
  <si>
    <t>ASUS Vivobook Laptop, 14" FHD Display, i3-1215U, 16GB RAM, 512GB SSD, Wi-Fi 6, HDMI, Webcam, Touchpad, Windows 11 Home, Blue</t>
  </si>
  <si>
    <t>Canon Color imageCLASS MF656Cdw - Wireless Duplex Laser Printer, All-in-One with Copier, Scanner, Fax, Auto Document Feeder, Mobile Ready, 3 Year Limited Warranty, 22 PPM, White</t>
  </si>
  <si>
    <t>HP 148A Black Laserjet Toner Cartridge | This Cartridge Works Laserjet Pro 4001, MFP 4101 | W1480A</t>
  </si>
  <si>
    <t>Brother Genuine LC401BK Standard Yield Black Ink Cartridge</t>
  </si>
  <si>
    <t>Scotch Thermal Laminating Pouches, 2.4 x 4.2-Inches, ID Badge Without Clip, 2 Pack, 200-Pouches Total (TP5852-100)</t>
  </si>
  <si>
    <t>MSI Pulse 15 15.6” 144Hz FHD Gaming Laptop: Intel Core i7-13700H, NVIDIA Geforce RTX 4060, 16GB DDR5, 1TB NVMe SSD, Cooler Boost 5, Win 11: Black B13VFK-280US</t>
  </si>
  <si>
    <t>MSI Katana A17 AI 17.3” 240Hz QHD Gaming Laptop: Ryzen 9-8945HS, NVIDIA Geforce RTX 4070, 64GB DDR5, 2TB NVMe SSD, Cooler Boost 5, Win 11: Black B8VG-879US</t>
  </si>
  <si>
    <t>MSI Gaming Laptop | GF65 | Intel-4 Core i5-9300H | NVIDIA GeForce RTX 2060 6GB | 48GB DDR4 | 2TB SSD | 15.6" 1920 x 1080 120Hz | Win11 Pro - Wi-Fi 5 - Bluetooth 5 - Backlit Keyboard - Black</t>
  </si>
  <si>
    <t>MSI 2024 Laptop | Prestige 16Evo A13M | 16" 2560 x 1600 165Hz IPS | Intel-14 Core i7-13700H | 32GB LPDDR5 | 4TB SSD | Windows 10 Pro | Wi-Fi 6E - BT 5.3 - Backlit KB - 1080p IR Camera - Urban Silver</t>
  </si>
  <si>
    <t>Microsoft Surface Book 3 15" I7 32GB RAM 512GB SSD RTX 3000</t>
  </si>
  <si>
    <t>Microsoft Surface Laptop 1769 13.5" Intel Core i5-7200U 2.5GHz 4GB 128GB Win 11</t>
  </si>
  <si>
    <t>Microsoft Surface Laptop Go Touchscreen i5 10th Gen 8GB RAM 256GB SSD Windows 11</t>
  </si>
  <si>
    <t>Apple Macbook Air 2017 with 1.8GHz Intel Core i5 (13-inch, 8GB RAM, 128GB SSD Storage) (QWERTY English) Silver (Renewed)</t>
  </si>
  <si>
    <t>Canon CL-241 Genuine Color Ink Cartridge, Compatible with MG2120/3120/4120, MX512/432/472/372/392/522/532/452, MG2220/3220/4220/3520/3620, TS5120</t>
  </si>
  <si>
    <t>Canon P23-DHV-3 Printing Calculator with Double Check Function, Tax Calculation and Currency Conversion</t>
  </si>
  <si>
    <t>Canon PG-243 / CL-244 Genuine Ink Value Pack (2 Cartridges), Compatible with iP2820, MX492, MG2420/2520/2920/2922/2924/3020/2522/2525, TS3120/302/302a/202/4520/3320</t>
  </si>
  <si>
    <t>HP OfficeJet Pro 9125e All-in-One Printer, Color, Printer-for-Small Medium Business, Print, Copy, scan, fax,Touchscreen; Smart Advance Scan, 3 months of Instant Ink included</t>
  </si>
  <si>
    <t>HP 64 Black Ink Cartridge | Works with HP ENVY Inspire 7950e; ENVY Photo 6200, 7100, 7800; Tango Series | Eligible for Instant Ink | N9J90AN</t>
  </si>
  <si>
    <t>Scotch Glossy Document or Photo Laminating Pouch, 5 x 7 Inches, 5-Pack (PL905)</t>
  </si>
  <si>
    <t>(OPEN BOX) Microsoft Surface Laptop 4 13.5'' Touch 256GB SSD, Intel i5 11th Gen</t>
  </si>
  <si>
    <t xml:space="preserve">Microsoft Surface Pro 7+ Intel i5 1135G7 2.40GHz 8GB RAM 256GB SSD 12.3" Win 11 </t>
  </si>
  <si>
    <t>Microsoft Surface Laptop 5 15-inch, Intel i7, 8GB/256GB, Platinum, RC8-00001</t>
  </si>
  <si>
    <t>Microsoft Surface 1796 i5 7th Gen Tablet - 256GB SSD 8GB RAM (RF2)</t>
  </si>
  <si>
    <t>Dell Precision 7510 FHD 15.6" Workstation Business Laptop (Intel Quad Xeon E3-1535M, 32GB Ram, 512GB SSD, HDMI, Webcam, Finger Scecurity) Nvidia Quadro M2000M 4GB GDDR5 (Renewed)</t>
  </si>
  <si>
    <t>ASUS 2023 Laptop | Vivobook S 16 Flip | 16" 1920 x 1200 Touch | Intel-14 Core i9-13900H | 16GB DDR4 | 1TB SSD | Windows 11 Pro | Wi-Fi 6E - Bluetooth 5.3 - Backlit KB - 1080p Camera - Black</t>
  </si>
  <si>
    <t>ASUS 2024 Laptop | Vivobook 15 | 15.6" 1920 x 1080 IPS | Intel-10 Core i5-1235U | 8GB DDR4 | 256GB SSD | Windows 11 Home | Wi-Fi 5 - Bluetooth 5.1-720p HD Camera - Quiet Blue</t>
  </si>
  <si>
    <t>ASUS L410 MA-DB02 Ultra Thin Laptop, 14” FHD Display, Intel Celeron N4020 Processor, 4GB RAM, 64GB Storage, NumberPad, Windows 10 Home in S Mode, Star Black</t>
  </si>
  <si>
    <t>Apple MacBook Air (13-inch Retina display, 1.6GHz dual-core Intel Core i5, 128GB) - Space Gray (Renewed)</t>
  </si>
  <si>
    <t>Apple MacBook Pro 13.3in Retina Laptop Intel i5 Dual Core 2.6GHz 8GB 128GB SSD - MGX72LL/A (Renewed)</t>
  </si>
  <si>
    <t>Apple 2022 MacBook Air M2 Chip (13-inch, 8GB RAM, 256GB SSD Storage) (QWERTY English) Space Gray (Renewed Premium)</t>
  </si>
  <si>
    <t>Late 2020 Apple MacBook Pro with Apple M1 Chip (13 inch, 8GB RAM, 512GB SSD Storage) Space Gray (Renewed)</t>
  </si>
  <si>
    <t>HP 62 Black/Tri-color Ink (2-pack) | Works with HP ENVY 5540, 5640, 5660, 7640 Series, HP OfficeJet 5740, 8040 Series, HP OfficeJet Mobile 200, 250 Series | Eligible for Instant Ink | N9H64FN</t>
  </si>
  <si>
    <t>HP 62XL Tri-color High-yield Ink | Works with HP ENVY 5540, 5640, 5660, 7640 Series, HP OfficeJet 5740, 8040 Series, HP OfficeJet Mobile 200, 250 Series | Eligible for Instant Ink | C2P07AN</t>
  </si>
  <si>
    <t>Brother MFC-L2820DW Wireless Compact Monochrome All-in-One Laser Printer with Copy, Scan and Fax, Duplex, Black &amp; White | Includes Refresh Subscription Trial(1), Amazon Dash Replenishment Ready</t>
  </si>
  <si>
    <t>Brother MFC-L3720CDW Wireless Digital Color All-in-One Printer with Laser Quality Output, Copy, Scan, Fax, Duplex, Mobile Includes 2 Month Refresh Subscription Trial ¹ Amazon Dash Replenishment Ready</t>
  </si>
  <si>
    <t>Brother Genuine TN2294PK Standard Yield 4-Pack Printer Toner Cartridges - Black, Cyan, Magenta, Yellow Toner Multipack</t>
  </si>
  <si>
    <t>Brother Genuine TN760 2-Pack High Yield Black Toner Cartridge with approximately 3,000 page yield/cartridge</t>
  </si>
  <si>
    <t>Brother MFC-J4335DW INKvestment Tank All-in-One Printer with Duplex and Wireless Printing Plus Up to 1-Year of Ink in-Box</t>
  </si>
  <si>
    <t>Brother MFC-L8900CDW Business Color Laser All-in-One Printer, Amazon Dash Replenishment Ready</t>
  </si>
  <si>
    <t>Scotch Self-Sealing Laminating Pouches, 25 Pack, Business Card Size, Great for Gift Tags</t>
  </si>
  <si>
    <t>Scotch Thermal Laminator, Extra Wide 13 Inch Input, Ideal for Teachers, Small Offices, or Home (TL1302Z)</t>
  </si>
  <si>
    <t>Scotch Thermal Laminating Pouches, 200-Pack, 8.9 x 11.4 Inches, Letter Size Sheets, Clear, 3-Mil (TP3854-200)</t>
  </si>
  <si>
    <t>MSI 2023 Cyborg 15.6" 144HZ FHD Gaming Laptop Computer- 13th Gen Intel Core i7-13620H - GeForceRTX 4050-64GB DDR5 RAM - 2TB NVMe SSD - Win11 Pro, 4in1 Gaming Bundle</t>
  </si>
  <si>
    <t>MSI Prestige 14Evo B13M Laptop 2024, 14" WUXGA IPS, Intel i7-13700H 14-Core, Iris Xe, 32GB LPDDR5 2TB SSD, Backlit Keyboard Thunderbolt 4 Fingerprint Wi-Fi 6E Card Reader, Win10 Pro, COU 32GB USB</t>
  </si>
  <si>
    <t>Microsoft Surface laptop 4 13.5 i7 11th gen 16gb ram 512gb SSD Platinum NEW COND</t>
  </si>
  <si>
    <t>Microsoft Surface Laptop 2 i7-8650U 1.90GHz 16GB RAM 512GB SSD Windows 11 Pro G</t>
  </si>
  <si>
    <t>Microsoft Surface Laptop 13.5 Touch  i5-7300u 8GB RAM 128GB SSD Win 11 V.GOOD</t>
  </si>
  <si>
    <t>Lenovo V15 Business Laptop | Intel 4-core Processor | Intel UHD Graphics | 15.6" FHD (1920 x 1080) | 32GB RAM | 512GB SSD | Ethernet RJ-45 | Military Durability | Windows 11 Pro</t>
  </si>
  <si>
    <t>Dell G15 Gaming Laptop, 15.6" FHD 120Hz Display, AMD Ryzen 7 5800H 8-Core Processor, GeForce RTX 3050 Ti, 32GB RAM, 1TB SSD, Webcam, HDMI, Wi-Fi 6, Backlit Keyboard, Windows 11 Home, Grey</t>
  </si>
  <si>
    <t>Dell Inspiron 14 7440 2 in 1 Touchscreen Laptop, Intel 10-Core 7-150U, 14" IPS 1920x1200 FHD, 64 GB DDR5 RAM, 1 TB SSD, Backlit Keyboard, Windows 11 Pro, Office Pro 2024 Lifetime License, Mouse</t>
  </si>
  <si>
    <t>DELL 2024 Inspiron 15 Laptop, with Free Microsoft Office 365, 15.6" 1920x1080 FHD, 12th Gen Intel i5-1235U 4.4 GHz, Win 11 Home, Webcam,Bluetooth, Carbon Black (16GB | 1TB SSD)</t>
  </si>
  <si>
    <t>Dell Latitude 5430 Laptop (2022) | 14" 1920x1080 FHD | Core i7-1255U - 1TB SSD Hard Drive - 64GB RAM | 10 cores @ 4.7 GHz Win 11 Pro Black (Renewed)</t>
  </si>
  <si>
    <t>ASUS E410 Intel Celeron N4020 4GB 64GB 14-Inch HD LED Win 10 Laptop (Star Black)</t>
  </si>
  <si>
    <t>ASUS ROG Strix G18 Gaming Laptop, 18" 240Hz WQXGA Display, Intel 24-Core i9-14900HX, 64 GB DDR5 RAM, 4 TB SSD, NVIDIA GeForce RTX 4080, Backlit, Microsoft Office Pro Lifetime License &amp; Windows 11 Pro</t>
  </si>
  <si>
    <t>ASUS TUF Business Laptop, 8 Core AMD Ryzen 7 7435HS NVIDIA GeForce RTX 3050, 8GB DDR5 RAM 512GB SSD, 15.6" FHD 144Hz LED-Backlit Display, Wi-Fi 6, Single-Zone RGB Backlit Keyboard Win11 Home</t>
  </si>
  <si>
    <t>Apple 15.4in MacBook Pro Laptop (Retina, Touch Bar, 2.6GHz 6-Core Intel Core i7, 16GB RAM, 512GB SSD Storage) Space Gray (MR942LL/A) (2018 Model) (Renewed)</t>
  </si>
  <si>
    <t>Apple 2022 MacBook Air Laptop with M2 chip: Built for Apple Intelligence, 13.6-inch Liquid Retina Display, 8GB RAM, 256GB SSD Storage, Backlit Keyboard, 1080p FaceTime HD Camera; Space Gray</t>
  </si>
  <si>
    <t>Apple MacBook Pro 16.2", M4 Pro Chip with 14-Core CPU and 20-Core GPU, Late 2024 - Silver, Standard Display, 24GB, 1TB SSD</t>
  </si>
  <si>
    <t>2020 Apple MacBook Pro with 2.3 GHz Intel Core i7 (13 inch, 16GB RAM, 512GB SSD) Space Gray (Renewed)</t>
  </si>
  <si>
    <t>Canon PIXMA TR8620a - All-in-One Printer Home Office|Copier|Scanner|Fax|Auto Document Feeder | Photo, Document | Airprint (R), Android, Black, Works with Alexa</t>
  </si>
  <si>
    <t>Canon PGI-35/CLI-36 2 Black and 1 Color Value Pack Compatible to iP100, iP110</t>
  </si>
  <si>
    <t>HP 952 Cyan, Magenta, Yellow Ink Cartridges (3-pack) | Works with HP OfficeJet 8702, HP OfficeJet Pro 7720, 7740, 8210, 8710, 8720, 8730, 8740 Series | Eligible for Instant Ink | N9K27AN</t>
  </si>
  <si>
    <t>HP 206X Black High-yield Toner Cartridge | Works with HP Color LaserJet Pro M255, HP Color LaserJet Pro MFP M282, M283 Series | W2110X, Pack of 1, Black</t>
  </si>
  <si>
    <t>Brother Genuine LC401 Standard Yield 3-Pack Ink Cartridges â€“ Includes 1 Cartridge Each of Cyan, Magenta and Yellow , 3 Count (Pack of 1)</t>
  </si>
  <si>
    <t>Brother Genuine-Drum Unit, DR820, Seamless Integration, Yields Up to 30,000 Pages, Black</t>
  </si>
  <si>
    <t>Scotch Self-Seal Laminating Pouches, 25 Pack, Letter Size (LS854-25G-WM)</t>
  </si>
  <si>
    <t>Scotch Thermal Laminating Pouches, 8.9 x 14.4-Inches, Legal Size, 20-Pack (TP3855-20)</t>
  </si>
  <si>
    <t>Scotch Self-Seal Laminating Pouches, 10 Pack, Letter Size (LS854-10G)</t>
  </si>
  <si>
    <t>3M Dual Laminate Refill, 12 Inches x 100 Feet Roll, Heat-Free Laminating (DL1001)</t>
  </si>
  <si>
    <t>Scotch LS854SS10 Self-Sealing Laminating Sheets, 6.0 mil, 9 x 12 (Pack of 10)</t>
  </si>
  <si>
    <t>3M Dual Laminate Refill-Cartridge DL951, 8.5 Inches x 100 Feet (DL951) Clear</t>
  </si>
  <si>
    <t>3M Scotch Self-Sealing Laminating Pouches, Bag Tags with Loops, Glossy, 5 Pouches (LS853-5G)</t>
  </si>
  <si>
    <t>MSI Modern 15 H AI C1MTG Business Laptop, 2025, 15.6" 1920 x 1080 Touch, Intel-16 Core Ultra 9 185H, 32GB DDR5, 2TB SSD, Win11 Pro, Backlit KB, Wi-Fi 6E, BT 5.3, 720p HD Camera, Classic Black</t>
  </si>
  <si>
    <t>MSI GF65 Gaming Laptop, 15.6" 1920 x 1080 120Hz IPS, Intel-4 Core i5-9300H, NVIDIA GeForce RTX 2060 6GB, 48GB DDR4, 2TB SSD, Windows 10 Pro, Backlit KB, Wi-Fi 5, Bluetooth 5, Webcam, Black</t>
  </si>
  <si>
    <t>Microsoft Surface Pro 6 Intel i7 8650U 1.90GHz 16GB RAM 512GB SSD 12.3" Win 11</t>
  </si>
  <si>
    <t>MICROSOFT 13.8" Surface Laptop, 7th Ed Snapdragon X Plus, 256 GB SSD, Pla</t>
  </si>
  <si>
    <t>Microsoft Surface Laptop 5 13.5" i7-1265U 32GB RAM 512GB SSD Black W5S-00001</t>
  </si>
  <si>
    <t>Microsoft Surface Laptop 5 15" Intel Core i7-1265U 16GB DDR5 256GB SSD</t>
  </si>
  <si>
    <t>Microsoft Surface Book Intel i5 8GB RAM - 128GB SSD Keyboard  Win11 - Read desc.</t>
  </si>
  <si>
    <t>Microsoft Surface Book 2 i7 8650U 2.11GHz 8GB 256GB GeForce GTX 1050 13.5" 2in1</t>
  </si>
  <si>
    <t>Lenovo Flagship Chromebook, 14'' FHD Touchscreen Slim Thin Light Laptop Computer, 8-Core MediaTek Kompanio 520 Processor, 4GB RAM, 64GB eMMC, WiFi 6,Chrome OS, Abyss Blue</t>
  </si>
  <si>
    <t>Dell Latitude 3000 3520 15.6" Notebook - HD - 1399 x 768 - Intel Core i3 11th Gen i3-1115G4 Dual-core (2 Core) 3 GHz - 8 GB Total RAM - 256 GB SSD</t>
  </si>
  <si>
    <t>Dell Vostro 3520 Business Laptop, Intel Core i3-1215U Processor, 32GB RAM, 1TB SSD, 15.6'' FHD IPS Display, RJ-45, SD Card Reader, Webcam, HDMI, Wi-Fi, Windows 11 Pro, w/WOWPC Bundle</t>
  </si>
  <si>
    <t>Dell G15 Gaming Laptop PC - Intel i7-13650HX(14-core), GeForce RTX 4060, 15.6" FHD 120HZ Display, 16GB DDR5 RAM, 1TB SSD, Backlit Keyboard, Wi-Fi 6, Windows 11 Pro &amp; Microsoft Office 2024</t>
  </si>
  <si>
    <t>ROG Zephyrus S (2019) Ultra Slim Gaming Laptop, 15.6” 240Hz IPS-Type FHD, GeForce RTX 2080, Intel Core i7-9750H Processor, 16GB DDR4, 1TB PCIe Nvme SSD, Aura Sync RGB, Windows 10 Pro, GX531GX-XB76</t>
  </si>
  <si>
    <t>ASUS Vivobook 15 2024 Business Laptop 15.6" FHD IPS Touchscreen 10-Core Intel 7 150U 16GB DDR4 1TB SSD Intel Iris Xe Graphics Wi-Fi 6 Win11 Pro w/ONT 32GB USB</t>
  </si>
  <si>
    <t>ASUS Vivobook 15 2024 Laptop, 14-Core Intel Core i9-13900H, 15.6" FHD IPS Display, Intel Iris Xe Graphics, 32GB DDR4 1TB SSD, Backlit Keyboard, Fingerprint, Wi-Fi 6E, Win11 Pro (Renewed)</t>
  </si>
  <si>
    <t>ASUS Vivobook 17 Laptop 2024 17.3” FHD 1920 x 1080 Display Intel Core i3-1215U, 6-core, Intel UHD Graphics, 8GB DDR4, 512GB SSD, Wi-Fi 6E, Bluetooth 5.1, 720p HD Camera, Windows 11 Home</t>
  </si>
  <si>
    <t>2023 Apple MacBook Pro with Apple M2 Pro Chip (16-inch, 16GB RAM, 1TB SSD Storage) (QWERTY English) Silver (Renewed)</t>
  </si>
  <si>
    <t>Apple MacBook Air 2020 13.3-inch (Apple M1 Chip, 8GB RAM, 128GB SSD Storage) - Space Gray (Renewed)</t>
  </si>
  <si>
    <t>Canon KP-108IN Color Ink and Paper Set - Total of 216 Sheets and 6 Ink Cartridges</t>
  </si>
  <si>
    <t>HP Original 902 Cyan, Magenta, Yellow / 902XL Black Ink Cartridges (4-Pack) | Works OfficeJet 6950, 6960 Series OfficeJet Pro 6960, 6970 Series | Eligible for Instant Ink | T0A39AN</t>
  </si>
  <si>
    <t>Brother P-touch CUBE Plus Bluetooth Label Maker (PT-P710BT), white</t>
  </si>
  <si>
    <t>Scotch Thermal Laminating Pouches, 50 Count, Clear, 3 mil., Laminate Homemade Ornaments, Christmas Banners and Gift Tags, Ideal Holiday Supplies, Fits Letter Sized (8.9 in. × 11.4 in.) Paper</t>
  </si>
  <si>
    <t>Scotch Brand Scotch TL906 Thermal Laminator, Never Jam Technology Automatically Prevents Misfed Items, 2 Roller System , 9 inch (Pack of 2)</t>
  </si>
  <si>
    <t>MSI Raider GE66-15 Gaming &amp; Entertainment Laptop (Intel i7-12700H 14-Core, 64GB DDR5 4800MHz RAM, 2x8TB PCIe SSD RAID 0 (16TB), GeForce RTX 3080 Ti, 15.6" Win 11 Pro) with G2 Universal Dock</t>
  </si>
  <si>
    <t>MSI GL75 Leopard Gaming Laptop: 17.3" 144Hz Display, Intel Core i7-10750H, NVIDIA GeForce GTX 1660 Ti, 16GB RAM, 512GB NVMe SSD, Win10, Black (10SDK-651)</t>
  </si>
  <si>
    <t>MSI 2024 Summit E14 Laptop 14" 2880 x 1800 13th Generation Intel Core i7-1360P Intel Iris Xe Graphics 32GB LPDDR5 1TB SSD Windows 10 Pro Backlit KB 1080p FHD + IR Camera Touchscreen FP Stylus</t>
  </si>
  <si>
    <t>MSI 2023 Gaming Laptop Raider GE76 12UE | Intel Core i7-12700H 14-Core | NVIDIA GeForce RTX 3060 6GB | 24GB DDR5 | 1TB SSD | 17.3" 1920 x 1080 144 Hz | Win10 Home - RGB Backlit KB - Titanium Blue</t>
  </si>
  <si>
    <t>Microsoft Surface Laptop 7 13.8" X Plus CPU 16GB 512GB Black ZGX-00038</t>
  </si>
  <si>
    <t>Microsoft R1V-00009-SG 13.5" 8GB 512GB Surface Laptop-5 - Certified Refurbished</t>
  </si>
  <si>
    <t>Microsoft Surface Laptop 2 13.5 inch 128GB Intel Core i5 8th Gen 8GB Touchscreen</t>
  </si>
  <si>
    <t>Dell Inspiron 3535 Laptop - 15.6-inch FHD (1920 x 1080) Display, AMD Ryzen 5 7520U Processor, 8GB DDR4 RAM, 512GB SSD, AMD Radeon Graphics, Windows 11 Home, 6-Months Migrate - Carbon Black</t>
  </si>
  <si>
    <t>Dell Alienware m16 R2 2024 Gaming Laptop 16" WQXGA IPS 16-Core Intel Ultra 7 155H 24GB DDR5 1TB SSD NVIDIA GeForce RTX 4070 8GB GDDR6 Thunderbolt 4 Wi-Fi 6E Per-Key RGB Backlit Keyboard Win11 Pro</t>
  </si>
  <si>
    <t>ASUS 2023 Laptop | Vivobook 16X | 16" 1920 x 1200 LED-Backlit | Intel Core i9-13900H 14-Core | NVIDIA Geforce RTX 4050 6GB | 32GB DDR4 | 1TB SSD | Windows 10 Pro | Backlit Keyboard - Indie Black</t>
  </si>
  <si>
    <t>ASUS Lightweight 15.5" Full HD Laptop, Windows 11 Home OS, Intel Celeron Processor Up to 2.76GHz, 4GB LPDDR4, 128GB SSD, Backlit Keyboard, Dark Gray (Renewed)</t>
  </si>
  <si>
    <t>ASUS 2024 Laptop | Vivobook 15 | 15.6" 1920 x 1080 IPS | Intel-14 Core i9-13900H | 32GB DDR4 | 2TB SSD | Windows 10 Home | Wi-Fi 6E - Bluetooth 5.3 - Backlit Keyboard - 720p HD Camera - Quiet Blue</t>
  </si>
  <si>
    <t>ASUS 14" FHD Laptop Computer, 4-Core Intel Pentium, Windows 11 Pro with Microsoft Office Lifetime Suite, 4GB RAM 576GB Storage (256GB SSD + 256GB Docking Station +64GB eMMC), PLUSERA Earphones, Black</t>
  </si>
  <si>
    <t>ASUS 2024 Gaming Laptop | TUF Gaming A16 | AMD 16-Core Ryzen 9 7940HX | NVIDIA GeForce RTX 4070 8GB | 64GB DDR5 | 8TB SSD | 16" 2560 x 1600 165Hz | Win11 Home - Wi-Fi 6 - RGB Backlit KB - Gray</t>
  </si>
  <si>
    <t>Apple 2024 MacBook Air 15-inch Laptop with M3 chip: Built for Apple Intelligence, 15.3-inch Liquid Retina Display, 24GB Unified Memory, 512GB SSD Storage, Backlit Keyboard, Touch ID; Starlight</t>
  </si>
  <si>
    <t>Apple MacBook Pro GB Wi-Fi Laptop 256GB 13" with Intel Core i5 2.7Ghz Silver (Refurbished)</t>
  </si>
  <si>
    <t>Canon PGI-250/ CLI-251 5 Color Amazon Pack</t>
  </si>
  <si>
    <t>Canon imageFORMULA R10 - Portable Document Scanner, USB Powered, Duplex Scanning, Document Feeder, Easy Setup, Convenient, Perfect for Mobile Users</t>
  </si>
  <si>
    <t>Canon PG-245 XL Genuine Black Ink Cartridge, Compatible with iP2820, MG2420/2924/2920/3020/2522/2525, MX492, TS3120/302/302a/202/202a/4520/3320</t>
  </si>
  <si>
    <t>Canon MegaTank G3270 All-in-One Wireless Inkjet Printer. for Home Use, Print, Scan and Copy, Black</t>
  </si>
  <si>
    <t>Canon imageFORMULA R40 - Office Document Scanner, Windows and Mac, Duplex Scanning, Easy Setup, Scans a Wide Variety of Documents, Scans to Cloud</t>
  </si>
  <si>
    <t>Canon CL-276 Genuine Color Ink Cartridge, Compatible with TS3520/3522, TR4720/4722, TS3720/3722</t>
  </si>
  <si>
    <t>HP OfficeJet Pro 8135e Wireless All-in-One Color Inkjet Printer, Print, Scan, Copy, Fax, ADF, Duplex Printing, Best-for-Home Office, 3 Months of Instant Ink included (40Q35A)</t>
  </si>
  <si>
    <t>HP 64 Black/Tri-color Ink Cartridges (2-pack) | Works with HP ENVY Inspire 7950e; ENVY Photo 6200, 7100, 7800; Tango Series | Eligible for Instant Ink | X4D92AN</t>
  </si>
  <si>
    <t>HP OfficeJet 8015e Wireless Color All-in-One Printer, 6 months of Instant Ink included</t>
  </si>
  <si>
    <t>HP 62XL Black High-yield Ink cartridge | Works with HP ENVY 5540, 5640, 5660, 7640 Series, HP OfficeJet 5740, 8040 Series, HP OfficeJet Mobile 200, 250 Series | Eligible for Instant Ink | C2P05AN</t>
  </si>
  <si>
    <t>Brother Genuine TN229XLBK Black High Yield Printer Toner Cartridge - Print up to 3,000 Pages(1)</t>
  </si>
  <si>
    <t>Scotch Matte Thermal Laminating Pouches, Ultra Clear with Matte Finish, Letter Size 8.9 in x 11.4 in, 50-Pack</t>
  </si>
  <si>
    <t>Scotch Thermal Laminator Machine, 5 Minute Warm-up, 9" Input, for Laminating Sheets Up to 5-Mil Thick</t>
  </si>
  <si>
    <t>MSI Modern 15 Laptop: 13th Gen Core i9-13900H, 32GB RAM, 1TB SSD, 15.6" Full HD IPS Display, Backlit Keyboard, Windows 11</t>
  </si>
  <si>
    <t>MSI GF63 Premium Gaming Laptop, 15.6"" FHD Thin-Bezel Display,10th Gen Intel Quad-Core i5-10300H, 16GB RAM, 1TB SSD, GeForce GTX 1650 4GB, Backlit Keyboard, Windows 10, Black</t>
  </si>
  <si>
    <t>MSI GF63 Premium Gaming Laptop, 15.6" FHD Thin-Bezel Display,10th Gen Intel Quad-Core i5-10300H, 32GB RAM, 1 TB SSD, GeForce GTX 1650 4GB, Backlit Keyboard, Windows 10</t>
  </si>
  <si>
    <t>Microsoft Surface Pro 11th Gen Touch 13 Snapdragon X Plus 16GB 512GB SSD</t>
  </si>
  <si>
    <t>Microsoft Surface Pro 11 13" Snapdragon X Plus 16GB DDR5 256GB SSD Windows 11</t>
  </si>
  <si>
    <t>Microsoft Surface Laptop 3 TouchScreen i7-1065G7 32GB RAM  1TB SSD 15" Black Win</t>
  </si>
  <si>
    <t>New Listing</t>
  </si>
  <si>
    <t>New Microsoft Surface Book 3 13.5" 512GB i7-1065G7 32GB GTX 1650 Laptop</t>
  </si>
  <si>
    <t>Lenovo V-Series V15 Business Laptop, 15.6" FHD Display, AMD Ryzen 7 7730U, 40GB RAM, 1TB SSD, Numeric Keypad, HDMI, RJ45, Webcam, Wi-Fi, Windows 11 Pro, Black</t>
  </si>
  <si>
    <t>Dell M74F6 Latitude 7390 Notebook with Intel i5-8350U, 8GB 256GB SSD, 13.3"</t>
  </si>
  <si>
    <t>Dell Laptop | Inspiron 14 | 14" 1920 x 1200 LED-Backlit | AMD Ryzen 7 5825U 8-Core | 8GB DDR4 | 512GB SSD | Windows 11 Home | Wi-Fi 6 - Bluetooth 5.2 - Backlit KB - 720p HD Camera - Pebble Green</t>
  </si>
  <si>
    <t>DELL H865W Precision 7710 Mobile Laptop, 17.3" FHD, Intel Core i7-6820HQ, 8GB DDR4, 256GB SSD, Windows 10 Pro (Renewed)</t>
  </si>
  <si>
    <t>Dell Inspiron 15 3000 Personal Laptop, 2024, 15.6" 1920 x 1080 120Hz IPS, AMD Ryzen 5 7520U 4-Core, AMD Radeon Graphics, 8GB LPDDR5, 1TB SSD, Win10 Home, Wi-Fi 5, BT 5, 720p HD Camera, Carbon Black</t>
  </si>
  <si>
    <t>Apple 2024 MacBook Pro Laptop with M4 Pro, 14‑core CPU, 20‑core GPU: Built for Apple Intelligence, 14.2-inch Liquid Retina XDR Display, 24GB Unified Memory, 1TB SSD Storage; Space Black</t>
  </si>
  <si>
    <t>Canon PIXMA TS6420a All-in-One Wireless Inkjet Printer [Print,Copy,Scan], Black, Works with Alexa</t>
  </si>
  <si>
    <t>Canon PGI-280XL PGBK Compatible To TR7520,TR8520,TR8620,TS6120,TS6220,TS6320,TS702,TS8120,TS8220,TS8320,TS9120,TS9520 Printers</t>
  </si>
  <si>
    <t>HP 64XL Tri-color High-yield Ink Cartridge | Works with HP ENVY Inspire 7950e; ENVY Photo 6200, 7100, 7800; Tango Series | Eligible for Instant Ink | N9J91AN</t>
  </si>
  <si>
    <t>HP 206A Black Toner Cartridge | Works with HP Color LaserJet Pro M255, HP Color LaserJet Pro MFP M282, M283 Series | W2110A , 1 Count ( Pack of 1)</t>
  </si>
  <si>
    <t>Original HP 67 Tri-color / 67XL Black Ink Cartridges (2-pack) | Works with HP DeskJet 1255, 2700, 4100 Series; HP ENVY 6000, 6400 Series | Eligible for Instant Ink | 3YP30AN</t>
  </si>
  <si>
    <t>Brother P-Touch PTD220 Home/Office Everyday Label Maker | Prints TZe Label Tapes up to ~1/2 inch White</t>
  </si>
  <si>
    <t>Brother HL-L2460DW Wireless Compact Monochrome Laser Printer with Duplex, Mobile Printing, Black &amp; White Output | Includes Refresh Subscription Trial(1), Amazon Dash Replenishment Ready</t>
  </si>
  <si>
    <t>Brother Genuine High-Yield Black Toner Cartridge Twin Pack TN660 2PK (TN6602PK)</t>
  </si>
  <si>
    <t>Brother P-Touch PT- D610BT Business Professional Connected Label Maker | Connect and Create via Bluetooth® on TZe Label Tapes up to ~1 inch, White</t>
  </si>
  <si>
    <t>Scotch Thermal Laminating Pouches, 200 Count, Clear, 3 mil., Ideal Office or School Supplies, Fits Letter Sized Paper (8.9 in. × 11.4 in.)</t>
  </si>
  <si>
    <t>Scotch Thermal Laminator with 20 Thermal Pouches, 9-inch Width, Gray (TL901X-20)</t>
  </si>
  <si>
    <t>Scotch® Thermal Laminating Pouches, 8 1/2" x 14", Pack Of 20</t>
  </si>
  <si>
    <t>MSI Stealth 16 AI Studio 16” 120Hz UHD+ Mini LED Gaming Laptop: Intel Core Ultra 9-185H, NVIDIA Geforce RTX 4080, 64GB DDR5, 1TB NVMe SSD, Thunderbolt 4, Win 11 Pro: Star Blue A1VHG-027US</t>
  </si>
  <si>
    <t>MSI 2023 Cyborg 15.6" 144HZ FHD Gaming Laptop, 13th Gen Intel Core i7-13620H, NVIDIA GeForce RTX 4050, 16GB DDR5 RAM, 1TB NVMe, Wi-Fi 6, Backlit Keyboard, Win11</t>
  </si>
  <si>
    <t>Microsoft Surface Pro 7 Intel i5 1035G4 1.10GHz 8GB RAM 256GB SSD 12.3" Win 11</t>
  </si>
  <si>
    <t>Microsoft Surface Laptop 3 1868 i7-1065G7 16GB RAM/512GB SSD 13.5 BLK Good Cond</t>
  </si>
  <si>
    <t>Microsoft Surface Pro 5 i5 7300U 2.60GHz 8GB RAM 256GB SSD 12" Win 10 Tablet Onl</t>
  </si>
  <si>
    <t>Microsoft Surface Book 2 13.5" Intel i7 8650U 1.90GHz 16GB RAM 512GB SSD Win 11</t>
  </si>
  <si>
    <t>Lenovo 2024 IdeaPad 1 Gen 7 Laptop, 15.6" FHD Touchscreen, Intel Core i3-1215U, 16GB RAM, 512GB SSD, SD Card Reader, HDMI, Webcam, Wi-Fi 6, Windows 11 Home, Grey</t>
  </si>
  <si>
    <t>Dell Vostro 3520 Laptop, 2023, 15.6" 1920 x 1080 120Hz, Intel Core i5-1235U 10-Core, 16GB DDR4, 1TB SSD, Windows 11 Pro, Wi-Fi 5, Bluetooth 5, 720p HD Camera, Carbon Black</t>
  </si>
  <si>
    <t>Dell Latitude 7300 Laptop | 13.3" 1920x1080 FHD | Core i7-8665U - 1TB SSD Hard Drive - 16GB RAM | 4 cores @ 4.8 GHz Win 10 Pro Black (Renewed)</t>
  </si>
  <si>
    <t>Dell Latitude 7490 14 HD Anti-Glare, Intel Core i5-8350U, 16GB DDR4, 256GB Solid State Drive, Webcam, Bluetooth, Windows 10Pro (Renewed)</t>
  </si>
  <si>
    <t>Dell Alienware Laptop 17.3" FHD IPS ~ Intel i7-12700H 14-Core ~ NVIDIA GeForce RTX 3070Ti ~ 64GB DDR5~1TB SSD ~ Per-Key RGB Backlit Keyboard ~ Thunderbolt 4 ~ Wi-Fi 6E ~ Win11 Pro WWC 32GB USB</t>
  </si>
  <si>
    <t>Dell Inspiron 3520 15.6" Touchscreen i7 Laptop, 15.6" FHD Touchscreen, Intel Core i7-1255U, 32GB RAM, 1TB SSD, Numeric Keypad, Webcam, SD Card Reader, HDMI, Wi-Fi, Windows 11 Home, Black</t>
  </si>
  <si>
    <t>ASUS Gaming Laptop AMD Ryzen 9 7845HX 3.0 GHz NVIDIA GeForce RTX 4060 8 GB GDDR6</t>
  </si>
  <si>
    <t>ASUS 2024 Gaming Laptop | ROG Strix G17 | AMD 12-Core Ryzen 9 7845HX | NVIDIA GeForce RTX 4060 8GB | 48GB DDR5 | 4TB SSD | 17.3" 2560 x 1440 240 Hz | Win10 Pro - RGB Backlit KB - Eclipse Gray</t>
  </si>
  <si>
    <t>ASUS 2023 Gaming Laptop ROG Strix G16 | Core i7-13650HX 14-Core | NVIDIA GeForce RTX 4060 8GB | 64GB DDR5 | 2TB SSD | 16" 1920 x 1200 165 Hz | Win11 Pro - Wi-Fi 6E - RGB Backlit Keyboard - Gray</t>
  </si>
  <si>
    <t>ASUS 2024 Gaming Laptop | TUF A17 | AMD 8-Core Ryzen 9 7940HS | NVIDIA GeForce RTX 4050 6GB | 64GB DDR5 | 4TB SSD | 17.3" 1920 x 1080 144Hz | Win10 Pro - RGB Backlit KB - Mecha Gray</t>
  </si>
  <si>
    <t>Canon PGI-280XL/CLI-281 5 Color Pack Compatible to TR8520, TR7520, TS9120 Series,TS8120 Series, TS6120 Series</t>
  </si>
  <si>
    <t>Canon PG-240 XL Genuine Black Ink Cartridge, Compatible with MG2120/3120/4120, MX512/432/472/372/392/522/532/452, MG2220/3220/4220/3520/3620, TS5120</t>
  </si>
  <si>
    <t>HP 962XL Black High-yield Ink Cartridge | Works with HP OfficeJet 9010 Series, HP OfficeJet Pro 9010, 9020 Series | Eligible for Instant Ink | 3JA03AN</t>
  </si>
  <si>
    <t>Brother TN227 4 High Yield Color Toner Set (BK/C/M/Y) (1) TN227BK, (1) TN227C, (1) TN227M, (1) TN227Y</t>
  </si>
  <si>
    <t>Brother Genuine High Yield Toner Cartridge, TN850, Replacement Black Toner, Page Yield Up To 8, 000 Pages, Amazon Dash Replenishment Cartridge</t>
  </si>
  <si>
    <t>Brother HL-L2405W Wireless Compact Monochrome Laser Printer with Mobile Printing, Black &amp; White Output | Includes Refresh Subscription Trial(1), Amazon Dash Replenishment Ready</t>
  </si>
  <si>
    <t>MSI Prestige 16 EVO 16" QHD+ 165Hz Laptop: Intel Core i9-13900H, Intel Iris Xe, 32GB DDR5, 1TB NVMe SSD, Thunderbolt 4, HDMI, MicroSD Card Reader, Win 11 Pro: Urban Silver A13M-408US</t>
  </si>
  <si>
    <t>MSI Raider GE68HX Gaming Laptop 16" FHD+ IPS 144Hz Intel 24-core i9-14900HX 64GB RAM 4TB SSD GeForce RTX 4070 RGB Backlit Thunderbolt4 USB-C Dynaudio FHD IR Privacy Camera Win11 w/ICP Accessory</t>
  </si>
  <si>
    <t>MSI Katana A15 AI B8VF Gaming Laptop 2024, 15.6" FHD IPS 144Hz, AMD Ryzen 7 8845HS 8-Core, NVIDIA GeForce RTX 4060 8GB, 32GB DDR5 1TB SSD, RGB Backlit Keyboard, Wi-Fi 6E, Win10 Home, COU 32GB USB</t>
  </si>
  <si>
    <t>Microsoft Surface Laptop Go 3 12.4" i5-1235U 8GB DDR5 256GB SSD Sandstone</t>
  </si>
  <si>
    <t>Dell Inspiron 15 3000 3520 Business Laptop Computer[Windows 11 Pro], 15.6'' FHD Touchscreen, 11th Gen Intel Quad-Core i5-1135G7, 16GB RAM, 1TB PCIe SSD, Numeric Keypad, Wi-Fi, Webcam, HDMI, Black</t>
  </si>
  <si>
    <t>Apple MacBook Air MJVM2LL/A 11.6-Inch Laptop (1.6 GHz Intel Core i5, 128 GB Hard Drive, Integrated Intel HD Graphics 6000, Mac OS X 10.10 Yosemite) (Renewed)</t>
  </si>
  <si>
    <t>Apple 2022 MacBook Air Laptop with M2 chip: Built for Apple Intelligence, 13.6-inch Liquid Retina Display, 16GB RAM, 256GB SSD Storage, Backlit Keyboard, 1080p FaceTime HD Camera; Midnight</t>
  </si>
  <si>
    <t>Canon PG-275 Genuine Black Ink Cartridge, Compatible with TS3520/3522, TR4720/4722, TS3720/3722</t>
  </si>
  <si>
    <t>Canon Image Class D570 Monochrome Laser Printer with Scanner and Copier - Black</t>
  </si>
  <si>
    <t>Canon Canoscan Lide 300 Scanner (PDF, AUTOSCAN, COPY, SEND)</t>
  </si>
  <si>
    <t>HP 63 Black/Tri-color Ink Cartridge (2-pack) | Works with HP DeskJet 1112, 2130, 3630 Series; HP ENVY 4510, 4520 Series; HP OfficeJet 3830, 4650, 5200 Series | Eligible for Instant Ink | L0R46AN</t>
  </si>
  <si>
    <t>Original HP 951 Cyan, Magenta, Yellow / 950XL Black Ink Cartridges (4-pack) | Works with HP OfficeJet 8600 Series; HP OfficeJet Pro 251dw, 276dw, 8100, 8600 Series | Eligible for Instant Ink | C2P01FN</t>
  </si>
  <si>
    <t>Scotch Self-Sealing Laminating Pouches, 4 x 6 Inches, 3-Pack of 5 Pouches – No Machine Needed, Clear, Photo Safe</t>
  </si>
  <si>
    <t>Scotch Thermal Laminating Pouches, 100 Count, Clear, 5 mil., Laminate Business Cards, Banners and Essays, Ideal Office or School Supplies, Fits Business Card (2.3 in. × 3.7 in.) Paper</t>
  </si>
  <si>
    <t>Scotch Cold Laminating Machine, w/ 5 cartridges (LS960)</t>
  </si>
  <si>
    <t>Scotch Cold Laminating System, No Electricity Needed (LS960)</t>
  </si>
  <si>
    <t>MSI Titan 18 HX A14VIG-088US 18" 4K Ultra HD+ 120Hz Gaming Laptop, Intel Core i9-14900HX 2.2GHz, 64GB RAM, 4TB SSD, NVIDIA GeForce RTX 4090 16GB, Windows 11 Pro, Core Black</t>
  </si>
  <si>
    <t>New Microsoft Surface Laptop 6 - 15" Intel Core Ultra 5 135H 16GB 256GB Win Pro</t>
  </si>
  <si>
    <t>MICROSOFT SURFACE LAPTOP 3 13.5 in 256GB SSD, i7-1035G7, 1.20 GHz, 16GB ENJOY</t>
  </si>
  <si>
    <t>Microsoft Surface Pro 7 Intel i5 1035G4 1.10GHz 8GB RAM 128GB SSD 12.3" Win 11 -</t>
  </si>
  <si>
    <t>Microsoft Surface Laptop 5 15 Black 2K TOUCH i7-1265U 16GB 512GB SSD - Excellent</t>
  </si>
  <si>
    <t>Dell Inspiron 15 3520 15.6" Touchscreen FHD Business Laptop Computer, Intel Quad-Core i5-1135G7 (Beat i7-1065G7), 16GB DDR4 RAM, 512GB PCIe SSD, 802.11AC WiFi, Bluetooth, Carbon Black, Windows 11 Pro</t>
  </si>
  <si>
    <t>Dell XPS 13 9370 13.3" 4K Ultra HD Touchscreen Laptop Computer, Intel Core i5-8250U 1.60GHz, 8GB RAM, 128GB SSD, Windows 10 Home, Rose Gold</t>
  </si>
  <si>
    <t>Dell Vostro 5000 5301 13 Lightweight Laptop 13.3” Full HD 11th Gen Intel Quad-Core i7-1165G7 8GB RAM 1TB SSD GeForce MX350 2GB Graphic Fingerprint Backlit Keyboard USB-C HDMI Win10 Dune</t>
  </si>
  <si>
    <t>ASUS 2023 Laptop | Vivobook S 16 Flip | 16" 1920 x 1200 Touch | Intel-14 Core i9-13900H | 24GB DDR4 | 1TB SSD | Windows 10 Home | Wi-Fi 6E - Bluetooth 5.3 - Backlit KB - 1080p Camera - Black</t>
  </si>
  <si>
    <t>Asus Vivobook 14 2023 Business Laptop 14/in WXGA HD 2-Core Intel i3-1115G4 32GB DDR4 1TB SSD Intel UHD Graphics Wi-Fi 5 Windows 10 Home w/ONT 32GB USB</t>
  </si>
  <si>
    <t>ASUS TUF A17 Gaming Laptop 2024 17.3” FHD 1920 x 1080 IPS 144hz AMD Ryzen 9 7940HS NVIDIA GeForce RTX 4050 6GB GDDR6 16GB DDR5 1TB SSD Single-Zone RGB Backlit Keyboard Wi-Fi 6 Windows 11 Pro</t>
  </si>
  <si>
    <t>ASUS Vivobook 15.6" FHD Laptop, 16GB RAM, 672GB Storage(512GB SSD &amp; 160GB Docking Station Set), AMD Ryzen 3 3250U, AMD Radeon Graphics, Windows 11 S, Numeric Keypad, 720p Camera, Silver</t>
  </si>
  <si>
    <t>ASUS ZenBook S Ultra-Thin and Light Laptop, 13.3” UHD 4K Touch, 8th Gen Intel Core i7-8565U Processor, 16GB RAM, 512GB PCIe SSD, FP Sensor, Thunderbolt, Windows 10 Professional - UX391FA-XH74T</t>
  </si>
  <si>
    <t>ASUS 2023 Gaming Laptop TUF | AMD Ryzen 7 7735HS 8-Core | NVIDIA Geforce RTX 4050 6GB | 16GB DDR5 | 1TB SSD | 17.3" 1920x1080 144 Hz | Win10 Pro - WiFi 6 - Bluetooth 5.3 - Mecha Gray</t>
  </si>
  <si>
    <t>2019 Apple MacBook Air with 1.6GHz Intel Core i5 (13-inch, 8GB RAM, 128GB SSD Storage) Gold (Renewed)</t>
  </si>
  <si>
    <t>Apple MacBook Pro MGX72LL/A 13.3-Inch Laptop with Retina Display, Intel Core i5 2.6 GHz, 8 GB RAM, 128 GB SSD (Refurbished)</t>
  </si>
  <si>
    <t>Canon Pixma MG3620 Wireless All-in-One Color Inkjet Printer with Mobile and Tablet Printing, Black</t>
  </si>
  <si>
    <t>Canon Pixma PG-240 Black &amp; CL-241 Color Ink Cartridges</t>
  </si>
  <si>
    <t>Canon PG-260 XL Genuine Black Ink Cartridge, Compatible with TS5320/6420/6420a,TR7020/7020a</t>
  </si>
  <si>
    <t>Canon G7020 All-in-One Printer Home Office | Wireless Supertank (Megatank) Printer | Copier | Scan, | Fax and ADF with Mobile Printing, Black, Works with Alexa</t>
  </si>
  <si>
    <t>Canon Color imageCLASS MF753Cdw - Wireless Duplex Laser Printer, All-In-One with Scanner, Copier, Fax, Auto Document Feeder, Mobile Ready, 3 Year Limited Warranty, 35 PPM, White</t>
  </si>
  <si>
    <t>HP DeskJet 4255e Wireless All-in-One Color Inkjet Printer, Scanner, Copier, Best-for-Home, 3 Months of Instant Ink Included (588S6A)</t>
  </si>
  <si>
    <t>HP 67XL Tri-color High-yield Ink Cartridge | Works with HP DeskJet 1255, 2700, 4100 Series, HP ENVY 6000, 6400 Series | Eligible for Instant Ink | 3YM58AN</t>
  </si>
  <si>
    <t>HP 67XL Black High-yield Ink Cartridge | Works with HP DeskJet 1255, 2700, 4100 Series, HP ENVY 6000, 6400 Series | Eligible for Instant Ink | One Size | 3YM57AN</t>
  </si>
  <si>
    <t>Brother Genuine TN830XL 2PK Black High Yield Printer Toner Cartridge 2-Pack – Print up to 3,000 Pages Each(1)</t>
  </si>
  <si>
    <t>Brother P-Touch, PTH110, Easy Portable Monochrome Label Maker, Lightweight, Qwerty Keyboard, One-Touch Keys, White</t>
  </si>
  <si>
    <t>Brother LC4063PK 3 Pack of Standard Yield Cyan, Magenta and Yellow -Ink -Cartridges</t>
  </si>
  <si>
    <t>Brother Genuine High Yield Toner Cartridge, TN450, Replacement Black Toner, Page Yield Up To 2,600 Pages</t>
  </si>
  <si>
    <t>Brother Genuine TN830XL Black High Yield Printer Toner Cartridge - Print up to 3,000 Pages(1)</t>
  </si>
  <si>
    <t>Brother Genuine LC401XL 2PK High Yield 2-Pack Black Ink Cartridges</t>
  </si>
  <si>
    <t>Brother Printer Genuine LC30133PKS 3 Count(Pack of 1) High Yield Color Ink Cartridges, Page Yield Up to 400 Pages/Cartridge, Includes Cyan, Magenta and Yellow, LC3013</t>
  </si>
  <si>
    <t>Scotch Thermal Laminating Pouches Premium Quality, 5 Mil Thick for Extra Protection, 20 Pack Photo Size Laminating Sheets, Our Most Durable Lamination Pouch, 3.7 x 5.2 inches, Clear (TP5902-20)</t>
  </si>
  <si>
    <t>MSI Katana GF76 Gaming Laptop 17.3" FHD IPS 144Hz Display 12th Generation Intel 14-core i7-12700H 16GB RAM 1TB SSD GeForce RTX 3060 6GB Graphic Backlit USB-C Nahimic Win11 Black + HDMI Cable</t>
  </si>
  <si>
    <t>MSI Raider Gaming Laptop, 16" IPS FHD Display, 13th Gen Intel Core i9-13950HX, 64 GB DDR5 RAM, 4 TB NVMe SSD, GeForce RTX 4060, Backlit Keyboard, Windows 11 Home, Black</t>
  </si>
  <si>
    <t>MSI Katana A15 AI Gaming Laptop, 2024, 15.6" 1920 x 1080 144Hz, AMD 8-Core Ryzen 7 8845HS, NVIDIA GeForce RTX 4060, 64GB DDR5, 1TB SSD, Win11 Pro, RGB Backlit KB, Wi-Fi 6E, BT 5.3, 720p Camera, Black</t>
  </si>
  <si>
    <t>Microsoft Surface Laptop 5 13.5" Intel i5 1235U 8GB  512GB Windows 11 Home</t>
  </si>
  <si>
    <t>Lenovo IdeaPad 1 Student Laptop, Intel Dual Core Processor, 20GB RAM, 1TB SSD + 128GB eMMC, 15.6" FHD Display, 1 Year Office 365, Windows 11 Home, Wi-Fi 6, Webcam, Bluetooth, SD Card Reader, Grey</t>
  </si>
  <si>
    <t>Dell 2024 Gaming Laptop | Alienware m18 R2 | Intel 24-Core i9-14900HX | NVIDIA GeForce RTX 4080 | 32GB DDR5 | 1TB SSD | 18" 2560x1600 165Hz | Win11 Pro - Wi-Fi - BT 5.4 - RGB Backlit KB</t>
  </si>
  <si>
    <t>Dell Inspiron 14 7445 Business Laptop, 14" FHD+ 2-in-1 Touchscreen, AMD Ryzen 5 8640HS, 32 GB DDR5, 1 TB SSD, Fingerprint Reader, Backlit KB, Wi-Fi, Windows 11 Pro, W/Patented Mouse &amp; USB Flash Disk</t>
  </si>
  <si>
    <t>ASUS VivoBook 15 15.6" FHD Laptop Computer, Quad-Core AMD Ryzen 5 3500U (Beats i7-8550U), 8GB DDR4 RAM, 1TB PCIe SSD, 802.11ac WiFi, Type-C, Silver, Windows 10. Brown Box One Year Support</t>
  </si>
  <si>
    <t>ASUS Vivobook Laptop 2023 New, 17.3" FHD IPS, AMD Ryzen 7 7730U 8-Core, AMD Radeon Graphics, 16GB DDR4, 512GB SSD, Backlit Keyboard, Fingerprint Reader, Wi-Fi 5, Win11 Pro, COU 32GB USB</t>
  </si>
  <si>
    <t>ASUS 2024 Gaming Laptop | TUF Gaming A17 | AMD 8-Core Ryzen 9 7940HS | NVIDIA Geforce RTX 4050 6GB | 32GB DDR5 | 4TB SSD | 17.3" 1920 x 1080 144Hz | Win11 Pro - Wi-Fi 6 - RGB Backlit KB - Mecha Gray</t>
  </si>
  <si>
    <t>Early 2020 Apple MacBook Air with 1.1GHz Intel Core i3 (13-inch, 8GB RAM, 256GB SSD Storage) (QWERTY English) Space Gray (Renewed)</t>
  </si>
  <si>
    <t>2024 Apple MacBook Air with Apple M3 Chip (15-inch, 16GB RAM, 512GB SSD Storage) (QWERTY English) Space Gray (Renewed)</t>
  </si>
  <si>
    <t>2022 Apple MacBook Air Laptop with M2 chip (13.6-inch, 8GB RAM, 256GB SSD Storage) Starlight (Renewed)</t>
  </si>
  <si>
    <t>Apple 2024 MacBook Pro Laptop with M4 Max, 16‑core CPU, 40‑core GPU: Built for Apple Intelligence, 16.2-inch Liquid Retina XDR Display, 48GB Unified Memory, 1TB SSD Storage; Space Black</t>
  </si>
  <si>
    <t>Apple 2024 MacBook Air 13-inch Laptop with M3 chip: Built for Apple Intelligence, 13.6-inch Liquid Retina Display, 8GB Unified Memory, 512GB SSD Storage, Backlit Keyboard, Touch ID; Space Gray</t>
  </si>
  <si>
    <t>Apple 2022 MacBook Air Laptop with M2 chip: Built for Apple Intelligence, 13.6-inch Liquid Retina Display, 8GB RAM, 256GB SSD Storage, Backlit Keyboard, 1080p FaceTime HD Camera; Starlight</t>
  </si>
  <si>
    <t>2021 Apple MacBook Pro (16-inch, M1 Pro chip with 10‑core CPU and 16‑core GPU, 16GB RAM, 1TB SSD) - Silver</t>
  </si>
  <si>
    <t>Canon CRG 055 Standard Capacity Toner Cartridge for MF743 &amp; MF741 Printers, Bundle with Black/Cyan/Magenta/Yellow</t>
  </si>
  <si>
    <t>HP Original 952 Cyan, Magenta, Yellow / 952XL Black Ink Cartridges (4-Pack) | Works OfficeJet 8702 OfficeJet Pro 7700, 8210, 8700 Series | Eligible for Instant Ink | N9K28AN</t>
  </si>
  <si>
    <t>Brother Genuine TN227, TN227BK, High Yield Toner Cartridge, Replacement Black Toner, Page Yield Up to 3,000 Pages, TN227BK, Amazon Dash Available</t>
  </si>
  <si>
    <t>Brother Genuine LC401XL 3PK High Yield 3-Pack Color -Ink -Cartridges Includes 1- -Cartridge Each of Cyan, Magenta and Yellow -Ink.</t>
  </si>
  <si>
    <t>Brother HL-L3280CDW Wireless Compact Digital Color Printer with Laser Quality Output, Duplex, Mobile Printing &amp; Ethernet | Includes 4 Month Refresh Subscription Trial¹, Amazon Dash Replenishment Ready</t>
  </si>
  <si>
    <t>Scotch Thermal Laminator, Extra Wide 13 Inch Input, Ideal for Teachers, Small Offices, or Home (TL1302X)</t>
  </si>
  <si>
    <t>Scotch Self-Sealing Laminating Pouches, Wallet Photo Size, Glossy Finish, 2 1/2 in. x 3 1/2 in., 5 Pouches</t>
  </si>
  <si>
    <t>Scotch Laminating Sheets 9 in x 12 in Letter Size Single Sided</t>
  </si>
  <si>
    <t>MSI GF65 Thin 9SE-013 15.6" 120Hz Gaming Laptop Intel Core i7-9750H RTX2060 16GB 512GB Nvme SSD Win10Home</t>
  </si>
  <si>
    <t>MSI Thin GF63 12VE Gaming Laptop, 2023, 15.6" 1920 x 1080 144 Hz, Intel Core i7-12650H 10-Core, NVIDIA GeForce RTX 4050 6GB, 48GB DDR4, 1TB SSD, Windows 10 Pro, Backlit Keyboard, Black</t>
  </si>
  <si>
    <t xml:space="preserve">Microsoft Surface Pro 6 12.3" Intel i5 8350U 1.70GHz 8GB RAM 256GB SSD Win 11 - </t>
  </si>
  <si>
    <t>NEW Microsoft Surface Laptop 6 for Business 13" Ultra 5 16GB RAM 256GB SSD</t>
  </si>
  <si>
    <t>Microsoft Surface Laptop 4 i7- 1185G7  16GB RAM 256GB SSD TouchScreen Win 11 Pro</t>
  </si>
  <si>
    <t xml:space="preserve">Microsoft Surface Laptop 3 Intel Core i5-1035G7 16GB RAM 256GB SSD Win 11 Pro	</t>
  </si>
  <si>
    <t>NEW Microsoft Surface 6 Laptop 13.5" Intel Core Ultra 5 135H 16GB 256GB W11 Pro</t>
  </si>
  <si>
    <t>New! Microsoft Surface Laptop 4 -2K Touchscreen 13.5" Ryzen 7 16GB/512GB- Black</t>
  </si>
  <si>
    <t>Lenovo V15 Laptop, 15.6" FHD Display, AMD Ryzen 5 5500U Hexa-core Processor (Beat Intel i7-1065G7), 16GB RAM, 512GB SSD, HDMI, RJ45, Numeric Keypad, Wi-Fi, Windows 11 Pro, Black</t>
  </si>
  <si>
    <t>Lenovo V15 Laptop | 32GB RAM | 1TB PCIe SSD | Intel Celeron N4500 Processor | Intel UHD Graphics | 15.6" FHD 1080p Anti-Glare Display | Ethernet Port RJ-45 | Windows 11 Pro | WOWPC Recovery USB</t>
  </si>
  <si>
    <t>Dell Inspiron Laptop | Windows 11 Home | 15.6 FHD Anti-Glare Display | AMD Ryzen 3 3250U | AMD Radeon Graphics | 32GB RAM | 4TB SSD | Webcam+Microphone | Numeric Keypad</t>
  </si>
  <si>
    <t>Dell Inspiron 16 5640 2024 Business Laptop 16" WQXGA IPS 10-Core Intel 7 150U 64GB DDR5 1TB SSD NVIDIA GeForce MX570A 2GB GDDR6 Wi-Fi 6E Backlit Keyboard Fingerprint Win11 Pro</t>
  </si>
  <si>
    <t>DELL Precision M5520 Workstation Laptop FHD 1080P XEON E3-1505M v6 32GB RAM 1TB SSD Quadro M1200 4GB Win 10 Professional (Renewed)</t>
  </si>
  <si>
    <t>Dell 2023 Laptop | Inspiron | 14" 2240 x 1400 LED-Backlit | Intel Core i7-12700H 14-Core | 16GB DDR5 | 1TB SSD | Windows 11 Pro | Wi-Fi 6E - Bluetooth 5.1 - Backlit KB - 1080p FHD Camera - Dark Green</t>
  </si>
  <si>
    <t>ASUS Vivobook 15 F1504VAP Business Laptop 2024, 15.6" FHD IPS, Intel 7 150U 10-Core, Intel Graphics, 16GB DDR4 1TB SSD, Backlit Keyboard, Wi-Fi 6, Win11 Home, COU 32GB USB</t>
  </si>
  <si>
    <t>ASUS TUF 16" 165Hz WUXGA (1920x1200) IPS Gaming Laptop 2024 New | AMD Ryzen 7 7735HS 8-Core | AMD Radeon RX 7700S | Backlit Keyboard | Wi-Fi 6 | 64GB DDR5 2TB SSD | Win10 Home</t>
  </si>
  <si>
    <t>Apple MacBook 12" Notebook, 8 GB RAM, 512 GB SSD, Intel HD Graphics 5300, Gray (MJY42LL/A)</t>
  </si>
  <si>
    <t>Apple 2022 MacBook Air Laptop with M2 chip: Built for Apple Intelligence, 13.6-inch Liquid Retina Display, 8GB RAM, 256GB SSD Storage, Backlit Keyboard, 1080p FaceTime HD Camera; Silver</t>
  </si>
  <si>
    <t>Canon PIXMA TR4720 All-in-One Wireless Printer, Home Use with Auto Document Feeder, Mobile Printing and Built-in Fax, Black</t>
  </si>
  <si>
    <t>Canon PIXMA TR150 Wireless Portable Printer</t>
  </si>
  <si>
    <t>Original HP 962 Cyan, Magenta, Yellow / 962XL Black Ink Cartridges (4-Pack) | Works with HP OfficeJet 9010 Series, HP OfficeJet Pro 9010, 9020 Series</t>
  </si>
  <si>
    <t>Brother Genuine Standard-Yield Toner Cartridge Four Pack TN223 4PK - includes one cartridge each of Black, Cyan, Magenta &amp; Yellow Toner, Standard Yield, Model: TN2234PK</t>
  </si>
  <si>
    <t>MSI 2023 Gaming Laptop | Sword-A12VE | Intel-10 Core i7-12650H | NVIDIA GeForce RTX 4050 6GB | 16GB DDR5 | 2TB SSD | 15.6" 1920 x 1080 144Hz | Win10 Home - Wi-Fi 6 - Backlit Keyboard - White</t>
  </si>
  <si>
    <t>MSI 2023 Gaming Laptop Thin GF63 12VE | Intel Core i7-12650H 10-Core | NVIDIA GeForce RTX 4050 6GB | 48GB DDR4 | 1TB SSD | 15.6" 1920 x 1080 144 Hz | Win10 Pro - Backlit Keyboard - Black</t>
  </si>
  <si>
    <t>Microsoft Surface Laptop 5 13.5-inch, Intel i5, 8GB RAM, 512GB SSD - R1V-00005</t>
  </si>
  <si>
    <t>Microsoft Surface Laptop 7 13 Copilot+ 3.4 GHz Snapdragon X Plus 16GB 512GB NEW</t>
  </si>
  <si>
    <t>Microsoft Surface Laptop 7 Copilot+ 15" 2K TOUCH Snapdragon X Elite 16GB 256GB</t>
  </si>
  <si>
    <t>Lenovo V15 Gen 4 (15.6" FHD Anti-Glare, 13th Intel Core i5-13420H (Beat i7-1255U), 16GB RAM, 512GB SSD) for Business, Home, Military Grade, Ethernet, Webcam, IST Hub, Win 11 Pro w/AI Copilot, Black</t>
  </si>
  <si>
    <t>Lenovo V15 Business Laptop, 15.6" FHD Anti-Glare Display, Intel Celeron N4500 Processor, 32GB RAM, 512GB SSD, Wi-Fi, Ethernet, USB-C, HDMI, Webcam, Windows 11 Pro</t>
  </si>
  <si>
    <t>Lenovo V15 Business Laptop Computer, 15.6" FHD Display, Intel Dual-Core CPU, 16GB DDR4 RAM, 256GB PCIe SSD, WiFi 6, Bluetooth 5.2, RJ-45, Type-C, HDMI, Numeric Keypad, Black, Windows 11 Pro, Tichang</t>
  </si>
  <si>
    <t>Lenovo Essential IdeaPad • 36GB RAM • 1.5TB Storage(512GB SSD and 1TB Cloud Storage) • 15.6" Full HD • Intel 4-core • Free 1 Year Office 365 • Intel 4-core • Wi-Fi 6 • Type-C • Windows 11 Home</t>
  </si>
  <si>
    <t>Dell Inspiron Touchscreen Laptop, 15.6" Business &amp; Student Laptop Computer, Windows 11 Pro Laptop 32GB RAM 1TB SSD, Intel i5-1155G7 Processor, Full HD IPS Display, Numeric Keypad, HDMI, Carbon Black</t>
  </si>
  <si>
    <t>ASUS 2024 Gaming Laptop | ROG Strix G17 | AMD 16-Core Ryzen 9 7940HX | NVIDIA GeForce RTX 4050 | 64GB DDR5 | 8TB SSD | 17.3" 1920 x 1080 144Hz | Win11 Home - Wi-Fi 6E - BT5.3 - RGB Backlit KB - Gray</t>
  </si>
  <si>
    <t>ASUS 2023 Laptop | Vivobook S 16 Flip | 16" 1920 x 1200 Touch | Intel-14 Core i9-13900H | 24GB DDR4 | 1TB SSD | Windows 11 Home | Wi-Fi 6E - Bluetooth 5.3 - Backlit KB - 1080p Camera - Black</t>
  </si>
  <si>
    <t>ASUS ROG Zephyrus GA503 2023 Gaming Laptop 15.6” 165Hz WQHD Display AMD Ryzen 9 6900HS 8-Core 32GB DDR5 1TB SSD NVIDIA GeForce RTX 3060 6GB WiFi 6E RGB Backlit Keyboard RJ45 Win 10 w/ONT 32GB USB</t>
  </si>
  <si>
    <t>Late 2019 Apple MacBook Pro with 2.6GHz Intel Core i7 (16 inch, 32GB RAM, 512GB SSD) Space Gray (Renewed)</t>
  </si>
  <si>
    <t>Apple MacBook Air MJVE2LL/A 13-inch Laptop (1.6GHz Core i5,8GB RAM,128GB SSD) (Renewed)</t>
  </si>
  <si>
    <t>Apple 2023 MacBook Air M2 chip (15-inch, 8GB RAM, 512GB SSD Storage)(QWERTY English) Starlight (Renewed Premium)</t>
  </si>
  <si>
    <t>Canon CLI-281 Black, Cyan, Magenta and Yellow 4 Ink Pack, Compatible to TR8520, TR8620 Series, TS9120, and TS6210 Printers</t>
  </si>
  <si>
    <t>HP 65 Black/Tri-color Ink Cartridges (2-pack) | Works with HP AMP 100 Series, HP DeskJet 2600, 3700 Series, HP ENVY 5000 Series | Eligible for Instant Ink | T0A36AN</t>
  </si>
  <si>
    <t>HP 952XL Black High-yield Ink Cartridge | Works with HP OfficeJet 8702, HP OfficeJet Pro 7720, 7740, 8210, 8710, 8720, 8730, 8740 Series | Eligible for Instant Ink | F6U19AN</t>
  </si>
  <si>
    <t>HP 64XL Black High-yield Ink Cartridge | Works with HP ENVY Inspire 7950e; ENVY Photo 6200, 7100, 7800; Tango Series | Eligible for Instant Ink | N9J92AN</t>
  </si>
  <si>
    <t>HP 63XL Black High-yield Ink Cartridge | Works with HP DeskJet 1112, 2130, 3630 Series; HP ENVY 4510, 4520 Series; HP OfficeJet 3830, 4650, 5200 Series | Eligible for Instant Ink | F6U64AN</t>
  </si>
  <si>
    <t>HP 67 Black/Tri-Color Standard Yield Ink Cartridge, 2/Pack (3YP29AN#140) in Retail Packaging</t>
  </si>
  <si>
    <t>HP 923 Black, Cyan, Magenta, Yellow Ink Cartridges (4-Pack) | Works OfficeJet 8120 Series, OfficeJet Pro 8130 Series | Eligible for Instant Ink | 6C3Y6LN</t>
  </si>
  <si>
    <t>Scotch Thermal Laminating Pouches, 100 Count, Clear, 5 mil., Laminate Business Cards, Banners and Essays, Ideal Office or School Supplies, Fits Letter Sized Paper (8.9 in. × 11.4 in.)</t>
  </si>
  <si>
    <t>Scotch Thermal Laminating Pouches – 5 Mil, 7 x 5 Inches, Photo Size, 20-Pack – Clear, Durable, Photo-Safe Laminating Sheets for Home, Office, or School Use – 20 Count</t>
  </si>
  <si>
    <t>MSI Cyborg Gaming Laptop, Intel i7-13620H, 64 GB DDR5 RAM, 4 TB PCle SSD, 15.6" FHD (1920x1080) 144Hz Display, Nvidia G-Force RTX 4050, Backlit Keyboard, W11 Pro, Office 2021, Black</t>
  </si>
  <si>
    <t>Microsoft Surface Laptop Go 3 12.4" Touch Laptop (Intel i5-1235U/8GB/256GB)</t>
  </si>
  <si>
    <t>Microsoft Surface Laptop 5, 13.5" QHD Touch, i5-1235U, 8GB, 256GB SSD, Platinum</t>
  </si>
  <si>
    <t>Lenovo Legion Pro 5i 16"" WQXGA (2560 x 1600) Gaming Laptop - i9-13900HX (24-Core) Processor-GeForce RTX 4060 (TGP 140W), Win 11 Home, w/Mouse Pad (64GB RAM | 1TB PCIe SSD), Black</t>
  </si>
  <si>
    <t>Lenovo IdeaPad 1 Student Laptop Computer, 15.6" FHD Display, Intel Dual Core Processor, 32GB DDR4 RAM, 1TB PCIe SSD, WiFi 6, Bluetooth 5.2, Type-C, Cloud Grey, Windows 11 Pro, Tichang</t>
  </si>
  <si>
    <t>Dell Inspiron Laptop, 15.6" FHD Touchscreen, Intel-Core i7 1355U Processor (up to 5GHz, 10 cores), 16GB RAM, 1TB SSD, Intel Iris Xe Graphics, Wi-Fi 6, Bluetooth, Windows 11 Home</t>
  </si>
  <si>
    <t>Apple MacBook Air 13-inch Laptop (1.6GHz Core i5,4GB RAM,128GB SSD, early 2015)</t>
  </si>
  <si>
    <t>2019 Apple MacBook Pro with 2.3GHz Intel Core i9 (16-inch, 16GB RAM, 1TB Storage) Space Gray (Renewed)</t>
  </si>
  <si>
    <t>Late 2019 Apple MacBook Pro with 2.3GHz Intel Core i9 (16 inch, 32GB RAM, 1TB) Space Gray (Renewed)</t>
  </si>
  <si>
    <t>Apple 2024 MacBook Air 13-inch Laptop with M3 chip: Built for Apple Intelligence, 13.6-inch Liquid Retina Display, 24GB Unified Memory, 512GB SSD Storage, Backlit Keyboard, Touch ID; Midnight</t>
  </si>
  <si>
    <t>HP 58A Black Toner Cartridge | Works with HP LaserJet Enterprise M406 Series, HP LaserJet Enterprise MFP M430 Series, HP LaserJet Pro M404 Series, HP LaserJet Pro MFP M428 Series | CF258A</t>
  </si>
  <si>
    <t>HP 63 Black Ink Cartridge | Works with HP DeskJet 1112, 2130, 3630 Series; HP ENVY 4510, 4520 Series; HP OfficeJet 3830, 4650, 5200 Series | Eligible for Instant Ink | F6U62AN</t>
  </si>
  <si>
    <t>Brother Genuine Standard Yield Toner Cartridge, TN630, Replacement Black Toner, Page Yield Up To 1,200 Pages, Amazon Dash Replenishment Cartridge</t>
  </si>
  <si>
    <t>Brother Genuine High Yield Toner Cartridge, TN660, Replacement Black Toner, Page Yield Up to 2,600 Pages, Amazon Dash Replenishment Cartridge, Black, 1 pack</t>
  </si>
  <si>
    <t>Brother DCP-L2640DW Wireless Compact Monochrome Multi-Function Laser Printer with Copy and Scan, Duplex, Mobile, Black &amp; White | Includes Refresh Subscription Trial(1), Amazon Dash Replenishment Ready</t>
  </si>
  <si>
    <t>Brother MFC-L2900DW Wireless Compact Monochrome All-in-One Laser Printer with Duplex Copy &amp; Scan, Fax, Black &amp; White | Includes Refresh Subscription Trial(1), Amazon Dash Replenishment Ready</t>
  </si>
  <si>
    <t xml:space="preserve">Brother Genuine High Yield Color Ink Cartridge, LC2033PKS, Replacement Color Ink Three Pack, Includes 1 Cartridge Each of Cyan, Magenta &amp; Yellow, Page Yield Up To 550 Pages, Amazon Dash Replenishment </t>
  </si>
  <si>
    <t>Scotch Self-Seal Laminating Sheets, Single Sided, 16-Inches x 10-Foot Roll (LS854SS-ROLL)</t>
  </si>
  <si>
    <t>MSI Stealth 14 AI Studio 14” 120Hz 2.8K OLED Gaming Laptop: Intel Core Ultra 9-185H, NVIDIA Geforce RTX 4070, 64GB DDR5, 1TB NVMe SSD, Thunderbolt 4, Win 11 Pro: Star Blue A1VGG-089US</t>
  </si>
  <si>
    <t>MSI Raider 18 HX Gaming Laptop 18" 120Hz Mini LED 4K Display (Intel i9-14900HX, GeForce RTX 4090 16GB, 64GB DDR5, 2x2TB SSD R1 (2TB), Win 11 Pro) w/MS 365 Personal, DKZ USB Port Expander</t>
  </si>
  <si>
    <t>MSI 2023 Prestige Laptop 14" FHD 1920 x 1080 LED-Backlit 12th Generation Intel Core i7-1280P 14-Core 32GB LPDDR4 2TB SSD Wi-Fi 6E Windows 11 Home Bluetooth 5.2 Backlit Keyboard 720p HD Camera</t>
  </si>
  <si>
    <t>MSI 2024 Modern 15.6” FHD IPS Touchscreen Laptop 16-Core Intel Core Ultra 9 185H ARC Graphics 32GB DDR5 2TB NVMe SSD USB-C w/DP WiFi AX BT Webcam HDMI2.1 Backlit KB Windows 11 Pro w/RE USB</t>
  </si>
  <si>
    <t>Lenovo Premium Series 15 Laptop | 36GB RAM | 1.1TB Storage (640GB SSD &amp; 500GB HP P500 Portable SSD Red) | 1 Year Office 365 w/ 1TB Cloud Storage | Intel Core | 15.6" | Win 11 Pro</t>
  </si>
  <si>
    <t>Lenovo ThinkPad P16s (16" 4K OLED, AMD Ryzen 7 PRO 7840U, 64GB LPDDR5-6400 MHz, 4TB SSD, Radeon 780M) Mobile Workstation &amp; Business Laptop, dTPM, Fingerprint, 5MP Webcam, IST Hub, Win 11 Pro, Black</t>
  </si>
  <si>
    <t>Dell Gaming Laptop | G15 5520 | Intel Core i7-12700H 14-Core | NVIDIA GeForce RTX 3060 6GB | 16GB DDR5 | 1TB SSD | 15.6" 1920 x 1080 120 Hz | Win11 Pro - Backlit Keyboard - Dark Shadow Grey</t>
  </si>
  <si>
    <t>Dell G3 15 15.6" Gaming Laptop Intel Core i5 8GB RAM 1TB HHD Black - 8th Gen i5-8300H Quad-core - NVIDIA GeForce GTX 1050 4GB - 2.30 GHz Processor Speed - in-Plane Switching Technology - Windows</t>
  </si>
  <si>
    <t>Alienware m15 R5 15.6" 360Hz 1ms FHD Gaming Laptop, AMD Ryzen 9 5900HX (8 cores), GeForce RTX 3070, 64GB RAM, 2TB PCIe SSD, HDMI, WiFi 6, RGB Keyboard, Win 11 Home, Dark Side of The Moon</t>
  </si>
  <si>
    <t>Dell Inspiron 15.6 inch FHD Laptop, Intel Core i5-1135G7(Beats Intel i7-1065G7), 16GB RAM, 1TB PCIe SSD, Backlit Keyboard, Windows 11 Home, Webcam, SD-Card Reader, Wi-Fi, w/WOWPC Bundle</t>
  </si>
  <si>
    <t>ASUS 2023 Laptop | Vivobook S 16 Flip | 16" 1920 x 1200 Touch | Intel-14 Core i9-13900H | 16GB DDR4 | 1TB SSD | Windows 10 Home | Wi-Fi 6E - Bluetooth 5.3 - Backlit KB - 1080p Camera - Black</t>
  </si>
  <si>
    <t>ASUS TUF Dash F15 Gaming Laptop 2022, 15.6” 144Hz FHD Display, 12th Intel i7-12650H 10-Core, 32GB DDR5 1TB SSD, NVIDIA GeForce RTX 3070 8GB GDDR6, Thunderbolt, Backlit KB, RJ45, Win 11 Pro, COU USB</t>
  </si>
  <si>
    <t>ASUS 15.6” Vivobook Go Slim Laptop, Intel Dual Core N4500, 4GB RAM, 128GB SSD, Windows 11, Star Black, L510KA-ES04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</si>
</sst>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6" width="15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7769.0</v>
      </c>
      <c r="B2" s="1" t="s">
        <v>6</v>
      </c>
      <c r="C2" s="1" t="s">
        <v>7</v>
      </c>
      <c r="D2" s="1" t="str">
        <f>IFERROR(__xludf.DUMMYFUNCTION("CONCATENATE(GOOGLETRANSLATE(C2, ""en"", ""zh-cn""))"),"佳能 PG-260 正品黑色墨盒，兼容 TS5320/6420/6420a、TR7020/7020a")</f>
        <v>佳能 PG-260 正品黑色墨盒，兼容 TS5320/6420/6420a、TR7020/7020a</v>
      </c>
      <c r="E2" s="1" t="str">
        <f>IFERROR(__xludf.DUMMYFUNCTION("CONCATENATE(GOOGLETRANSLATE(C2, ""en"", ""ko""))"),"Canon PG-260 정품 검정 잉크 카트리지, TS5320/6420/6420a,TR7020/7020a와 호환 가능")</f>
        <v>Canon PG-260 정품 검정 잉크 카트리지, TS5320/6420/6420a,TR7020/7020a와 호환 가능</v>
      </c>
      <c r="F2" s="1" t="str">
        <f>IFERROR(__xludf.DUMMYFUNCTION("CONCATENATE(GOOGLETRANSLATE(C2, ""en"", ""ja""))"),"Canon PG-260 純正 ブラック インクカートリッジ TS5320/6420/6420a、TR7020/7020a 対応")</f>
        <v>Canon PG-260 純正 ブラック インクカートリッジ TS5320/6420/6420a、TR7020/7020a 対応</v>
      </c>
    </row>
    <row r="3">
      <c r="A3" s="1">
        <v>7815.0</v>
      </c>
      <c r="B3" s="1" t="s">
        <v>6</v>
      </c>
      <c r="C3" s="1" t="s">
        <v>8</v>
      </c>
      <c r="D3" s="1" t="str">
        <f>IFERROR(__xludf.DUMMYFUNCTION("CONCATENATE(GOOGLETRANSLATE(C3, ""en"", ""zh-cn""))"),"HP 910 青色、品红色、黄色墨盒 |适用于 HP OfficeJet 8010、8020 系列、HP OfficeJet Pro 8020、8030 系列 |符合 Instant Ink 条件 | 3YN97AN，3 件（1 件装）")</f>
        <v>HP 910 青色、品红色、黄色墨盒 |适用于 HP OfficeJet 8010、8020 系列、HP OfficeJet Pro 8020、8030 系列 |符合 Instant Ink 条件 | 3YN97AN，3 件（1 件装）</v>
      </c>
      <c r="E3" s="1" t="str">
        <f>IFERROR(__xludf.DUMMYFUNCTION("CONCATENATE(GOOGLETRANSLATE(C3, ""en"", ""ko""))"),"HP 910 시안, 마젠타, 노랑 잉크 카트리지 | HP OfficeJet 8010, 8020 시리즈, HP OfficeJet Pro 8020, 8030 시리즈와 함께 작동 | 인스턴트 잉크 사용 가능 | 3YN97AN, 3개(1팩)")</f>
        <v>HP 910 시안, 마젠타, 노랑 잉크 카트리지 | HP OfficeJet 8010, 8020 시리즈, HP OfficeJet Pro 8020, 8030 시리즈와 함께 작동 | 인스턴트 잉크 사용 가능 | 3YN97AN, 3개(1팩)</v>
      </c>
      <c r="F3" s="1" t="str">
        <f>IFERROR(__xludf.DUMMYFUNCTION("CONCATENATE(GOOGLETRANSLATE(C3, ""en"", ""ja""))"),"HP 910 シアン、マゼンタ、イエロー インク カートリッジ | HP OfficeJet 8010、8020 シリーズ、HP OfficeJet Pro 8020、8030 シリーズで動作 | Instant Ink の対象 | 3YN97AN、3カウント(1個入り)")</f>
        <v>HP 910 シアン、マゼンタ、イエロー インク カートリッジ | HP OfficeJet 8010、8020 シリーズ、HP OfficeJet Pro 8020、8030 シリーズで動作 | Instant Ink の対象 | 3YN97AN、3カウント(1個入り)</v>
      </c>
    </row>
    <row r="4">
      <c r="A4" s="1">
        <v>7816.0</v>
      </c>
      <c r="B4" s="1" t="s">
        <v>6</v>
      </c>
      <c r="C4" s="1" t="s">
        <v>9</v>
      </c>
      <c r="D4" s="1" t="str">
        <f>IFERROR(__xludf.DUMMYFUNCTION("CONCATENATE(GOOGLETRANSLATE(C4, ""en"", ""zh-cn""))"),"HP 910XL 黑色高印量墨盒 |适用于 HP OfficeJet 8010、8020 系列、HP OfficeJet Pro 8020、8030 系列 |符合 Instant Ink 条件 | 3YL65AN")</f>
        <v>HP 910XL 黑色高印量墨盒 |适用于 HP OfficeJet 8010、8020 系列、HP OfficeJet Pro 8020、8030 系列 |符合 Instant Ink 条件 | 3YL65AN</v>
      </c>
      <c r="E4" s="1" t="str">
        <f>IFERROR(__xludf.DUMMYFUNCTION("CONCATENATE(GOOGLETRANSLATE(C4, ""en"", ""ko""))"),"HP 910XL 검정 대용량 잉크 카트리지 | HP OfficeJet 8010, 8020 시리즈, HP OfficeJet Pro 8020, 8030 시리즈와 함께 작동 | 인스턴트 잉크 사용 가능 | 3YL65AN")</f>
        <v>HP 910XL 검정 대용량 잉크 카트리지 | HP OfficeJet 8010, 8020 시리즈, HP OfficeJet Pro 8020, 8030 시리즈와 함께 작동 | 인스턴트 잉크 사용 가능 | 3YL65AN</v>
      </c>
      <c r="F4" s="1" t="str">
        <f>IFERROR(__xludf.DUMMYFUNCTION("CONCATENATE(GOOGLETRANSLATE(C4, ""en"", ""ja""))"),"HP 910XL ブラック高収量インク カートリッジ | HP OfficeJet 8010、8020 シリーズ、HP OfficeJet Pro 8020、8030 シリーズで動作 | Instant Ink の対象 | 3YL65AN")</f>
        <v>HP 910XL ブラック高収量インク カートリッジ | HP OfficeJet 8010、8020 シリーズ、HP OfficeJet Pro 8020、8030 シリーズで動作 | Instant Ink の対象 | 3YL65AN</v>
      </c>
    </row>
    <row r="5">
      <c r="A5" s="1">
        <v>7829.0</v>
      </c>
      <c r="B5" s="1" t="s">
        <v>6</v>
      </c>
      <c r="C5" s="1" t="s">
        <v>10</v>
      </c>
      <c r="D5" s="1" t="str">
        <f>IFERROR(__xludf.DUMMYFUNCTION("CONCATENATE(GOOGLETRANSLATE(C5, ""en"", ""zh-cn""))"),"HP DeskJet 2855e 无线一体式彩色喷墨打印机、扫描仪、复印机，最适合家庭使用，包含 3 个月的 Instant Ink (588S5A)")</f>
        <v>HP DeskJet 2855e 无线一体式彩色喷墨打印机、扫描仪、复印机，最适合家庭使用，包含 3 个月的 Instant Ink (588S5A)</v>
      </c>
      <c r="E5" s="1" t="str">
        <f>IFERROR(__xludf.DUMMYFUNCTION("CONCATENATE(GOOGLETRANSLATE(C5, ""en"", ""ko""))"),"HP DeskJet 2855e 무선 올인원 컬러 잉크젯 프린터, 스캐너, 복사기, 가정용, 3개월 인스턴트 잉크 포함(588S5A)")</f>
        <v>HP DeskJet 2855e 무선 올인원 컬러 잉크젯 프린터, 스캐너, 복사기, 가정용, 3개월 인스턴트 잉크 포함(588S5A)</v>
      </c>
      <c r="F5" s="1" t="str">
        <f>IFERROR(__xludf.DUMMYFUNCTION("CONCATENATE(GOOGLETRANSLATE(C5, ""en"", ""ja""))"),"HP DeskJet 2855e ワイヤレス オールインワン カラー インクジェット プリンター、スキャナー、コピー機、家庭用に最適、3 か月分のインスタント インク付属 (588S5A)")</f>
        <v>HP DeskJet 2855e ワイヤレス オールインワン カラー インクジェット プリンター、スキャナー、コピー機、家庭用に最適、3 か月分のインスタント インク付属 (588S5A)</v>
      </c>
    </row>
    <row r="6">
      <c r="A6" s="1">
        <v>7844.0</v>
      </c>
      <c r="B6" s="1" t="s">
        <v>6</v>
      </c>
      <c r="C6" s="1" t="s">
        <v>11</v>
      </c>
      <c r="D6" s="1" t="str">
        <f>IFERROR(__xludf.DUMMYFUNCTION("CONCATENATE(GOOGLETRANSLATE(C6, ""en"", ""zh-cn""))"),"Brother DS-640 紧凑型移动文档扫描仪，（型号：DS640）1.5""x2""x11.9""")</f>
        <v>Brother DS-640 紧凑型移动文档扫描仪，（型号：DS640）1.5"x2"x11.9"</v>
      </c>
      <c r="E6" s="1" t="str">
        <f>IFERROR(__xludf.DUMMYFUNCTION("CONCATENATE(GOOGLETRANSLATE(C6, ""en"", ""ko""))"),"브라더 DS-640 컴팩트 모바일 문서 스캐너, (모델: DS640) 1.5""x2""x11.9""")</f>
        <v>브라더 DS-640 컴팩트 모바일 문서 스캐너, (모델: DS640) 1.5"x2"x11.9"</v>
      </c>
      <c r="F6" s="1" t="str">
        <f>IFERROR(__xludf.DUMMYFUNCTION("CONCATENATE(GOOGLETRANSLATE(C6, ""en"", ""ja""))"),"Brother DS-640 コンパクト モバイル ドキュメント スキャナー (モデル: DS640) 1.5 インチ x 2 インチ x 11.9 インチ")</f>
        <v>Brother DS-640 コンパクト モバイル ドキュメント スキャナー (モデル: DS640) 1.5 インチ x 2 インチ x 11.9 インチ</v>
      </c>
    </row>
    <row r="7">
      <c r="A7" s="1">
        <v>7849.0</v>
      </c>
      <c r="B7" s="1" t="s">
        <v>6</v>
      </c>
      <c r="C7" s="1" t="s">
        <v>12</v>
      </c>
      <c r="D7" s="1" t="str">
        <f>IFERROR(__xludf.DUMMYFUNCTION("CONCATENATE(GOOGLETRANSLATE(C7, ""en"", ""zh-cn""))"),"Brother P-Touch，PTD210，易于使用的标签制作套装（含 4 条标签带），白色，小号")</f>
        <v>Brother P-Touch，PTD210，易于使用的标签制作套装（含 4 条标签带），白色，小号</v>
      </c>
      <c r="E7" s="1" t="str">
        <f>IFERROR(__xludf.DUMMYFUNCTION("CONCATENATE(GOOGLETRANSLATE(C7, ""en"", ""ko""))"),"Brother P-Touch, PTD210, 사용하기 쉬운 라벨 메이커 번들(라벨 테이프 4개 포함), 흰색, 소형")</f>
        <v>Brother P-Touch, PTD210, 사용하기 쉬운 라벨 메이커 번들(라벨 테이프 4개 포함), 흰색, 소형</v>
      </c>
      <c r="F7" s="1" t="str">
        <f>IFERROR(__xludf.DUMMYFUNCTION("CONCATENATE(GOOGLETRANSLATE(C7, ""en"", ""ja""))"),"ブラザー ピータッチ PTD210 使いやすいラベルメーカーバンドル (ラベルテープ4本入り) ホワイト S")</f>
        <v>ブラザー ピータッチ PTD210 使いやすいラベルメーカーバンドル (ラベルテープ4本入り) ホワイト S</v>
      </c>
    </row>
    <row r="8">
      <c r="A8" s="1">
        <v>7853.0</v>
      </c>
      <c r="B8" s="1" t="s">
        <v>6</v>
      </c>
      <c r="C8" s="1" t="s">
        <v>13</v>
      </c>
      <c r="D8" s="1" t="str">
        <f>IFERROR(__xludf.DUMMYFUNCTION("CONCATENATE(GOOGLETRANSLATE(C8, ""en"", ""zh-cn""))"),"Brother P-Touch，PTM95，单色，便携式标签制作工具，9 种类型样式，8 种装饰模式图案，海军蓝、蓝灰色")</f>
        <v>Brother P-Touch，PTM95，单色，便携式标签制作工具，9 种类型样式，8 种装饰模式图案，海军蓝、蓝灰色</v>
      </c>
      <c r="E8" s="1" t="str">
        <f>IFERROR(__xludf.DUMMYFUNCTION("CONCATENATE(GOOGLETRANSLATE(C8, ""en"", ""ko""))"),"Brother P-Touch, PTM95, 흑백, 편리한 라벨 작성기, 9가지 유형 스타일, 8가지 감압 모드 패턴, 네이비 블루, 블루 그레이")</f>
        <v>Brother P-Touch, PTM95, 흑백, 편리한 라벨 작성기, 9가지 유형 스타일, 8가지 감압 모드 패턴, 네이비 블루, 블루 그레이</v>
      </c>
      <c r="F8" s="1" t="str">
        <f>IFERROR(__xludf.DUMMYFUNCTION("CONCATENATE(GOOGLETRANSLATE(C8, ""en"", ""ja""))"),"ブラザー ピータッチ PTM95 モノクロ ハンディラベルメーカー 9書体スタイ​​ル デコモード8パターン ネイビーブルー/ブルーグレー")</f>
        <v>ブラザー ピータッチ PTM95 モノクロ ハンディラベルメーカー 9書体スタイ​​ル デコモード8パターン ネイビーブルー/ブルーグレー</v>
      </c>
    </row>
    <row r="9">
      <c r="A9" s="1">
        <v>7880.0</v>
      </c>
      <c r="B9" s="1" t="s">
        <v>6</v>
      </c>
      <c r="C9" s="1" t="s">
        <v>14</v>
      </c>
      <c r="D9" s="1" t="str">
        <f>IFERROR(__xludf.DUMMYFUNCTION("CONCATENATE(GOOGLETRANSLATE(C9, ""en"", ""zh-cn""))"),"Scotch 干擦热层压袋，50 件装，适用于干擦记号笔，可重复使用的工作表、日历、清单，8.9 x 11.4 英寸，信纸尺寸，透明专业表面处理 (TP3854-50DE)")</f>
        <v>Scotch 干擦热层压袋，50 件装，适用于干擦记号笔，可重复使用的工作表、日历、清单，8.9 x 11.4 英寸，信纸尺寸，透明专业表面处理 (TP3854-50DE)</v>
      </c>
      <c r="E9" s="1" t="str">
        <f>IFERROR(__xludf.DUMMYFUNCTION("CONCATENATE(GOOGLETRANSLATE(C9, ""en"", ""ko""))"),"스카치 건식 지우기 열 라미네이팅 파우치, 50팩, 건식 지우기 마커와 함께 작동, 재사용 가능한 워크시트, 달력, 체크리스트, 8.9 x 11.4인치, Letter 크기, 투명 전문 마감(TP3854-50DE)")</f>
        <v>스카치 건식 지우기 열 라미네이팅 파우치, 50팩, 건식 지우기 마커와 함께 작동, 재사용 가능한 워크시트, 달력, 체크리스트, 8.9 x 11.4인치, Letter 크기, 투명 전문 마감(TP3854-50DE)</v>
      </c>
      <c r="F9" s="1" t="str">
        <f>IFERROR(__xludf.DUMMYFUNCTION("CONCATENATE(GOOGLETRANSLATE(C9, ""en"", ""ja""))"),"Scotch ドライイレースサーマルラミネートポーチ、50個パック、ドライイレースマーカー対応、再利用可能なワークシート、カレンダー、チェックリスト、8.9 x 11.4インチ、レターサイズ、クリアプロフェッショナル仕上げ (TP3854-50DE)")</f>
        <v>Scotch ドライイレースサーマルラミネートポーチ、50個パック、ドライイレースマーカー対応、再利用可能なワークシート、カレンダー、チェックリスト、8.9 x 11.4インチ、レターサイズ、クリアプロフェッショナル仕上げ (TP3854-50DE)</v>
      </c>
    </row>
    <row r="10">
      <c r="A10" s="1">
        <v>7881.0</v>
      </c>
      <c r="B10" s="1" t="s">
        <v>6</v>
      </c>
      <c r="C10" s="1" t="s">
        <v>15</v>
      </c>
      <c r="D10" s="1" t="str">
        <f>IFERROR(__xludf.DUMMYFUNCTION("CONCATENATE(GOOGLETRANSLATE(C10, ""en"", ""zh-cn""))"),"Scotch 热覆膜机，2 辊系统，用于专业表面处理，适合家庭、办公室或学校使用，适合与照片一起使用 (TL901X)")</f>
        <v>Scotch 热覆膜机，2 辊系统，用于专业表面处理，适合家庭、办公室或学校使用，适合与照片一起使用 (TL901X)</v>
      </c>
      <c r="E10" s="1" t="str">
        <f>IFERROR(__xludf.DUMMYFUNCTION("CONCATENATE(GOOGLETRANSLATE(C10, ""en"", ""ko""))"),"스카치 열 라미네이터, 전문가용 마감을 위한 2개의 롤러 시스템, 가정, 사무실 또는 학교에서 사용, 사진 작업에 적합(TL901X)")</f>
        <v>스카치 열 라미네이터, 전문가용 마감을 위한 2개의 롤러 시스템, 가정, 사무실 또는 학교에서 사용, 사진 작업에 적합(TL901X)</v>
      </c>
      <c r="F10" s="1" t="str">
        <f>IFERROR(__xludf.DUMMYFUNCTION("CONCATENATE(GOOGLETRANSLATE(C10, ""en"", ""ja""))"),"Scotch サーマルラミネーター、プロフェッショナルな仕上がりのための 2 ローラーシステム、家庭、オフィス、学校での使用、写真での使用に最適 (TL901X)")</f>
        <v>Scotch サーマルラミネーター、プロフェッショナルな仕上がりのための 2 ローラーシステム、家庭、オフィス、学校での使用、写真での使用に最適 (TL901X)</v>
      </c>
    </row>
    <row r="11">
      <c r="A11" s="1">
        <v>7897.0</v>
      </c>
      <c r="B11" s="1" t="s">
        <v>6</v>
      </c>
      <c r="C11" s="1" t="s">
        <v>16</v>
      </c>
      <c r="D11" s="1" t="str">
        <f>IFERROR(__xludf.DUMMYFUNCTION("CONCATENATE(GOOGLETRANSLATE(C11, ""en"", ""zh-cn""))"),"Scotch 可拆卸安装方块，灰色，1 英寸 x 1 英寸，最多可容纳 1 磅，16 个方块")</f>
        <v>Scotch 可拆卸安装方块，灰色，1 英寸 x 1 英寸，最多可容纳 1 磅，16 个方块</v>
      </c>
      <c r="E11" s="1" t="str">
        <f>IFERROR(__xludf.DUMMYFUNCTION("CONCATENATE(GOOGLETRANSLATE(C11, ""en"", ""ko""))"),"스카치 착탈식 장착 사각형, 회색, 1인치 x 1인치, 최대 1파운드 수용, 16 사각형")</f>
        <v>스카치 착탈식 장착 사각형, 회색, 1인치 x 1인치, 최대 1파운드 수용, 16 사각형</v>
      </c>
      <c r="F11" s="1" t="str">
        <f>IFERROR(__xludf.DUMMYFUNCTION("CONCATENATE(GOOGLETRANSLATE(C11, ""en"", ""ja""))"),"Scotch 取り外し可能取り付け正方形、グレー、1 インチ x 1 インチ、最大 1 ポンドまで保持、16 正方形")</f>
        <v>Scotch 取り外し可能取り付け正方形、グレー、1 インチ x 1 インチ、最大 1 ポンドまで保持、16 正方形</v>
      </c>
    </row>
    <row r="12">
      <c r="A12" s="1">
        <v>7898.0</v>
      </c>
      <c r="B12" s="1" t="s">
        <v>6</v>
      </c>
      <c r="C12" s="1" t="s">
        <v>17</v>
      </c>
      <c r="D12" s="1" t="str">
        <f>IFERROR(__xludf.DUMMYFUNCTION("CONCATENATE(GOOGLETRANSLATE(C12, ""en"", ""zh-cn""))"),"Scotch LS851G 名片层压袋，3-7/8 英寸 x2-7/8 英寸，25/包，透明")</f>
        <v>Scotch LS851G 名片层压袋，3-7/8 英寸 x2-7/8 英寸，25/包，透明</v>
      </c>
      <c r="E12" s="1" t="str">
        <f>IFERROR(__xludf.DUMMYFUNCTION("CONCATENATE(GOOGLETRANSLATE(C12, ""en"", ""ko""))"),"스카치 LS851G 명함 라미네이팅 파우치, 3-7/8인치 x2-7/8인치, 25/PK, 투명")</f>
        <v>스카치 LS851G 명함 라미네이팅 파우치, 3-7/8인치 x2-7/8인치, 25/PK, 투명</v>
      </c>
      <c r="F12" s="1" t="str">
        <f>IFERROR(__xludf.DUMMYFUNCTION("CONCATENATE(GOOGLETRANSLATE(C12, ""en"", ""ja""))"),"スコッチ LS851G 名刺ラミネートポーチ、3-7/8 インチ x2-7/8 インチ、25/PK、クリア")</f>
        <v>スコッチ LS851G 名刺ラミネートポーチ、3-7/8 インチ x2-7/8 インチ、25/PK、クリア</v>
      </c>
    </row>
    <row r="13">
      <c r="A13" s="1">
        <v>7928.0</v>
      </c>
      <c r="B13" s="1" t="s">
        <v>6</v>
      </c>
      <c r="C13" s="1" t="s">
        <v>18</v>
      </c>
      <c r="D13" s="1" t="str">
        <f>IFERROR(__xludf.DUMMYFUNCTION("CONCATENATE(GOOGLETRANSLATE(C13, ""en"", ""zh-cn""))"),"MSI GF63 薄型游戏笔记本电脑，15.6 英寸 FHD IPS 144Hz，第 12 代英特尔 10 核 i7-12650H，Geforce RTX 4050，32GB DDR4，1TB PCIe SSD+1TB HDD，背光，RJ45，USB-C，WiFi 6，Win 11，免费 HDMI 2.1 线缆")</f>
        <v>MSI GF63 薄型游戏笔记本电脑，15.6 英寸 FHD IPS 144Hz，第 12 代英特尔 10 核 i7-12650H，Geforce RTX 4050，32GB DDR4，1TB PCIe SSD+1TB HDD，背光，RJ45，USB-C，WiFi 6，Win 11，免费 HDMI 2.1 线缆</v>
      </c>
      <c r="E13" s="1" t="str">
        <f>IFERROR(__xludf.DUMMYFUNCTION("CONCATENATE(GOOGLETRANSLATE(C13, ""en"", ""ko""))"),"MSI GF63 씬 게이밍 노트북, 15.6인치 FHD IPS 144Hz, 12세대 인텔 10코어 i7-12650H, Geforce RTX 4050, 32GB DDR4, 1TB PCIe SSD+1TB HDD, 백라이트, RJ45, USB-C, WiFi 6, Win 11, 무료 HDMI 2.1 케이블")</f>
        <v>MSI GF63 씬 게이밍 노트북, 15.6인치 FHD IPS 144Hz, 12세대 인텔 10코어 i7-12650H, Geforce RTX 4050, 32GB DDR4, 1TB PCIe SSD+1TB HDD, 백라이트, RJ45, USB-C, WiFi 6, Win 11, 무료 HDMI 2.1 케이블</v>
      </c>
      <c r="F13" s="1" t="str">
        <f>IFERROR(__xludf.DUMMYFUNCTION("CONCATENATE(GOOGLETRANSLATE(C13, ""en"", ""ja""))"),"MSI GF63 薄型ゲーミング ノートパソコン、15.6 インチ FHD IPS 144Hz、第 12 世代インテル 10 コア i7-12650H、Geforce RTX 4050、32GB DDR4、1TB PCIe SSD+1TB HDD、バックライト付き、RJ45、USB-C、WiFi 6、Win 11、無料 HDMI 2.1 ケーブル")</f>
        <v>MSI GF63 薄型ゲーミング ノートパソコン、15.6 インチ FHD IPS 144Hz、第 12 世代インテル 10 コア i7-12650H、Geforce RTX 4050、32GB DDR4、1TB PCIe SSD+1TB HDD、バックライト付き、RJ45、USB-C、WiFi 6、Win 11、無料 HDMI 2.1 ケーブル</v>
      </c>
    </row>
    <row r="14">
      <c r="A14" s="1">
        <v>7930.0</v>
      </c>
      <c r="B14" s="1" t="s">
        <v>6</v>
      </c>
      <c r="C14" s="1" t="s">
        <v>19</v>
      </c>
      <c r="D14" s="1" t="str">
        <f>IFERROR(__xludf.DUMMYFUNCTION("CONCATENATE(GOOGLETRANSLATE(C14, ""en"", ""zh-cn""))"),"MSI Thin GF63 12UCX 游戏笔记本电脑，2024 年，15.6 英寸 1920x1080 144Hz，英特尔 8 核 i5-12450H，NVIDIA GeForce RTX 2050，32GB DDR4，1TB SSD，Win11 Home，背光 KB，Wi-Fi 6，BT 5.2，720p 高清摄像头，黑色")</f>
        <v>MSI Thin GF63 12UCX 游戏笔记本电脑，2024 年，15.6 英寸 1920x1080 144Hz，英特尔 8 核 i5-12450H，NVIDIA GeForce RTX 2050，32GB DDR4，1TB SSD，Win11 Home，背光 KB，Wi-Fi 6，BT 5.2，720p 高清摄像头，黑色</v>
      </c>
      <c r="E14" s="1" t="str">
        <f>IFERROR(__xludf.DUMMYFUNCTION("CONCATENATE(GOOGLETRANSLATE(C14, ""en"", ""ko""))"),"MSI Thin GF63 12UCX 게이밍 노트북, 2024, 15.6인치 1920x1080 144Hz, Intel 8코어 i5-12450H, NVIDIA GeForce RTX 2050, 32GB DDR4, 1TB SSD, Win11 Home, 백라이트 KB, Wi-Fi 6, BT 5.2, 720p HD 카메라, 블랙")</f>
        <v>MSI Thin GF63 12UCX 게이밍 노트북, 2024, 15.6인치 1920x1080 144Hz, Intel 8코어 i5-12450H, NVIDIA GeForce RTX 2050, 32GB DDR4, 1TB SSD, Win11 Home, 백라이트 KB, Wi-Fi 6, BT 5.2, 720p HD 카메라, 블랙</v>
      </c>
      <c r="F14" s="1" t="str">
        <f>IFERROR(__xludf.DUMMYFUNCTION("CONCATENATE(GOOGLETRANSLATE(C14, ""en"", ""ja""))"),"MSI 薄型 GF63 12UCX ゲーミング ノートパソコン、2024 年、15.6 インチ 1920x1080 144Hz、Intel 8 コア i5-12450H、NVIDIA GeForce RTX 2050、32GB DDR4、1TB SSD、Win11 Home、バックライト付き KB、Wi-Fi 6、BT 5.2、720p HDカメラ、ブラック")</f>
        <v>MSI 薄型 GF63 12UCX ゲーミング ノートパソコン、2024 年、15.6 インチ 1920x1080 144Hz、Intel 8 コア i5-12450H、NVIDIA GeForce RTX 2050、32GB DDR4、1TB SSD、Win11 Home、バックライト付き KB、Wi-Fi 6、BT 5.2、720p HDカメラ、ブラック</v>
      </c>
    </row>
    <row r="15">
      <c r="A15" s="1">
        <v>7970.0</v>
      </c>
      <c r="B15" s="1" t="s">
        <v>6</v>
      </c>
      <c r="C15" s="1" t="s">
        <v>20</v>
      </c>
      <c r="D15" s="1" t="str">
        <f>IFERROR(__xludf.DUMMYFUNCTION("CONCATENATE(GOOGLETRANSLATE(C15, ""en"", ""zh-cn""))"),"微软 Surface 笔记本电脑 Go 酷睿 i5-1035G1 1GHz 128GB SSD 8GB RAM 12.4 英寸")</f>
        <v>微软 Surface 笔记本电脑 Go 酷睿 i5-1035G1 1GHz 128GB SSD 8GB RAM 12.4 英寸</v>
      </c>
      <c r="E15" s="1" t="str">
        <f>IFERROR(__xludf.DUMMYFUNCTION("CONCATENATE(GOOGLETRANSLATE(C15, ""en"", ""ko""))"),"마이크로소프트 서피스 노트북 고 코어 i5-1035G1 1GHz 128GB SSD 8GB RAM 12.4인치")</f>
        <v>마이크로소프트 서피스 노트북 고 코어 i5-1035G1 1GHz 128GB SSD 8GB RAM 12.4인치</v>
      </c>
      <c r="F15" s="1" t="str">
        <f>IFERROR(__xludf.DUMMYFUNCTION("CONCATENATE(GOOGLETRANSLATE(C15, ""en"", ""ja""))"),"Microsoft Surface Laptop Go Core i5-1035G1 1GHz 128GB SSD 8GB RAM 12.4""")</f>
        <v>Microsoft Surface Laptop Go Core i5-1035G1 1GHz 128GB SSD 8GB RAM 12.4"</v>
      </c>
    </row>
    <row r="16">
      <c r="A16" s="1">
        <v>7990.0</v>
      </c>
      <c r="B16" s="1" t="s">
        <v>6</v>
      </c>
      <c r="C16" s="1" t="s">
        <v>21</v>
      </c>
      <c r="D16" s="1" t="str">
        <f>IFERROR(__xludf.DUMMYFUNCTION("CONCATENATE(GOOGLETRANSLATE(C16, ""en"", ""zh-cn""))"),"微软 Surface 笔记本电脑 5 15 英寸 QHD+ 触摸屏 2.7 GHz i7-1265U 16GB 256GB 优秀")</f>
        <v>微软 Surface 笔记本电脑 5 15 英寸 QHD+ 触摸屏 2.7 GHz i7-1265U 16GB 256GB 优秀</v>
      </c>
      <c r="E16" s="1" t="str">
        <f>IFERROR(__xludf.DUMMYFUNCTION("CONCATENATE(GOOGLETRANSLATE(C16, ""en"", ""ko""))"),"마이크로소프트 서피스 랩탑 5 15인치 QHD+ 터치 2.7 GHz i7-1265U 16GB 256GB 상태 매우 좋음")</f>
        <v>마이크로소프트 서피스 랩탑 5 15인치 QHD+ 터치 2.7 GHz i7-1265U 16GB 256GB 상태 매우 좋음</v>
      </c>
      <c r="F16" s="1" t="str">
        <f>IFERROR(__xludf.DUMMYFUNCTION("CONCATENATE(GOOGLETRANSLATE(C16, ""en"", ""ja""))"),"Microsoft Surface Laptop 5 15"" QHD+ TOUCH 2.7 GHz i7-1265U 16GB 256GB Excellent")</f>
        <v>Microsoft Surface Laptop 5 15" QHD+ TOUCH 2.7 GHz i7-1265U 16GB 256GB Excellent</v>
      </c>
    </row>
    <row r="17">
      <c r="A17" s="1">
        <v>7991.0</v>
      </c>
      <c r="B17" s="1" t="s">
        <v>6</v>
      </c>
      <c r="C17" s="1" t="s">
        <v>22</v>
      </c>
      <c r="D17" s="1" t="str">
        <f>IFERROR(__xludf.DUMMYFUNCTION("CONCATENATE(GOOGLETRANSLATE(C17, ""en"", ""zh-cn""))"),"开箱/全新 Microsoft Surface 笔记本电脑黑色 Snapdragon X Plus 16GB RAM 512GB")</f>
        <v>开箱/全新 Microsoft Surface 笔记本电脑黑色 Snapdragon X Plus 16GB RAM 512GB</v>
      </c>
      <c r="E17" s="1" t="str">
        <f>IFERROR(__xludf.DUMMYFUNCTION("CONCATENATE(GOOGLETRANSLATE(C17, ""en"", ""ko""))"),"박스 개봉/새 제품 마이크로소프트 서피스 노트북 블랙 스냅드래곤 X 플러스 16GB RAM 512GB")</f>
        <v>박스 개봉/새 제품 마이크로소프트 서피스 노트북 블랙 스냅드래곤 X 플러스 16GB RAM 512GB</v>
      </c>
      <c r="F17" s="1" t="str">
        <f>IFERROR(__xludf.DUMMYFUNCTION("CONCATENATE(GOOGLETRANSLATE(C17, ""en"", ""ja""))"),"オープンボックス/新品 Microsoft Surface Laptop ブラック Snapdragon X Plus 16GB RAM 512GB")</f>
        <v>オープンボックス/新品 Microsoft Surface Laptop ブラック Snapdragon X Plus 16GB RAM 512GB</v>
      </c>
    </row>
    <row r="18">
      <c r="A18" s="1">
        <v>8006.0</v>
      </c>
      <c r="B18" s="1" t="s">
        <v>6</v>
      </c>
      <c r="C18" s="1" t="s">
        <v>23</v>
      </c>
      <c r="D18" s="1" t="str">
        <f>IFERROR(__xludf.DUMMYFUNCTION("CONCATENATE(GOOGLETRANSLATE(C18, ""en"", ""zh-cn""))"),"微软 Surface 笔记本电脑 2 13.5 英寸触摸屏 i7-8650U 16GB RAM 512GB SSD W10 黑色")</f>
        <v>微软 Surface 笔记本电脑 2 13.5 英寸触摸屏 i7-8650U 16GB RAM 512GB SSD W10 黑色</v>
      </c>
      <c r="E18" s="1" t="str">
        <f>IFERROR(__xludf.DUMMYFUNCTION("CONCATENATE(GOOGLETRANSLATE(C18, ""en"", ""ko""))"),"마이크로소프트 서피스 노트북 2 13.5인치 터치 i7-8650U 16GB RAM 512GB SSD 윈도우10 블랙")</f>
        <v>마이크로소프트 서피스 노트북 2 13.5인치 터치 i7-8650U 16GB RAM 512GB SSD 윈도우10 블랙</v>
      </c>
      <c r="F18" s="1" t="str">
        <f>IFERROR(__xludf.DUMMYFUNCTION("CONCATENATE(GOOGLETRANSLATE(C18, ""en"", ""ja""))"),"Microsoft Surface Laptop 2 13.5インチ タッチ i7-8650U 16GB RAM 512GB SSD W10 ブラック")</f>
        <v>Microsoft Surface Laptop 2 13.5インチ タッチ i7-8650U 16GB RAM 512GB SSD W10 ブラック</v>
      </c>
    </row>
    <row r="19">
      <c r="A19" s="1">
        <v>8040.0</v>
      </c>
      <c r="B19" s="1" t="s">
        <v>6</v>
      </c>
      <c r="C19" s="1" t="s">
        <v>24</v>
      </c>
      <c r="D19" s="1" t="str">
        <f>IFERROR(__xludf.DUMMYFUNCTION("CONCATENATE(GOOGLETRANSLATE(C19, ""en"", ""zh-cn""))"),"戴尔 Inspiron 灵越 3511 15.6 英寸全高清笔记本电脑，第 11 代英特尔酷睿 i5-1135G7 四核，16GB RAM，1TB SSD，HDMI，网络摄像头，Windows 10，黑色（续订）")</f>
        <v>戴尔 Inspiron 灵越 3511 15.6 英寸全高清笔记本电脑，第 11 代英特尔酷睿 i5-1135G7 四核，16GB RAM，1TB SSD，HDMI，网络摄像头，Windows 10，黑色（续订）</v>
      </c>
      <c r="E19" s="1" t="str">
        <f>IFERROR(__xludf.DUMMYFUNCTION("CONCATENATE(GOOGLETRANSLATE(C19, ""en"", ""ko""))"),"Dell Inspiron 3511 15.6인치 FHD 노트북, 11세대 Intel Core i5-1135G7 쿼드 코어, 16GB RAM, 1TB SSD, HDMI, 웹캠, Windows 10, 블랙(리뉴얼)")</f>
        <v>Dell Inspiron 3511 15.6인치 FHD 노트북, 11세대 Intel Core i5-1135G7 쿼드 코어, 16GB RAM, 1TB SSD, HDMI, 웹캠, Windows 10, 블랙(리뉴얼)</v>
      </c>
      <c r="F19" s="1" t="str">
        <f>IFERROR(__xludf.DUMMYFUNCTION("CONCATENATE(GOOGLETRANSLATE(C19, ""en"", ""ja""))"),"Dell Inspiron 3511 15.6 インチ FHD ノートパソコン、第 11 世代インテル Core i5-1135G7 クアッドコア、16GB RAM、1TB SSD、HDMI、ウェブカメラ、Windows 10、ブラック (リニューアル)")</f>
        <v>Dell Inspiron 3511 15.6 インチ FHD ノートパソコン、第 11 世代インテル Core i5-1135G7 クアッドコア、16GB RAM、1TB SSD、HDMI、ウェブカメラ、Windows 10、ブラック (リニューアル)</v>
      </c>
    </row>
    <row r="20">
      <c r="A20" s="1">
        <v>8042.0</v>
      </c>
      <c r="B20" s="1" t="s">
        <v>6</v>
      </c>
      <c r="C20" s="1" t="s">
        <v>25</v>
      </c>
      <c r="D20" s="1" t="str">
        <f>IFERROR(__xludf.DUMMYFUNCTION("CONCATENATE(GOOGLETRANSLATE(C20, ""en"", ""zh-cn""))"),"戴尔 Inspiron 灵越 3511 笔记本电脑，15.6 英寸全高清触摸屏，英特尔酷睿 i5-1135G7（击败英特尔 i7-1065G7），32GB DDR4 RAM，1TB PCIe 固态硬盘，SD 读卡器，HDMI，Wi-Fi，Windows 11 家庭版，黑色")</f>
        <v>戴尔 Inspiron 灵越 3511 笔记本电脑，15.6 英寸全高清触摸屏，英特尔酷睿 i5-1135G7（击败英特尔 i7-1065G7），32GB DDR4 RAM，1TB PCIe 固态硬盘，SD 读卡器，HDMI，Wi-Fi，Windows 11 家庭版，黑色</v>
      </c>
      <c r="E20" s="1" t="str">
        <f>IFERROR(__xludf.DUMMYFUNCTION("CONCATENATE(GOOGLETRANSLATE(C20, ""en"", ""ko""))"),"Dell Inspiron 3511 노트북, 15.6인치 풀 HD 터치스크린, Intel Core i5-1135G7(Intel i7-1065G7 능가), 32GB DDR4 RAM, 1TB PCIe SSD, SD 카드 리더기, HDMI, Wi-Fi, Windows 11 Home, 블랙")</f>
        <v>Dell Inspiron 3511 노트북, 15.6인치 풀 HD 터치스크린, Intel Core i5-1135G7(Intel i7-1065G7 능가), 32GB DDR4 RAM, 1TB PCIe SSD, SD 카드 리더기, HDMI, Wi-Fi, Windows 11 Home, 블랙</v>
      </c>
      <c r="F20" s="1" t="str">
        <f>IFERROR(__xludf.DUMMYFUNCTION("CONCATENATE(GOOGLETRANSLATE(C20, ""en"", ""ja""))"),"Dell Inspiron 3511 ラップトップ、15.6 インチ フル HD タッチスクリーン、Intel Core i5-1135G7 (Intel i7-1065G7 を上回る)、32GB DDR4 RAM、1TB PCIe SSD、SD カード リーダー、HDMI、Wi-Fi、Windows 11 Home、ブラック")</f>
        <v>Dell Inspiron 3511 ラップトップ、15.6 インチ フル HD タッチスクリーン、Intel Core i5-1135G7 (Intel i7-1065G7 を上回る)、32GB DDR4 RAM、1TB PCIe SSD、SD カード リーダー、HDMI、Wi-Fi、Windows 11 Home、ブラック</v>
      </c>
    </row>
    <row r="21" ht="15.75" customHeight="1">
      <c r="A21" s="1">
        <v>8048.0</v>
      </c>
      <c r="B21" s="1" t="s">
        <v>6</v>
      </c>
      <c r="C21" s="1" t="s">
        <v>26</v>
      </c>
      <c r="D21" s="1" t="str">
        <f>IFERROR(__xludf.DUMMYFUNCTION("CONCATENATE(GOOGLETRANSLATE(C21, ""en"", ""zh-cn""))"),"戴尔 2024 年 Inspiron 灵越 15 商用笔记本电脑，15.6 英寸 1920x1080 全高清，第 12 代英特尔 i5-1235U 4.4 GHz，配备 Microsoft Office 365、Win 11 Home、网络摄像头、蓝牙、碳黑（16GB RAM | 512GB PCIe SSD）")</f>
        <v>戴尔 2024 年 Inspiron 灵越 15 商用笔记本电脑，15.6 英寸 1920x1080 全高清，第 12 代英特尔 i5-1235U 4.4 GHz，配备 Microsoft Office 365、Win 11 Home、网络摄像头、蓝牙、碳黑（16GB RAM | 512GB PCIe SSD）</v>
      </c>
      <c r="E21" s="1" t="str">
        <f>IFERROR(__xludf.DUMMYFUNCTION("CONCATENATE(GOOGLETRANSLATE(C21, ""en"", ""ko""))"),"Dell 2024 Inspiron 15 비즈니스 노트북, 15.6인치 1920x1080 FHD, 12세대 Intel i5-1235U 4.4 GHz, Microsoft Office 365 탑재, Win 11 Home, 웹캠, 블루투스, 카본 블랙(16GB RAM | 512GB PCIe SSD)")</f>
        <v>Dell 2024 Inspiron 15 비즈니스 노트북, 15.6인치 1920x1080 FHD, 12세대 Intel i5-1235U 4.4 GHz, Microsoft Office 365 탑재, Win 11 Home, 웹캠, 블루투스, 카본 블랙(16GB RAM | 512GB PCIe SSD)</v>
      </c>
      <c r="F21" s="1" t="str">
        <f>IFERROR(__xludf.DUMMYFUNCTION("CONCATENATE(GOOGLETRANSLATE(C21, ""en"", ""ja""))"),"Dell 2024 Inspiron 15 ビジネス ノートパソコン、15.6 インチ 1920x1080 FHD、第 12 世代 Intel i5-1235U 4.4 GHz、Microsoft Office 365、Win 11 Home、Web カメラ、Bluetooth、カーボン ブラック (16GB RAM | 512GB PCIe SSD)")</f>
        <v>Dell 2024 Inspiron 15 ビジネス ノートパソコン、15.6 インチ 1920x1080 FHD、第 12 世代 Intel i5-1235U 4.4 GHz、Microsoft Office 365、Win 11 Home、Web カメラ、Bluetooth、カーボン ブラック (16GB RAM | 512GB PCIe SSD)</v>
      </c>
    </row>
    <row r="22" ht="15.75" customHeight="1">
      <c r="A22" s="1">
        <v>8052.0</v>
      </c>
      <c r="B22" s="1" t="s">
        <v>6</v>
      </c>
      <c r="C22" s="1" t="s">
        <v>27</v>
      </c>
      <c r="D22" s="1" t="str">
        <f>IFERROR(__xludf.DUMMYFUNCTION("CONCATENATE(GOOGLETRANSLATE(C22, ""en"", ""zh-cn""))"),"戴尔 Inspiron 灵越 14 二合一个人笔记本电脑，2024 年，14 英寸 1920 x 1200 触摸 IPS，英特尔酷睿 7 150U 10 核，64GB DDR5，4TB SSD，Win11 Pro，背光键盘，Wi-Fi 6E，BT 5.3，1080p FHD 摄像头，冰蓝色")</f>
        <v>戴尔 Inspiron 灵越 14 二合一个人笔记本电脑，2024 年，14 英寸 1920 x 1200 触摸 IPS，英特尔酷睿 7 150U 10 核，64GB DDR5，4TB SSD，Win11 Pro，背光键盘，Wi-Fi 6E，BT 5.3，1080p FHD 摄像头，冰蓝色</v>
      </c>
      <c r="E22" s="1" t="str">
        <f>IFERROR(__xludf.DUMMYFUNCTION("CONCATENATE(GOOGLETRANSLATE(C22, ""en"", ""ko""))"),"Dell Inspiron 14 2-in-1 개인용 노트북, 2024, 14인치 1920 x 1200 터치 IPS, Intel Core 7 150U 10코어, 64GB DDR5, 4TB SSD, Win11 Pro, 백라이트 키보드, Wi-Fi 6E, BT 5.3, 1080p FHD 카메라, 아이스 블루")</f>
        <v>Dell Inspiron 14 2-in-1 개인용 노트북, 2024, 14인치 1920 x 1200 터치 IPS, Intel Core 7 150U 10코어, 64GB DDR5, 4TB SSD, Win11 Pro, 백라이트 키보드, Wi-Fi 6E, BT 5.3, 1080p FHD 카메라, 아이스 블루</v>
      </c>
      <c r="F22" s="1" t="str">
        <f>IFERROR(__xludf.DUMMYFUNCTION("CONCATENATE(GOOGLETRANSLATE(C22, ""en"", ""ja""))"),"Dell Inspiron 14 2-in-1 パーソナル ラップトップ、2024、14 インチ 1920 x 1200 タッチ IPS、Intel Core 7 150U 10 コア、64GB DDR5、4TB SSD、Win11 Pro、バックライト付きキーボード、Wi-Fi 6E、BT 5.3、1080p FHD カメラ、アイスブルー")</f>
        <v>Dell Inspiron 14 2-in-1 パーソナル ラップトップ、2024、14 インチ 1920 x 1200 タッチ IPS、Intel Core 7 150U 10 コア、64GB DDR5、4TB SSD、Win11 Pro、バックライト付きキーボード、Wi-Fi 6E、BT 5.3、1080p FHD カメラ、アイスブルー</v>
      </c>
    </row>
    <row r="23" ht="15.75" customHeight="1">
      <c r="A23" s="1">
        <v>8127.0</v>
      </c>
      <c r="B23" s="1" t="s">
        <v>6</v>
      </c>
      <c r="C23" s="1" t="s">
        <v>28</v>
      </c>
      <c r="D23" s="1" t="str">
        <f>IFERROR(__xludf.DUMMYFUNCTION("CONCATENATE(GOOGLETRANSLATE(C23, ""en"", ""zh-cn""))"),"2020 年 Apple MacBook Air，配备 Apple M1 芯片（13 英寸，8GB RAM，512GB SSD 存储）金色（续订）")</f>
        <v>2020 年 Apple MacBook Air，配备 Apple M1 芯片（13 英寸，8GB RAM，512GB SSD 存储）金色（续订）</v>
      </c>
      <c r="E23" s="1" t="str">
        <f>IFERROR(__xludf.DUMMYFUNCTION("CONCATENATE(GOOGLETRANSLATE(C23, ""en"", ""ko""))"),"Apple M1 칩 탑재 2020 Apple MacBook Air(13인치, 8GB RAM, 512GB SSD 스토리지) 골드(리뉴얼)")</f>
        <v>Apple M1 칩 탑재 2020 Apple MacBook Air(13인치, 8GB RAM, 512GB SSD 스토리지) 골드(리뉴얼)</v>
      </c>
      <c r="F23" s="1" t="str">
        <f>IFERROR(__xludf.DUMMYFUNCTION("CONCATENATE(GOOGLETRANSLATE(C23, ""en"", ""ja""))"),"2020 Apple MacBook Air (Apple M1 チップ搭載) (13 インチ、8GB RAM、512GB SSD ストレージ) ゴールド (新品)")</f>
        <v>2020 Apple MacBook Air (Apple M1 チップ搭載) (13 インチ、8GB RAM、512GB SSD ストレージ) ゴールド (新品)</v>
      </c>
    </row>
    <row r="24" ht="15.75" customHeight="1">
      <c r="A24" s="1">
        <v>8131.0</v>
      </c>
      <c r="B24" s="1" t="s">
        <v>6</v>
      </c>
      <c r="C24" s="1" t="s">
        <v>29</v>
      </c>
      <c r="D24" s="1" t="str">
        <f>IFERROR(__xludf.DUMMYFUNCTION("CONCATENATE(GOOGLETRANSLATE(C24, ""en"", ""zh-cn""))"),"2019 年 Apple MacBook Pro，配备 1.4GHz Intel Core i5（13 英寸，8GB RAM，128GB SSD）- 深空灰色（更新版）")</f>
        <v>2019 年 Apple MacBook Pro，配备 1.4GHz Intel Core i5（13 英寸，8GB RAM，128GB SSD）- 深空灰色（更新版）</v>
      </c>
      <c r="E24" s="1" t="str">
        <f>IFERROR(__xludf.DUMMYFUNCTION("CONCATENATE(GOOGLETRANSLATE(C24, ""en"", ""ko""))"),"2019 Apple MacBook Pro with 1.4GHz Intel Core i5(13인치, 8GB RAM, 128GB SSD) - 스페이스 그레이(리뉴얼)")</f>
        <v>2019 Apple MacBook Pro with 1.4GHz Intel Core i5(13인치, 8GB RAM, 128GB SSD) - 스페이스 그레이(리뉴얼)</v>
      </c>
      <c r="F24" s="1" t="str">
        <f>IFERROR(__xludf.DUMMYFUNCTION("CONCATENATE(GOOGLETRANSLATE(C24, ""en"", ""ja""))"),"1.4GHz Intel Core i5 搭載 2019 Apple MacBook Pro (13 インチ、8GB RAM、128GB SSD) - スペースグレイ (リニューアル)")</f>
        <v>1.4GHz Intel Core i5 搭載 2019 Apple MacBook Pro (13 インチ、8GB RAM、128GB SSD) - スペースグレイ (リニューアル)</v>
      </c>
    </row>
    <row r="25" ht="15.75" customHeight="1">
      <c r="A25" s="1">
        <v>8135.0</v>
      </c>
      <c r="B25" s="1" t="s">
        <v>6</v>
      </c>
      <c r="C25" s="1" t="s">
        <v>30</v>
      </c>
      <c r="D25" s="1" t="str">
        <f>IFERROR(__xludf.DUMMYFUNCTION("CONCATENATE(GOOGLETRANSLATE(C25, ""en"", ""zh-cn""))"),"2024 年 Apple MacBook Pro，配备 Apple M4 芯片（14 英寸，16GB RAM，512GB SSD 存储）（QWERTY 英文）深空黑色（续订）")</f>
        <v>2024 年 Apple MacBook Pro，配备 Apple M4 芯片（14 英寸，16GB RAM，512GB SSD 存储）（QWERTY 英文）深空黑色（续订）</v>
      </c>
      <c r="E25" s="1" t="str">
        <f>IFERROR(__xludf.DUMMYFUNCTION("CONCATENATE(GOOGLETRANSLATE(C25, ""en"", ""ko""))"),"2024 Apple MacBook Pro with Apple M4 칩(14인치, 16GB RAM, 512GB SSD 스토리지)(QWERTY 영어) 스페이스 블랙(리뉴얼)")</f>
        <v>2024 Apple MacBook Pro with Apple M4 칩(14인치, 16GB RAM, 512GB SSD 스토리지)(QWERTY 영어) 스페이스 블랙(리뉴얼)</v>
      </c>
      <c r="F25" s="1" t="str">
        <f>IFERROR(__xludf.DUMMYFUNCTION("CONCATENATE(GOOGLETRANSLATE(C25, ""en"", ""ja""))"),"2024 Apple MacBook Pro (Apple M4 チップ搭載) (14 インチ、16GB RAM、512GB SSD ストレージ) (QWERTY 英語) スペースブラック (リニューアル)")</f>
        <v>2024 Apple MacBook Pro (Apple M4 チップ搭載) (14 インチ、16GB RAM、512GB SSD ストレージ) (QWERTY 英語) スペースブラック (リニューアル)</v>
      </c>
    </row>
    <row r="26" ht="15.75" customHeight="1">
      <c r="A26" s="1">
        <v>8142.0</v>
      </c>
      <c r="B26" s="1" t="s">
        <v>6</v>
      </c>
      <c r="C26" s="1" t="s">
        <v>31</v>
      </c>
      <c r="D26" s="1" t="str">
        <f>IFERROR(__xludf.DUMMYFUNCTION("CONCATENATE(GOOGLETRANSLATE(C26, ""en"", ""zh-cn""))"),"Apple MacBook Pro 13 笔记本电脑英特尔酷睿 i5 1.4GHz 8GB RAM 256GB SSD 深空灰色 - MUHP2LL/A")</f>
        <v>Apple MacBook Pro 13 笔记本电脑英特尔酷睿 i5 1.4GHz 8GB RAM 256GB SSD 深空灰色 - MUHP2LL/A</v>
      </c>
      <c r="E26" s="1" t="str">
        <f>IFERROR(__xludf.DUMMYFUNCTION("CONCATENATE(GOOGLETRANSLATE(C26, ""en"", ""ko""))"),"애플 맥북 프로 13 노트북 인텔 코어 i5 1.4GHz 8GB RAM 256GB SSD 스페이스 그레이 - MUHP2LL/A")</f>
        <v>애플 맥북 프로 13 노트북 인텔 코어 i5 1.4GHz 8GB RAM 256GB SSD 스페이스 그레이 - MUHP2LL/A</v>
      </c>
      <c r="F26" s="1" t="str">
        <f>IFERROR(__xludf.DUMMYFUNCTION("CONCATENATE(GOOGLETRANSLATE(C26, ""en"", ""ja""))"),"Apple MacBook Pro 13 ラップトップ Intel Core i5 1.4GHz 8GB RAM 256GB SSD スペースグレイ - MUHP2LL/A")</f>
        <v>Apple MacBook Pro 13 ラップトップ Intel Core i5 1.4GHz 8GB RAM 256GB SSD スペースグレイ - MUHP2LL/A</v>
      </c>
    </row>
    <row r="27" ht="15.75" customHeight="1">
      <c r="A27" s="1">
        <v>8144.0</v>
      </c>
      <c r="B27" s="1" t="s">
        <v>6</v>
      </c>
      <c r="C27" s="1" t="s">
        <v>32</v>
      </c>
      <c r="D27" s="1" t="str">
        <f>IFERROR(__xludf.DUMMYFUNCTION("CONCATENATE(GOOGLETRANSLATE(C27, ""en"", ""zh-cn""))"),"Apple Macbook Pro 13.3 英寸笔记本电脑英特尔酷睿 i5 2.5Ghz 8GB 500GB MD101LLA（续订）")</f>
        <v>Apple Macbook Pro 13.3 英寸笔记本电脑英特尔酷睿 i5 2.5Ghz 8GB 500GB MD101LLA（续订）</v>
      </c>
      <c r="E27" s="1" t="str">
        <f>IFERROR(__xludf.DUMMYFUNCTION("CONCATENATE(GOOGLETRANSLATE(C27, ""en"", ""ko""))"),"애플 맥북 프로 13.3인치 노트북 컴퓨터 인텔 코어 i5 2.5GHz 8GB 500GB MD101LLA(리뉴얼)")</f>
        <v>애플 맥북 프로 13.3인치 노트북 컴퓨터 인텔 코어 i5 2.5GHz 8GB 500GB MD101LLA(리뉴얼)</v>
      </c>
      <c r="F27" s="1" t="str">
        <f>IFERROR(__xludf.DUMMYFUNCTION("CONCATENATE(GOOGLETRANSLATE(C27, ""en"", ""ja""))"),"Apple Macbook Pro 13.3インチ ラップトップ コンピュータ Intel Core i5 2.5Ghz 8GB 500GB MD101LLA (新品)")</f>
        <v>Apple Macbook Pro 13.3インチ ラップトップ コンピュータ Intel Core i5 2.5Ghz 8GB 500GB MD101LLA (新品)</v>
      </c>
    </row>
    <row r="28" ht="15.75" customHeight="1">
      <c r="A28" s="1">
        <v>7771.0</v>
      </c>
      <c r="B28" s="1" t="s">
        <v>6</v>
      </c>
      <c r="C28" s="1" t="s">
        <v>33</v>
      </c>
      <c r="D28" s="1" t="str">
        <f>IFERROR(__xludf.DUMMYFUNCTION("CONCATENATE(GOOGLETRANSLATE(C28, ""en"", ""zh-cn""))"),"佳能 PG-245 正品黑色墨盒，兼容 iP2820、MG2420/2924/2920/3020/2522/2525、MX492、TS3120/302/302a/202/202a/4520/3320")</f>
        <v>佳能 PG-245 正品黑色墨盒，兼容 iP2820、MG2420/2924/2920/3020/2522/2525、MX492、TS3120/302/302a/202/202a/4520/3320</v>
      </c>
      <c r="E28" s="1" t="str">
        <f>IFERROR(__xludf.DUMMYFUNCTION("CONCATENATE(GOOGLETRANSLATE(C28, ""en"", ""ko""))"),"Canon PG-245 정품 검정 잉크 카트리지, iP2820, MG2420/2924/2920/3020/2522/2525, MX492, TS3120/302/302a/202/202a/4520/3320과 호환 가능")</f>
        <v>Canon PG-245 정품 검정 잉크 카트리지, iP2820, MG2420/2924/2920/3020/2522/2525, MX492, TS3120/302/302a/202/202a/4520/3320과 호환 가능</v>
      </c>
      <c r="F28" s="1" t="str">
        <f>IFERROR(__xludf.DUMMYFUNCTION("CONCATENATE(GOOGLETRANSLATE(C28, ""en"", ""ja""))"),"Canon PG-245 純正ブラックインクカートリッジ、iP2820、MG2420/2924/2920/3020/2522/2525、MX492、TS3120/302/302a/202/202a/4520/3320と互換性あり")</f>
        <v>Canon PG-245 純正ブラックインクカートリッジ、iP2820、MG2420/2924/2920/3020/2522/2525、MX492、TS3120/302/302a/202/202a/4520/3320と互換性あり</v>
      </c>
    </row>
    <row r="29" ht="15.75" customHeight="1">
      <c r="A29" s="1">
        <v>7774.0</v>
      </c>
      <c r="B29" s="1" t="s">
        <v>6</v>
      </c>
      <c r="C29" s="1" t="s">
        <v>34</v>
      </c>
      <c r="D29" s="1" t="str">
        <f>IFERROR(__xludf.DUMMYFUNCTION("CONCATENATE(GOOGLETRANSLATE(C29, ""en"", ""zh-cn""))"),"佳能正品墨水 PG-240 XL / CL-241 XL 超值装（2 墨盒），兼容 MG2120/3120/4120/2220/3220/4220/3520/3620、MX372/392/432/452/472/512/522/532、 TS5120")</f>
        <v>佳能正品墨水 PG-240 XL / CL-241 XL 超值装（2 墨盒），兼容 MG2120/3120/4120/2220/3220/4220/3520/3620、MX372/392/432/452/472/512/522/532、 TS5120</v>
      </c>
      <c r="E29" s="1" t="str">
        <f>IFERROR(__xludf.DUMMYFUNCTION("CONCATENATE(GOOGLETRANSLATE(C29, ""en"", ""ko""))"),"캐논 정품 잉크 PG-240 XL / CL-241 XL 밸류 팩(카트리지 2개), MG2120/3120/4120/2220/3220/4220/3520/3620, MX372/392/432/452/472/512/522/532, TS5120과 호환 가능")</f>
        <v>캐논 정품 잉크 PG-240 XL / CL-241 XL 밸류 팩(카트리지 2개), MG2120/3120/4120/2220/3220/4220/3520/3620, MX372/392/432/452/472/512/522/532, TS5120과 호환 가능</v>
      </c>
      <c r="F29" s="1" t="str">
        <f>IFERROR(__xludf.DUMMYFUNCTION("CONCATENATE(GOOGLETRANSLATE(C29, ""en"", ""ja""))"),"キヤノン 純正インク PG-240 XL / CL-241 XL バリューパック(2本) MG2120/3120/4120/2220/3220/4220/3520/3620、MX372/392/432/452/472/512/522/532、TS5120対応")</f>
        <v>キヤノン 純正インク PG-240 XL / CL-241 XL バリューパック(2本) MG2120/3120/4120/2220/3220/4220/3520/3620、MX372/392/432/452/472/512/522/532、TS5120対応</v>
      </c>
    </row>
    <row r="30" ht="15.75" customHeight="1">
      <c r="A30" s="1">
        <v>7783.0</v>
      </c>
      <c r="B30" s="1" t="s">
        <v>6</v>
      </c>
      <c r="C30" s="1" t="s">
        <v>35</v>
      </c>
      <c r="D30" s="1" t="str">
        <f>IFERROR(__xludf.DUMMYFUNCTION("CONCATENATE(GOOGLETRANSLATE(C30, ""en"", ""zh-cn""))"),"佳能原装墨粉盒 137 黑色 (9435B001)，1 包 ImageCLASS MF212w、MF216n、MF217w、MF244dw、MF247dw、MF249dw、MF227dw、MF229dw、MF232w、MF236n、LBP151dw、 D570 激光打印机")</f>
        <v>佳能原装墨粉盒 137 黑色 (9435B001)，1 包 ImageCLASS MF212w、MF216n、MF217w、MF244dw、MF247dw、MF249dw、MF227dw、MF229dw、MF232w、MF236n、LBP151dw、 D570 激光打印机</v>
      </c>
      <c r="E30" s="1" t="str">
        <f>IFERROR(__xludf.DUMMYFUNCTION("CONCATENATE(GOOGLETRANSLATE(C30, ""en"", ""ko""))"),"Canon 정품 토너 카트리지 137 블랙(9435B001), 1팩 ImageCLASS MF212w, MF216n, MF217w, MF244dw, MF247dw, MF249dw, MF227dw, MF229dw, MF232w, MF236n, LBP151dw, D570 레이저 프린터")</f>
        <v>Canon 정품 토너 카트리지 137 블랙(9435B001), 1팩 ImageCLASS MF212w, MF216n, MF217w, MF244dw, MF247dw, MF249dw, MF227dw, MF229dw, MF232w, MF236n, LBP151dw, D570 레이저 프린터</v>
      </c>
      <c r="F30" s="1" t="str">
        <f>IFERROR(__xludf.DUMMYFUNCTION("CONCATENATE(GOOGLETRANSLATE(C30, ""en"", ""ja""))"),"Canon 純正 トナーカートリッジ137 ブラック (9435B001) 1本パック ImageCLASS MF212w、MF216n、MF217w、MF244dw、MF247dw、MF249dw、MF227dw、MF229dw、MF232w、MF236n、LBP151dw、 D570 レーザー プリンター")</f>
        <v>Canon 純正 トナーカートリッジ137 ブラック (9435B001) 1本パック ImageCLASS MF212w、MF216n、MF217w、MF244dw、MF247dw、MF249dw、MF227dw、MF229dw、MF232w、MF236n、LBP151dw、 D570 レーザー プリンター</v>
      </c>
    </row>
    <row r="31" ht="15.75" customHeight="1">
      <c r="A31" s="1">
        <v>7810.0</v>
      </c>
      <c r="B31" s="1" t="s">
        <v>6</v>
      </c>
      <c r="C31" s="1" t="s">
        <v>36</v>
      </c>
      <c r="D31" s="1" t="str">
        <f>IFERROR(__xludf.DUMMYFUNCTION("CONCATENATE(GOOGLETRANSLATE(C31, ""en"", ""zh-cn""))"),"HP 962 青色、品红色、黄色墨盒（3 件装）|适用于 OfficeJet 9010 系列、OfficeJet Pro 9010、9020 系列 |符合 Instant Ink 条件 | 3YP00AN")</f>
        <v>HP 962 青色、品红色、黄色墨盒（3 件装）|适用于 OfficeJet 9010 系列、OfficeJet Pro 9010、9020 系列 |符合 Instant Ink 条件 | 3YP00AN</v>
      </c>
      <c r="E31" s="1" t="str">
        <f>IFERROR(__xludf.DUMMYFUNCTION("CONCATENATE(GOOGLETRANSLATE(C31, ""en"", ""ko""))"),"HP 962 시안, 마젠타, 노랑 잉크 카트리지(3팩) | OfficeJet 9010 시리즈, OfficeJet Pro 9010, 9020 시리즈와 함께 작동 | 인스턴트 잉크 사용 가능 | 3YP00AN")</f>
        <v>HP 962 시안, 마젠타, 노랑 잉크 카트리지(3팩) | OfficeJet 9010 시리즈, OfficeJet Pro 9010, 9020 시리즈와 함께 작동 | 인스턴트 잉크 사용 가능 | 3YP00AN</v>
      </c>
      <c r="F31" s="1" t="str">
        <f>IFERROR(__xludf.DUMMYFUNCTION("CONCATENATE(GOOGLETRANSLATE(C31, ""en"", ""ja""))"),"HP 962 シアン、マゼンタ、イエロー インク カートリッジ (3 パック) | OfficeJet 9010 シリーズ、OfficeJet Pro 9010、9020 シリーズで動作 | Instant Ink の対象 | 3YP00AN")</f>
        <v>HP 962 シアン、マゼンタ、イエロー インク カートリッジ (3 パック) | OfficeJet 9010 シリーズ、OfficeJet Pro 9010、9020 シリーズで動作 | Instant Ink の対象 | 3YP00AN</v>
      </c>
    </row>
    <row r="32" ht="15.75" customHeight="1">
      <c r="A32" s="1">
        <v>7819.0</v>
      </c>
      <c r="B32" s="1" t="s">
        <v>6</v>
      </c>
      <c r="C32" s="1" t="s">
        <v>37</v>
      </c>
      <c r="D32" s="1" t="str">
        <f>IFERROR(__xludf.DUMMYFUNCTION("CONCATENATE(GOOGLETRANSLATE(C32, ""en"", ""zh-cn""))"),"原装 HP 910 青色、品红色、黄色/910XL 黑色墨盒（4 件装）|适用于 HP OfficeJet 8010、8020 系列； HP OfficeJet Pro 8020、8030 系列 |符合 Instant Ink 条件 | 3JB41AN")</f>
        <v>原装 HP 910 青色、品红色、黄色/910XL 黑色墨盒（4 件装）|适用于 HP OfficeJet 8010、8020 系列； HP OfficeJet Pro 8020、8030 系列 |符合 Instant Ink 条件 | 3JB41AN</v>
      </c>
      <c r="E32" s="1" t="str">
        <f>IFERROR(__xludf.DUMMYFUNCTION("CONCATENATE(GOOGLETRANSLATE(C32, ""en"", ""ko""))"),"정품 HP 910 시안, 마젠타, 노랑/910XL 검정 잉크 카트리지(4팩) | HP OfficeJet 8010, 8020 시리즈와 함께 작동합니다. HP 오피스젯 프로 8020, 8030 시리즈 | 인스턴트 잉크 사용 가능 | 3JB41AN")</f>
        <v>정품 HP 910 시안, 마젠타, 노랑/910XL 검정 잉크 카트리지(4팩) | HP OfficeJet 8010, 8020 시리즈와 함께 작동합니다. HP 오피스젯 프로 8020, 8030 시리즈 | 인스턴트 잉크 사용 가능 | 3JB41AN</v>
      </c>
      <c r="F32" s="1" t="str">
        <f>IFERROR(__xludf.DUMMYFUNCTION("CONCATENATE(GOOGLETRANSLATE(C32, ""en"", ""ja""))"),"オリジナル HP 910 シアン、マゼンタ、イエロー / 910XL ブラック インク カートリッジ (4 パック) | HP OfficeJet 8010、8020 シリーズで動作します。 HP OfficeJet Pro 8020、8030 シリーズ | Instant Ink の対象 | 3JB41AN")</f>
        <v>オリジナル HP 910 シアン、マゼンタ、イエロー / 910XL ブラック インク カートリッジ (4 パック) | HP OfficeJet 8010、8020 シリーズで動作します。 HP OfficeJet Pro 8020、8030 シリーズ | Instant Ink の対象 | 3JB41AN</v>
      </c>
    </row>
    <row r="33" ht="15.75" customHeight="1">
      <c r="A33" s="1">
        <v>7832.0</v>
      </c>
      <c r="B33" s="1" t="s">
        <v>6</v>
      </c>
      <c r="C33" s="1" t="s">
        <v>38</v>
      </c>
      <c r="D33" s="1" t="str">
        <f>IFERROR(__xludf.DUMMYFUNCTION("CONCATENATE(GOOGLETRANSLATE(C33, ""en"", ""zh-cn""))"),"HP Smart Tank 5101 无线一体式墨盒打印机，含 2 年墨水，打印、扫描、复印，最适合家庭使用，可补充墨盒 (1F3Y0A)")</f>
        <v>HP Smart Tank 5101 无线一体式墨盒打印机，含 2 年墨水，打印、扫描、复印，最适合家庭使用，可补充墨盒 (1F3Y0A)</v>
      </c>
      <c r="E33" s="1" t="str">
        <f>IFERROR(__xludf.DUMMYFUNCTION("CONCATENATE(GOOGLETRANSLATE(C33, ""en"", ""ko""))"),"HP 스마트 탱크 5101 무선 올인원 잉크 탱크 프린터, 2년 잉크 포함, 인쇄, 스캔, 복사, 가정용 최적, 리필 가능 잉크 탱크(1F3Y0A)")</f>
        <v>HP 스마트 탱크 5101 무선 올인원 잉크 탱크 프린터, 2년 잉크 포함, 인쇄, 스캔, 복사, 가정용 최적, 리필 가능 잉크 탱크(1F3Y0A)</v>
      </c>
      <c r="F33" s="1" t="str">
        <f>IFERROR(__xludf.DUMMYFUNCTION("CONCATENATE(GOOGLETRANSLATE(C33, ""en"", ""ja""))"),"HP スマート タンク 5101 ワイヤレス オールインワン インク タンク プリンター、2 年間のインク付属、印刷、スキャン、コピー、家庭用に最適、詰め替え可能なインク タンク (1F3Y0A)")</f>
        <v>HP スマート タンク 5101 ワイヤレス オールインワン インク タンク プリンター、2 年間のインク付属、印刷、スキャン、コピー、家庭用に最適、詰め替え可能なインク タンク (1F3Y0A)</v>
      </c>
    </row>
    <row r="34" ht="15.75" customHeight="1">
      <c r="A34" s="1">
        <v>7857.0</v>
      </c>
      <c r="B34" s="1" t="s">
        <v>6</v>
      </c>
      <c r="C34" s="1" t="s">
        <v>39</v>
      </c>
      <c r="D34" s="1" t="str">
        <f>IFERROR(__xludf.DUMMYFUNCTION("CONCATENATE(GOOGLETRANSLATE(C34, ""en"", ""zh-cn""))"),"Brother 正品 TN760 高印量黑色墨粉盒（适用于 MFC-L2710DW MFC-L2750DW HL-L2350DW HL-L2370DW HL-L2395DW HL-L2390DW DCP-L2550DW 打印机）")</f>
        <v>Brother 正品 TN760 高印量黑色墨粉盒（适用于 MFC-L2710DW MFC-L2750DW HL-L2350DW HL-L2370DW HL-L2395DW HL-L2390DW DCP-L2550DW 打印机）</v>
      </c>
      <c r="E34" s="1" t="str">
        <f>IFERROR(__xludf.DUMMYFUNCTION("CONCATENATE(GOOGLETRANSLATE(C34, ""en"", ""ko""))"),"브라더 정품 TN760 대용량 검정 토너 카트리지, (MFC-L2710DW MFC-L2750DW HL-L2350DW HL-L2370DW HL-L2395DW HL-L2390DW DCP-L2550DW 프린터와 함께 사용)")</f>
        <v>브라더 정품 TN760 대용량 검정 토너 카트리지, (MFC-L2710DW MFC-L2750DW HL-L2350DW HL-L2370DW HL-L2395DW HL-L2390DW DCP-L2550DW 프린터와 함께 사용)</v>
      </c>
      <c r="F34" s="1" t="str">
        <f>IFERROR(__xludf.DUMMYFUNCTION("CONCATENATE(GOOGLETRANSLATE(C34, ""en"", ""ja""))"),"Brother 純正 TN760 高収量ブラック トナー カートリッジ (MFC-L2710DW MFC-L2750DW HL-L2350DW HL-L2370DW HL-L2395DW HL-L2390DW DCP-L2550DW プリンター用)")</f>
        <v>Brother 純正 TN760 高収量ブラック トナー カートリッジ (MFC-L2710DW MFC-L2750DW HL-L2350DW HL-L2370DW HL-L2395DW HL-L2390DW DCP-L2550DW プリンター用)</v>
      </c>
    </row>
    <row r="35" ht="15.75" customHeight="1">
      <c r="A35" s="1">
        <v>7877.0</v>
      </c>
      <c r="B35" s="1" t="s">
        <v>6</v>
      </c>
      <c r="C35" s="1" t="s">
        <v>40</v>
      </c>
      <c r="D35" s="1" t="str">
        <f>IFERROR(__xludf.DUMMYFUNCTION("CONCATENATE(GOOGLETRANSLATE(C35, ""en"", ""zh-cn""))"),"Scotch 自封层压袋，光面，4.3 x 6.3 英寸，5 个袋 (PL900G)")</f>
        <v>Scotch 自封层压袋，光面，4.3 x 6.3 英寸，5 个袋 (PL900G)</v>
      </c>
      <c r="E35" s="1" t="str">
        <f>IFERROR(__xludf.DUMMYFUNCTION("CONCATENATE(GOOGLETRANSLATE(C35, ""en"", ""ko""))"),"스카치 자체 밀봉 라미네이팅 파우치, 광택 마감, 4.3 x 6.3인치, 파우치 5개(PL900G)")</f>
        <v>스카치 자체 밀봉 라미네이팅 파우치, 광택 마감, 4.3 x 6.3인치, 파우치 5개(PL900G)</v>
      </c>
      <c r="F35" s="1" t="str">
        <f>IFERROR(__xludf.DUMMYFUNCTION("CONCATENATE(GOOGLETRANSLATE(C35, ""en"", ""ja""))"),"スコッチ セルフシール ラミネートポーチ、光沢仕上げ、4.3 x 6.3 インチ、5 ポーチ (PL900G)")</f>
        <v>スコッチ セルフシール ラミネートポーチ、光沢仕上げ、4.3 x 6.3 インチ、5 ポーチ (PL900G)</v>
      </c>
    </row>
    <row r="36" ht="15.75" customHeight="1">
      <c r="A36" s="1">
        <v>7883.0</v>
      </c>
      <c r="B36" s="1" t="s">
        <v>6</v>
      </c>
      <c r="C36" s="1" t="s">
        <v>41</v>
      </c>
      <c r="D36" s="1" t="str">
        <f>IFERROR(__xludf.DUMMYFUNCTION("CONCATENATE(GOOGLETRANSLATE(C36, ""en"", ""zh-cn""))"),"Scotch 正面和背面层压补充墨盒，免热，可容纳宽度达 12 英寸的物品 (DL961)")</f>
        <v>Scotch 正面和背面层压补充墨盒，免热，可容纳宽度达 12 英寸的物品 (DL961)</v>
      </c>
      <c r="E36" s="1" t="str">
        <f>IFERROR(__xludf.DUMMYFUNCTION("CONCATENATE(GOOGLETRANSLATE(C36, ""en"", ""ko""))"),"스카치 전면 및 후면 라미네이션 리필 카트리지, 무열, 최대 12"" 너비의 품목 수용 가능(DL961)")</f>
        <v>스카치 전면 및 후면 라미네이션 리필 카트리지, 무열, 최대 12" 너비의 품목 수용 가능(DL961)</v>
      </c>
      <c r="F36" s="1" t="str">
        <f>IFERROR(__xludf.DUMMYFUNCTION("CONCATENATE(GOOGLETRANSLATE(C36, ""en"", ""ja""))"),"スコッチ フロントおよびバック ラミネート詰め替えカートリッジ、非加熱、幅 12 インチまでのアイテムを収納可能 (DL961)")</f>
        <v>スコッチ フロントおよびバック ラミネート詰め替えカートリッジ、非加熱、幅 12 インチまでのアイテムを収納可能 (DL961)</v>
      </c>
    </row>
    <row r="37" ht="15.75" customHeight="1">
      <c r="A37" s="1">
        <v>7890.0</v>
      </c>
      <c r="B37" s="1" t="s">
        <v>6</v>
      </c>
      <c r="C37" s="1" t="s">
        <v>42</v>
      </c>
      <c r="D37" s="1" t="str">
        <f>IFERROR(__xludf.DUMMYFUNCTION("CONCATENATE(GOOGLETRANSLATE(C37, ""en"", ""zh-cn""))"),"Scotch 热层压袋，适用于热层压机，8.9 x 11.4 英寸，信纸尺寸，100 张")</f>
        <v>Scotch 热层压袋，适用于热层压机，8.9 x 11.4 英寸，信纸尺寸，100 张</v>
      </c>
      <c r="E37" s="1" t="str">
        <f>IFERROR(__xludf.DUMMYFUNCTION("CONCATENATE(GOOGLETRANSLATE(C37, ""en"", ""ko""))"),"스카치 열 라미네이팅 파우치, 열 라미네이터용, 8.9 x 11.4 인치, Letter 크기 시트, 100매")</f>
        <v>스카치 열 라미네이팅 파우치, 열 라미네이터용, 8.9 x 11.4 인치, Letter 크기 시트, 100매</v>
      </c>
      <c r="F37" s="1" t="str">
        <f>IFERROR(__xludf.DUMMYFUNCTION("CONCATENATE(GOOGLETRANSLATE(C37, ""en"", ""ja""))"),"Scotch サーマルラミネートポーチ、サーマルラミネーター用、8.9 x 11.4 インチ、レターサイズシート、100 枚")</f>
        <v>Scotch サーマルラミネートポーチ、サーマルラミネーター用、8.9 x 11.4 インチ、レターサイズシート、100 枚</v>
      </c>
    </row>
    <row r="38" ht="15.75" customHeight="1">
      <c r="A38" s="1">
        <v>7896.0</v>
      </c>
      <c r="B38" s="1" t="s">
        <v>6</v>
      </c>
      <c r="C38" s="1" t="s">
        <v>43</v>
      </c>
      <c r="D38" s="1" t="str">
        <f>IFERROR(__xludf.DUMMYFUNCTION("CONCATENATE(GOOGLETRANSLATE(C38, ""en"", ""zh-cn""))"),"Scotch DL961 双层压补充装，540 万支，9 英寸 x90 英尺，光泽")</f>
        <v>Scotch DL961 双层压补充装，540 万支，9 英寸 x90 英尺，光泽</v>
      </c>
      <c r="E38" s="1" t="str">
        <f>IFERROR(__xludf.DUMMYFUNCTION("CONCATENATE(GOOGLETRANSLATE(C38, ""en"", ""ko""))"),"스카치 DL961 듀얼 라미네이트 리필, 5.4mil, 9인치 x90-Ft, 광택")</f>
        <v>스카치 DL961 듀얼 라미네이트 리필, 5.4mil, 9인치 x90-Ft, 광택</v>
      </c>
      <c r="F38" s="1" t="str">
        <f>IFERROR(__xludf.DUMMYFUNCTION("CONCATENATE(GOOGLETRANSLATE(C38, ""en"", ""ja""))"),"Scotch DL961 デュアル ラミネート リフィル、5.4mil、9 インチ x90 フィート、光沢")</f>
        <v>Scotch DL961 デュアル ラミネート リフィル、5.4mil、9 インチ x90 フィート、光沢</v>
      </c>
    </row>
    <row r="39" ht="15.75" customHeight="1">
      <c r="A39" s="1">
        <v>7903.0</v>
      </c>
      <c r="B39" s="1" t="s">
        <v>6</v>
      </c>
      <c r="C39" s="1" t="s">
        <v>44</v>
      </c>
      <c r="D39" s="1" t="str">
        <f>IFERROR(__xludf.DUMMYFUNCTION("CONCATENATE(GOOGLETRANSLATE(C39, ""en"", ""zh-cn""))"),"Scotch 展示袋可存放最大 8.5 英寸 x 11 英寸的物品 (WL854C)")</f>
        <v>Scotch 展示袋可存放最大 8.5 英寸 x 11 英寸的物品 (WL854C)</v>
      </c>
      <c r="E39" s="1" t="str">
        <f>IFERROR(__xludf.DUMMYFUNCTION("CONCATENATE(GOOGLETRANSLATE(C39, ""en"", ""ko""))"),"최대 8.5인치 x 11인치(WL854C) 품목을 보관할 수 있는 스카치 디스플레이 포켓")</f>
        <v>최대 8.5인치 x 11인치(WL854C) 품목을 보관할 수 있는 스카치 디스플레이 포켓</v>
      </c>
      <c r="F39" s="1" t="str">
        <f>IFERROR(__xludf.DUMMYFUNCTION("CONCATENATE(GOOGLETRANSLATE(C39, ""en"", ""ja""))"),"最大 8.5 インチ x 11 インチのアイテムを収納できるスコッチ ディスプレイ ポケット (WL854C)")</f>
        <v>最大 8.5 インチ x 11 インチのアイテムを収納できるスコッチ ディスプレイ ポケット (WL854C)</v>
      </c>
    </row>
    <row r="40" ht="15.75" customHeight="1">
      <c r="A40" s="1">
        <v>7917.0</v>
      </c>
      <c r="B40" s="1" t="s">
        <v>6</v>
      </c>
      <c r="C40" s="1" t="s">
        <v>45</v>
      </c>
      <c r="D40" s="1" t="str">
        <f>IFERROR(__xludf.DUMMYFUNCTION("CONCATENATE(GOOGLETRANSLATE(C40, ""en"", ""zh-cn""))"),"MSI Thin 15 15.6 英寸 144Hz FHD 游戏笔记本电脑：Intel Core i7-13620H、NVIDIA Geforce RTX 4050、16GB DDR4、512GB NVMe SSD、WiFi 6E、Win 11：黑色 B13VE-2678US")</f>
        <v>MSI Thin 15 15.6 英寸 144Hz FHD 游戏笔记本电脑：Intel Core i7-13620H、NVIDIA Geforce RTX 4050、16GB DDR4、512GB NVMe SSD、WiFi 6E、Win 11：黑色 B13VE-2678US</v>
      </c>
      <c r="E40" s="1" t="str">
        <f>IFERROR(__xludf.DUMMYFUNCTION("CONCATENATE(GOOGLETRANSLATE(C40, ""en"", ""ko""))"),"MSI Thin 15 15.6인치 144Hz FHD 게이밍 노트북: Intel Core i7-13620H, NVIDIA Geforce RTX 4050, 16GB DDR4, 512GB NVMe SSD, WiFi 6E, Win 11: 블랙 B13VE-2678US")</f>
        <v>MSI Thin 15 15.6인치 144Hz FHD 게이밍 노트북: Intel Core i7-13620H, NVIDIA Geforce RTX 4050, 16GB DDR4, 512GB NVMe SSD, WiFi 6E, Win 11: 블랙 B13VE-2678US</v>
      </c>
      <c r="F40" s="1" t="str">
        <f>IFERROR(__xludf.DUMMYFUNCTION("CONCATENATE(GOOGLETRANSLATE(C40, ""en"", ""ja""))"),"MSI 薄型 15 15.6 インチ 144Hz FHD ゲーミング ノートパソコン: Intel Core i7-13620H、NVIDIA Geforce RTX 4050、16GB DDR4、512GB NVMe SSD、WiFi 6E、Win 11: ブラック B13VE-2678US")</f>
        <v>MSI 薄型 15 15.6 インチ 144Hz FHD ゲーミング ノートパソコン: Intel Core i7-13620H、NVIDIA Geforce RTX 4050、16GB DDR4、512GB NVMe SSD、WiFi 6E、Win 11: ブラック B13VE-2678US</v>
      </c>
    </row>
    <row r="41" ht="15.75" customHeight="1">
      <c r="A41" s="1">
        <v>7926.0</v>
      </c>
      <c r="B41" s="1" t="s">
        <v>6</v>
      </c>
      <c r="C41" s="1" t="s">
        <v>46</v>
      </c>
      <c r="D41" s="1" t="str">
        <f>IFERROR(__xludf.DUMMYFUNCTION("CONCATENATE(GOOGLETRANSLATE(C41, ""en"", ""zh-cn""))"),"MSI Raider GE76 游戏笔记本电脑：Intel Core i9-12900H、GeForce RTX 3060、17.3"" 144Hz FHD 显示屏、16GB DDR5、1TB NVMe SSD、Thunderbolt 4、Cooler Boost 5、Win 11 Home：钛金蓝 12UE-871")</f>
        <v>MSI Raider GE76 游戏笔记本电脑：Intel Core i9-12900H、GeForce RTX 3060、17.3" 144Hz FHD 显示屏、16GB DDR5、1TB NVMe SSD、Thunderbolt 4、Cooler Boost 5、Win 11 Home：钛金蓝 12UE-871</v>
      </c>
      <c r="E41" s="1" t="str">
        <f>IFERROR(__xludf.DUMMYFUNCTION("CONCATENATE(GOOGLETRANSLATE(C41, ""en"", ""ko""))"),"MSI Raider GE76 게이밍 노트북: Intel Core i9-12900H, GeForce RTX 3060, 17.3"" 144Hz FHD 디스플레이, 16GB DDR5, 1TB NVMe SSD, Thunderbolt 4, Cooler Boost 5, Win 11 Home: 티타늄 블루 12UE-871")</f>
        <v>MSI Raider GE76 게이밍 노트북: Intel Core i9-12900H, GeForce RTX 3060, 17.3" 144Hz FHD 디스플레이, 16GB DDR5, 1TB NVMe SSD, Thunderbolt 4, Cooler Boost 5, Win 11 Home: 티타늄 블루 12UE-871</v>
      </c>
      <c r="F41" s="1" t="str">
        <f>IFERROR(__xludf.DUMMYFUNCTION("CONCATENATE(GOOGLETRANSLATE(C41, ""en"", ""ja""))"),"MSI Raider GE76 ゲーミング ノートパソコン: Intel Core i9-12900H、GeForce RTX 3060、17.3 インチ 144Hz FHD ディスプレイ、16GB DDR5、1TB NVMe SSD、Thunderbolt 4、Cooler Boost 5、Win 11 Home: チタニウム ブルー 12UE-871")</f>
        <v>MSI Raider GE76 ゲーミング ノートパソコン: Intel Core i9-12900H、GeForce RTX 3060、17.3 インチ 144Hz FHD ディスプレイ、16GB DDR5、1TB NVMe SSD、Thunderbolt 4、Cooler Boost 5、Win 11 Home: チタニウム ブルー 12UE-871</v>
      </c>
    </row>
    <row r="42" ht="15.75" customHeight="1">
      <c r="A42" s="1">
        <v>7936.0</v>
      </c>
      <c r="B42" s="1" t="s">
        <v>6</v>
      </c>
      <c r="C42" s="1" t="s">
        <v>47</v>
      </c>
      <c r="D42" s="1" t="str">
        <f>IFERROR(__xludf.DUMMYFUNCTION("CONCATENATE(GOOGLETRANSLATE(C42, ""en"", ""zh-cn""))"),"MSI Cyborg 游戏笔记本电脑 2024，15.6 英寸 FHD 144Hz 显示屏，第 13 代英特尔酷睿 i7-13620H，NVIDIA GeForce RTX 4050 显卡，16GB DDR5 RAM，512GB SSD，Wi-Fi 6，Windows 11 Home，带游戏鼠标")</f>
        <v>MSI Cyborg 游戏笔记本电脑 2024，15.6 英寸 FHD 144Hz 显示屏，第 13 代英特尔酷睿 i7-13620H，NVIDIA GeForce RTX 4050 显卡，16GB DDR5 RAM，512GB SSD，Wi-Fi 6，Windows 11 Home，带游戏鼠标</v>
      </c>
      <c r="E42" s="1" t="str">
        <f>IFERROR(__xludf.DUMMYFUNCTION("CONCATENATE(GOOGLETRANSLATE(C42, ""en"", ""ko""))"),"MSI 사이보그 게이밍 노트북 2024, 15.6인치 FHD 144Hz 디스플레이, 13세대 인텔 코어 i7-13620H, NVIDIA GeForce RTX 4050 그래픽, 16GB DDR5 RAM, 512GB SSD, Wi-Fi 6, Windows 11 Home, 게이밍 마우스 포함")</f>
        <v>MSI 사이보그 게이밍 노트북 2024, 15.6인치 FHD 144Hz 디스플레이, 13세대 인텔 코어 i7-13620H, NVIDIA GeForce RTX 4050 그래픽, 16GB DDR5 RAM, 512GB SSD, Wi-Fi 6, Windows 11 Home, 게이밍 마우스 포함</v>
      </c>
      <c r="F42" s="1" t="str">
        <f>IFERROR(__xludf.DUMMYFUNCTION("CONCATENATE(GOOGLETRANSLATE(C42, ""en"", ""ja""))"),"MSI Cyborg ゲーミング ラップトップ 2024 、15.6 インチ FHD 144Hz ディスプレイ、第 13 世代インテル Core i7-13620H、NVIDIA GeForce RTX 4050 グラフィックス、16GB DDR5 RAM、512GB SSD、Wi-Fi 6、Windows 11 Home、ゲーミングマウス付き")</f>
        <v>MSI Cyborg ゲーミング ラップトップ 2024 、15.6 インチ FHD 144Hz ディスプレイ、第 13 世代インテル Core i7-13620H、NVIDIA GeForce RTX 4050 グラフィックス、16GB DDR5 RAM、512GB SSD、Wi-Fi 6、Windows 11 Home、ゲーミングマウス付き</v>
      </c>
    </row>
    <row r="43" ht="15.75" customHeight="1">
      <c r="A43" s="1">
        <v>7937.0</v>
      </c>
      <c r="B43" s="1" t="s">
        <v>6</v>
      </c>
      <c r="C43" s="1" t="s">
        <v>48</v>
      </c>
      <c r="D43" s="1" t="str">
        <f>IFERROR(__xludf.DUMMYFUNCTION("CONCATENATE(GOOGLETRANSLATE(C43, ""en"", ""zh-cn""))"),"MSI GF63 15.6 英寸 FHD 高级游戏笔记本电脑 | 英特尔 6 核 i5-10500H | 8GB RAM | 256GB SSD | NVIDIA GeForce GTX 1650 Max-Q | 背光键盘 | Windows 11 | 带 HDMI 线束")</f>
        <v>MSI GF63 15.6 英寸 FHD 高级游戏笔记本电脑 | 英特尔 6 核 i5-10500H | 8GB RAM | 256GB SSD | NVIDIA GeForce GTX 1650 Max-Q | 背光键盘 | Windows 11 | 带 HDMI 线束</v>
      </c>
      <c r="E43" s="1" t="str">
        <f>IFERROR(__xludf.DUMMYFUNCTION("CONCATENATE(GOOGLETRANSLATE(C43, ""en"", ""ko""))"),"MSI GF63 15.6인치 FHD 프리미엄 게이밍 노트북 | Intel 6코어 i5-10500H | 8GB RAM | 256GB SSD | NVIDIA GeForce GTX 1650 Max-Q | 백라이트 키보드 | Windows 11 | HDMI 케이블 번들 포함")</f>
        <v>MSI GF63 15.6인치 FHD 프리미엄 게이밍 노트북 | Intel 6코어 i5-10500H | 8GB RAM | 256GB SSD | NVIDIA GeForce GTX 1650 Max-Q | 백라이트 키보드 | Windows 11 | HDMI 케이블 번들 포함</v>
      </c>
      <c r="F43" s="1" t="str">
        <f>IFERROR(__xludf.DUMMYFUNCTION("CONCATENATE(GOOGLETRANSLATE(C43, ""en"", ""ja""))"),"MSI GF63 15.6 インチ FHD プレミアム ゲーミング ノートパソコン | Intel 6 コア i5-10500H | 8GB RAM | 256GB SSD | NVIDIA GeForce GTX 1650 Max-Q | バックライト付きキーボード | Windows 11 | HDMI ケーブルバンドル付き")</f>
        <v>MSI GF63 15.6 インチ FHD プレミアム ゲーミング ノートパソコン | Intel 6 コア i5-10500H | 8GB RAM | 256GB SSD | NVIDIA GeForce GTX 1650 Max-Q | バックライト付きキーボード | Windows 11 | HDMI ケーブルバンドル付き</v>
      </c>
    </row>
    <row r="44" ht="15.75" customHeight="1">
      <c r="A44" s="1">
        <v>7949.0</v>
      </c>
      <c r="B44" s="1" t="s">
        <v>6</v>
      </c>
      <c r="C44" s="1" t="s">
        <v>49</v>
      </c>
      <c r="D44" s="1" t="str">
        <f>IFERROR(__xludf.DUMMYFUNCTION("CONCATENATE(GOOGLETRANSLATE(C44, ""en"", ""zh-cn""))"),"微星游戏笔记本电脑 Katana GF66 12UE |英特尔酷睿 i7-12700H 14 核 | NVIDIA GeForce RTX 3060 6GB | 16GB DDR4 | 16GB DDR4 512GB 固态硬盘 | 15.6"" 1920 x 1080 144 Hz | Win10 主页 - 背光键盘 - 黑色")</f>
        <v>微星游戏笔记本电脑 Katana GF66 12UE |英特尔酷睿 i7-12700H 14 核 | NVIDIA GeForce RTX 3060 6GB | 16GB DDR4 | 16GB DDR4 512GB 固态硬盘 | 15.6" 1920 x 1080 144 Hz | Win10 主页 - 背光键盘 - 黑色</v>
      </c>
      <c r="E44" s="1" t="str">
        <f>IFERROR(__xludf.DUMMYFUNCTION("CONCATENATE(GOOGLETRANSLATE(C44, ""en"", ""ko""))"),"MSI 게이밍 노트북 Katana GF66 12UE | 인텔 코어 i7-12700H 14코어 | 엔비디아 지포스 RTX 3060 6GB | 16GB DDR4 | 512GB SSD | 15.6인치 1920 x 1080 144Hz | Win10 Home - 백라이트 키보드 - 블랙")</f>
        <v>MSI 게이밍 노트북 Katana GF66 12UE | 인텔 코어 i7-12700H 14코어 | 엔비디아 지포스 RTX 3060 6GB | 16GB DDR4 | 512GB SSD | 15.6인치 1920 x 1080 144Hz | Win10 Home - 백라이트 키보드 - 블랙</v>
      </c>
      <c r="F44" s="1" t="str">
        <f>IFERROR(__xludf.DUMMYFUNCTION("CONCATENATE(GOOGLETRANSLATE(C44, ""en"", ""ja""))"),"MSI ゲーミング ノートパソコン Katana GF66 12UE |インテル Core i7-12700H 14 コア | NVIDIA GeForce RTX 3060 6GB | 16GB DDR4 | 512GB SSD | 15.6 インチ 1920 x 1080 144 Hz | Win10 Home - バックライト付きキーボード - ブラック")</f>
        <v>MSI ゲーミング ノートパソコン Katana GF66 12UE |インテル Core i7-12700H 14 コア | NVIDIA GeForce RTX 3060 6GB | 16GB DDR4 | 512GB SSD | 15.6 インチ 1920 x 1080 144 Hz | Win10 Home - バックライト付きキーボード - ブラック</v>
      </c>
    </row>
    <row r="45" ht="15.75" customHeight="1">
      <c r="A45" s="1">
        <v>7975.0</v>
      </c>
      <c r="B45" s="1" t="s">
        <v>6</v>
      </c>
      <c r="C45" s="1" t="s">
        <v>50</v>
      </c>
      <c r="D45" s="1" t="str">
        <f>IFERROR(__xludf.DUMMYFUNCTION("CONCATENATE(GOOGLETRANSLATE(C45, ""en"", ""zh-cn""))"),"微软 Surface Pro 7 英特尔 i5 1035G4 1.10GHz 8GB RAM 128GB SSD 12.3"" Win 11")</f>
        <v>微软 Surface Pro 7 英特尔 i5 1035G4 1.10GHz 8GB RAM 128GB SSD 12.3" Win 11</v>
      </c>
      <c r="E45" s="1" t="str">
        <f>IFERROR(__xludf.DUMMYFUNCTION("CONCATENATE(GOOGLETRANSLATE(C45, ""en"", ""ko""))"),"마이크로소프트 서피스 프로 7 인텔 i5 1035G4 1.10GHz 8GB RAM 128GB SSD 12.3인치 윈도우 11")</f>
        <v>마이크로소프트 서피스 프로 7 인텔 i5 1035G4 1.10GHz 8GB RAM 128GB SSD 12.3인치 윈도우 11</v>
      </c>
      <c r="F45" s="1" t="str">
        <f>IFERROR(__xludf.DUMMYFUNCTION("CONCATENATE(GOOGLETRANSLATE(C45, ""en"", ""ja""))"),"Microsoft Surface Pro 7 Intel i5 1035G4 1.10GHz 8GB RAM 128GB SSD 12.3インチ Win 11")</f>
        <v>Microsoft Surface Pro 7 Intel i5 1035G4 1.10GHz 8GB RAM 128GB SSD 12.3インチ Win 11</v>
      </c>
    </row>
    <row r="46" ht="15.75" customHeight="1">
      <c r="A46" s="1">
        <v>7988.0</v>
      </c>
      <c r="B46" s="1" t="s">
        <v>6</v>
      </c>
      <c r="C46" s="1" t="s">
        <v>51</v>
      </c>
      <c r="D46" s="1" t="str">
        <f>IFERROR(__xludf.DUMMYFUNCTION("CONCATENATE(GOOGLETRANSLATE(C46, ""en"", ""zh-cn""))"),"微软 Surface 笔记本电脑 Go，英特尔 i5-1035G1 8GB RAM 128GB 砂岩")</f>
        <v>微软 Surface 笔记本电脑 Go，英特尔 i5-1035G1 8GB RAM 128GB 砂岩</v>
      </c>
      <c r="E46" s="1" t="str">
        <f>IFERROR(__xludf.DUMMYFUNCTION("CONCATENATE(GOOGLETRANSLATE(C46, ""en"", ""ko""))"),"마이크로소프트 서피스 노트북 Go, 인텔 i5-1035G1 8GB RAM 128GB 샌드스톤")</f>
        <v>마이크로소프트 서피스 노트북 Go, 인텔 i5-1035G1 8GB RAM 128GB 샌드스톤</v>
      </c>
      <c r="F46" s="1" t="str">
        <f>IFERROR(__xludf.DUMMYFUNCTION("CONCATENATE(GOOGLETRANSLATE(C46, ""en"", ""ja""))"),"Microsoft Surface Laptop Go、Intel i5-1035G1 8GB RAM 128GB サンドストーン")</f>
        <v>Microsoft Surface Laptop Go、Intel i5-1035G1 8GB RAM 128GB サンドストーン</v>
      </c>
    </row>
    <row r="47" ht="15.75" customHeight="1">
      <c r="A47" s="1">
        <v>7989.0</v>
      </c>
      <c r="B47" s="1" t="s">
        <v>6</v>
      </c>
      <c r="C47" s="1" t="s">
        <v>52</v>
      </c>
      <c r="D47" s="1" t="str">
        <f>IFERROR(__xludf.DUMMYFUNCTION("CONCATENATE(GOOGLETRANSLATE(C47, ""en"", ""zh-cn""))"),"微软 Surface 笔记本电脑 5 13.5 英寸酷睿 i7-第 12 代 16GB 256GB 哑光黑色")</f>
        <v>微软 Surface 笔记本电脑 5 13.5 英寸酷睿 i7-第 12 代 16GB 256GB 哑光黑色</v>
      </c>
      <c r="E47" s="1" t="str">
        <f>IFERROR(__xludf.DUMMYFUNCTION("CONCATENATE(GOOGLETRANSLATE(C47, ""en"", ""ko""))"),"마이크로소프트 서피스 노트북 5 13.5인치 코어 i7-12세대 16GB 256GB 매트 블랙")</f>
        <v>마이크로소프트 서피스 노트북 5 13.5인치 코어 i7-12세대 16GB 256GB 매트 블랙</v>
      </c>
      <c r="F47" s="1" t="str">
        <f>IFERROR(__xludf.DUMMYFUNCTION("CONCATENATE(GOOGLETRANSLATE(C47, ""en"", ""ja""))"),"Microsoft Surface Laptop 5 13.5インチ Core i7-第12世代 16GB 256GB マットブラック")</f>
        <v>Microsoft Surface Laptop 5 13.5インチ Core i7-第12世代 16GB 256GB マットブラック</v>
      </c>
    </row>
    <row r="48" ht="15.75" customHeight="1">
      <c r="A48" s="1">
        <v>7997.0</v>
      </c>
      <c r="B48" s="1" t="s">
        <v>6</v>
      </c>
      <c r="C48" s="1" t="s">
        <v>53</v>
      </c>
      <c r="D48" s="1" t="str">
        <f>IFERROR(__xludf.DUMMYFUNCTION("CONCATENATE(GOOGLETRANSLATE(C48, ""en"", ""zh-cn""))"),"Microsoft Surface 笔记本电脑，Copilot+ PC 13"".8 /16/512 - 白金级")</f>
        <v>Microsoft Surface 笔记本电脑，Copilot+ PC 13".8 /16/512 - 白金级</v>
      </c>
      <c r="E48" s="1" t="str">
        <f>IFERROR(__xludf.DUMMYFUNCTION("CONCATENATE(GOOGLETRANSLATE(C48, ""en"", ""ko""))"),"마이크로소프트 서피스 노트북, 코파일럿+ PC 13인치.8 /16/512 - 플래티넘")</f>
        <v>마이크로소프트 서피스 노트북, 코파일럿+ PC 13인치.8 /16/512 - 플래티넘</v>
      </c>
      <c r="F48" s="1" t="str">
        <f>IFERROR(__xludf.DUMMYFUNCTION("CONCATENATE(GOOGLETRANSLATE(C48, ""en"", ""ja""))"),"Microsoft Surface Laptop、Copilot+ PC 13"".8 /16/512 - プラチナ")</f>
        <v>Microsoft Surface Laptop、Copilot+ PC 13".8 /16/512 - プラチナ</v>
      </c>
    </row>
    <row r="49" ht="15.75" customHeight="1">
      <c r="A49" s="1">
        <v>8012.0</v>
      </c>
      <c r="B49" s="1" t="s">
        <v>6</v>
      </c>
      <c r="C49" s="1" t="s">
        <v>54</v>
      </c>
      <c r="D49" s="1" t="str">
        <f>IFERROR(__xludf.DUMMYFUNCTION("CONCATENATE(GOOGLETRANSLATE(C49, ""en"", ""zh-cn""))"),"Lenovo IdeaPad 1 学生笔记本电脑，15.6 英寸 FHD 显示屏，英特尔双核处理器，12GB RAM，512GB SSD + 128GB eMMC，1 年 Office 365，Wi-Fi 6，网络摄像头，蓝牙，SD 卡读卡器，Windows 11 家庭版，灰色")</f>
        <v>Lenovo IdeaPad 1 学生笔记本电脑，15.6 英寸 FHD 显示屏，英特尔双核处理器，12GB RAM，512GB SSD + 128GB eMMC，1 年 Office 365，Wi-Fi 6，网络摄像头，蓝牙，SD 卡读卡器，Windows 11 家庭版，灰色</v>
      </c>
      <c r="E49" s="1" t="str">
        <f>IFERROR(__xludf.DUMMYFUNCTION("CONCATENATE(GOOGLETRANSLATE(C49, ""en"", ""ko""))"),"Lenovo IdeaPad 학생용 노트북 1대, 15.6인치 FHD 디스플레이, Intel 듀얼 코어 프로세서, 12GB RAM, 512GB SSD + 128GB eMMC, 1년 Office 365, Wi-Fi 6, 웹캠, Bluetooth, SD 카드 리더기, Windows 11 Home, 회색")</f>
        <v>Lenovo IdeaPad 학생용 노트북 1대, 15.6인치 FHD 디스플레이, Intel 듀얼 코어 프로세서, 12GB RAM, 512GB SSD + 128GB eMMC, 1년 Office 365, Wi-Fi 6, 웹캠, Bluetooth, SD 카드 리더기, Windows 11 Home, 회색</v>
      </c>
      <c r="F49" s="1" t="str">
        <f>IFERROR(__xludf.DUMMYFUNCTION("CONCATENATE(GOOGLETRANSLATE(C49, ""en"", ""ja""))"),"Lenovo IdeaPad 1 学生用ラップトップ、15.6 インチ FHD ディスプレイ、インテル デュアル コア プロセッサー、12GB RAM、512GB SSD + 128GB eMMC、1 年間の Office 365、Wi-Fi 6、ウェブカメラ、Bluetooth、SD カード リーダー、Windows 11 Home、グレー")</f>
        <v>Lenovo IdeaPad 1 学生用ラップトップ、15.6 インチ FHD ディスプレイ、インテル デュアル コア プロセッサー、12GB RAM、512GB SSD + 128GB eMMC、1 年間の Office 365、Wi-Fi 6、ウェブカメラ、Bluetooth、SD カード リーダー、Windows 11 Home、グレー</v>
      </c>
    </row>
    <row r="50" ht="15.75" customHeight="1">
      <c r="A50" s="1">
        <v>8060.0</v>
      </c>
      <c r="B50" s="1" t="s">
        <v>6</v>
      </c>
      <c r="C50" s="1" t="s">
        <v>55</v>
      </c>
      <c r="D50" s="1" t="str">
        <f>IFERROR(__xludf.DUMMYFUNCTION("CONCATENATE(GOOGLETRANSLATE(C50, ""en"", ""zh-cn""))"),"戴尔 Latitude 7420 全高清笔记本电脑，配备英特尔酷睿 i7 第 11 代处理器（16GB RAM、512GB SSD、WiFi、蓝牙）Windows 11 Pro - 碳纤维（续订）")</f>
        <v>戴尔 Latitude 7420 全高清笔记本电脑，配备英特尔酷睿 i7 第 11 代处理器（16GB RAM、512GB SSD、WiFi、蓝牙）Windows 11 Pro - 碳纤维（续订）</v>
      </c>
      <c r="E50" s="1" t="str">
        <f>IFERROR(__xludf.DUMMYFUNCTION("CONCATENATE(GOOGLETRANSLATE(C50, ""en"", ""ko""))"),"Intel Core i7 11세대 프로세서(16GB RAM, 512GB SSD, WiFi, Bluetooth)를 탑재한 Dell Latitude 7420 FHD 노트북 노트북 Windows 11 Pro - 탄소 섬유(리뉴얼)")</f>
        <v>Intel Core i7 11세대 프로세서(16GB RAM, 512GB SSD, WiFi, Bluetooth)를 탑재한 Dell Latitude 7420 FHD 노트북 노트북 Windows 11 Pro - 탄소 섬유(리뉴얼)</v>
      </c>
      <c r="F50" s="1" t="str">
        <f>IFERROR(__xludf.DUMMYFUNCTION("CONCATENATE(GOOGLETRANSLATE(C50, ""en"", ""ja""))"),"Intel Core i7 第 11 世代プロセッサー (16GB Ram、512GB SSD、WiFi、Bluetooth) Windows 11 Pro 搭載 Dell Latitude 7420 FHD ラップトップ ノートブック - カーボンファイバー (リニューアル)")</f>
        <v>Intel Core i7 第 11 世代プロセッサー (16GB Ram、512GB SSD、WiFi、Bluetooth) Windows 11 Pro 搭載 Dell Latitude 7420 FHD ラップトップ ノートブック - カーボンファイバー (リニューアル)</v>
      </c>
    </row>
    <row r="51" ht="15.75" customHeight="1">
      <c r="A51" s="1">
        <v>8083.0</v>
      </c>
      <c r="B51" s="1" t="s">
        <v>6</v>
      </c>
      <c r="C51" s="1" t="s">
        <v>56</v>
      </c>
      <c r="D51" s="1" t="str">
        <f>IFERROR(__xludf.DUMMYFUNCTION("CONCATENATE(GOOGLETRANSLATE(C51, ""en"", ""zh-cn""))"),"华硕 ZenBook S UX391UA-XB71-R 超轻薄 13.3 英寸全高清笔记本电脑，英特尔酷睿 i7-8550U，8GB RAM，256GB M.2 SSD，Windows 10 Pro，FP 传感器，Thunderbolt，酒红色")</f>
        <v>华硕 ZenBook S UX391UA-XB71-R 超轻薄 13.3 英寸全高清笔记本电脑，英特尔酷睿 i7-8550U，8GB RAM，256GB M.2 SSD，Windows 10 Pro，FP 传感器，Thunderbolt，酒红色</v>
      </c>
      <c r="E51" s="1" t="str">
        <f>IFERROR(__xludf.DUMMYFUNCTION("CONCATENATE(GOOGLETRANSLATE(C51, ""en"", ""ko""))"),"ASUS ZenBook S UX391UA-XB71-R 초박형 및 가벼운 13.3인치 Full HD 노트북, Intel Core i7-8550U, 8GB RAM, 256GB M.2 SSD, Windows 10 Pro, FP 센서, Thunderbolt, Burgundy Red")</f>
        <v>ASUS ZenBook S UX391UA-XB71-R 초박형 및 가벼운 13.3인치 Full HD 노트북, Intel Core i7-8550U, 8GB RAM, 256GB M.2 SSD, Windows 10 Pro, FP 센서, Thunderbolt, Burgundy Red</v>
      </c>
      <c r="F51" s="1" t="str">
        <f>IFERROR(__xludf.DUMMYFUNCTION("CONCATENATE(GOOGLETRANSLATE(C51, ""en"", ""ja""))"),"ASUS ZenBook S UX391UA-XB71-R 超薄型軽量 13.3 インチ フル HD ノートパソコン、Intel Core i7-8550U、8GB RAM、256GB M.2 SSD、Windows 10 Pro、FP センサー、サンダーボルト、バーガンディレッド")</f>
        <v>ASUS ZenBook S UX391UA-XB71-R 超薄型軽量 13.3 インチ フル HD ノートパソコン、Intel Core i7-8550U、8GB RAM、256GB M.2 SSD、Windows 10 Pro、FP センサー、サンダーボルト、バーガンディレッド</v>
      </c>
    </row>
    <row r="52" ht="15.75" customHeight="1">
      <c r="A52" s="1">
        <v>8088.0</v>
      </c>
      <c r="B52" s="1" t="s">
        <v>6</v>
      </c>
      <c r="C52" s="1" t="s">
        <v>57</v>
      </c>
      <c r="D52" s="1" t="str">
        <f>IFERROR(__xludf.DUMMYFUNCTION("CONCATENATE(GOOGLETRANSLATE(C52, ""en"", ""zh-cn""))"),"华硕 ROG Strix Scar 15 游戏笔记本电脑，15.6 英寸 300Hz FHD IPS 显示屏，AMD Ryzen 9 5900HX，64GB DDR4 RAM，4TB SSD，NVIDIA GeForce RTX 3080，光学机械英文单键 RGB 键盘，Windows 11 Home")</f>
        <v>华硕 ROG Strix Scar 15 游戏笔记本电脑，15.6 英寸 300Hz FHD IPS 显示屏，AMD Ryzen 9 5900HX，64GB DDR4 RAM，4TB SSD，NVIDIA GeForce RTX 3080，光学机械英文单键 RGB 键盘，Windows 11 Home</v>
      </c>
      <c r="E52" s="1" t="str">
        <f>IFERROR(__xludf.DUMMYFUNCTION("CONCATENATE(GOOGLETRANSLATE(C52, ""en"", ""ko""))"),"ASUS ROG Strix Scar 15 게이밍 노트북, 15.6인치 300Hz FHD IPS 디스플레이, AMD Ryzen 9 5900HX, 64GB DDR4 RAM, 4TB SSD, NVIDIA GeForce RTX 3080, Opti-Mechanical English Per-Key RGB 키보드, Windows 11 Home")</f>
        <v>ASUS ROG Strix Scar 15 게이밍 노트북, 15.6인치 300Hz FHD IPS 디스플레이, AMD Ryzen 9 5900HX, 64GB DDR4 RAM, 4TB SSD, NVIDIA GeForce RTX 3080, Opti-Mechanical English Per-Key RGB 키보드, Windows 11 Home</v>
      </c>
      <c r="F52" s="1" t="str">
        <f>IFERROR(__xludf.DUMMYFUNCTION("CONCATENATE(GOOGLETRANSLATE(C52, ""en"", ""ja""))"),"ASUS ROG Strix Scar 15 ゲーミング ラップトップ、15.6 インチ 300Hz FHD IPS ディスプレイ、AMD Ryzen 9 5900HX、64GB DDR4 RAM、4TB SSD、NVIDIA GeForce RTX 3080、Opti-Mechanical English Per-Key RGB キーボード、Windows 11 Home")</f>
        <v>ASUS ROG Strix Scar 15 ゲーミング ラップトップ、15.6 インチ 300Hz FHD IPS ディスプレイ、AMD Ryzen 9 5900HX、64GB DDR4 RAM、4TB SSD、NVIDIA GeForce RTX 3080、Opti-Mechanical English Per-Key RGB キーボード、Windows 11 Home</v>
      </c>
    </row>
    <row r="53" ht="15.75" customHeight="1">
      <c r="A53" s="1">
        <v>8089.0</v>
      </c>
      <c r="B53" s="1" t="s">
        <v>6</v>
      </c>
      <c r="C53" s="1" t="s">
        <v>58</v>
      </c>
      <c r="D53" s="1" t="str">
        <f>IFERROR(__xludf.DUMMYFUNCTION("CONCATENATE(GOOGLETRANSLATE(C53, ""en"", ""zh-cn""))"),"华硕 Vivobook 笔记本电脑，14 英寸 FHD 显示屏，i3-1215U，16GB RAM，512GB SSD，Wi-Fi 6，HDMI，网络摄像头，触摸板，Windows 11 Home，蓝色")</f>
        <v>华硕 Vivobook 笔记本电脑，14 英寸 FHD 显示屏，i3-1215U，16GB RAM，512GB SSD，Wi-Fi 6，HDMI，网络摄像头，触摸板，Windows 11 Home，蓝色</v>
      </c>
      <c r="E53" s="1" t="str">
        <f>IFERROR(__xludf.DUMMYFUNCTION("CONCATENATE(GOOGLETRANSLATE(C53, ""en"", ""ko""))"),"ASUS Vivobook 노트북, 14인치 FHD 디스플레이, i3-1215U, 16GB RAM, 512GB SSD, Wi-Fi 6, HDMI, 웹캠, 터치패드, Windows 11 Home, 블루")</f>
        <v>ASUS Vivobook 노트북, 14인치 FHD 디스플레이, i3-1215U, 16GB RAM, 512GB SSD, Wi-Fi 6, HDMI, 웹캠, 터치패드, Windows 11 Home, 블루</v>
      </c>
      <c r="F53" s="1" t="str">
        <f>IFERROR(__xludf.DUMMYFUNCTION("CONCATENATE(GOOGLETRANSLATE(C53, ""en"", ""ja""))"),"ASUS Vivobook ラップトップ、14 インチ FHD ディスプレイ、i3-1215U、16GB RAM、512GB SSD、Wi-Fi 6、HDMI、ウェブカメラ、タッチパッド、Windows 11 Home、ブルー")</f>
        <v>ASUS Vivobook ラップトップ、14 インチ FHD ディスプレイ、i3-1215U、16GB RAM、512GB SSD、Wi-Fi 6、HDMI、ウェブカメラ、タッチパッド、Windows 11 Home、ブルー</v>
      </c>
    </row>
    <row r="54" ht="15.75" customHeight="1">
      <c r="A54" s="1">
        <v>7768.0</v>
      </c>
      <c r="B54" s="1" t="s">
        <v>6</v>
      </c>
      <c r="C54" s="1" t="s">
        <v>59</v>
      </c>
      <c r="D54" s="1" t="str">
        <f>IFERROR(__xludf.DUMMYFUNCTION("CONCATENATE(GOOGLETRANSLATE(C54, ""en"", ""zh-cn""))"),"Canon Color imageCLASS MF656Cdw - 无线双面激光打印机，复印机、扫描仪、传真机、自动文档进纸器一体机，移动就绪，3 年有限保修，22 PPM，白色")</f>
        <v>Canon Color imageCLASS MF656Cdw - 无线双面激光打印机，复印机、扫描仪、传真机、自动文档进纸器一体机，移动就绪，3 年有限保修，22 PPM，白色</v>
      </c>
      <c r="E54" s="1" t="str">
        <f>IFERROR(__xludf.DUMMYFUNCTION("CONCATENATE(GOOGLETRANSLATE(C54, ""en"", ""ko""))"),"Canon 컬러 imageCLASS MF656Cdw - 무선 양면 레이저 프린터, 복사기, 스캐너, 팩스, 자동 문서 공급 장치가 포함된 올인원, 모바일 지원, 3년 제한 보증, 22 PPM, 흰색")</f>
        <v>Canon 컬러 imageCLASS MF656Cdw - 무선 양면 레이저 프린터, 복사기, 스캐너, 팩스, 자동 문서 공급 장치가 포함된 올인원, 모바일 지원, 3년 제한 보증, 22 PPM, 흰색</v>
      </c>
      <c r="F54" s="1" t="str">
        <f>IFERROR(__xludf.DUMMYFUNCTION("CONCATENATE(GOOGLETRANSLATE(C54, ""en"", ""ja""))"),"Canon Color imageCLASS MF656Cdw - ワイヤレス両面レーザー プリンター、コピー機、スキャナー、ファックス、自動ドキュメント フィーダーを備えたオールインワン、モバイル対応、3 年間の限定保証、22 PPM、ホワイト")</f>
        <v>Canon Color imageCLASS MF656Cdw - ワイヤレス両面レーザー プリンター、コピー機、スキャナー、ファックス、自動ドキュメント フィーダーを備えたオールインワン、モバイル対応、3 年間の限定保証、22 PPM、ホワイト</v>
      </c>
    </row>
    <row r="55" ht="15.75" customHeight="1">
      <c r="A55" s="1">
        <v>7822.0</v>
      </c>
      <c r="B55" s="1" t="s">
        <v>6</v>
      </c>
      <c r="C55" s="1" t="s">
        <v>60</v>
      </c>
      <c r="D55" s="1" t="str">
        <f>IFERROR(__xludf.DUMMYFUNCTION("CONCATENATE(GOOGLETRANSLATE(C55, ""en"", ""zh-cn""))"),"HP 148A 黑色 Laserjet 碳粉盒 |此墨盒适用于 Laserjet Pro 4001、MFP 4101 | W1480A")</f>
        <v>HP 148A 黑色 Laserjet 碳粉盒 |此墨盒适用于 Laserjet Pro 4001、MFP 4101 | W1480A</v>
      </c>
      <c r="E55" s="1" t="str">
        <f>IFERROR(__xludf.DUMMYFUNCTION("CONCATENATE(GOOGLETRANSLATE(C55, ""en"", ""ko""))"),"HP 148A 검정 레이저젯 토너 카트리지 | 이 카트리지는 Laserjet Pro 4001, MFP 4101에서 작동합니다 | W1480A")</f>
        <v>HP 148A 검정 레이저젯 토너 카트리지 | 이 카트리지는 Laserjet Pro 4001, MFP 4101에서 작동합니다 | W1480A</v>
      </c>
      <c r="F55" s="1" t="str">
        <f>IFERROR(__xludf.DUMMYFUNCTION("CONCATENATE(GOOGLETRANSLATE(C55, ""en"", ""ja""))"),"HP 148A ブラック Laserjet トナー カートリッジ |このカートリッジは Laserjet Pro 4001、MFP 4101 で動作します。 W1480A")</f>
        <v>HP 148A ブラック Laserjet トナー カートリッジ |このカートリッジは Laserjet Pro 4001、MFP 4101 で動作します。 W1480A</v>
      </c>
    </row>
    <row r="56" ht="15.75" customHeight="1">
      <c r="A56" s="1">
        <v>7869.0</v>
      </c>
      <c r="B56" s="1" t="s">
        <v>6</v>
      </c>
      <c r="C56" s="1" t="s">
        <v>61</v>
      </c>
      <c r="D56" s="1" t="str">
        <f>IFERROR(__xludf.DUMMYFUNCTION("CONCATENATE(GOOGLETRANSLATE(C56, ""en"", ""zh-cn""))"),"兄弟正品 LC401BK 标准容量黑色墨盒")</f>
        <v>兄弟正品 LC401BK 标准容量黑色墨盒</v>
      </c>
      <c r="E56" s="1" t="str">
        <f>IFERROR(__xludf.DUMMYFUNCTION("CONCATENATE(GOOGLETRANSLATE(C56, ""en"", ""ko""))"),"브라더 정품 LC401BK 표준 출력 검정 잉크 카트리지")</f>
        <v>브라더 정품 LC401BK 표준 출력 검정 잉크 카트리지</v>
      </c>
      <c r="F56" s="1" t="str">
        <f>IFERROR(__xludf.DUMMYFUNCTION("CONCATENATE(GOOGLETRANSLATE(C56, ""en"", ""ja""))"),"ブラザー 純正 LC401BK 標準容量 ブラック インクカートリッジ")</f>
        <v>ブラザー 純正 LC401BK 標準容量 ブラック インクカートリッジ</v>
      </c>
    </row>
    <row r="57" ht="15.75" customHeight="1">
      <c r="A57" s="1">
        <v>7906.0</v>
      </c>
      <c r="B57" s="1" t="s">
        <v>6</v>
      </c>
      <c r="C57" s="1" t="s">
        <v>62</v>
      </c>
      <c r="D57" s="1" t="str">
        <f>IFERROR(__xludf.DUMMYFUNCTION("CONCATENATE(GOOGLETRANSLATE(C57, ""en"", ""zh-cn""))"),"Scotch 热层压袋，2.4 x 4.2 英寸，ID 徽章，无夹子，2 件装，共 200 个袋 (TP5852-100)")</f>
        <v>Scotch 热层压袋，2.4 x 4.2 英寸，ID 徽章，无夹子，2 件装，共 200 个袋 (TP5852-100)</v>
      </c>
      <c r="E57" s="1" t="str">
        <f>IFERROR(__xludf.DUMMYFUNCTION("CONCATENATE(GOOGLETRANSLATE(C57, ""en"", ""ko""))"),"스카치 열 라미네이팅 파우치, 2.4 x 4.2인치, ID 배지(클립 제외), 2팩, 총 200개 파우치(TP5852-100)")</f>
        <v>스카치 열 라미네이팅 파우치, 2.4 x 4.2인치, ID 배지(클립 제외), 2팩, 총 200개 파우치(TP5852-100)</v>
      </c>
      <c r="F57" s="1" t="str">
        <f>IFERROR(__xludf.DUMMYFUNCTION("CONCATENATE(GOOGLETRANSLATE(C57, ""en"", ""ja""))"),"Scotch サーマルラミネートポーチ、2.4 x 4.2 インチ、クリップなしの ID バッジ、2 パック、合計 200 ポーチ (TP5852-100)")</f>
        <v>Scotch サーマルラミネートポーチ、2.4 x 4.2 インチ、クリップなしの ID バッジ、2 パック、合計 200 ポーチ (TP5852-100)</v>
      </c>
    </row>
    <row r="58" ht="15.75" customHeight="1">
      <c r="A58" s="1">
        <v>7916.0</v>
      </c>
      <c r="B58" s="1" t="s">
        <v>6</v>
      </c>
      <c r="C58" s="1" t="s">
        <v>63</v>
      </c>
      <c r="D58" s="1" t="str">
        <f>IFERROR(__xludf.DUMMYFUNCTION("CONCATENATE(GOOGLETRANSLATE(C58, ""en"", ""zh-cn""))"),"MSI Pulse 15 15.6 英寸 144Hz FHD 游戏笔记本电脑：Intel Core i7-13700H、NVIDIA Geforce RTX 4060、16GB DDR5、1TB NVMe SSD、Cooler Boost 5、Win 11：黑色 B13VFK-280US")</f>
        <v>MSI Pulse 15 15.6 英寸 144Hz FHD 游戏笔记本电脑：Intel Core i7-13700H、NVIDIA Geforce RTX 4060、16GB DDR5、1TB NVMe SSD、Cooler Boost 5、Win 11：黑色 B13VFK-280US</v>
      </c>
      <c r="E58" s="1" t="str">
        <f>IFERROR(__xludf.DUMMYFUNCTION("CONCATENATE(GOOGLETRANSLATE(C58, ""en"", ""ko""))"),"MSI Pulse 15 15.6인치 144Hz FHD 게이밍 노트북: Intel Core i7-13700H, NVIDIA Geforce RTX 4060, 16GB DDR5, 1TB NVMe SSD, Cooler Boost 5, Win 11: 블랙 B13VFK-280US")</f>
        <v>MSI Pulse 15 15.6인치 144Hz FHD 게이밍 노트북: Intel Core i7-13700H, NVIDIA Geforce RTX 4060, 16GB DDR5, 1TB NVMe SSD, Cooler Boost 5, Win 11: 블랙 B13VFK-280US</v>
      </c>
      <c r="F58" s="1" t="str">
        <f>IFERROR(__xludf.DUMMYFUNCTION("CONCATENATE(GOOGLETRANSLATE(C58, ""en"", ""ja""))"),"MSI Pulse 15 15.6 インチ 144Hz FHD ゲーミング ノートパソコン: Intel Core i7-13700H、NVIDIA Geforce RTX 4060、16GB DDR5、1TB NVMe SSD、Cooler Boost 5、Win 11: ブラック B13VFK-280US")</f>
        <v>MSI Pulse 15 15.6 インチ 144Hz FHD ゲーミング ノートパソコン: Intel Core i7-13700H、NVIDIA Geforce RTX 4060、16GB DDR5、1TB NVMe SSD、Cooler Boost 5、Win 11: ブラック B13VFK-280US</v>
      </c>
    </row>
    <row r="59" ht="15.75" customHeight="1">
      <c r="A59" s="1">
        <v>7923.0</v>
      </c>
      <c r="B59" s="1" t="s">
        <v>6</v>
      </c>
      <c r="C59" s="1" t="s">
        <v>64</v>
      </c>
      <c r="D59" s="1" t="str">
        <f>IFERROR(__xludf.DUMMYFUNCTION("CONCATENATE(GOOGLETRANSLATE(C59, ""en"", ""zh-cn""))"),"MSI Katana A17 AI 17.3 英寸 240Hz QHD 游戏笔记本电脑：Ryzen 9-8945HS、NVIDIA Geforce RTX 4070、64GB DDR5、2TB NVMe SSD、Cooler Boost 5、Win 11：黑色 B8VG-879US")</f>
        <v>MSI Katana A17 AI 17.3 英寸 240Hz QHD 游戏笔记本电脑：Ryzen 9-8945HS、NVIDIA Geforce RTX 4070、64GB DDR5、2TB NVMe SSD、Cooler Boost 5、Win 11：黑色 B8VG-879US</v>
      </c>
      <c r="E59" s="1" t="str">
        <f>IFERROR(__xludf.DUMMYFUNCTION("CONCATENATE(GOOGLETRANSLATE(C59, ""en"", ""ko""))"),"MSI Katana A17 AI 17.3인치 240Hz QHD 게이밍 노트북: Ryzen 9-8945HS, NVIDIA Geforce RTX 4070, 64GB DDR5, 2TB NVMe SSD, Cooler Boost 5, Win 11: 블랙 B8VG-879US")</f>
        <v>MSI Katana A17 AI 17.3인치 240Hz QHD 게이밍 노트북: Ryzen 9-8945HS, NVIDIA Geforce RTX 4070, 64GB DDR5, 2TB NVMe SSD, Cooler Boost 5, Win 11: 블랙 B8VG-879US</v>
      </c>
      <c r="F59" s="1" t="str">
        <f>IFERROR(__xludf.DUMMYFUNCTION("CONCATENATE(GOOGLETRANSLATE(C59, ""en"", ""ja""))"),"MSI Katana A17 AI 17.3 インチ 240Hz QHD ゲーミング ノートパソコン: Ryzen 9-8945HS、NVIDIA Geforce RTX 4070、64GB DDR5、2TB NVMe SSD、Cooler Boost 5、Win 11: ブラック B8VG-879US")</f>
        <v>MSI Katana A17 AI 17.3 インチ 240Hz QHD ゲーミング ノートパソコン: Ryzen 9-8945HS、NVIDIA Geforce RTX 4070、64GB DDR5、2TB NVMe SSD、Cooler Boost 5、Win 11: ブラック B8VG-879US</v>
      </c>
    </row>
    <row r="60" ht="15.75" customHeight="1">
      <c r="A60" s="1">
        <v>7943.0</v>
      </c>
      <c r="B60" s="1" t="s">
        <v>6</v>
      </c>
      <c r="C60" s="1" t="s">
        <v>65</v>
      </c>
      <c r="D60" s="1" t="str">
        <f>IFERROR(__xludf.DUMMYFUNCTION("CONCATENATE(GOOGLETRANSLATE(C60, ""en"", ""zh-cn""))"),"微星游戏笔记本电脑| MSI GF65 | Intel-4 酷睿 i5-9300H | NVIDIA GeForce RTX 2060 6GB | 48GB DDR4 | 48GB DDR4 2TB 固态硬盘 | 15.6 英寸 1920 x 1080 120Hz | Win11 Pro - Wi-Fi 5 - 蓝牙 5 - 背光键盘 - 黑色")</f>
        <v>微星游戏笔记本电脑| MSI GF65 | Intel-4 酷睿 i5-9300H | NVIDIA GeForce RTX 2060 6GB | 48GB DDR4 | 48GB DDR4 2TB 固态硬盘 | 15.6 英寸 1920 x 1080 120Hz | Win11 Pro - Wi-Fi 5 - 蓝牙 5 - 背光键盘 - 黑色</v>
      </c>
      <c r="E60" s="1" t="str">
        <f>IFERROR(__xludf.DUMMYFUNCTION("CONCATENATE(GOOGLETRANSLATE(C60, ""en"", ""ko""))"),"MSI 게이밍 노트북 | GF65 | 인텔-4 코어 i5-9300H | 엔비디아 지포스 RTX 2060 6GB | 48GB DDR4 | 2TB SSD | 15.6인치 1920 x 1080 120Hz | Win11 Pro - Wi-Fi 5 - Bluetooth 5 - 백라이트 키보드 - 블랙")</f>
        <v>MSI 게이밍 노트북 | GF65 | 인텔-4 코어 i5-9300H | 엔비디아 지포스 RTX 2060 6GB | 48GB DDR4 | 2TB SSD | 15.6인치 1920 x 1080 120Hz | Win11 Pro - Wi-Fi 5 - Bluetooth 5 - 백라이트 키보드 - 블랙</v>
      </c>
      <c r="F60" s="1" t="str">
        <f>IFERROR(__xludf.DUMMYFUNCTION("CONCATENATE(GOOGLETRANSLATE(C60, ""en"", ""ja""))"),"MSI ゲーミング ノートパソコン | GF65 |インテル-4 コア i5-9300H | NVIDIA GeForce RTX 2060 6GB | 48GB DDR4 | 2TB SSD | 15.6 インチ 1920 x 1080 120Hz | Win11 Pro - Wi-Fi 5 - Bluetooth 5 - バックライト付きキーボード - ブラック")</f>
        <v>MSI ゲーミング ノートパソコン | GF65 |インテル-4 コア i5-9300H | NVIDIA GeForce RTX 2060 6GB | 48GB DDR4 | 2TB SSD | 15.6 インチ 1920 x 1080 120Hz | Win11 Pro - Wi-Fi 5 - Bluetooth 5 - バックライト付きキーボード - ブラック</v>
      </c>
    </row>
    <row r="61" ht="15.75" customHeight="1">
      <c r="A61" s="1">
        <v>7944.0</v>
      </c>
      <c r="B61" s="1" t="s">
        <v>6</v>
      </c>
      <c r="C61" s="1" t="s">
        <v>66</v>
      </c>
      <c r="D61" s="1" t="str">
        <f>IFERROR(__xludf.DUMMYFUNCTION("CONCATENATE(GOOGLETRANSLATE(C61, ""en"", ""zh-cn""))"),"微星 2024 笔记本电脑 |威望 16Evo A13M | 16 英寸 2560 x 1600 165Hz IPS | Intel-14 Core i7-13700H | 32GB LPDDR5 | 4TB SSD | Windows 10 Pro | Wi-Fi 6E - BT 5.3 - 背光 KB - 1080p 红外摄像头 - 城市银")</f>
        <v>微星 2024 笔记本电脑 |威望 16Evo A13M | 16 英寸 2560 x 1600 165Hz IPS | Intel-14 Core i7-13700H | 32GB LPDDR5 | 4TB SSD | Windows 10 Pro | Wi-Fi 6E - BT 5.3 - 背光 KB - 1080p 红外摄像头 - 城市银</v>
      </c>
      <c r="E61" s="1" t="str">
        <f>IFERROR(__xludf.DUMMYFUNCTION("CONCATENATE(GOOGLETRANSLATE(C61, ""en"", ""ko""))"),"MSI 2024 노트북 | 프레스티지 16Evo A13M | 16인치 2560 x 1600 165Hz IPS | Intel-14 코어 i7-13700H | 32GB LPDDR5 | 4TB SSD | Windows 10 Pro | Wi-Fi 6E - BT 5.3 - 백라이트 KB - 1080p IR 카메라 - Urban Silver")</f>
        <v>MSI 2024 노트북 | 프레스티지 16Evo A13M | 16인치 2560 x 1600 165Hz IPS | Intel-14 코어 i7-13700H | 32GB LPDDR5 | 4TB SSD | Windows 10 Pro | Wi-Fi 6E - BT 5.3 - 백라이트 KB - 1080p IR 카메라 - Urban Silver</v>
      </c>
      <c r="F61" s="1" t="str">
        <f>IFERROR(__xludf.DUMMYFUNCTION("CONCATENATE(GOOGLETRANSLATE(C61, ""en"", ""ja""))"),"MSI 2024 ノートパソコン |プレステージ 16Evo A13M | 16 インチ 2560 x 1600 165Hz IPS | Intel-14 Core i7-13700H | 32GB LPDDR5 | 4TB SSD | Windows 10 Pro | Wi-Fi 6E - BT 5.3 - バックライト付き KB - 1080p IR カメラ - アーバン シルバー")</f>
        <v>MSI 2024 ノートパソコン |プレステージ 16Evo A13M | 16 インチ 2560 x 1600 165Hz IPS | Intel-14 Core i7-13700H | 32GB LPDDR5 | 4TB SSD | Windows 10 Pro | Wi-Fi 6E - BT 5.3 - バックライト付き KB - 1080p IR カメラ - アーバン シルバー</v>
      </c>
    </row>
    <row r="62" ht="15.75" customHeight="1">
      <c r="A62" s="1">
        <v>7971.0</v>
      </c>
      <c r="B62" s="1" t="s">
        <v>6</v>
      </c>
      <c r="C62" s="1" t="s">
        <v>67</v>
      </c>
      <c r="D62" s="1" t="str">
        <f>IFERROR(__xludf.DUMMYFUNCTION("CONCATENATE(GOOGLETRANSLATE(C62, ""en"", ""zh-cn""))"),"微软 Surface Book 3 15 英寸 I7 32GB RAM 512GB SSD RTX 3000")</f>
        <v>微软 Surface Book 3 15 英寸 I7 32GB RAM 512GB SSD RTX 3000</v>
      </c>
      <c r="E62" s="1" t="str">
        <f>IFERROR(__xludf.DUMMYFUNCTION("CONCATENATE(GOOGLETRANSLATE(C62, ""en"", ""ko""))"),"마이크로소프트 서피스 북 3 15인치 I7 32GB RAM 512GB SSD RTX 3000")</f>
        <v>마이크로소프트 서피스 북 3 15인치 I7 32GB RAM 512GB SSD RTX 3000</v>
      </c>
      <c r="F62" s="1" t="str">
        <f>IFERROR(__xludf.DUMMYFUNCTION("CONCATENATE(GOOGLETRANSLATE(C62, ""en"", ""ja""))"),"Microsoft Surface Book 3 15"" I7 32GB RAM 512GB SSD RTX 3000")</f>
        <v>Microsoft Surface Book 3 15" I7 32GB RAM 512GB SSD RTX 3000</v>
      </c>
    </row>
    <row r="63" ht="15.75" customHeight="1">
      <c r="A63" s="1">
        <v>7982.0</v>
      </c>
      <c r="B63" s="1" t="s">
        <v>6</v>
      </c>
      <c r="C63" s="1" t="s">
        <v>68</v>
      </c>
      <c r="D63" s="1" t="str">
        <f>IFERROR(__xludf.DUMMYFUNCTION("CONCATENATE(GOOGLETRANSLATE(C63, ""en"", ""zh-cn""))"),"微软 Surface 笔记本电脑 1769 13.5 英寸英特尔酷睿 i5-7200U 2.5GHz 4GB 128GB Win 11")</f>
        <v>微软 Surface 笔记本电脑 1769 13.5 英寸英特尔酷睿 i5-7200U 2.5GHz 4GB 128GB Win 11</v>
      </c>
      <c r="E63" s="1" t="str">
        <f>IFERROR(__xludf.DUMMYFUNCTION("CONCATENATE(GOOGLETRANSLATE(C63, ""en"", ""ko""))"),"마이크로소프트 서피스 노트북 1769 13.5인치 인텔 코어 i5-7200U 2.5GHz 4GB 128GB 윈도우 11")</f>
        <v>마이크로소프트 서피스 노트북 1769 13.5인치 인텔 코어 i5-7200U 2.5GHz 4GB 128GB 윈도우 11</v>
      </c>
      <c r="F63" s="1" t="str">
        <f>IFERROR(__xludf.DUMMYFUNCTION("CONCATENATE(GOOGLETRANSLATE(C63, ""en"", ""ja""))"),"Microsoft Surface Laptop 1769 13.5インチ Intel Core i5-7200U 2.5GHz 4GB 128GB Win 11")</f>
        <v>Microsoft Surface Laptop 1769 13.5インチ Intel Core i5-7200U 2.5GHz 4GB 128GB Win 11</v>
      </c>
    </row>
    <row r="64" ht="15.75" customHeight="1">
      <c r="A64" s="1">
        <v>8009.0</v>
      </c>
      <c r="B64" s="1" t="s">
        <v>6</v>
      </c>
      <c r="C64" s="1" t="s">
        <v>69</v>
      </c>
      <c r="D64" s="1" t="str">
        <f>IFERROR(__xludf.DUMMYFUNCTION("CONCATENATE(GOOGLETRANSLATE(C64, ""en"", ""zh-cn""))"),"Microsoft Surface 笔记本电脑 Go 触摸屏 i5 第 10 代 8GB RAM 256GB SSD Windows 11")</f>
        <v>Microsoft Surface 笔记本电脑 Go 触摸屏 i5 第 10 代 8GB RAM 256GB SSD Windows 11</v>
      </c>
      <c r="E64" s="1" t="str">
        <f>IFERROR(__xludf.DUMMYFUNCTION("CONCATENATE(GOOGLETRANSLATE(C64, ""en"", ""ko""))"),"마이크로소프트 서피스 노트북 고 터치스크린 i5 10세대 8GB RAM 256GB SSD 윈도우 11")</f>
        <v>마이크로소프트 서피스 노트북 고 터치스크린 i5 10세대 8GB RAM 256GB SSD 윈도우 11</v>
      </c>
      <c r="F64" s="1" t="str">
        <f>IFERROR(__xludf.DUMMYFUNCTION("CONCATENATE(GOOGLETRANSLATE(C64, ""en"", ""ja""))"),"Microsoft Surface Laptop Go タッチスクリーン i5 第 10 世代 8GB RAM 256GB SSD Windows 11")</f>
        <v>Microsoft Surface Laptop Go タッチスクリーン i5 第 10 世代 8GB RAM 256GB SSD Windows 11</v>
      </c>
    </row>
    <row r="65" ht="15.75" customHeight="1">
      <c r="A65" s="1">
        <v>8121.0</v>
      </c>
      <c r="B65" s="1" t="s">
        <v>6</v>
      </c>
      <c r="C65" s="1" t="s">
        <v>70</v>
      </c>
      <c r="D65" s="1" t="str">
        <f>IFERROR(__xludf.DUMMYFUNCTION("CONCATENATE(GOOGLETRANSLATE(C65, ""en"", ""zh-cn""))"),"Apple Macbook Air 2017，配备 1.8GHz Intel Core i5（13 英寸，8GB RAM，128GB SSD 存储）（QWERTY 英文）银色（续订）")</f>
        <v>Apple Macbook Air 2017，配备 1.8GHz Intel Core i5（13 英寸，8GB RAM，128GB SSD 存储）（QWERTY 英文）银色（续订）</v>
      </c>
      <c r="E65" s="1" t="str">
        <f>IFERROR(__xludf.DUMMYFUNCTION("CONCATENATE(GOOGLETRANSLATE(C65, ""en"", ""ko""))"),"Apple Macbook Air 2017 - 1.8GHz Intel Core i5(13인치, 8GB RAM, 128GB SSD 스토리지)(QWERTY 영어) 실버(리뉴얼)")</f>
        <v>Apple Macbook Air 2017 - 1.8GHz Intel Core i5(13인치, 8GB RAM, 128GB SSD 스토리지)(QWERTY 영어) 실버(리뉴얼)</v>
      </c>
      <c r="F65" s="1" t="str">
        <f>IFERROR(__xludf.DUMMYFUNCTION("CONCATENATE(GOOGLETRANSLATE(C65, ""en"", ""ja""))"),"Apple Macbook Air 2017 1.8GHz Intel Core i5 搭載 (13 インチ、8GB RAM、128GB SSD ストレージ) (QWERTY 英語) シルバー (リニューアル)")</f>
        <v>Apple Macbook Air 2017 1.8GHz Intel Core i5 搭載 (13 インチ、8GB RAM、128GB SSD ストレージ) (QWERTY 英語) シルバー (リニューアル)</v>
      </c>
    </row>
    <row r="66" ht="15.75" customHeight="1">
      <c r="A66" s="1">
        <v>7770.0</v>
      </c>
      <c r="B66" s="1" t="s">
        <v>6</v>
      </c>
      <c r="C66" s="1" t="s">
        <v>71</v>
      </c>
      <c r="D66" s="1" t="str">
        <f>IFERROR(__xludf.DUMMYFUNCTION("CONCATENATE(GOOGLETRANSLATE(C66, ""en"", ""zh-cn""))"),"佳能 CL-241 正品彩色墨盒，兼容 MG2120/3120/4120、MX512/432/472/372/392/522/532/452、MG2220/3220/4220/3520/3620、TS5120")</f>
        <v>佳能 CL-241 正品彩色墨盒，兼容 MG2120/3120/4120、MX512/432/472/372/392/522/532/452、MG2220/3220/4220/3520/3620、TS5120</v>
      </c>
      <c r="E66" s="1" t="str">
        <f>IFERROR(__xludf.DUMMYFUNCTION("CONCATENATE(GOOGLETRANSLATE(C66, ""en"", ""ko""))"),"Canon CL-241 정품 컬러 잉크 카트리지, MG2120/3120/4120, MX512/432/472/372/392/522/532/452, MG2220/3220/4220/3520/3620, TS5120과 호환 가능")</f>
        <v>Canon CL-241 정품 컬러 잉크 카트리지, MG2120/3120/4120, MX512/432/472/372/392/522/532/452, MG2220/3220/4220/3520/3620, TS5120과 호환 가능</v>
      </c>
      <c r="F66" s="1" t="str">
        <f>IFERROR(__xludf.DUMMYFUNCTION("CONCATENATE(GOOGLETRANSLATE(C66, ""en"", ""ja""))"),"Canon 純正カラーインクカートリッジ CL-241 MG2120/3120/4120、MX512/432/472/372/392/522/532/452、MG2220/3220/4220/3520/3620、TS5120対応")</f>
        <v>Canon 純正カラーインクカートリッジ CL-241 MG2120/3120/4120、MX512/432/472/372/392/522/532/452、MG2220/3220/4220/3520/3620、TS5120対応</v>
      </c>
    </row>
    <row r="67" ht="15.75" customHeight="1">
      <c r="A67" s="1">
        <v>7772.0</v>
      </c>
      <c r="B67" s="1" t="s">
        <v>6</v>
      </c>
      <c r="C67" s="1" t="s">
        <v>72</v>
      </c>
      <c r="D67" s="1" t="str">
        <f>IFERROR(__xludf.DUMMYFUNCTION("CONCATENATE(GOOGLETRANSLATE(C67, ""en"", ""zh-cn""))"),"佳能 P23-DHV-3 打印计算器，具有双重检查功能、税务计算和货币换算功能")</f>
        <v>佳能 P23-DHV-3 打印计算器，具有双重检查功能、税务计算和货币换算功能</v>
      </c>
      <c r="E67" s="1" t="str">
        <f>IFERROR(__xludf.DUMMYFUNCTION("CONCATENATE(GOOGLETRANSLATE(C67, ""en"", ""ko""))"),"이중 확인 기능, 세금 계산 및 통화 변환 기능이 있는 Canon P23-DHV-3 인쇄 계산기")</f>
        <v>이중 확인 기능, 세금 계산 및 통화 변환 기능이 있는 Canon P23-DHV-3 인쇄 계산기</v>
      </c>
      <c r="F67" s="1" t="str">
        <f>IFERROR(__xludf.DUMMYFUNCTION("CONCATENATE(GOOGLETRANSLATE(C67, ""en"", ""ja""))"),"キヤノン ダブルチェック機能付き印刷電卓 税計算・通貨換算 P23-DHV-3")</f>
        <v>キヤノン ダブルチェック機能付き印刷電卓 税計算・通貨換算 P23-DHV-3</v>
      </c>
    </row>
    <row r="68" ht="15.75" customHeight="1">
      <c r="A68" s="1">
        <v>7777.0</v>
      </c>
      <c r="B68" s="1" t="s">
        <v>6</v>
      </c>
      <c r="C68" s="1" t="s">
        <v>73</v>
      </c>
      <c r="D68" s="1" t="str">
        <f>IFERROR(__xludf.DUMMYFUNCTION("CONCATENATE(GOOGLETRANSLATE(C68, ""en"", ""zh-cn""))"),"佳能 PG-243 / CL-244 正品墨水超值套装（2 墨盒），兼容 iP2820、MX492、MG2420/2520/2920/2922/2924/3020/2522/2525、TS3120/302/302a/202/4520/3320")</f>
        <v>佳能 PG-243 / CL-244 正品墨水超值套装（2 墨盒），兼容 iP2820、MX492、MG2420/2520/2920/2922/2924/3020/2522/2525、TS3120/302/302a/202/4520/3320</v>
      </c>
      <c r="E68" s="1" t="str">
        <f>IFERROR(__xludf.DUMMYFUNCTION("CONCATENATE(GOOGLETRANSLATE(C68, ""en"", ""ko""))"),"Canon PG-243 / CL-244 정품 잉크 밸류 팩(카트리지 2개), iP2820, MX492, MG2420/2520/2920/2922/2924/3020/2522/2525, TS3120/302/302a/202/4520/3320과 호환 가능")</f>
        <v>Canon PG-243 / CL-244 정품 잉크 밸류 팩(카트리지 2개), iP2820, MX492, MG2420/2520/2920/2922/2924/3020/2522/2525, TS3120/302/302a/202/4520/3320과 호환 가능</v>
      </c>
      <c r="F68" s="1" t="str">
        <f>IFERROR(__xludf.DUMMYFUNCTION("CONCATENATE(GOOGLETRANSLATE(C68, ""en"", ""ja""))"),"キヤノン PG-243 / CL-244 純正インク バリューパック(2本) iP2820、MX492、MG2420/2520/2920/2922/2924/3020/2522/2525、TS3120/302/302a/202/4520/3320対応")</f>
        <v>キヤノン PG-243 / CL-244 純正インク バリューパック(2本) iP2820、MX492、MG2420/2520/2920/2922/2924/3020/2522/2525、TS3120/302/302a/202/4520/3320対応</v>
      </c>
    </row>
    <row r="69" ht="15.75" customHeight="1">
      <c r="A69" s="1">
        <v>7817.0</v>
      </c>
      <c r="B69" s="1" t="s">
        <v>6</v>
      </c>
      <c r="C69" s="1" t="s">
        <v>74</v>
      </c>
      <c r="D69" s="1" t="str">
        <f>IFERROR(__xludf.DUMMYFUNCTION("CONCATENATE(GOOGLETRANSLATE(C69, ""en"", ""zh-cn""))"),"HP OfficeJet Pro 9125e 一体式打印机，彩色，中小型企业打印机，打印、复印、扫描、传真、触摸屏；智能高级扫描，包含 3 个月的 Instant Ink")</f>
        <v>HP OfficeJet Pro 9125e 一体式打印机，彩色，中小型企业打印机，打印、复印、扫描、传真、触摸屏；智能高级扫描，包含 3 个月的 Instant Ink</v>
      </c>
      <c r="E69" s="1" t="str">
        <f>IFERROR(__xludf.DUMMYFUNCTION("CONCATENATE(GOOGLETRANSLATE(C69, ""en"", ""ko""))"),"HP OfficeJet Pro 9125e 올인원 프린터, 컬러, 중소기업용 프린터, 인쇄, 복사, 스캔, 팩스, 터치스크린; Smart Advance Scan, 3개월 Instant Ink 포함")</f>
        <v>HP OfficeJet Pro 9125e 올인원 프린터, 컬러, 중소기업용 프린터, 인쇄, 복사, 스캔, 팩스, 터치스크린; Smart Advance Scan, 3개월 Instant Ink 포함</v>
      </c>
      <c r="F69" s="1" t="str">
        <f>IFERROR(__xludf.DUMMYFUNCTION("CONCATENATE(GOOGLETRANSLATE(C69, ""en"", ""ja""))"),"HP OfficeJet Pro 9125e オールインワン プリンター、カラー、中小企業向けプリンター、印刷、コピー、スキャン、ファックス、タッチスクリーン。スマート アドバンス スキャン、3 か月分のインスタント インクが付属")</f>
        <v>HP OfficeJet Pro 9125e オールインワン プリンター、カラー、中小企業向けプリンター、印刷、コピー、スキャン、ファックス、タッチスクリーン。スマート アドバンス スキャン、3 か月分のインスタント インクが付属</v>
      </c>
    </row>
    <row r="70" ht="15.75" customHeight="1">
      <c r="A70" s="1">
        <v>7831.0</v>
      </c>
      <c r="B70" s="1" t="s">
        <v>6</v>
      </c>
      <c r="C70" s="1" t="s">
        <v>75</v>
      </c>
      <c r="D70" s="1" t="str">
        <f>IFERROR(__xludf.DUMMYFUNCTION("CONCATENATE(GOOGLETRANSLATE(C70, ""en"", ""zh-cn""))"),"HP 64 黑色墨盒 |与 HP ENVY Inspire 7950e 配合使用； ENVY 照片 6200、7100、7800；探戈系列|符合 Instant Ink 条件 | N9J90AN")</f>
        <v>HP 64 黑色墨盒 |与 HP ENVY Inspire 7950e 配合使用； ENVY 照片 6200、7100、7800；探戈系列|符合 Instant Ink 条件 | N9J90AN</v>
      </c>
      <c r="E70" s="1" t="str">
        <f>IFERROR(__xludf.DUMMYFUNCTION("CONCATENATE(GOOGLETRANSLATE(C70, ""en"", ""ko""))"),"HP 64 검정 잉크 카트리지 | HP ENVY Inspire 7950e와 함께 작동합니다. ENVY 사진 6200, 7100, 7800; 탱고 시리즈 | 인스턴트 잉크 사용 가능 | N9J90AN")</f>
        <v>HP 64 검정 잉크 카트리지 | HP ENVY Inspire 7950e와 함께 작동합니다. ENVY 사진 6200, 7100, 7800; 탱고 시리즈 | 인스턴트 잉크 사용 가능 | N9J90AN</v>
      </c>
      <c r="F70" s="1" t="str">
        <f>IFERROR(__xludf.DUMMYFUNCTION("CONCATENATE(GOOGLETRANSLATE(C70, ""en"", ""ja""))"),"HP 64 ブラック インク カートリッジ | HP ENVY Inspire 7950e で動作します。羨望の写真 6200、7100、7800;タンゴシリーズ | Instant Ink の対象 | N9J90AN")</f>
        <v>HP 64 ブラック インク カートリッジ | HP ENVY Inspire 7950e で動作します。羨望の写真 6200、7100、7800;タンゴシリーズ | Instant Ink の対象 | N9J90AN</v>
      </c>
    </row>
    <row r="71" ht="15.75" customHeight="1">
      <c r="A71" s="1">
        <v>7892.0</v>
      </c>
      <c r="B71" s="1" t="s">
        <v>6</v>
      </c>
      <c r="C71" s="1" t="s">
        <v>76</v>
      </c>
      <c r="D71" s="1" t="str">
        <f>IFERROR(__xludf.DUMMYFUNCTION("CONCATENATE(GOOGLETRANSLATE(C71, ""en"", ""zh-cn""))"),"Scotch 光面文档或照片层压袋，5 x 7 英寸，5 件装 (PL905)")</f>
        <v>Scotch 光面文档或照片层压袋，5 x 7 英寸，5 件装 (PL905)</v>
      </c>
      <c r="E71" s="1" t="str">
        <f>IFERROR(__xludf.DUMMYFUNCTION("CONCATENATE(GOOGLETRANSLATE(C71, ""en"", ""ko""))"),"스카치 광택 문서 또는 사진 라미네이팅 파우치, 5 x 7인치, 5팩(PL905)")</f>
        <v>스카치 광택 문서 또는 사진 라미네이팅 파우치, 5 x 7인치, 5팩(PL905)</v>
      </c>
      <c r="F71" s="1" t="str">
        <f>IFERROR(__xludf.DUMMYFUNCTION("CONCATENATE(GOOGLETRANSLATE(C71, ""en"", ""ja""))"),"Scotch 光沢ドキュメントまたは写真ラミネートポーチ、5 x 7 インチ、5 個パック (PL905)")</f>
        <v>Scotch 光沢ドキュメントまたは写真ラミネートポーチ、5 x 7 インチ、5 個パック (PL905)</v>
      </c>
    </row>
    <row r="72" ht="15.75" customHeight="1">
      <c r="A72" s="1">
        <v>7977.0</v>
      </c>
      <c r="B72" s="1" t="s">
        <v>6</v>
      </c>
      <c r="C72" s="1" t="s">
        <v>77</v>
      </c>
      <c r="D72" s="1" t="str">
        <f>IFERROR(__xludf.DUMMYFUNCTION("CONCATENATE(GOOGLETRANSLATE(C72, ""en"", ""zh-cn""))"),"（开箱）Microsoft Surface Laptop 4 13.5 英寸触摸屏 256GB SSD，英特尔 i5 第 11 代")</f>
        <v>（开箱）Microsoft Surface Laptop 4 13.5 英寸触摸屏 256GB SSD，英特尔 i5 第 11 代</v>
      </c>
      <c r="E72" s="1" t="str">
        <f>IFERROR(__xludf.DUMMYFUNCTION("CONCATENATE(GOOGLETRANSLATE(C72, ""en"", ""ko""))"),"(박스 개봉) 마이크로소프트 서피스 랩탑 4 13.5인치 터치 256GB SSD, 인텔 i5 11세대")</f>
        <v>(박스 개봉) 마이크로소프트 서피스 랩탑 4 13.5인치 터치 256GB SSD, 인텔 i5 11세대</v>
      </c>
      <c r="F72" s="1" t="str">
        <f>IFERROR(__xludf.DUMMYFUNCTION("CONCATENATE(GOOGLETRANSLATE(C72, ""en"", ""ja""))"),"(開封箱) Microsoft Surface Laptop 4 13.5 インチ タッチ 256GB SSD、Intel i5 第 11 世代")</f>
        <v>(開封箱) Microsoft Surface Laptop 4 13.5 インチ タッチ 256GB SSD、Intel i5 第 11 世代</v>
      </c>
    </row>
    <row r="73" ht="15.75" customHeight="1">
      <c r="A73" s="1">
        <v>7979.0</v>
      </c>
      <c r="B73" s="1" t="s">
        <v>6</v>
      </c>
      <c r="C73" s="1" t="s">
        <v>78</v>
      </c>
      <c r="D73" s="1" t="str">
        <f>IFERROR(__xludf.DUMMYFUNCTION("CONCATENATE(GOOGLETRANSLATE(C73, ""en"", ""zh-cn""))"),"微软 Surface Pro 7+ 英特尔 i5 1135G7 2.40GHz 8GB RAM 256GB SSD 12.3"" Win 11 ")</f>
        <v>微软 Surface Pro 7+ 英特尔 i5 1135G7 2.40GHz 8GB RAM 256GB SSD 12.3" Win 11 </v>
      </c>
      <c r="E73" s="1" t="str">
        <f>IFERROR(__xludf.DUMMYFUNCTION("CONCATENATE(GOOGLETRANSLATE(C73, ""en"", ""ko""))"),"마이크로소프트 서피스 프로 7+ 인텔 i5 1135G7 2.40GHz 8GB RAM 256GB SSD 12.3인치 윈도우 11 ")</f>
        <v>마이크로소프트 서피스 프로 7+ 인텔 i5 1135G7 2.40GHz 8GB RAM 256GB SSD 12.3인치 윈도우 11 </v>
      </c>
      <c r="F73" s="1" t="str">
        <f>IFERROR(__xludf.DUMMYFUNCTION("CONCATENATE(GOOGLETRANSLATE(C73, ""en"", ""ja""))"),"Microsoft Surface Pro 7+ Intel i5 1135G7 2.40GHz 8GB RAM 256GB SSD 12.3インチ Win 11 ")</f>
        <v>Microsoft Surface Pro 7+ Intel i5 1135G7 2.40GHz 8GB RAM 256GB SSD 12.3インチ Win 11 </v>
      </c>
    </row>
    <row r="74" ht="15.75" customHeight="1">
      <c r="A74" s="1">
        <v>7980.0</v>
      </c>
      <c r="B74" s="1" t="s">
        <v>6</v>
      </c>
      <c r="C74" s="1" t="s">
        <v>79</v>
      </c>
      <c r="D74" s="1" t="str">
        <f>IFERROR(__xludf.DUMMYFUNCTION("CONCATENATE(GOOGLETRANSLATE(C74, ""en"", ""zh-cn""))"),"Microsoft Surface 笔记本电脑 5 15 英寸，英特尔 i7，8GB/256GB，白金，RC8-00001")</f>
        <v>Microsoft Surface 笔记本电脑 5 15 英寸，英特尔 i7，8GB/256GB，白金，RC8-00001</v>
      </c>
      <c r="E74" s="1" t="str">
        <f>IFERROR(__xludf.DUMMYFUNCTION("CONCATENATE(GOOGLETRANSLATE(C74, ""en"", ""ko""))"),"마이크로소프트 서피스 랩탑 5 15인치, 인텔 i7, 8GB/256GB, 플래티넘, RC8-00001")</f>
        <v>마이크로소프트 서피스 랩탑 5 15인치, 인텔 i7, 8GB/256GB, 플래티넘, RC8-00001</v>
      </c>
      <c r="F74" s="1" t="str">
        <f>IFERROR(__xludf.DUMMYFUNCTION("CONCATENATE(GOOGLETRANSLATE(C74, ""en"", ""ja""))"),"Microsoft Surface Laptop 5 15 インチ、Intel i7、8GB/256GB、プラチナ、RC8-00001")</f>
        <v>Microsoft Surface Laptop 5 15 インチ、Intel i7、8GB/256GB、プラチナ、RC8-00001</v>
      </c>
    </row>
    <row r="75" ht="15.75" customHeight="1">
      <c r="A75" s="1">
        <v>8005.0</v>
      </c>
      <c r="B75" s="1" t="s">
        <v>6</v>
      </c>
      <c r="C75" s="1" t="s">
        <v>80</v>
      </c>
      <c r="D75" s="1" t="str">
        <f>IFERROR(__xludf.DUMMYFUNCTION("CONCATENATE(GOOGLETRANSLATE(C75, ""en"", ""zh-cn""))"),"Microsoft Surface 1796 i5 第 7 代平板电脑 - 256GB SSD 8GB RAM (RF2)")</f>
        <v>Microsoft Surface 1796 i5 第 7 代平板电脑 - 256GB SSD 8GB RAM (RF2)</v>
      </c>
      <c r="E75" s="1" t="str">
        <f>IFERROR(__xludf.DUMMYFUNCTION("CONCATENATE(GOOGLETRANSLATE(C75, ""en"", ""ko""))"),"마이크로소프트 서피스 1796 i5 7세대 태블릿 - 256GB SSD 8GB RAM(RF2)")</f>
        <v>마이크로소프트 서피스 1796 i5 7세대 태블릿 - 256GB SSD 8GB RAM(RF2)</v>
      </c>
      <c r="F75" s="1" t="str">
        <f>IFERROR(__xludf.DUMMYFUNCTION("CONCATENATE(GOOGLETRANSLATE(C75, ""en"", ""ja""))"),"Microsoft Surface 1796 i5 第 7 世代タブレット - 256GB SSD 8GB RAM (RF2)")</f>
        <v>Microsoft Surface 1796 i5 第 7 世代タブレット - 256GB SSD 8GB RAM (RF2)</v>
      </c>
    </row>
    <row r="76" ht="15.75" customHeight="1">
      <c r="A76" s="1">
        <v>8062.0</v>
      </c>
      <c r="B76" s="1" t="s">
        <v>6</v>
      </c>
      <c r="C76" s="1" t="s">
        <v>81</v>
      </c>
      <c r="D76" s="1" t="str">
        <f>IFERROR(__xludf.DUMMYFUNCTION("CONCATENATE(GOOGLETRANSLATE(C76, ""en"", ""zh-cn""))"),"戴尔 Precision 7510 FHD 15.6 英寸工作站商务笔记本电脑（Intel Quad Xeon E3-1535M、32GB RAM、512GB SSD、HDMI、网络摄像头、手指安全）Nvidia Quadro M2000M 4GB GDDR5（续订）")</f>
        <v>戴尔 Precision 7510 FHD 15.6 英寸工作站商务笔记本电脑（Intel Quad Xeon E3-1535M、32GB RAM、512GB SSD、HDMI、网络摄像头、手指安全）Nvidia Quadro M2000M 4GB GDDR5（续订）</v>
      </c>
      <c r="E76" s="1" t="str">
        <f>IFERROR(__xludf.DUMMYFUNCTION("CONCATENATE(GOOGLETRANSLATE(C76, ""en"", ""ko""))"),"Dell Precision 7510 FHD 15.6인치 워크스테이션 비즈니스 노트북(Intel Quad Xeon E3-1535M, 32GB Ram, 512GB SSD, HDMI, 웹캠, Finger Scecurity) Nvidia Quadro M2000M 4GB GDDR5(리뉴얼)")</f>
        <v>Dell Precision 7510 FHD 15.6인치 워크스테이션 비즈니스 노트북(Intel Quad Xeon E3-1535M, 32GB Ram, 512GB SSD, HDMI, 웹캠, Finger Scecurity) Nvidia Quadro M2000M 4GB GDDR5(리뉴얼)</v>
      </c>
      <c r="F76" s="1" t="str">
        <f>IFERROR(__xludf.DUMMYFUNCTION("CONCATENATE(GOOGLETRANSLATE(C76, ""en"", ""ja""))"),"Dell Precision 7510 FHD 15.6 インチ ワークステーション ビジネス ノートパソコン (Intel Quad Xeon E3-1535M、32GB Ram、512GB SSD、HDMI、ウェブカメラ、Finger Scecurity) Nvidia Quadro M2000M 4GB GDDR5 (新品)")</f>
        <v>Dell Precision 7510 FHD 15.6 インチ ワークステーション ビジネス ノートパソコン (Intel Quad Xeon E3-1535M、32GB Ram、512GB SSD、HDMI、ウェブカメラ、Finger Scecurity) Nvidia Quadro M2000M 4GB GDDR5 (新品)</v>
      </c>
    </row>
    <row r="77" ht="15.75" customHeight="1">
      <c r="A77" s="1">
        <v>8071.0</v>
      </c>
      <c r="B77" s="1" t="s">
        <v>6</v>
      </c>
      <c r="C77" s="1" t="s">
        <v>82</v>
      </c>
      <c r="D77" s="1" t="str">
        <f>IFERROR(__xludf.DUMMYFUNCTION("CONCATENATE(GOOGLETRANSLATE(C77, ""en"", ""zh-cn""))"),"华硕 2023 笔记本电脑 | Vivobook S 16 翻盖 | 16 英寸 1920 x 1200 触摸屏 | Intel-14 Core i9-13900H | 16GB DDR4 | 1TB SSD | Windows 11 Pro | Wi-Fi 6E - 蓝牙 5.3 - 背光 KB - 1080p 摄像头 - 黑色")</f>
        <v>华硕 2023 笔记本电脑 | Vivobook S 16 翻盖 | 16 英寸 1920 x 1200 触摸屏 | Intel-14 Core i9-13900H | 16GB DDR4 | 1TB SSD | Windows 11 Pro | Wi-Fi 6E - 蓝牙 5.3 - 背光 KB - 1080p 摄像头 - 黑色</v>
      </c>
      <c r="E77" s="1" t="str">
        <f>IFERROR(__xludf.DUMMYFUNCTION("CONCATENATE(GOOGLETRANSLATE(C77, ""en"", ""ko""))"),"ASUS 2023 노트북 | Vivobook S 16 플립 | 16인치 1920 x 1200 터치 | Intel-14 코어 i9-13900H | 16GB DDR4 | 1TB SSD | Windows 11 Pro | Wi-Fi 6E - Bluetooth 5.3 - 백라이트 KB - 1080p 카메라 - 블랙")</f>
        <v>ASUS 2023 노트북 | Vivobook S 16 플립 | 16인치 1920 x 1200 터치 | Intel-14 코어 i9-13900H | 16GB DDR4 | 1TB SSD | Windows 11 Pro | Wi-Fi 6E - Bluetooth 5.3 - 백라이트 KB - 1080p 카메라 - 블랙</v>
      </c>
      <c r="F77" s="1" t="str">
        <f>IFERROR(__xludf.DUMMYFUNCTION("CONCATENATE(GOOGLETRANSLATE(C77, ""en"", ""ja""))"),"ASUS 2023 ノートパソコン | Vivobook S 16 フリップ | 16 インチ 1920 x 1200 タッチ | Intel-14 Core i9-13900H | 16GB DDR4 | 1TB SSD | Windows 11 Pro | Wi-Fi 6E - Bluetooth 5.3 - バックライト付き KB - 1080p カメラ - ブラック")</f>
        <v>ASUS 2023 ノートパソコン | Vivobook S 16 フリップ | 16 インチ 1920 x 1200 タッチ | Intel-14 Core i9-13900H | 16GB DDR4 | 1TB SSD | Windows 11 Pro | Wi-Fi 6E - Bluetooth 5.3 - バックライト付き KB - 1080p カメラ - ブラック</v>
      </c>
    </row>
    <row r="78" ht="15.75" customHeight="1">
      <c r="A78" s="1">
        <v>8091.0</v>
      </c>
      <c r="B78" s="1" t="s">
        <v>6</v>
      </c>
      <c r="C78" s="1" t="s">
        <v>83</v>
      </c>
      <c r="D78" s="1" t="str">
        <f>IFERROR(__xludf.DUMMYFUNCTION("CONCATENATE(GOOGLETRANSLATE(C78, ""en"", ""zh-cn""))"),"华硕 2024 笔记本电脑 | Vivobook 15 | 15.6 英寸 1920 x 1080 IPS | Intel-10 Core i5-1235U | 8GB DDR4 | 256GB SSD | Windows 11 主页 | Wi-Fi 5 - 蓝牙 5.1-720p 高清摄像头 - 安静蓝色")</f>
        <v>华硕 2024 笔记本电脑 | Vivobook 15 | 15.6 英寸 1920 x 1080 IPS | Intel-10 Core i5-1235U | 8GB DDR4 | 256GB SSD | Windows 11 主页 | Wi-Fi 5 - 蓝牙 5.1-720p 高清摄像头 - 安静蓝色</v>
      </c>
      <c r="E78" s="1" t="str">
        <f>IFERROR(__xludf.DUMMYFUNCTION("CONCATENATE(GOOGLETRANSLATE(C78, ""en"", ""ko""))"),"ASUS 2024 노트북 | 비보북 15 | 15.6인치 1920 x 1080 IPS | Intel-10 Core i5-1235U | 8GB DDR4 | 256GB SSD | Windows 11 Home | Wi-Fi 5 - Bluetooth 5.1-720p HD 카메라 - 콰이어트 블루")</f>
        <v>ASUS 2024 노트북 | 비보북 15 | 15.6인치 1920 x 1080 IPS | Intel-10 Core i5-1235U | 8GB DDR4 | 256GB SSD | Windows 11 Home | Wi-Fi 5 - Bluetooth 5.1-720p HD 카메라 - 콰이어트 블루</v>
      </c>
      <c r="F78" s="1" t="str">
        <f>IFERROR(__xludf.DUMMYFUNCTION("CONCATENATE(GOOGLETRANSLATE(C78, ""en"", ""ja""))"),"ASUS 2024 ノートパソコン |ビボブック 15 | 15.6 インチ 1920 x 1080 IPS | Intel-10 Core i5-1235U | 8GB DDR4 | 256GB SSD | Windows 11 Home | Wi-Fi 5 - Bluetooth 5.1-720p HD カメラ - クワイエットブルー")</f>
        <v>ASUS 2024 ノートパソコン |ビボブック 15 | 15.6 インチ 1920 x 1080 IPS | Intel-10 Core i5-1235U | 8GB DDR4 | 256GB SSD | Windows 11 Home | Wi-Fi 5 - Bluetooth 5.1-720p HD カメラ - クワイエットブルー</v>
      </c>
    </row>
    <row r="79" ht="15.75" customHeight="1">
      <c r="A79" s="1">
        <v>8099.0</v>
      </c>
      <c r="B79" s="1" t="s">
        <v>6</v>
      </c>
      <c r="C79" s="1" t="s">
        <v>84</v>
      </c>
      <c r="D79" s="1" t="str">
        <f>IFERROR(__xludf.DUMMYFUNCTION("CONCATENATE(GOOGLETRANSLATE(C79, ""en"", ""zh-cn""))"),"华硕 L410 MA-DB02 超薄笔记本电脑，14 英寸 FHD 显示屏，英特尔赛扬 N4020 处理器，4GB RAM，64GB 存储空间，数字键盘，Windows 10 Home S 模式，星光黑")</f>
        <v>华硕 L410 MA-DB02 超薄笔记本电脑，14 英寸 FHD 显示屏，英特尔赛扬 N4020 处理器，4GB RAM，64GB 存储空间，数字键盘，Windows 10 Home S 模式，星光黑</v>
      </c>
      <c r="E79" s="1" t="str">
        <f>IFERROR(__xludf.DUMMYFUNCTION("CONCATENATE(GOOGLETRANSLATE(C79, ""en"", ""ko""))"),"ASUS L410 MA-DB02 울트라 씬 노트북, 14인치 FHD 디스플레이, Intel Celeron N4020 프로세서, 4GB RAM, 64GB 스토리지, NumberPad, Windows 10 Home S 모드, 스타 블랙")</f>
        <v>ASUS L410 MA-DB02 울트라 씬 노트북, 14인치 FHD 디스플레이, Intel Celeron N4020 프로세서, 4GB RAM, 64GB 스토리지, NumberPad, Windows 10 Home S 모드, 스타 블랙</v>
      </c>
      <c r="F79" s="1" t="str">
        <f>IFERROR(__xludf.DUMMYFUNCTION("CONCATENATE(GOOGLETRANSLATE(C79, ""en"", ""ja""))"),"ASUS L410 MA-DB02 超薄型ノートパソコン、14 インチ FHD ディスプレイ、Intel Celeron N4020 プロセッサー、4GB RAM、64GB ストレージ、NumberPad、Windows 10 Home (S モード)、スターブラック")</f>
        <v>ASUS L410 MA-DB02 超薄型ノートパソコン、14 インチ FHD ディスプレイ、Intel Celeron N4020 プロセッサー、4GB RAM、64GB ストレージ、NumberPad、Windows 10 Home (S モード)、スターブラック</v>
      </c>
    </row>
    <row r="80" ht="15.75" customHeight="1">
      <c r="A80" s="1">
        <v>8113.0</v>
      </c>
      <c r="B80" s="1" t="s">
        <v>6</v>
      </c>
      <c r="C80" s="1" t="s">
        <v>85</v>
      </c>
      <c r="D80" s="1" t="str">
        <f>IFERROR(__xludf.DUMMYFUNCTION("CONCATENATE(GOOGLETRANSLATE(C80, ""en"", ""zh-cn""))"),"Apple MacBook Air（13 英寸 Retina 显示屏，1.6GHz 双核 Intel Core i5，128GB）- 深空灰色（更新版）")</f>
        <v>Apple MacBook Air（13 英寸 Retina 显示屏，1.6GHz 双核 Intel Core i5，128GB）- 深空灰色（更新版）</v>
      </c>
      <c r="E80" s="1" t="str">
        <f>IFERROR(__xludf.DUMMYFUNCTION("CONCATENATE(GOOGLETRANSLATE(C80, ""en"", ""ko""))"),"Apple MacBook Air(13인치 Retina 디스플레이, 1.6GHz 듀얼 코어 Intel Core i5, 128GB) - 스페이스 그레이(리뉴얼)")</f>
        <v>Apple MacBook Air(13인치 Retina 디스플레이, 1.6GHz 듀얼 코어 Intel Core i5, 128GB) - 스페이스 그레이(리뉴얼)</v>
      </c>
      <c r="F80" s="1" t="str">
        <f>IFERROR(__xludf.DUMMYFUNCTION("CONCATENATE(GOOGLETRANSLATE(C80, ""en"", ""ja""))"),"Apple MacBook Air (13 インチ Retina ディスプレイ、1.6GHz デュアルコア Intel Core i5、128GB) - スペース グレイ (リニューアル)")</f>
        <v>Apple MacBook Air (13 インチ Retina ディスプレイ、1.6GHz デュアルコア Intel Core i5、128GB) - スペース グレイ (リニューアル)</v>
      </c>
    </row>
    <row r="81" ht="15.75" customHeight="1">
      <c r="A81" s="1">
        <v>8115.0</v>
      </c>
      <c r="B81" s="1" t="s">
        <v>6</v>
      </c>
      <c r="C81" s="1" t="s">
        <v>86</v>
      </c>
      <c r="D81" s="1" t="str">
        <f>IFERROR(__xludf.DUMMYFUNCTION("CONCATENATE(GOOGLETRANSLATE(C81, ""en"", ""zh-cn""))"),"Apple MacBook Pro 13.3 英寸视网膜笔记本电脑英特尔 i5 双核 2.6GHz 8GB 128GB SSD - MGX72LL/A（续订）")</f>
        <v>Apple MacBook Pro 13.3 英寸视网膜笔记本电脑英特尔 i5 双核 2.6GHz 8GB 128GB SSD - MGX72LL/A（续订）</v>
      </c>
      <c r="E81" s="1" t="str">
        <f>IFERROR(__xludf.DUMMYFUNCTION("CONCATENATE(GOOGLETRANSLATE(C81, ""en"", ""ko""))"),"애플 맥북 프로 13.3인치 레티나 노트북 인텔 i5 듀얼 코어 2.6GHz 8GB 128GB SSD - MGX72LL/A(리뉴얼)")</f>
        <v>애플 맥북 프로 13.3인치 레티나 노트북 인텔 i5 듀얼 코어 2.6GHz 8GB 128GB SSD - MGX72LL/A(리뉴얼)</v>
      </c>
      <c r="F81" s="1" t="str">
        <f>IFERROR(__xludf.DUMMYFUNCTION("CONCATENATE(GOOGLETRANSLATE(C81, ""en"", ""ja""))"),"Apple MacBook Pro 13.3インチ Retina ラップトップ Intel i5 デュアルコア 2.6GHz 8GB 128GB SSD - MGX72LL/A (新品)")</f>
        <v>Apple MacBook Pro 13.3インチ Retina ラップトップ Intel i5 デュアルコア 2.6GHz 8GB 128GB SSD - MGX72LL/A (新品)</v>
      </c>
    </row>
    <row r="82" ht="15.75" customHeight="1">
      <c r="A82" s="1">
        <v>8138.0</v>
      </c>
      <c r="B82" s="1" t="s">
        <v>6</v>
      </c>
      <c r="C82" s="1" t="s">
        <v>87</v>
      </c>
      <c r="D82" s="1" t="str">
        <f>IFERROR(__xludf.DUMMYFUNCTION("CONCATENATE(GOOGLETRANSLATE(C82, ""en"", ""zh-cn""))"),"Apple 2022 MacBook Air M2 芯片（13 英寸，8GB RAM，256GB SSD 存储）（QWERTY 英文）深空灰色（续订高级版）")</f>
        <v>Apple 2022 MacBook Air M2 芯片（13 英寸，8GB RAM，256GB SSD 存储）（QWERTY 英文）深空灰色（续订高级版）</v>
      </c>
      <c r="E82" s="1" t="str">
        <f>IFERROR(__xludf.DUMMYFUNCTION("CONCATENATE(GOOGLETRANSLATE(C82, ""en"", ""ko""))"),"Apple 2022 MacBook Air M2 칩 (13인치, 8GB RAM, 256GB SSD 스토리지) (QWERTY 영어) 스페이스 그레이(리뉴얼 프리미엄)")</f>
        <v>Apple 2022 MacBook Air M2 칩 (13인치, 8GB RAM, 256GB SSD 스토리지) (QWERTY 영어) 스페이스 그레이(리뉴얼 프리미엄)</v>
      </c>
      <c r="F82" s="1" t="str">
        <f>IFERROR(__xludf.DUMMYFUNCTION("CONCATENATE(GOOGLETRANSLATE(C82, ""en"", ""ja""))"),"Apple 2022 MacBook Air M2 チップ (13 インチ、8GB RAM、256GB SSD ストレージ) (QWERTY 英語) スペースグレイ (リニューアルプレミアム)")</f>
        <v>Apple 2022 MacBook Air M2 チップ (13 インチ、8GB RAM、256GB SSD ストレージ) (QWERTY 英語) スペースグレイ (リニューアルプレミアム)</v>
      </c>
    </row>
    <row r="83" ht="15.75" customHeight="1">
      <c r="A83" s="1">
        <v>8139.0</v>
      </c>
      <c r="B83" s="1" t="s">
        <v>6</v>
      </c>
      <c r="C83" s="1" t="s">
        <v>88</v>
      </c>
      <c r="D83" s="1" t="str">
        <f>IFERROR(__xludf.DUMMYFUNCTION("CONCATENATE(GOOGLETRANSLATE(C83, ""en"", ""zh-cn""))"),"2020 年底 Apple MacBook Pro，配备 Apple M1 芯片（13 英寸，8GB RAM，512GB SSD 存储）深空灰色（续订）")</f>
        <v>2020 年底 Apple MacBook Pro，配备 Apple M1 芯片（13 英寸，8GB RAM，512GB SSD 存储）深空灰色（续订）</v>
      </c>
      <c r="E83" s="1" t="str">
        <f>IFERROR(__xludf.DUMMYFUNCTION("CONCATENATE(GOOGLETRANSLATE(C83, ""en"", ""ko""))"),"Apple M1 칩을 탑재한 2020년 말 Apple MacBook Pro(13인치, 8GB RAM, 512GB SSD 스토리지) 스페이스 그레이(리뉴얼)")</f>
        <v>Apple M1 칩을 탑재한 2020년 말 Apple MacBook Pro(13인치, 8GB RAM, 512GB SSD 스토리지) 스페이스 그레이(리뉴얼)</v>
      </c>
      <c r="F83" s="1" t="str">
        <f>IFERROR(__xludf.DUMMYFUNCTION("CONCATENATE(GOOGLETRANSLATE(C83, ""en"", ""ja""))"),"Apple M1 チップ搭載後期 2020 Apple MacBook Pro (13 インチ、8GB RAM、512GB SSD ストレージ) スペース グレイ (リニューアル)")</f>
        <v>Apple M1 チップ搭載後期 2020 Apple MacBook Pro (13 インチ、8GB RAM、512GB SSD ストレージ) スペース グレイ (リニューアル)</v>
      </c>
    </row>
    <row r="84" ht="15.75" customHeight="1">
      <c r="A84" s="1">
        <v>7798.0</v>
      </c>
      <c r="B84" s="1" t="s">
        <v>6</v>
      </c>
      <c r="C84" s="1" t="s">
        <v>89</v>
      </c>
      <c r="D84" s="1" t="str">
        <f>IFERROR(__xludf.DUMMYFUNCTION("CONCATENATE(GOOGLETRANSLATE(C84, ""en"", ""zh-cn""))"),"HP 62 黑色/三色墨水（2 件装）|适用于 HP ENVY 5540、5640、5660、7640 系列、HP OfficeJet 5740、8040 系列、HP OfficeJet Mobile 200、250 系列 |符合 Instant Ink 条件 | N9H64FN")</f>
        <v>HP 62 黑色/三色墨水（2 件装）|适用于 HP ENVY 5540、5640、5660、7640 系列、HP OfficeJet 5740、8040 系列、HP OfficeJet Mobile 200、250 系列 |符合 Instant Ink 条件 | N9H64FN</v>
      </c>
      <c r="E84" s="1" t="str">
        <f>IFERROR(__xludf.DUMMYFUNCTION("CONCATENATE(GOOGLETRANSLATE(C84, ""en"", ""ko""))"),"HP 62 검정/3색 잉크(2팩) | HP ENVY 5540, 5640, 5660, 7640 시리즈, HP OfficeJet 5740, 8040 시리즈, HP OfficeJet Mobile 200, 250 시리즈와 함께 작동 | 인스턴트 잉크 사용 가능 | N9H64FN")</f>
        <v>HP 62 검정/3색 잉크(2팩) | HP ENVY 5540, 5640, 5660, 7640 시리즈, HP OfficeJet 5740, 8040 시리즈, HP OfficeJet Mobile 200, 250 시리즈와 함께 작동 | 인스턴트 잉크 사용 가능 | N9H64FN</v>
      </c>
      <c r="F84" s="1" t="str">
        <f>IFERROR(__xludf.DUMMYFUNCTION("CONCATENATE(GOOGLETRANSLATE(C84, ""en"", ""ja""))"),"HP 62 ブラック/三色インク (2 パック) | HP ENVY 5540、5640、5660、7640 シリーズ、HP OfficeJet 5740、8040 シリーズ、HP OfficeJet Mobile 200、250 シリーズで動作 | Instant Ink の対象 | N9H64FN")</f>
        <v>HP 62 ブラック/三色インク (2 パック) | HP ENVY 5540、5640、5660、7640 シリーズ、HP OfficeJet 5740、8040 シリーズ、HP OfficeJet Mobile 200、250 シリーズで動作 | Instant Ink の対象 | N9H64FN</v>
      </c>
    </row>
    <row r="85" ht="15.75" customHeight="1">
      <c r="A85" s="1">
        <v>7833.0</v>
      </c>
      <c r="B85" s="1" t="s">
        <v>6</v>
      </c>
      <c r="C85" s="1" t="s">
        <v>90</v>
      </c>
      <c r="D85" s="1" t="str">
        <f>IFERROR(__xludf.DUMMYFUNCTION("CONCATENATE(GOOGLETRANSLATE(C85, ""en"", ""zh-cn""))"),"HP 62XL 三色高印量墨水 |适用于 HP ENVY 5540、5640、5660、7640 系列、HP OfficeJet 5740、8040 系列、HP OfficeJet Mobile 200、250 系列 |符合 Instant Ink 条件 | C2P07AN")</f>
        <v>HP 62XL 三色高印量墨水 |适用于 HP ENVY 5540、5640、5660、7640 系列、HP OfficeJet 5740、8040 系列、HP OfficeJet Mobile 200、250 系列 |符合 Instant Ink 条件 | C2P07AN</v>
      </c>
      <c r="E85" s="1" t="str">
        <f>IFERROR(__xludf.DUMMYFUNCTION("CONCATENATE(GOOGLETRANSLATE(C85, ""en"", ""ko""))"),"HP 62XL 3색 대용량 잉크 | HP ENVY 5540, 5640, 5660, 7640 시리즈, HP OfficeJet 5740, 8040 시리즈, HP OfficeJet Mobile 200, 250 시리즈와 함께 작동 | 인스턴트 잉크 사용 가능 | C2P07AN")</f>
        <v>HP 62XL 3색 대용량 잉크 | HP ENVY 5540, 5640, 5660, 7640 시리즈, HP OfficeJet 5740, 8040 시리즈, HP OfficeJet Mobile 200, 250 시리즈와 함께 작동 | 인스턴트 잉크 사용 가능 | C2P07AN</v>
      </c>
      <c r="F85" s="1" t="str">
        <f>IFERROR(__xludf.DUMMYFUNCTION("CONCATENATE(GOOGLETRANSLATE(C85, ""en"", ""ja""))"),"HP 62XL 3 色高収量インク | HP ENVY 5540、5640、5660、7640 シリーズ、HP OfficeJet 5740、8040 シリーズ、HP OfficeJet Mobile 200、250 シリーズで動作 | Instant Ink の対象 | C2P07AN")</f>
        <v>HP 62XL 3 色高収量インク | HP ENVY 5540、5640、5660、7640 シリーズ、HP OfficeJet 5740、8040 シリーズ、HP OfficeJet Mobile 200、250 シリーズで動作 | Instant Ink の対象 | C2P07AN</v>
      </c>
    </row>
    <row r="86" ht="15.75" customHeight="1">
      <c r="A86" s="1">
        <v>7838.0</v>
      </c>
      <c r="B86" s="1" t="s">
        <v>6</v>
      </c>
      <c r="C86" s="1" t="s">
        <v>91</v>
      </c>
      <c r="D86" s="1" t="str">
        <f>IFERROR(__xludf.DUMMYFUNCTION("CONCATENATE(GOOGLETRANSLATE(C86, ""en"", ""zh-cn""))"),"Brother MFC-L2820DW 无线紧凑型单色一体激光打印机，具有复印、扫描和传真功能，双面、黑白 |包括刷新订阅试用版 (1)、Amazon Dash 补充就绪")</f>
        <v>Brother MFC-L2820DW 无线紧凑型单色一体激光打印机，具有复印、扫描和传真功能，双面、黑白 |包括刷新订阅试用版 (1)、Amazon Dash 补充就绪</v>
      </c>
      <c r="E86" s="1" t="str">
        <f>IFERROR(__xludf.DUMMYFUNCTION("CONCATENATE(GOOGLETRANSLATE(C86, ""en"", ""ko""))"),"Brother MFC-L2820DW 복사, 스캔, 팩스, 양면, 흑백 기능을 갖춘 무선 컴팩트 흑백 올인원 레이저 프린터 | 새로 고침 구독 평가판(1), Amazon Dash 보충 준비 포함")</f>
        <v>Brother MFC-L2820DW 복사, 스캔, 팩스, 양면, 흑백 기능을 갖춘 무선 컴팩트 흑백 올인원 레이저 프린터 | 새로 고침 구독 평가판(1), Amazon Dash 보충 준비 포함</v>
      </c>
      <c r="F86" s="1" t="str">
        <f>IFERROR(__xludf.DUMMYFUNCTION("CONCATENATE(GOOGLETRANSLATE(C86, ""en"", ""ja""))"),"Brother MFC-L2820DW ワイヤレス コンパクト モノクロ オールインワン レーザー プリンター (コピー、スキャン、FAX 機能付き、両面印刷、白黒) |リフレッシュ サブスクリプション トライアル (1) が含まれており、Amazon Dash Replenishment 対応")</f>
        <v>Brother MFC-L2820DW ワイヤレス コンパクト モノクロ オールインワン レーザー プリンター (コピー、スキャン、FAX 機能付き、両面印刷、白黒) |リフレッシュ サブスクリプション トライアル (1) が含まれており、Amazon Dash Replenishment 対応</v>
      </c>
    </row>
    <row r="87" ht="15.75" customHeight="1">
      <c r="A87" s="1">
        <v>7841.0</v>
      </c>
      <c r="B87" s="1" t="s">
        <v>6</v>
      </c>
      <c r="C87" s="1" t="s">
        <v>92</v>
      </c>
      <c r="D87" s="1" t="str">
        <f>IFERROR(__xludf.DUMMYFUNCTION("CONCATENATE(GOOGLETRANSLATE(C87, ""en"", ""zh-cn""))"),"Brother MFC-L3720CDW 无线数字彩色一体机打印机，具有激光品质输出、复印、扫描、传真、双面打印、移动功能，包括 2 个月刷新订阅试用 ¹ Amazon Dash 补货就绪")</f>
        <v>Brother MFC-L3720CDW 无线数字彩色一体机打印机，具有激光品质输出、复印、扫描、传真、双面打印、移动功能，包括 2 个月刷新订阅试用 ¹ Amazon Dash 补货就绪</v>
      </c>
      <c r="E87" s="1" t="str">
        <f>IFERROR(__xludf.DUMMYFUNCTION("CONCATENATE(GOOGLETRANSLATE(C87, ""en"", ""ko""))"),"Brother MFC-L3720CDW 레이저 품질 출력, 복사, 스캔, 팩스, 양면 인쇄, 모바일 기능을 갖춘 무선 디지털 컬러 올인원 프린터 2개월 새로 고침 구독 평가판 포함 1 Amazon Dash Replenishment Ready")</f>
        <v>Brother MFC-L3720CDW 레이저 품질 출력, 복사, 스캔, 팩스, 양면 인쇄, 모바일 기능을 갖춘 무선 디지털 컬러 올인원 프린터 2개월 새로 고침 구독 평가판 포함 1 Amazon Dash Replenishment Ready</v>
      </c>
      <c r="F87" s="1" t="str">
        <f>IFERROR(__xludf.DUMMYFUNCTION("CONCATENATE(GOOGLETRANSLATE(C87, ""en"", ""ja""))"),"Brother MFC-L3720CDW レーザー品質の出力、コピー、スキャン、ファックス、両面印刷、モバイル機能を備えたワイヤレス デジタル カラー オールインワン プリンター 2 か月のリフレッシュ サブスクリプション トライアルが含まれています ¹ Amazon Dash Replenishment 対応")</f>
        <v>Brother MFC-L3720CDW レーザー品質の出力、コピー、スキャン、ファックス、両面印刷、モバイル機能を備えたワイヤレス デジタル カラー オールインワン プリンター 2 か月のリフレッシュ サブスクリプション トライアルが含まれています ¹ Amazon Dash Replenishment 対応</v>
      </c>
    </row>
    <row r="88" ht="15.75" customHeight="1">
      <c r="A88" s="1">
        <v>7846.0</v>
      </c>
      <c r="B88" s="1" t="s">
        <v>6</v>
      </c>
      <c r="C88" s="1" t="s">
        <v>93</v>
      </c>
      <c r="D88" s="1" t="str">
        <f>IFERROR(__xludf.DUMMYFUNCTION("CONCATENATE(GOOGLETRANSLATE(C88, ""en"", ""zh-cn""))"),"Brother 正品 TN2294PK 标准容量 4 件装打印机碳粉盒 - 黑色、青色、品红色、黄色碳粉多件装")</f>
        <v>Brother 正品 TN2294PK 标准容量 4 件装打印机碳粉盒 - 黑色、青色、品红色、黄色碳粉多件装</v>
      </c>
      <c r="E88" s="1" t="str">
        <f>IFERROR(__xludf.DUMMYFUNCTION("CONCATENATE(GOOGLETRANSLATE(C88, ""en"", ""ko""))"),"브라더 정품 TN2294PK 표준 용량 4팩 프린터 토너 카트리지 - 블랙, 시안, 마젠타, 옐로우 토너 멀티팩")</f>
        <v>브라더 정품 TN2294PK 표준 용량 4팩 프린터 토너 카트리지 - 블랙, 시안, 마젠타, 옐로우 토너 멀티팩</v>
      </c>
      <c r="F88" s="1" t="str">
        <f>IFERROR(__xludf.DUMMYFUNCTION("CONCATENATE(GOOGLETRANSLATE(C88, ""en"", ""ja""))"),"Brother 純正 TN2294PK 標準収量 4 パック プリンタ トナー カートリッジ - ブラック、シアン、マゼンタ、イエロー トナー マルチパック")</f>
        <v>Brother 純正 TN2294PK 標準収量 4 パック プリンタ トナー カートリッジ - ブラック、シアン、マゼンタ、イエロー トナー マルチパック</v>
      </c>
    </row>
    <row r="89" ht="15.75" customHeight="1">
      <c r="A89" s="1">
        <v>7847.0</v>
      </c>
      <c r="B89" s="1" t="s">
        <v>6</v>
      </c>
      <c r="C89" s="1" t="s">
        <v>94</v>
      </c>
      <c r="D89" s="1" t="str">
        <f>IFERROR(__xludf.DUMMYFUNCTION("CONCATENATE(GOOGLETRANSLATE(C89, ""en"", ""zh-cn""))"),"Brother 正品 TN760 2 件装高印量黑色碳粉盒，每盒打印量约 3,000 页")</f>
        <v>Brother 正品 TN760 2 件装高印量黑色碳粉盒，每盒打印量约 3,000 页</v>
      </c>
      <c r="E89" s="1" t="str">
        <f>IFERROR(__xludf.DUMMYFUNCTION("CONCATENATE(GOOGLETRANSLATE(C89, ""en"", ""ko""))"),"브라더 정품 TN760 2팩 대용량 검정 토너 카트리지(카트리지당 약 3,000페이지 출력)")</f>
        <v>브라더 정품 TN760 2팩 대용량 검정 토너 카트리지(카트리지당 약 3,000페이지 출력)</v>
      </c>
      <c r="F89" s="1" t="str">
        <f>IFERROR(__xludf.DUMMYFUNCTION("CONCATENATE(GOOGLETRANSLATE(C89, ""en"", ""ja""))"),"Brother 純正 TN760 2 パック高収量ブラック トナー カートリッジ (カートリッジあたり約 3,000 ページの収量)")</f>
        <v>Brother 純正 TN760 2 パック高収量ブラック トナー カートリッジ (カートリッジあたり約 3,000 ページの収量)</v>
      </c>
    </row>
    <row r="90" ht="15.75" customHeight="1">
      <c r="A90" s="1">
        <v>7848.0</v>
      </c>
      <c r="B90" s="1" t="s">
        <v>6</v>
      </c>
      <c r="C90" s="1" t="s">
        <v>95</v>
      </c>
      <c r="D90" s="1" t="str">
        <f>IFERROR(__xludf.DUMMYFUNCTION("CONCATENATE(GOOGLETRANSLATE(C90, ""en"", ""zh-cn""))"),"Brother MFC-J4335DW INKvestment Tank 一体式打印机，具有双面和无线打印功能，盒内墨水保修期长达 1 年")</f>
        <v>Brother MFC-J4335DW INKvestment Tank 一体式打印机，具有双面和无线打印功能，盒内墨水保修期长达 1 年</v>
      </c>
      <c r="E90" s="1" t="str">
        <f>IFERROR(__xludf.DUMMYFUNCTION("CONCATENATE(GOOGLETRANSLATE(C90, ""en"", ""ko""))"),"Brother MFC-J4335DW INKvestment Tank 올인원 프린터(양면 인쇄 및 무선 인쇄 기능과 최대 1년간의 잉크 기본 제공)")</f>
        <v>Brother MFC-J4335DW INKvestment Tank 올인원 프린터(양면 인쇄 및 무선 인쇄 기능과 최대 1년간의 잉크 기본 제공)</v>
      </c>
      <c r="F90" s="1" t="str">
        <f>IFERROR(__xludf.DUMMYFUNCTION("CONCATENATE(GOOGLETRANSLATE(C90, ""en"", ""ja""))"),"Brother MFC-J4335DW INKvestment Tank 両面印刷およびワイヤレス印刷機能を備えたオールインワン プリンター、さらに最大 1 年間のインクを同梱")</f>
        <v>Brother MFC-J4335DW INKvestment Tank 両面印刷およびワイヤレス印刷機能を備えたオールインワン プリンター、さらに最大 1 年間のインクを同梱</v>
      </c>
    </row>
    <row r="91" ht="15.75" customHeight="1">
      <c r="A91" s="1">
        <v>7864.0</v>
      </c>
      <c r="B91" s="1" t="s">
        <v>6</v>
      </c>
      <c r="C91" s="1" t="s">
        <v>96</v>
      </c>
      <c r="D91" s="1" t="str">
        <f>IFERROR(__xludf.DUMMYFUNCTION("CONCATENATE(GOOGLETRANSLATE(C91, ""en"", ""zh-cn""))"),"Brother MFC-L8900CDW 商务彩色激光一体化打印机，亚马逊 Dash 补货就绪")</f>
        <v>Brother MFC-L8900CDW 商务彩色激光一体化打印机，亚马逊 Dash 补货就绪</v>
      </c>
      <c r="E91" s="1" t="str">
        <f>IFERROR(__xludf.DUMMYFUNCTION("CONCATENATE(GOOGLETRANSLATE(C91, ""en"", ""ko""))"),"Brother MFC-L8900CDW 비즈니스 컬러 레이저 올인원 프린터, Amazon Dash Replenishment Ready")</f>
        <v>Brother MFC-L8900CDW 비즈니스 컬러 레이저 올인원 프린터, Amazon Dash Replenishment Ready</v>
      </c>
      <c r="F91" s="1" t="str">
        <f>IFERROR(__xludf.DUMMYFUNCTION("CONCATENATE(GOOGLETRANSLATE(C91, ""en"", ""ja""))"),"Brother MFC-L8900CDW ビジネス カラー レーザー オールインワン プリンター、Amazon Dash Replenishment 対応")</f>
        <v>Brother MFC-L8900CDW ビジネス カラー レーザー オールインワン プリンター、Amazon Dash Replenishment 対応</v>
      </c>
    </row>
    <row r="92" ht="15.75" customHeight="1">
      <c r="A92" s="1">
        <v>7891.0</v>
      </c>
      <c r="B92" s="1" t="s">
        <v>6</v>
      </c>
      <c r="C92" s="1" t="s">
        <v>97</v>
      </c>
      <c r="D92" s="1" t="str">
        <f>IFERROR(__xludf.DUMMYFUNCTION("CONCATENATE(GOOGLETRANSLATE(C92, ""en"", ""zh-cn""))"),"Scotch 自封层压袋，25 个装，名片尺寸，非常适合礼品标签")</f>
        <v>Scotch 自封层压袋，25 个装，名片尺寸，非常适合礼品标签</v>
      </c>
      <c r="E92" s="1" t="str">
        <f>IFERROR(__xludf.DUMMYFUNCTION("CONCATENATE(GOOGLETRANSLATE(C92, ""en"", ""ko""))"),"스카치 자체 밀봉 라미네이팅 파우치, 25개 팩, 명함 크기, 선물용 태그로 적합")</f>
        <v>스카치 자체 밀봉 라미네이팅 파우치, 25개 팩, 명함 크기, 선물용 태그로 적합</v>
      </c>
      <c r="F92" s="1" t="str">
        <f>IFERROR(__xludf.DUMMYFUNCTION("CONCATENATE(GOOGLETRANSLATE(C92, ""en"", ""ja""))"),"スコッチ セルフシール ラミネートポーチ 25枚パック 名刺サイズ ギフトタグに最適")</f>
        <v>スコッチ セルフシール ラミネートポーチ 25枚パック 名刺サイズ ギフトタグに最適</v>
      </c>
    </row>
    <row r="93" ht="15.75" customHeight="1">
      <c r="A93" s="1">
        <v>7894.0</v>
      </c>
      <c r="B93" s="1" t="s">
        <v>6</v>
      </c>
      <c r="C93" s="1" t="s">
        <v>98</v>
      </c>
      <c r="D93" s="1" t="str">
        <f>IFERROR(__xludf.DUMMYFUNCTION("CONCATENATE(GOOGLETRANSLATE(C93, ""en"", ""zh-cn""))"),"Scotch 热覆膜机，超宽 13 英寸输入，非常适合教师、小型办公室或家庭 (TL1302Z)")</f>
        <v>Scotch 热覆膜机，超宽 13 英寸输入，非常适合教师、小型办公室或家庭 (TL1302Z)</v>
      </c>
      <c r="E93" s="1" t="str">
        <f>IFERROR(__xludf.DUMMYFUNCTION("CONCATENATE(GOOGLETRANSLATE(C93, ""en"", ""ko""))"),"스카치 열 라미네이터, 초대형 13인치 입력, 교사, 소규모 사무실 또는 가정에 적합(TL1302Z)")</f>
        <v>스카치 열 라미네이터, 초대형 13인치 입력, 교사, 소규모 사무실 또는 가정에 적합(TL1302Z)</v>
      </c>
      <c r="F93" s="1" t="str">
        <f>IFERROR(__xludf.DUMMYFUNCTION("CONCATENATE(GOOGLETRANSLATE(C93, ""en"", ""ja""))"),"Scotch サーマルラミネーター、エクストラワイド 13 インチ入力、教師、小規模オフィス、または家庭に最適 (TL1302Z)")</f>
        <v>Scotch サーマルラミネーター、エクストラワイド 13 インチ入力、教師、小規模オフィス、または家庭に最適 (TL1302Z)</v>
      </c>
    </row>
    <row r="94" ht="15.75" customHeight="1">
      <c r="A94" s="1">
        <v>7902.0</v>
      </c>
      <c r="B94" s="1" t="s">
        <v>6</v>
      </c>
      <c r="C94" s="1" t="s">
        <v>99</v>
      </c>
      <c r="D94" s="1" t="str">
        <f>IFERROR(__xludf.DUMMYFUNCTION("CONCATENATE(GOOGLETRANSLATE(C94, ""en"", ""zh-cn""))"),"Scotch 热层压袋，200 个装，8.9 x 11.4 英寸，Letter 尺寸纸张，透明，3 密耳 (TP3854-200)")</f>
        <v>Scotch 热层压袋，200 个装，8.9 x 11.4 英寸，Letter 尺寸纸张，透明，3 密耳 (TP3854-200)</v>
      </c>
      <c r="E94" s="1" t="str">
        <f>IFERROR(__xludf.DUMMYFUNCTION("CONCATENATE(GOOGLETRANSLATE(C94, ""en"", ""ko""))"),"스카치 열 라미네이팅 파우치, 200팩, 8.9 x 11.4인치, Letter 크기 시트, 투명, 3밀(TP3854-200)")</f>
        <v>스카치 열 라미네이팅 파우치, 200팩, 8.9 x 11.4인치, Letter 크기 시트, 투명, 3밀(TP3854-200)</v>
      </c>
      <c r="F94" s="1" t="str">
        <f>IFERROR(__xludf.DUMMYFUNCTION("CONCATENATE(GOOGLETRANSLATE(C94, ""en"", ""ja""))"),"Scotch サーマルラミネートポーチ、200 パック、8.9 x 11.4 インチ、レターサイズシート、クリア、3 ミル (TP3854-200)")</f>
        <v>Scotch サーマルラミネートポーチ、200 パック、8.9 x 11.4 インチ、レターサイズシート、クリア、3 ミル (TP3854-200)</v>
      </c>
    </row>
    <row r="95" ht="15.75" customHeight="1">
      <c r="A95" s="1">
        <v>7927.0</v>
      </c>
      <c r="B95" s="1" t="s">
        <v>6</v>
      </c>
      <c r="C95" s="1" t="s">
        <v>100</v>
      </c>
      <c r="D95" s="1" t="str">
        <f>IFERROR(__xludf.DUMMYFUNCTION("CONCATENATE(GOOGLETRANSLATE(C95, ""en"", ""zh-cn""))"),"MSI 2023 Cyborg 15.6 英寸 144HZ 全高清游戏笔记本电脑 - 第 13 代英特尔酷睿 i7-13620H - GeForceRTX 4050-64GB DDR5 RAM - 2TB NVMe SSD - Win11 Pro，4 合 1 游戏套装")</f>
        <v>MSI 2023 Cyborg 15.6 英寸 144HZ 全高清游戏笔记本电脑 - 第 13 代英特尔酷睿 i7-13620H - GeForceRTX 4050-64GB DDR5 RAM - 2TB NVMe SSD - Win11 Pro，4 合 1 游戏套装</v>
      </c>
      <c r="E95" s="1" t="str">
        <f>IFERROR(__xludf.DUMMYFUNCTION("CONCATENATE(GOOGLETRANSLATE(C95, ""en"", ""ko""))"),"MSI 2023 사이보그 15.6인치 144HZ FHD 게이밍 노트북 컴퓨터 - 13세대 인텔 코어 i7-13620H - GeForceRTX 4050-64GB DDR5 RAM - 2TB NVMe SSD - Win11 Pro, 4in1 게이밍 번들")</f>
        <v>MSI 2023 사이보그 15.6인치 144HZ FHD 게이밍 노트북 컴퓨터 - 13세대 인텔 코어 i7-13620H - GeForceRTX 4050-64GB DDR5 RAM - 2TB NVMe SSD - Win11 Pro, 4in1 게이밍 번들</v>
      </c>
      <c r="F95" s="1" t="str">
        <f>IFERROR(__xludf.DUMMYFUNCTION("CONCATENATE(GOOGLETRANSLATE(C95, ""en"", ""ja""))"),"MSI 2023 Cyborg 15.6 インチ 144HZ FHD ゲーミング ラップトップ コンピューター - 第 13 世代 Intel Core i7-13620H - GeForceRTX 4050-64GB DDR5 RAM - 2TB NVMe SSD - Win11 Pro、4in1 ゲーム バンドル")</f>
        <v>MSI 2023 Cyborg 15.6 インチ 144HZ FHD ゲーミング ラップトップ コンピューター - 第 13 世代 Intel Core i7-13620H - GeForceRTX 4050-64GB DDR5 RAM - 2TB NVMe SSD - Win11 Pro、4in1 ゲーム バンドル</v>
      </c>
    </row>
    <row r="96" ht="15.75" customHeight="1">
      <c r="A96" s="1">
        <v>7932.0</v>
      </c>
      <c r="B96" s="1" t="s">
        <v>6</v>
      </c>
      <c r="C96" s="1" t="s">
        <v>101</v>
      </c>
      <c r="D96" s="1" t="str">
        <f>IFERROR(__xludf.DUMMYFUNCTION("CONCATENATE(GOOGLETRANSLATE(C96, ""en"", ""zh-cn""))"),"MSI Prestige 14Evo B13M 笔记本电脑 2024 年，14 英寸 WUXGA IPS，Intel i7-13700H 14 核，Iris Xe，32GB LPDDR5 2TB SSD，背光键盘 Thunderbolt 4 指纹 Wi-Fi 6E 读卡器，Win10 Pro，COU 32GB USB")</f>
        <v>MSI Prestige 14Evo B13M 笔记本电脑 2024 年，14 英寸 WUXGA IPS，Intel i7-13700H 14 核，Iris Xe，32GB LPDDR5 2TB SSD，背光键盘 Thunderbolt 4 指纹 Wi-Fi 6E 读卡器，Win10 Pro，COU 32GB USB</v>
      </c>
      <c r="E96" s="1" t="str">
        <f>IFERROR(__xludf.DUMMYFUNCTION("CONCATENATE(GOOGLETRANSLATE(C96, ""en"", ""ko""))"),"MSI Prestige 14Evo B13M 노트북 2024, 14인치 WUXGA IPS, Intel i7-13700H 14코어, Iris Xe, 32GB LPDDR5 2TB SSD, 백라이트 키보드 Thunderbolt 4 지문 인식 Wi-Fi 6E 카드 리더기, Win10 Pro, COU 32GB USB")</f>
        <v>MSI Prestige 14Evo B13M 노트북 2024, 14인치 WUXGA IPS, Intel i7-13700H 14코어, Iris Xe, 32GB LPDDR5 2TB SSD, 백라이트 키보드 Thunderbolt 4 지문 인식 Wi-Fi 6E 카드 리더기, Win10 Pro, COU 32GB USB</v>
      </c>
      <c r="F96" s="1" t="str">
        <f>IFERROR(__xludf.DUMMYFUNCTION("CONCATENATE(GOOGLETRANSLATE(C96, ""en"", ""ja""))"),"MSI Prestige 14Evo B13M ラップトップ 2024、14 インチ WUXGA IPS、Intel i7-13700H 14 コア、Iris Xe、32GB LPDDR5 2TB SSD、バックライト付きキーボード Thunderbolt 4 指紋認証 Wi-Fi 6E カードリーダー、Win10 Pro、COU 32GB USB")</f>
        <v>MSI Prestige 14Evo B13M ラップトップ 2024、14 インチ WUXGA IPS、Intel i7-13700H 14 コア、Iris Xe、32GB LPDDR5 2TB SSD、バックライト付きキーボード Thunderbolt 4 指紋認証 Wi-Fi 6E カードリーダー、Win10 Pro、COU 32GB USB</v>
      </c>
    </row>
    <row r="97" ht="15.75" customHeight="1">
      <c r="A97" s="1">
        <v>7966.0</v>
      </c>
      <c r="B97" s="1" t="s">
        <v>6</v>
      </c>
      <c r="C97" s="1" t="s">
        <v>102</v>
      </c>
      <c r="D97" s="1" t="str">
        <f>IFERROR(__xludf.DUMMYFUNCTION("CONCATENATE(GOOGLETRANSLATE(C97, ""en"", ""zh-cn""))"),"微软 Surface 笔记本电脑 4 13.5 i7 第 11 代 16GB RAM 512GB SSD 白金全新 COND")</f>
        <v>微软 Surface 笔记本电脑 4 13.5 i7 第 11 代 16GB RAM 512GB SSD 白金全新 COND</v>
      </c>
      <c r="E97" s="1" t="str">
        <f>IFERROR(__xludf.DUMMYFUNCTION("CONCATENATE(GOOGLETRANSLATE(C97, ""en"", ""ko""))"),"마이크로소프트 서피스 노트북 4 13.5 i7 11세대 16GB RAM 512GB SSD 플래티넘 새 상품 상태")</f>
        <v>마이크로소프트 서피스 노트북 4 13.5 i7 11세대 16GB RAM 512GB SSD 플래티넘 새 상품 상태</v>
      </c>
      <c r="F97" s="1" t="str">
        <f>IFERROR(__xludf.DUMMYFUNCTION("CONCATENATE(GOOGLETRANSLATE(C97, ""en"", ""ja""))"),"Microsoft Surface ラップトップ 4 13.5 i7 第 11 世代 16GB RAM 512GB SSD プラチナ 新品コンディション")</f>
        <v>Microsoft Surface ラップトップ 4 13.5 i7 第 11 世代 16GB RAM 512GB SSD プラチナ 新品コンディション</v>
      </c>
    </row>
    <row r="98" ht="15.75" customHeight="1">
      <c r="A98" s="1">
        <v>7994.0</v>
      </c>
      <c r="B98" s="1" t="s">
        <v>6</v>
      </c>
      <c r="C98" s="1" t="s">
        <v>103</v>
      </c>
      <c r="D98" s="1" t="str">
        <f>IFERROR(__xludf.DUMMYFUNCTION("CONCATENATE(GOOGLETRANSLATE(C98, ""en"", ""zh-cn""))"),"微软 Surface 笔记本电脑 2 i7-8650U 1.90GHz 16GB RAM 512GB SSD Windows 11 Pro G")</f>
        <v>微软 Surface 笔记本电脑 2 i7-8650U 1.90GHz 16GB RAM 512GB SSD Windows 11 Pro G</v>
      </c>
      <c r="E98" s="1" t="str">
        <f>IFERROR(__xludf.DUMMYFUNCTION("CONCATENATE(GOOGLETRANSLATE(C98, ""en"", ""ko""))"),"마이크로소프트 서피스 노트북 2 i7-8650U 1.90GHz 16GB RAM 512GB SSD 윈도우 11 프로 G")</f>
        <v>마이크로소프트 서피스 노트북 2 i7-8650U 1.90GHz 16GB RAM 512GB SSD 윈도우 11 프로 G</v>
      </c>
      <c r="F98" s="1" t="str">
        <f>IFERROR(__xludf.DUMMYFUNCTION("CONCATENATE(GOOGLETRANSLATE(C98, ""en"", ""ja""))"),"Microsoft Surface Laptop 2 i7-8650U 1.90GHz 16GB RAM 512GB SSD Windows 11 Pro G")</f>
        <v>Microsoft Surface Laptop 2 i7-8650U 1.90GHz 16GB RAM 512GB SSD Windows 11 Pro G</v>
      </c>
    </row>
    <row r="99" ht="15.75" customHeight="1">
      <c r="A99" s="1">
        <v>7999.0</v>
      </c>
      <c r="B99" s="1" t="s">
        <v>6</v>
      </c>
      <c r="C99" s="1" t="s">
        <v>104</v>
      </c>
      <c r="D99" s="1" t="str">
        <f>IFERROR(__xludf.DUMMYFUNCTION("CONCATENATE(GOOGLETRANSLATE(C99, ""en"", ""zh-cn""))"),"微软 Surface 笔记本电脑 13.5 触摸 i5-7300u 8GB RAM 128GB SSD Win 11 V.GOOD")</f>
        <v>微软 Surface 笔记本电脑 13.5 触摸 i5-7300u 8GB RAM 128GB SSD Win 11 V.GOOD</v>
      </c>
      <c r="E99" s="1" t="str">
        <f>IFERROR(__xludf.DUMMYFUNCTION("CONCATENATE(GOOGLETRANSLATE(C99, ""en"", ""ko""))"),"마이크로소프트 서피스 노트북 13.5 터치 i5-7300u 8GB RAM 128GB SSD 윈도우 11 V.GOOD")</f>
        <v>마이크로소프트 서피스 노트북 13.5 터치 i5-7300u 8GB RAM 128GB SSD 윈도우 11 V.GOOD</v>
      </c>
      <c r="F99" s="1" t="str">
        <f>IFERROR(__xludf.DUMMYFUNCTION("CONCATENATE(GOOGLETRANSLATE(C99, ""en"", ""ja""))"),"Microsoft Surface Laptop 13.5 Touch i5-7300u 8GB RAM 128GB SSD Win 11 V.GOOD")</f>
        <v>Microsoft Surface Laptop 13.5 Touch i5-7300u 8GB RAM 128GB SSD Win 11 V.GOOD</v>
      </c>
    </row>
    <row r="100" ht="15.75" customHeight="1">
      <c r="A100" s="1">
        <v>8022.0</v>
      </c>
      <c r="B100" s="1" t="s">
        <v>6</v>
      </c>
      <c r="C100" s="1" t="s">
        <v>105</v>
      </c>
      <c r="D100" s="1" t="str">
        <f>IFERROR(__xludf.DUMMYFUNCTION("CONCATENATE(GOOGLETRANSLATE(C100, ""en"", ""zh-cn""))"),"联想V15商务笔记本电脑|英特尔4核处理器|英特尔超高清显卡 | 15.6 英寸 FHD (1920 x 1080) | 32GB RAM | 512GB SSD | 以太网 RJ-45 | 军事耐用性 | Windows 11 Pro")</f>
        <v>联想V15商务笔记本电脑|英特尔4核处理器|英特尔超高清显卡 | 15.6 英寸 FHD (1920 x 1080) | 32GB RAM | 512GB SSD | 以太网 RJ-45 | 军事耐用性 | Windows 11 Pro</v>
      </c>
      <c r="E100" s="1" t="str">
        <f>IFERROR(__xludf.DUMMYFUNCTION("CONCATENATE(GOOGLETRANSLATE(C100, ""en"", ""ko""))"),"Lenovo V15 비즈니스 노트북 | 인텔 4코어 프로세서 | 인텔 UHD 그래픽 | 15.6인치 FHD(1920 x 1080) | 32GB RAM | 512GB SSD | 이더넷 RJ-45 | 군용 내구성 | Windows 11 Pro")</f>
        <v>Lenovo V15 비즈니스 노트북 | 인텔 4코어 프로세서 | 인텔 UHD 그래픽 | 15.6인치 FHD(1920 x 1080) | 32GB RAM | 512GB SSD | 이더넷 RJ-45 | 군용 내구성 | Windows 11 Pro</v>
      </c>
      <c r="F100" s="1" t="str">
        <f>IFERROR(__xludf.DUMMYFUNCTION("CONCATENATE(GOOGLETRANSLATE(C100, ""en"", ""ja""))"),"Lenovo V15 ビジネス ノートパソコン |インテル 4 コア プロセッサー |インテル UHD グラフィックス | 15.6 インチ FHD (1920 x 1080) | 32GB RAM | 512GB SSD | イーサネット RJ-45 | 軍事耐久性 | Windows 11 Pro")</f>
        <v>Lenovo V15 ビジネス ノートパソコン |インテル 4 コア プロセッサー |インテル UHD グラフィックス | 15.6 インチ FHD (1920 x 1080) | 32GB RAM | 512GB SSD | イーサネット RJ-45 | 軍事耐久性 | Windows 11 Pro</v>
      </c>
    </row>
    <row r="101" ht="15.75" customHeight="1">
      <c r="A101" s="1">
        <v>8039.0</v>
      </c>
      <c r="B101" s="1" t="s">
        <v>6</v>
      </c>
      <c r="C101" s="1" t="s">
        <v>106</v>
      </c>
      <c r="D101" s="1" t="str">
        <f>IFERROR(__xludf.DUMMYFUNCTION("CONCATENATE(GOOGLETRANSLATE(C101, ""en"", ""zh-cn""))"),"戴尔 G15 游戏笔记本电脑，15.6 英寸 FHD 120Hz 显示屏，AMD Ryzen 7 5800H 8 核处理器，GeForce RTX 3050 Ti，32GB RAM，1TB SSD，网络摄像头，HDMI，Wi-Fi 6，背光键盘，Windows 11 Home，灰色")</f>
        <v>戴尔 G15 游戏笔记本电脑，15.6 英寸 FHD 120Hz 显示屏，AMD Ryzen 7 5800H 8 核处理器，GeForce RTX 3050 Ti，32GB RAM，1TB SSD，网络摄像头，HDMI，Wi-Fi 6，背光键盘，Windows 11 Home，灰色</v>
      </c>
      <c r="E101" s="1" t="str">
        <f>IFERROR(__xludf.DUMMYFUNCTION("CONCATENATE(GOOGLETRANSLATE(C101, ""en"", ""ko""))"),"Dell G15 게이밍 노트북, 15.6인치 FHD 120Hz 디스플레이, AMD Ryzen 7 5800H 8코어 프로세서, GeForce RTX 3050 Ti, 32GB RAM, 1TB SSD, 웹캠, HDMI, Wi-Fi 6, 백라이트 키보드, Windows 11 Home, 그레이")</f>
        <v>Dell G15 게이밍 노트북, 15.6인치 FHD 120Hz 디스플레이, AMD Ryzen 7 5800H 8코어 프로세서, GeForce RTX 3050 Ti, 32GB RAM, 1TB SSD, 웹캠, HDMI, Wi-Fi 6, 백라이트 키보드, Windows 11 Home, 그레이</v>
      </c>
      <c r="F101" s="1" t="str">
        <f>IFERROR(__xludf.DUMMYFUNCTION("CONCATENATE(GOOGLETRANSLATE(C101, ""en"", ""ja""))"),"Dell G15 ゲーミング ノートパソコン、15.6 インチ FHD 120Hz ディスプレイ、AMD Ryzen 7 5800H 8 コア プロセッサー、GeForce RTX 3050 Ti、32GB RAM、1TB SSD、ウェブカメラ、HDMI、Wi-Fi 6、バックライト付きキーボード、Windows 11 Home、グレー")</f>
        <v>Dell G15 ゲーミング ノートパソコン、15.6 インチ FHD 120Hz ディスプレイ、AMD Ryzen 7 5800H 8 コア プロセッサー、GeForce RTX 3050 Ti、32GB RAM、1TB SSD、ウェブカメラ、HDMI、Wi-Fi 6、バックライト付きキーボード、Windows 11 Home、グレー</v>
      </c>
    </row>
    <row r="102" ht="15.75" customHeight="1">
      <c r="A102" s="1">
        <v>8047.0</v>
      </c>
      <c r="B102" s="1" t="s">
        <v>6</v>
      </c>
      <c r="C102" s="1" t="s">
        <v>107</v>
      </c>
      <c r="D102" s="1" t="str">
        <f>IFERROR(__xludf.DUMMYFUNCTION("CONCATENATE(GOOGLETRANSLATE(C102, ""en"", ""zh-cn""))"),"戴尔 Inspiron 灵越 14 7440 2 合 1 触摸屏笔记本电脑，英特尔 10 核 7-150U，14 英寸 IPS 1920x1200 FHD，64 GB DDR5 RAM，1 TB SSD，背光键盘，Windows 11 Pro，Office Pro 2024 终身许可证，鼠标")</f>
        <v>戴尔 Inspiron 灵越 14 7440 2 合 1 触摸屏笔记本电脑，英特尔 10 核 7-150U，14 英寸 IPS 1920x1200 FHD，64 GB DDR5 RAM，1 TB SSD，背光键盘，Windows 11 Pro，Office Pro 2024 终身许可证，鼠标</v>
      </c>
      <c r="E102" s="1" t="str">
        <f>IFERROR(__xludf.DUMMYFUNCTION("CONCATENATE(GOOGLETRANSLATE(C102, ""en"", ""ko""))"),"Dell Inspiron 14 7440 2 in 1 터치스크린 노트북, Intel 10코어 7-150U, 14인치 IPS 1920x1200 FHD, 64GB DDR5 RAM, 1TB SSD, 백라이트 키보드, Windows 11 Pro, Office Pro 2024 평생 라이선스, 마우스")</f>
        <v>Dell Inspiron 14 7440 2 in 1 터치스크린 노트북, Intel 10코어 7-150U, 14인치 IPS 1920x1200 FHD, 64GB DDR5 RAM, 1TB SSD, 백라이트 키보드, Windows 11 Pro, Office Pro 2024 평생 라이선스, 마우스</v>
      </c>
      <c r="F102" s="1" t="str">
        <f>IFERROR(__xludf.DUMMYFUNCTION("CONCATENATE(GOOGLETRANSLATE(C102, ""en"", ""ja""))"),"Dell Inspiron 14 7440 2 in 1 タッチスクリーン ラップトップ、Intel 10 コア 7-150U、14 インチ IPS 1920x1200 FHD、64 GB DDR5 RAM、1 TB SSD、バックライト付きキーボード、Windows 11 Pro、Office Pro 2024 ライフタイム ライセンス、マウス")</f>
        <v>Dell Inspiron 14 7440 2 in 1 タッチスクリーン ラップトップ、Intel 10 コア 7-150U、14 インチ IPS 1920x1200 FHD、64 GB DDR5 RAM、1 TB SSD、バックライト付きキーボード、Windows 11 Pro、Office Pro 2024 ライフタイム ライセンス、マウス</v>
      </c>
    </row>
    <row r="103" ht="15.75" customHeight="1">
      <c r="A103" s="1">
        <v>8053.0</v>
      </c>
      <c r="B103" s="1" t="s">
        <v>6</v>
      </c>
      <c r="C103" s="1" t="s">
        <v>108</v>
      </c>
      <c r="D103" s="1" t="str">
        <f>IFERROR(__xludf.DUMMYFUNCTION("CONCATENATE(GOOGLETRANSLATE(C103, ""en"", ""zh-cn""))"),"戴尔 2024 Inspiron 15 笔记本电脑，配备免费 Microsoft Office 365，15.6 英寸 1920x1080 FHD，第 12 代英特尔 i5-1235U 4.4 GHz，Win 11 Home，网络摄像头，蓝牙，碳黑（16GB | 1TB SSD）")</f>
        <v>戴尔 2024 Inspiron 15 笔记本电脑，配备免费 Microsoft Office 365，15.6 英寸 1920x1080 FHD，第 12 代英特尔 i5-1235U 4.4 GHz，Win 11 Home，网络摄像头，蓝牙，碳黑（16GB | 1TB SSD）</v>
      </c>
      <c r="E103" s="1" t="str">
        <f>IFERROR(__xludf.DUMMYFUNCTION("CONCATENATE(GOOGLETRANSLATE(C103, ""en"", ""ko""))"),"DELL 2024 Inspiron 15 노트북, 무료 Microsoft Office 365 포함, 15.6인치 1920x1080 FHD, 12세대 Intel i5-1235U 4.4 GHz, Win 11 Home, 웹캠, 블루투스, 카본 블랙(16GB | 1TB SSD)")</f>
        <v>DELL 2024 Inspiron 15 노트북, 무료 Microsoft Office 365 포함, 15.6인치 1920x1080 FHD, 12세대 Intel i5-1235U 4.4 GHz, Win 11 Home, 웹캠, 블루투스, 카본 블랙(16GB | 1TB SSD)</v>
      </c>
      <c r="F103" s="1" t="str">
        <f>IFERROR(__xludf.DUMMYFUNCTION("CONCATENATE(GOOGLETRANSLATE(C103, ""en"", ""ja""))"),"DELL 2024 Inspiron 15 ラップトップ、無料 Microsoft Office 365 搭載、15.6 インチ 1920x1080 FHD、第 12 世代 Intel i5-1235U 4.4 GHz、Win 11 Home、Web カメラ、Bluetooth、カーボン ブラック (16GB | 1TB SSD)")</f>
        <v>DELL 2024 Inspiron 15 ラップトップ、無料 Microsoft Office 365 搭載、15.6 インチ 1920x1080 FHD、第 12 世代 Intel i5-1235U 4.4 GHz、Win 11 Home、Web カメラ、Bluetooth、カーボン ブラック (16GB | 1TB SSD)</v>
      </c>
    </row>
    <row r="104" ht="15.75" customHeight="1">
      <c r="A104" s="1">
        <v>8061.0</v>
      </c>
      <c r="B104" s="1" t="s">
        <v>6</v>
      </c>
      <c r="C104" s="1" t="s">
        <v>109</v>
      </c>
      <c r="D104" s="1" t="str">
        <f>IFERROR(__xludf.DUMMYFUNCTION("CONCATENATE(GOOGLETRANSLATE(C104, ""en"", ""zh-cn""))"),"戴尔 Latitude 5430 笔记本电脑 (2022) | 14 英寸 1920x1080 FHD | Core i7-1255U - 1TB SSD 硬盘 - 64GB RAM | 10 核 @ 4.7 GHz Win 11 Pro Black（更新版）")</f>
        <v>戴尔 Latitude 5430 笔记本电脑 (2022) | 14 英寸 1920x1080 FHD | Core i7-1255U - 1TB SSD 硬盘 - 64GB RAM | 10 核 @ 4.7 GHz Win 11 Pro Black（更新版）</v>
      </c>
      <c r="E104" s="1" t="str">
        <f>IFERROR(__xludf.DUMMYFUNCTION("CONCATENATE(GOOGLETRANSLATE(C104, ""en"", ""ko""))"),"Dell Latitude 5430 노트북(2022) | 14인치 1920x1080 FHD | Core i7-1255U - 1TB SSD 하드 드라이브 - 64GB RAM | 10코어 @ 4.7GHz Win 11 Pro 블랙(리뉴얼)")</f>
        <v>Dell Latitude 5430 노트북(2022) | 14인치 1920x1080 FHD | Core i7-1255U - 1TB SSD 하드 드라이브 - 64GB RAM | 10코어 @ 4.7GHz Win 11 Pro 블랙(리뉴얼)</v>
      </c>
      <c r="F104" s="1" t="str">
        <f>IFERROR(__xludf.DUMMYFUNCTION("CONCATENATE(GOOGLETRANSLATE(C104, ""en"", ""ja""))"),"Dell Latitude 5430 ラップトップ (2022) | 14 インチ 1920x1080 FHD | Core i7-1255U - 1TB SSD ハードドライブ - 64GB RAM | 10 コア @ 4.7 GHz Win 11 Pro ブラック (リニューアル)")</f>
        <v>Dell Latitude 5430 ラップトップ (2022) | 14 インチ 1920x1080 FHD | Core i7-1255U - 1TB SSD ハードドライブ - 64GB RAM | 10 コア @ 4.7 GHz Win 11 Pro ブラック (リニューアル)</v>
      </c>
    </row>
    <row r="105" ht="15.75" customHeight="1">
      <c r="A105" s="1">
        <v>8082.0</v>
      </c>
      <c r="B105" s="1" t="s">
        <v>6</v>
      </c>
      <c r="C105" s="1" t="s">
        <v>110</v>
      </c>
      <c r="D105" s="1" t="str">
        <f>IFERROR(__xludf.DUMMYFUNCTION("CONCATENATE(GOOGLETRANSLATE(C105, ""en"", ""zh-cn""))"),"华硕 E410 英特尔赛扬 N4020 4GB 64GB 14 英寸高清 LED Win 10 笔记本电脑（星光黑）")</f>
        <v>华硕 E410 英特尔赛扬 N4020 4GB 64GB 14 英寸高清 LED Win 10 笔记本电脑（星光黑）</v>
      </c>
      <c r="E105" s="1" t="str">
        <f>IFERROR(__xludf.DUMMYFUNCTION("CONCATENATE(GOOGLETRANSLATE(C105, ""en"", ""ko""))"),"아수스 E410 인텔 셀러론 N4020 4GB 64GB 14인치 HD LED 윈도우 10 노트북(스타 블랙)")</f>
        <v>아수스 E410 인텔 셀러론 N4020 4GB 64GB 14인치 HD LED 윈도우 10 노트북(스타 블랙)</v>
      </c>
      <c r="F105" s="1" t="str">
        <f>IFERROR(__xludf.DUMMYFUNCTION("CONCATENATE(GOOGLETRANSLATE(C105, ""en"", ""ja""))"),"ASUS E410 Intel Celeron N4020 4GB 64GB 14インチ HD LED Win 10 ノートパソコン (スターブラック)")</f>
        <v>ASUS E410 Intel Celeron N4020 4GB 64GB 14インチ HD LED Win 10 ノートパソコン (スターブラック)</v>
      </c>
    </row>
    <row r="106" ht="15.75" customHeight="1">
      <c r="A106" s="1">
        <v>8085.0</v>
      </c>
      <c r="B106" s="1" t="s">
        <v>6</v>
      </c>
      <c r="C106" s="1" t="s">
        <v>111</v>
      </c>
      <c r="D106" s="1" t="str">
        <f>IFERROR(__xludf.DUMMYFUNCTION("CONCATENATE(GOOGLETRANSLATE(C106, ""en"", ""zh-cn""))"),"华硕 ROG Strix G18 游戏笔记本电脑，18 英寸 240Hz WQXGA 显示屏，英特尔 24 核 i9-14900HX，64 GB DDR5 RAM，4 TB SSD，NVIDIA GeForce RTX 4080，背光，Microsoft Office Pro 终身许可证和 Windows 11 Pro")</f>
        <v>华硕 ROG Strix G18 游戏笔记本电脑，18 英寸 240Hz WQXGA 显示屏，英特尔 24 核 i9-14900HX，64 GB DDR5 RAM，4 TB SSD，NVIDIA GeForce RTX 4080，背光，Microsoft Office Pro 终身许可证和 Windows 11 Pro</v>
      </c>
      <c r="E106" s="1" t="str">
        <f>IFERROR(__xludf.DUMMYFUNCTION("CONCATENATE(GOOGLETRANSLATE(C106, ""en"", ""ko""))"),"ASUS ROG Strix G18 게이밍 노트북, 18인치 240Hz WQXGA 디스플레이, Intel 24코어 i9-14900HX, 64GB DDR5 RAM, 4TB SSD, NVIDIA GeForce RTX 4080, 백라이트, Microsoft Office Pro 평생 라이센스 및 Windows 11 Pro")</f>
        <v>ASUS ROG Strix G18 게이밍 노트북, 18인치 240Hz WQXGA 디스플레이, Intel 24코어 i9-14900HX, 64GB DDR5 RAM, 4TB SSD, NVIDIA GeForce RTX 4080, 백라이트, Microsoft Office Pro 평생 라이센스 및 Windows 11 Pro</v>
      </c>
      <c r="F106" s="1" t="str">
        <f>IFERROR(__xludf.DUMMYFUNCTION("CONCATENATE(GOOGLETRANSLATE(C106, ""en"", ""ja""))"),"ASUS ROG Strix G18 ゲーミング ノートパソコン、18 インチ 240Hz WQXGA ディスプレイ、Intel 24 コア i9-14900HX、64 GB DDR5 RAM、4 TB SSD、NVIDIA GeForce RTX 4080、バックライト付き、Microsoft Office Pro ライフタイム ライセンス &amp; Windows 11 Pro")</f>
        <v>ASUS ROG Strix G18 ゲーミング ノートパソコン、18 インチ 240Hz WQXGA ディスプレイ、Intel 24 コア i9-14900HX、64 GB DDR5 RAM、4 TB SSD、NVIDIA GeForce RTX 4080、バックライト付き、Microsoft Office Pro ライフタイム ライセンス &amp; Windows 11 Pro</v>
      </c>
    </row>
    <row r="107" ht="15.75" customHeight="1">
      <c r="A107" s="1">
        <v>8092.0</v>
      </c>
      <c r="B107" s="1" t="s">
        <v>6</v>
      </c>
      <c r="C107" s="1" t="s">
        <v>112</v>
      </c>
      <c r="D107" s="1" t="str">
        <f>IFERROR(__xludf.DUMMYFUNCTION("CONCATENATE(GOOGLETRANSLATE(C107, ""en"", ""zh-cn""))"),"华硕 TUF 商务笔记本电脑，8 核 AMD Ryzen 7 7435HS NVIDIA GeForce RTX 3050，8GB DDR5 RAM 512GB SSD，15.6 英寸 FHD 144Hz LED 背光显示屏，Wi-Fi 6，单区 RGB 背光键盘 Win11 Home")</f>
        <v>华硕 TUF 商务笔记本电脑，8 核 AMD Ryzen 7 7435HS NVIDIA GeForce RTX 3050，8GB DDR5 RAM 512GB SSD，15.6 英寸 FHD 144Hz LED 背光显示屏，Wi-Fi 6，单区 RGB 背光键盘 Win11 Home</v>
      </c>
      <c r="E107" s="1" t="str">
        <f>IFERROR(__xludf.DUMMYFUNCTION("CONCATENATE(GOOGLETRANSLATE(C107, ""en"", ""ko""))"),"ASUS TUF 비즈니스 노트북, 8 코어 AMD Ryzen 7 7435HS NVIDIA GeForce RTX 3050, 8GB DDR5 RAM 512GB SSD, 15.6인치 FHD 144Hz LED 백라이트 디스플레이, Wi-Fi 6, 단일 영역 RGB 백라이트 키보드 Win11 홈")</f>
        <v>ASUS TUF 비즈니스 노트북, 8 코어 AMD Ryzen 7 7435HS NVIDIA GeForce RTX 3050, 8GB DDR5 RAM 512GB SSD, 15.6인치 FHD 144Hz LED 백라이트 디스플레이, Wi-Fi 6, 단일 영역 RGB 백라이트 키보드 Win11 홈</v>
      </c>
      <c r="F107" s="1" t="str">
        <f>IFERROR(__xludf.DUMMYFUNCTION("CONCATENATE(GOOGLETRANSLATE(C107, ""en"", ""ja""))"),"ASUS TUF ビジネス ノートパソコン、8 コア AMD Ryzen 7 7435HS NVIDIA GeForce RTX 3050、8GB DDR5 RAM 512GB SSD、15.6 インチ FHD 144Hz LED バックライト ディスプレイ、Wi-Fi 6、シングルゾーン RGB バックライト付きキーボード Win11 ホーム")</f>
        <v>ASUS TUF ビジネス ノートパソコン、8 コア AMD Ryzen 7 7435HS NVIDIA GeForce RTX 3050、8GB DDR5 RAM 512GB SSD、15.6 インチ FHD 144Hz LED バックライト ディスプレイ、Wi-Fi 6、シングルゾーン RGB バックライト付きキーボード Win11 ホーム</v>
      </c>
    </row>
    <row r="108" ht="15.75" customHeight="1">
      <c r="A108" s="1">
        <v>8118.0</v>
      </c>
      <c r="B108" s="1" t="s">
        <v>6</v>
      </c>
      <c r="C108" s="1" t="s">
        <v>113</v>
      </c>
      <c r="D108" s="1" t="str">
        <f>IFERROR(__xludf.DUMMYFUNCTION("CONCATENATE(GOOGLETRANSLATE(C108, ""en"", ""zh-cn""))"),"Apple 15.4 英寸 MacBook Pro 笔记本电脑（视网膜、触控栏、2.6GHz 6 核 Intel Core i7、16GB RAM、512GB SSD 存储）深空灰色 (MR942LL/A)（2018 型号）（更新）")</f>
        <v>Apple 15.4 英寸 MacBook Pro 笔记本电脑（视网膜、触控栏、2.6GHz 6 核 Intel Core i7、16GB RAM、512GB SSD 存储）深空灰色 (MR942LL/A)（2018 型号）（更新）</v>
      </c>
      <c r="E108" s="1" t="str">
        <f>IFERROR(__xludf.DUMMYFUNCTION("CONCATENATE(GOOGLETRANSLATE(C108, ""en"", ""ko""))"),"Apple 15.4인치 MacBook Pro 노트북(Retina, 터치바, 2.6GHz 6코어 Intel Core i7, 16GB RAM, 512GB SSD 스토리지) 스페이스 그레이(MR942LL/A)(2018 모델)(리뉴얼)")</f>
        <v>Apple 15.4인치 MacBook Pro 노트북(Retina, 터치바, 2.6GHz 6코어 Intel Core i7, 16GB RAM, 512GB SSD 스토리지) 스페이스 그레이(MR942LL/A)(2018 모델)(리뉴얼)</v>
      </c>
      <c r="F108" s="1" t="str">
        <f>IFERROR(__xludf.DUMMYFUNCTION("CONCATENATE(GOOGLETRANSLATE(C108, ""en"", ""ja""))"),"Apple 15.4インチ MacBook Pro ラップトップ (Retina、タッチバー、2.6GHz 6 コア Intel Core i7、16GB RAM、512GB SSD ストレージ) スペースグレイ (MR942LL/A) (2018 モデル) (リニューアル)")</f>
        <v>Apple 15.4インチ MacBook Pro ラップトップ (Retina、タッチバー、2.6GHz 6 コア Intel Core i7、16GB RAM、512GB SSD ストレージ) スペースグレイ (MR942LL/A) (2018 モデル) (リニューアル)</v>
      </c>
    </row>
    <row r="109" ht="15.75" customHeight="1">
      <c r="A109" s="1">
        <v>8124.0</v>
      </c>
      <c r="B109" s="1" t="s">
        <v>6</v>
      </c>
      <c r="C109" s="1" t="s">
        <v>114</v>
      </c>
      <c r="D109" s="1" t="str">
        <f>IFERROR(__xludf.DUMMYFUNCTION("CONCATENATE(GOOGLETRANSLATE(C109, ""en"", ""zh-cn""))"),"采用 M2 芯片的 Apple 2022 MacBook Air 笔记本电脑：专为 Apple Intelligence 打造、13.6 英寸 Liquid Retina 显示屏、8GB RAM、256GB SSD 存储、背光键盘、1080p FaceTime 高清摄像头；深空灰色")</f>
        <v>采用 M2 芯片的 Apple 2022 MacBook Air 笔记本电脑：专为 Apple Intelligence 打造、13.6 英寸 Liquid Retina 显示屏、8GB RAM、256GB SSD 存储、背光键盘、1080p FaceTime 高清摄像头；深空灰色</v>
      </c>
      <c r="E109" s="1" t="str">
        <f>IFERROR(__xludf.DUMMYFUNCTION("CONCATENATE(GOOGLETRANSLATE(C109, ""en"", ""ko""))"),"M2 칩이 탑재된 Apple 2022 MacBook Air 노트북: Apple Intelligence용으로 제작, 13.6인치 Liquid Retina 디스플레이, 8GB RAM, 256GB SSD 스토리지, 백라이트 키보드, 1080p FaceTime HD 카메라; 스페이스 그레이")</f>
        <v>M2 칩이 탑재된 Apple 2022 MacBook Air 노트북: Apple Intelligence용으로 제작, 13.6인치 Liquid Retina 디스플레이, 8GB RAM, 256GB SSD 스토리지, 백라이트 키보드, 1080p FaceTime HD 카메라; 스페이스 그레이</v>
      </c>
      <c r="F109" s="1" t="str">
        <f>IFERROR(__xludf.DUMMYFUNCTION("CONCATENATE(GOOGLETRANSLATE(C109, ""en"", ""ja""))"),"M2 チップ搭載 Apple 2022 MacBook Air ラップトップ: Apple Intelligence 向けに構築、13.6 インチ Liquid Retina ディスプレイ、8GB RAM、256GB SSD ストレージ、バックライト付きキーボード、1080p FaceTime HD カメラ。スペースグレイ")</f>
        <v>M2 チップ搭載 Apple 2022 MacBook Air ラップトップ: Apple Intelligence 向けに構築、13.6 インチ Liquid Retina ディスプレイ、8GB RAM、256GB SSD ストレージ、バックライト付きキーボード、1080p FaceTime HD カメラ。スペースグレイ</v>
      </c>
    </row>
    <row r="110" ht="15.75" customHeight="1">
      <c r="A110" s="1">
        <v>8130.0</v>
      </c>
      <c r="B110" s="1" t="s">
        <v>6</v>
      </c>
      <c r="C110" s="1" t="s">
        <v>115</v>
      </c>
      <c r="D110" s="1" t="str">
        <f>IFERROR(__xludf.DUMMYFUNCTION("CONCATENATE(GOOGLETRANSLATE(C110, ""en"", ""zh-cn""))"),"Apple MacBook Pro 16.2 英寸，M4 Pro 芯片，配备 14 核 CPU 和 20 核 GPU，2024 年末 - 银色，标准显示屏，24 GB，1 TB SSD")</f>
        <v>Apple MacBook Pro 16.2 英寸，M4 Pro 芯片，配备 14 核 CPU 和 20 核 GPU，2024 年末 - 银色，标准显示屏，24 GB，1 TB SSD</v>
      </c>
      <c r="E110" s="1" t="str">
        <f>IFERROR(__xludf.DUMMYFUNCTION("CONCATENATE(GOOGLETRANSLATE(C110, ""en"", ""ko""))"),"Apple MacBook Pro 16.2인치, M4 Pro 칩(14코어 CPU 및 20코어 GPU 포함), 2024년 말 - 실버, 표준 디스플레이, 24GB, 1TB SSD")</f>
        <v>Apple MacBook Pro 16.2인치, M4 Pro 칩(14코어 CPU 및 20코어 GPU 포함), 2024년 말 - 실버, 표준 디스플레이, 24GB, 1TB SSD</v>
      </c>
      <c r="F110" s="1" t="str">
        <f>IFERROR(__xludf.DUMMYFUNCTION("CONCATENATE(GOOGLETRANSLATE(C110, ""en"", ""ja""))"),"Apple MacBook Pro 16.2インチ、14コアCPUおよび20コアGPUを搭載したM4 Proチップ、2024年後期 - シルバー、標準ディスプレイ、24GB、1TB SSD")</f>
        <v>Apple MacBook Pro 16.2インチ、14コアCPUおよび20コアGPUを搭載したM4 Proチップ、2024年後期 - シルバー、標準ディスプレイ、24GB、1TB SSD</v>
      </c>
    </row>
    <row r="111" ht="15.75" customHeight="1">
      <c r="A111" s="1">
        <v>8137.0</v>
      </c>
      <c r="B111" s="1" t="s">
        <v>6</v>
      </c>
      <c r="C111" s="1" t="s">
        <v>116</v>
      </c>
      <c r="D111" s="1" t="str">
        <f>IFERROR(__xludf.DUMMYFUNCTION("CONCATENATE(GOOGLETRANSLATE(C111, ""en"", ""zh-cn""))"),"2020 年 Apple MacBook Pro，配备 2.3 GHz Intel Core i7（13 英寸，16GB RAM，512GB SSD）深空灰色（更新版）")</f>
        <v>2020 年 Apple MacBook Pro，配备 2.3 GHz Intel Core i7（13 英寸，16GB RAM，512GB SSD）深空灰色（更新版）</v>
      </c>
      <c r="E111" s="1" t="str">
        <f>IFERROR(__xludf.DUMMYFUNCTION("CONCATENATE(GOOGLETRANSLATE(C111, ""en"", ""ko""))"),"2020 Apple MacBook Pro with 2.3 GHz Intel Core i7(13인치, 16GB RAM, 512GB SSD) 스페이스 그레이(리뉴얼)")</f>
        <v>2020 Apple MacBook Pro with 2.3 GHz Intel Core i7(13인치, 16GB RAM, 512GB SSD) 스페이스 그레이(리뉴얼)</v>
      </c>
      <c r="F111" s="1" t="str">
        <f>IFERROR(__xludf.DUMMYFUNCTION("CONCATENATE(GOOGLETRANSLATE(C111, ""en"", ""ja""))"),"2020 Apple MacBook Pro 2.3 GHz Intel Core i7 (13 インチ、16GB RAM、512GB SSD) スペースグレイ (リニューアル)")</f>
        <v>2020 Apple MacBook Pro 2.3 GHz Intel Core i7 (13 インチ、16GB RAM、512GB SSD) スペースグレイ (リニューアル)</v>
      </c>
    </row>
    <row r="112" ht="15.75" customHeight="1">
      <c r="A112" s="1">
        <v>7775.0</v>
      </c>
      <c r="B112" s="1" t="s">
        <v>6</v>
      </c>
      <c r="C112" s="1" t="s">
        <v>117</v>
      </c>
      <c r="D112" s="1" t="str">
        <f>IFERROR(__xludf.DUMMYFUNCTION("CONCATENATE(GOOGLETRANSLATE(C112, ""en"", ""zh-cn""))"),"佳能 PIXMA TR8620a - 多功能打印机家庭办公|复印机|扫描仪|传真|自动文档进纸器 |照片、文件| Airprint (R)，Android，黑色，适用于 Alexa")</f>
        <v>佳能 PIXMA TR8620a - 多功能打印机家庭办公|复印机|扫描仪|传真|自动文档进纸器 |照片、文件| Airprint (R)，Android，黑色，适用于 Alexa</v>
      </c>
      <c r="E112" s="1" t="str">
        <f>IFERROR(__xludf.DUMMYFUNCTION("CONCATENATE(GOOGLETRANSLATE(C112, ""en"", ""ko""))"),"Canon PIXMA TR8620a - 올인원 프린터 홈 오피스|복사기|스캐너|팩스|자동 문서 공급 장치 | 사진, 문서 | Airprint(R), 안드로이드, 블랙, Alexa와 호환")</f>
        <v>Canon PIXMA TR8620a - 올인원 프린터 홈 오피스|복사기|스캐너|팩스|자동 문서 공급 장치 | 사진, 문서 | Airprint(R), 안드로이드, 블랙, Alexa와 호환</v>
      </c>
      <c r="F112" s="1" t="str">
        <f>IFERROR(__xludf.DUMMYFUNCTION("CONCATENATE(GOOGLETRANSLATE(C112, ""en"", ""ja""))"),"Canon PIXUS TR8620a - オールインワン プリンター ホーム オフィス | コピー機 | スキャナー | ファックス | 自動ドキュメント フィーダー |写真、ドキュメント | Airprint (R)、Android、ブラック、Alexa と連携")</f>
        <v>Canon PIXUS TR8620a - オールインワン プリンター ホーム オフィス | コピー機 | スキャナー | ファックス | 自動ドキュメント フィーダー |写真、ドキュメント | Airprint (R)、Android、ブラック、Alexa と連携</v>
      </c>
    </row>
    <row r="113" ht="15.75" customHeight="1">
      <c r="A113" s="1">
        <v>7784.0</v>
      </c>
      <c r="B113" s="1" t="s">
        <v>6</v>
      </c>
      <c r="C113" s="1" t="s">
        <v>118</v>
      </c>
      <c r="D113" s="1" t="str">
        <f>IFERROR(__xludf.DUMMYFUNCTION("CONCATENATE(GOOGLETRANSLATE(C113, ""en"", ""zh-cn""))"),"佳能 PGI-35/CLI-36 2 黑色和 1 彩色超值套装，兼容 iP100、iP110")</f>
        <v>佳能 PGI-35/CLI-36 2 黑色和 1 彩色超值套装，兼容 iP100、iP110</v>
      </c>
      <c r="E113" s="1" t="str">
        <f>IFERROR(__xludf.DUMMYFUNCTION("CONCATENATE(GOOGLETRANSLATE(C113, ""en"", ""ko""))"),"Canon PGI-35/CLI-36 iP100, iP110과 호환되는 검정색 2개 및 컬러 밸류 팩 1개")</f>
        <v>Canon PGI-35/CLI-36 iP100, iP110과 호환되는 검정색 2개 및 컬러 밸류 팩 1개</v>
      </c>
      <c r="F113" s="1" t="str">
        <f>IFERROR(__xludf.DUMMYFUNCTION("CONCATENATE(GOOGLETRANSLATE(C113, ""en"", ""ja""))"),"Canon PGI-35/CLI-36 ブラック2本とカラー1本 バリューパック iP100、iP110対応")</f>
        <v>Canon PGI-35/CLI-36 ブラック2本とカラー1本 バリューパック iP100、iP110対応</v>
      </c>
    </row>
    <row r="114" ht="15.75" customHeight="1">
      <c r="A114" s="1">
        <v>7814.0</v>
      </c>
      <c r="B114" s="1" t="s">
        <v>6</v>
      </c>
      <c r="C114" s="1" t="s">
        <v>119</v>
      </c>
      <c r="D114" s="1" t="str">
        <f>IFERROR(__xludf.DUMMYFUNCTION("CONCATENATE(GOOGLETRANSLATE(C114, ""en"", ""zh-cn""))"),"HP 952 青色、品红色、黄色墨盒（3 件装）|适用于 HP OfficeJet 8702、HP OfficeJet Pro 7720、7740、8210、8710、8720、8730、8740 系列 |符合 Instant Ink 条件 | N9K27AN")</f>
        <v>HP 952 青色、品红色、黄色墨盒（3 件装）|适用于 HP OfficeJet 8702、HP OfficeJet Pro 7720、7740、8210、8710、8720、8730、8740 系列 |符合 Instant Ink 条件 | N9K27AN</v>
      </c>
      <c r="E114" s="1" t="str">
        <f>IFERROR(__xludf.DUMMYFUNCTION("CONCATENATE(GOOGLETRANSLATE(C114, ""en"", ""ko""))"),"HP 952 시안, 마젠타, 노랑 잉크 카트리지(3팩) | HP OfficeJet 8702, HP OfficeJet Pro 7720, 7740, 8210, 8710, 8720, 8730, 8740 시리즈와 함께 작동 | 인스턴트 잉크 사용 가능 | N9K27AN")</f>
        <v>HP 952 시안, 마젠타, 노랑 잉크 카트리지(3팩) | HP OfficeJet 8702, HP OfficeJet Pro 7720, 7740, 8210, 8710, 8720, 8730, 8740 시리즈와 함께 작동 | 인스턴트 잉크 사용 가능 | N9K27AN</v>
      </c>
      <c r="F114" s="1" t="str">
        <f>IFERROR(__xludf.DUMMYFUNCTION("CONCATENATE(GOOGLETRANSLATE(C114, ""en"", ""ja""))"),"HP 952 シアン、マゼンタ、イエロー インク カートリッジ (3 パック) | HP OfficeJet 8702、HP OfficeJet Pro 7720、7740、8210、8710、8720、8730、8740 シリーズで動作 | Instant Ink の対象 | N9K27AN")</f>
        <v>HP 952 シアン、マゼンタ、イエロー インク カートリッジ (3 パック) | HP OfficeJet 8702、HP OfficeJet Pro 7720、7740、8210、8710、8720、8730、8740 シリーズで動作 | Instant Ink の対象 | N9K27AN</v>
      </c>
    </row>
    <row r="115" ht="15.75" customHeight="1">
      <c r="A115" s="1">
        <v>7826.0</v>
      </c>
      <c r="B115" s="1" t="s">
        <v>6</v>
      </c>
      <c r="C115" s="1" t="s">
        <v>120</v>
      </c>
      <c r="D115" s="1" t="str">
        <f>IFERROR(__xludf.DUMMYFUNCTION("CONCATENATE(GOOGLETRANSLATE(C115, ""en"", ""zh-cn""))"),"HP 206X 黑色高印量碳粉盒 |适用于 HP Color LaserJet Pro M255、HP Color LaserJet Pro MFP M282、M283 系列 | W2110X，1 件装，黑色")</f>
        <v>HP 206X 黑色高印量碳粉盒 |适用于 HP Color LaserJet Pro M255、HP Color LaserJet Pro MFP M282、M283 系列 | W2110X，1 件装，黑色</v>
      </c>
      <c r="E115" s="1" t="str">
        <f>IFERROR(__xludf.DUMMYFUNCTION("CONCATENATE(GOOGLETRANSLATE(C115, ""en"", ""ko""))"),"HP 206X 검정 대용량 토너 카트리지 | HP 컬러 레이저젯 프로 M255, HP 컬러 레이저젯 프로 MFP M282, M283 시리즈와 함께 작동 | W2110X, 1개 팩, 검정색")</f>
        <v>HP 206X 검정 대용량 토너 카트리지 | HP 컬러 레이저젯 프로 M255, HP 컬러 레이저젯 프로 MFP M282, M283 시리즈와 함께 작동 | W2110X, 1개 팩, 검정색</v>
      </c>
      <c r="F115" s="1" t="str">
        <f>IFERROR(__xludf.DUMMYFUNCTION("CONCATENATE(GOOGLETRANSLATE(C115, ""en"", ""ja""))"),"HP 206X ブラック高収量トナー カートリッジ | HP Color LaserJet Pro M255、HP Color LaserJet Pro MFP M282、M283 シリーズで動作 | W2110X、1個パック、ブラック")</f>
        <v>HP 206X ブラック高収量トナー カートリッジ | HP Color LaserJet Pro M255、HP Color LaserJet Pro MFP M282、M283 シリーズで動作 | W2110X、1個パック、ブラック</v>
      </c>
    </row>
    <row r="116" ht="15.75" customHeight="1">
      <c r="A116" s="1">
        <v>7859.0</v>
      </c>
      <c r="B116" s="1" t="s">
        <v>6</v>
      </c>
      <c r="C116" s="1" t="s">
        <v>121</v>
      </c>
      <c r="D116" s="1" t="str">
        <f>IFERROR(__xludf.DUMMYFUNCTION("CONCATENATE(GOOGLETRANSLATE(C116, ""en"", ""zh-cn""))"),"Brother 正品 LC401 标准容量 3 件装墨盒 – 青色、品红色和黄色各 1 个墨盒，3 件（1 件装）")</f>
        <v>Brother 正品 LC401 标准容量 3 件装墨盒 – 青色、品红色和黄色各 1 个墨盒，3 件（1 件装）</v>
      </c>
      <c r="E116" s="1" t="str">
        <f>IFERROR(__xludf.DUMMYFUNCTION("CONCATENATE(GOOGLETRANSLATE(C116, ""en"", ""ko""))"),"브라더 정품 LC401 표준 용량 3팩 잉크 카트리지 - 시안, 마젠타, 노랑 각 카트리지 1개 포함, 3개(1팩)")</f>
        <v>브라더 정품 LC401 표준 용량 3팩 잉크 카트리지 - 시안, 마젠타, 노랑 각 카트리지 1개 포함, 3개(1팩)</v>
      </c>
      <c r="F116" s="1" t="str">
        <f>IFERROR(__xludf.DUMMYFUNCTION("CONCATENATE(GOOGLETRANSLATE(C116, ""en"", ""ja""))"),"ブラザー 純正 LC401 標準収量 3 パック インク カートリッジ – シアン、マゼンタ、イエローの各 1 カートリッジを含む、3 カウント (1 パック)")</f>
        <v>ブラザー 純正 LC401 標準収量 3 パック インク カートリッジ – シアン、マゼンタ、イエローの各 1 カートリッジを含む、3 カウント (1 パック)</v>
      </c>
    </row>
    <row r="117" ht="15.75" customHeight="1">
      <c r="A117" s="1">
        <v>7870.0</v>
      </c>
      <c r="B117" s="1" t="s">
        <v>6</v>
      </c>
      <c r="C117" s="1" t="s">
        <v>122</v>
      </c>
      <c r="D117" s="1" t="str">
        <f>IFERROR(__xludf.DUMMYFUNCTION("CONCATENATE(GOOGLETRANSLATE(C117, ""en"", ""zh-cn""))"),"Brother 正品鼓单元，DR820，无缝集成，可打印量高达 30,000 页，黑色")</f>
        <v>Brother 正品鼓单元，DR820，无缝集成，可打印量高达 30,000 页，黑色</v>
      </c>
      <c r="E117" s="1" t="str">
        <f>IFERROR(__xludf.DUMMYFUNCTION("CONCATENATE(GOOGLETRANSLATE(C117, ""en"", ""ko""))"),"Brother 정품 드럼 유닛, DR820, 원활한 통합, 최대 30,000페이지 출력, 검정색")</f>
        <v>Brother 정품 드럼 유닛, DR820, 원활한 통합, 최대 30,000페이지 출력, 검정색</v>
      </c>
      <c r="F117" s="1" t="str">
        <f>IFERROR(__xludf.DUMMYFUNCTION("CONCATENATE(GOOGLETRANSLATE(C117, ""en"", ""ja""))"),"Brother 純正ドラムユニット DR820 シームレス統合 最大 30,000 ページ印刷可能 ブラック")</f>
        <v>Brother 純正ドラムユニット DR820 シームレス統合 最大 30,000 ページ印刷可能 ブラック</v>
      </c>
    </row>
    <row r="118" ht="15.75" customHeight="1">
      <c r="A118" s="1">
        <v>7875.0</v>
      </c>
      <c r="B118" s="1" t="s">
        <v>6</v>
      </c>
      <c r="C118" s="1" t="s">
        <v>123</v>
      </c>
      <c r="D118" s="1" t="str">
        <f>IFERROR(__xludf.DUMMYFUNCTION("CONCATENATE(GOOGLETRANSLATE(C118, ""en"", ""zh-cn""))"),"Scotch 自封层压袋，25 个装，信纸尺寸 (LS854-25G-WM)")</f>
        <v>Scotch 自封层压袋，25 个装，信纸尺寸 (LS854-25G-WM)</v>
      </c>
      <c r="E118" s="1" t="str">
        <f>IFERROR(__xludf.DUMMYFUNCTION("CONCATENATE(GOOGLETRANSLATE(C118, ""en"", ""ko""))"),"스카치 셀프씰 라미네이팅 파우치, 25개 팩, Letter 크기(LS854-25G-WM)")</f>
        <v>스카치 셀프씰 라미네이팅 파우치, 25개 팩, Letter 크기(LS854-25G-WM)</v>
      </c>
      <c r="F118" s="1" t="str">
        <f>IFERROR(__xludf.DUMMYFUNCTION("CONCATENATE(GOOGLETRANSLATE(C118, ""en"", ""ja""))"),"スコッチ セルフシール ラミネート パウチ、25 パック、レター サイズ (LS854-25G-WM)")</f>
        <v>スコッチ セルフシール ラミネート パウチ、25 パック、レター サイズ (LS854-25G-WM)</v>
      </c>
    </row>
    <row r="119" ht="15.75" customHeight="1">
      <c r="A119" s="1">
        <v>7879.0</v>
      </c>
      <c r="B119" s="1" t="s">
        <v>6</v>
      </c>
      <c r="C119" s="1" t="s">
        <v>124</v>
      </c>
      <c r="D119" s="1" t="str">
        <f>IFERROR(__xludf.DUMMYFUNCTION("CONCATENATE(GOOGLETRANSLATE(C119, ""en"", ""zh-cn""))"),"Scotch 热层压袋，8.9 x 14.4 英寸，法定尺寸，20 个装 (TP3855-20)")</f>
        <v>Scotch 热层压袋，8.9 x 14.4 英寸，法定尺寸，20 个装 (TP3855-20)</v>
      </c>
      <c r="E119" s="1" t="str">
        <f>IFERROR(__xludf.DUMMYFUNCTION("CONCATENATE(GOOGLETRANSLATE(C119, ""en"", ""ko""))"),"스카치 열 라미네이팅 파우치, 8.9 x 14.4인치, 리갈 크기, 20팩(TP3855-20)")</f>
        <v>스카치 열 라미네이팅 파우치, 8.9 x 14.4인치, 리갈 크기, 20팩(TP3855-20)</v>
      </c>
      <c r="F119" s="1" t="str">
        <f>IFERROR(__xludf.DUMMYFUNCTION("CONCATENATE(GOOGLETRANSLATE(C119, ""en"", ""ja""))"),"Scotch サーマルラミネートポーチ、8.9 x 14.4 インチ、リーガルサイズ、20 パック (TP3855-20)")</f>
        <v>Scotch サーマルラミネートポーチ、8.9 x 14.4 インチ、リーガルサイズ、20 パック (TP3855-20)</v>
      </c>
    </row>
    <row r="120" ht="15.75" customHeight="1">
      <c r="A120" s="1">
        <v>7882.0</v>
      </c>
      <c r="B120" s="1" t="s">
        <v>6</v>
      </c>
      <c r="C120" s="1" t="s">
        <v>125</v>
      </c>
      <c r="D120" s="1" t="str">
        <f>IFERROR(__xludf.DUMMYFUNCTION("CONCATENATE(GOOGLETRANSLATE(C120, ""en"", ""zh-cn""))"),"Scotch 自封层压袋，10 个装，信纸尺寸 (LS854-10G)")</f>
        <v>Scotch 自封层压袋，10 个装，信纸尺寸 (LS854-10G)</v>
      </c>
      <c r="E120" s="1" t="str">
        <f>IFERROR(__xludf.DUMMYFUNCTION("CONCATENATE(GOOGLETRANSLATE(C120, ""en"", ""ko""))"),"스카치 셀프씰 라미네이팅 파우치, 10팩, Letter 크기(LS854-10G)")</f>
        <v>스카치 셀프씰 라미네이팅 파우치, 10팩, Letter 크기(LS854-10G)</v>
      </c>
      <c r="F120" s="1" t="str">
        <f>IFERROR(__xludf.DUMMYFUNCTION("CONCATENATE(GOOGLETRANSLATE(C120, ""en"", ""ja""))"),"スコッチ セルフシール ラミネート パウチ、10 パック、レター サイズ (LS854-10G)")</f>
        <v>スコッチ セルフシール ラミネート パウチ、10 パック、レター サイズ (LS854-10G)</v>
      </c>
    </row>
    <row r="121" ht="15.75" customHeight="1">
      <c r="A121" s="1">
        <v>7885.0</v>
      </c>
      <c r="B121" s="1" t="s">
        <v>6</v>
      </c>
      <c r="C121" s="1" t="s">
        <v>126</v>
      </c>
      <c r="D121" s="1" t="str">
        <f>IFERROR(__xludf.DUMMYFUNCTION("CONCATENATE(GOOGLETRANSLATE(C121, ""en"", ""zh-cn""))"),"3M 双层压补充装，12 英寸 x 100 英尺卷，免热层压 (DL1001)")</f>
        <v>3M 双层压补充装，12 英寸 x 100 英尺卷，免热层压 (DL1001)</v>
      </c>
      <c r="E121" s="1" t="str">
        <f>IFERROR(__xludf.DUMMYFUNCTION("CONCATENATE(GOOGLETRANSLATE(C121, ""en"", ""ko""))"),"3M 이중 라미네이트 리필, 12인치 x 100피트 롤, 무열 라미네이팅(DL1001)")</f>
        <v>3M 이중 라미네이트 리필, 12인치 x 100피트 롤, 무열 라미네이팅(DL1001)</v>
      </c>
      <c r="F121" s="1" t="str">
        <f>IFERROR(__xludf.DUMMYFUNCTION("CONCATENATE(GOOGLETRANSLATE(C121, ""en"", ""ja""))"),"3M デュアル ラミネート リフィル、12 インチ x 100 フィート ロール、ヒートフリー ラミネート (DL1001)")</f>
        <v>3M デュアル ラミネート リフィル、12 インチ x 100 フィート ロール、ヒートフリー ラミネート (DL1001)</v>
      </c>
    </row>
    <row r="122" ht="15.75" customHeight="1">
      <c r="A122" s="1">
        <v>7889.0</v>
      </c>
      <c r="B122" s="1" t="s">
        <v>6</v>
      </c>
      <c r="C122" s="1" t="s">
        <v>127</v>
      </c>
      <c r="D122" s="1" t="str">
        <f>IFERROR(__xludf.DUMMYFUNCTION("CONCATENATE(GOOGLETRANSLATE(C122, ""en"", ""zh-cn""))"),"Scotch LS854SS10 自密封层压板，600 万片，9 x 12（10 件装）")</f>
        <v>Scotch LS854SS10 自密封层压板，600 万片，9 x 12（10 件装）</v>
      </c>
      <c r="E122" s="1" t="str">
        <f>IFERROR(__xludf.DUMMYFUNCTION("CONCATENATE(GOOGLETRANSLATE(C122, ""en"", ""ko""))"),"Scotch LS854SS10 자체 밀봉 라미네이팅 시트, 6.0mil, 9 x 12(10개 팩)")</f>
        <v>Scotch LS854SS10 자체 밀봉 라미네이팅 시트, 6.0mil, 9 x 12(10개 팩)</v>
      </c>
      <c r="F122" s="1" t="str">
        <f>IFERROR(__xludf.DUMMYFUNCTION("CONCATENATE(GOOGLETRANSLATE(C122, ""en"", ""ja""))"),"Scotch LS854SS10 セルフシール ラミネート シート、6.0 ミル、9 x 12 (10 個パック)")</f>
        <v>Scotch LS854SS10 セルフシール ラミネート シート、6.0 ミル、9 x 12 (10 個パック)</v>
      </c>
    </row>
    <row r="123" ht="15.75" customHeight="1">
      <c r="A123" s="1">
        <v>7895.0</v>
      </c>
      <c r="B123" s="1" t="s">
        <v>6</v>
      </c>
      <c r="C123" s="1" t="s">
        <v>128</v>
      </c>
      <c r="D123" s="1" t="str">
        <f>IFERROR(__xludf.DUMMYFUNCTION("CONCATENATE(GOOGLETRANSLATE(C123, ""en"", ""zh-cn""))"),"3M 双层压板补充墨盒 DL951，8.5 英寸 x 100 英尺 (DL951) 透明")</f>
        <v>3M 双层压板补充墨盒 DL951，8.5 英寸 x 100 英尺 (DL951) 透明</v>
      </c>
      <c r="E123" s="1" t="str">
        <f>IFERROR(__xludf.DUMMYFUNCTION("CONCATENATE(GOOGLETRANSLATE(C123, ""en"", ""ko""))"),"3M 듀얼 라미네이트 리필 카트리지 DL951, 8.5인치 x 100피트(DL951) 투명")</f>
        <v>3M 듀얼 라미네이트 리필 카트리지 DL951, 8.5인치 x 100피트(DL951) 투명</v>
      </c>
      <c r="F123" s="1" t="str">
        <f>IFERROR(__xludf.DUMMYFUNCTION("CONCATENATE(GOOGLETRANSLATE(C123, ""en"", ""ja""))"),"3M デュアル ラミネート詰め替えカートリッジ DL951、8.5 インチ x 100 フィート (DL951) クリア")</f>
        <v>3M デュアル ラミネート詰め替えカートリッジ DL951、8.5 インチ x 100 フィート (DL951) クリア</v>
      </c>
    </row>
    <row r="124" ht="15.75" customHeight="1">
      <c r="A124" s="1">
        <v>7904.0</v>
      </c>
      <c r="B124" s="1" t="s">
        <v>6</v>
      </c>
      <c r="C124" s="1" t="s">
        <v>129</v>
      </c>
      <c r="D124" s="1" t="str">
        <f>IFERROR(__xludf.DUMMYFUNCTION("CONCATENATE(GOOGLETRANSLATE(C124, ""en"", ""zh-cn""))"),"3M Scotch 自封层压袋，带环袋标签，光面，5 个袋 (LS853-5G)")</f>
        <v>3M Scotch 自封层压袋，带环袋标签，光面，5 个袋 (LS853-5G)</v>
      </c>
      <c r="E124" s="1" t="str">
        <f>IFERROR(__xludf.DUMMYFUNCTION("CONCATENATE(GOOGLETRANSLATE(C124, ""en"", ""ko""))"),"3M 스카치 자체 밀봉 라미네이팅 파우치, 루프가 있는 백 태그, 광택, 파우치 5개(LS853-5G)")</f>
        <v>3M 스카치 자체 밀봉 라미네이팅 파우치, 루프가 있는 백 태그, 광택, 파우치 5개(LS853-5G)</v>
      </c>
      <c r="F124" s="1" t="str">
        <f>IFERROR(__xludf.DUMMYFUNCTION("CONCATENATE(GOOGLETRANSLATE(C124, ""en"", ""ja""))"),"3M スコッチ セルフシール ラミネートポーチ、ループ付きバッグタグ、光沢、5 ポーチ (LS853-5G)")</f>
        <v>3M スコッチ セルフシール ラミネートポーチ、ループ付きバッグタグ、光沢、5 ポーチ (LS853-5G)</v>
      </c>
    </row>
    <row r="125" ht="15.75" customHeight="1">
      <c r="A125" s="1">
        <v>7941.0</v>
      </c>
      <c r="B125" s="1" t="s">
        <v>6</v>
      </c>
      <c r="C125" s="1" t="s">
        <v>130</v>
      </c>
      <c r="D125" s="1" t="str">
        <f>IFERROR(__xludf.DUMMYFUNCTION("CONCATENATE(GOOGLETRANSLATE(C125, ""en"", ""zh-cn""))"),"MSI Modern 15 H AI C1MTG 商务笔记本电脑，2025 年，15.6 英寸 1920 x 1080 触摸屏，Intel-16 Core Ultra 9 185H，32GB DDR5，2TB SSD，Win11 Pro，背光 KB，Wi-Fi 6E，BT 5.3，720p 高清摄像头，经典黑色")</f>
        <v>MSI Modern 15 H AI C1MTG 商务笔记本电脑，2025 年，15.6 英寸 1920 x 1080 触摸屏，Intel-16 Core Ultra 9 185H，32GB DDR5，2TB SSD，Win11 Pro，背光 KB，Wi-Fi 6E，BT 5.3，720p 高清摄像头，经典黑色</v>
      </c>
      <c r="E125" s="1" t="str">
        <f>IFERROR(__xludf.DUMMYFUNCTION("CONCATENATE(GOOGLETRANSLATE(C125, ""en"", ""ko""))"),"MSI 모던 15 H AI C1MTG 비즈니스 노트북, 2025, 15.6인치 1920 x 1080 터치, Intel-16 코어 울트라 9 185H, 32GB DDR5, 2TB SSD, Win11 Pro, 백라이트 KB, Wi-Fi 6E, BT 5.3, 720p HD 카메라, 클래식 블랙")</f>
        <v>MSI 모던 15 H AI C1MTG 비즈니스 노트북, 2025, 15.6인치 1920 x 1080 터치, Intel-16 코어 울트라 9 185H, 32GB DDR5, 2TB SSD, Win11 Pro, 백라이트 KB, Wi-Fi 6E, BT 5.3, 720p HD 카메라, 클래식 블랙</v>
      </c>
      <c r="F125" s="1" t="str">
        <f>IFERROR(__xludf.DUMMYFUNCTION("CONCATENATE(GOOGLETRANSLATE(C125, ""en"", ""ja""))"),"MSI Modern 15 H AI C1MTG ビジネス ノートパソコン、2025、15.6 インチ 1920 x 1080 タッチ、Intel-16 Core Ultra 9 185H、32GB DDR5、2TB SSD、Win11 Pro、バックライト付き KB、Wi-Fi 6E、BT 5.3、720p HD カメラ、クラシック ブラック")</f>
        <v>MSI Modern 15 H AI C1MTG ビジネス ノートパソコン、2025、15.6 インチ 1920 x 1080 タッチ、Intel-16 Core Ultra 9 185H、32GB DDR5、2TB SSD、Win11 Pro、バックライト付き KB、Wi-Fi 6E、BT 5.3、720p HD カメラ、クラシック ブラック</v>
      </c>
    </row>
    <row r="126" ht="15.75" customHeight="1">
      <c r="A126" s="1">
        <v>7947.0</v>
      </c>
      <c r="B126" s="1" t="s">
        <v>6</v>
      </c>
      <c r="C126" s="1" t="s">
        <v>131</v>
      </c>
      <c r="D126" s="1" t="str">
        <f>IFERROR(__xludf.DUMMYFUNCTION("CONCATENATE(GOOGLETRANSLATE(C126, ""en"", ""zh-cn""))"),"MSI GF65 游戏笔记本电脑，15.6 英寸 1920 x 1080 120Hz IPS，Intel-4 Core i5-9300H，NVIDIA GeForce RTX 2060 6GB，48GB DDR4，2TB SSD，Windows 10 Pro，背光 KB，Wi-Fi 5，蓝牙 5，网络摄像头，黑色")</f>
        <v>MSI GF65 游戏笔记本电脑，15.6 英寸 1920 x 1080 120Hz IPS，Intel-4 Core i5-9300H，NVIDIA GeForce RTX 2060 6GB，48GB DDR4，2TB SSD，Windows 10 Pro，背光 KB，Wi-Fi 5，蓝牙 5，网络摄像头，黑色</v>
      </c>
      <c r="E126" s="1" t="str">
        <f>IFERROR(__xludf.DUMMYFUNCTION("CONCATENATE(GOOGLETRANSLATE(C126, ""en"", ""ko""))"),"MSI GF65 게이밍 노트북, 15.6인치 1920 x 1080 120Hz IPS, Intel-4 Core i5-9300H, NVIDIA GeForce RTX 2060 6GB, 48GB DDR4, 2TB SSD, Windows 10 Pro, 백라이트 KB, Wi-Fi 5, Bluetooth 5, 웹캠, 블랙")</f>
        <v>MSI GF65 게이밍 노트북, 15.6인치 1920 x 1080 120Hz IPS, Intel-4 Core i5-9300H, NVIDIA GeForce RTX 2060 6GB, 48GB DDR4, 2TB SSD, Windows 10 Pro, 백라이트 KB, Wi-Fi 5, Bluetooth 5, 웹캠, 블랙</v>
      </c>
      <c r="F126" s="1" t="str">
        <f>IFERROR(__xludf.DUMMYFUNCTION("CONCATENATE(GOOGLETRANSLATE(C126, ""en"", ""ja""))"),"MSI GF65 ゲーミング ノートパソコン、15.6 インチ 1920 x 1080 120Hz IPS、Intel-4 Core i5-9300H、NVIDIA GeForce RTX 2060 6GB、48GB DDR4、2TB SSD、Windows 10 Pro、バックライト付き KB、Wi-Fi 5、Bluetooth 5、ウェブカメラ、ブラック")</f>
        <v>MSI GF65 ゲーミング ノートパソコン、15.6 インチ 1920 x 1080 120Hz IPS、Intel-4 Core i5-9300H、NVIDIA GeForce RTX 2060 6GB、48GB DDR4、2TB SSD、Windows 10 Pro、バックライト付き KB、Wi-Fi 5、Bluetooth 5、ウェブカメラ、ブラック</v>
      </c>
    </row>
    <row r="127" ht="15.75" customHeight="1">
      <c r="A127" s="1">
        <v>7973.0</v>
      </c>
      <c r="B127" s="1" t="s">
        <v>6</v>
      </c>
      <c r="C127" s="1" t="s">
        <v>132</v>
      </c>
      <c r="D127" s="1" t="str">
        <f>IFERROR(__xludf.DUMMYFUNCTION("CONCATENATE(GOOGLETRANSLATE(C127, ""en"", ""zh-cn""))"),"微软 Surface Pro 6 英特尔 i7 8650U 1.90GHz 16GB RAM 512GB SSD 12.3"" Win 11")</f>
        <v>微软 Surface Pro 6 英特尔 i7 8650U 1.90GHz 16GB RAM 512GB SSD 12.3" Win 11</v>
      </c>
      <c r="E127" s="1" t="str">
        <f>IFERROR(__xludf.DUMMYFUNCTION("CONCATENATE(GOOGLETRANSLATE(C127, ""en"", ""ko""))"),"마이크로소프트 서피스 프로 6 인텔 i7 8650U 1.90GHz 16GB RAM 512GB SSD 12.3인치 윈도우 11")</f>
        <v>마이크로소프트 서피스 프로 6 인텔 i7 8650U 1.90GHz 16GB RAM 512GB SSD 12.3인치 윈도우 11</v>
      </c>
      <c r="F127" s="1" t="str">
        <f>IFERROR(__xludf.DUMMYFUNCTION("CONCATENATE(GOOGLETRANSLATE(C127, ""en"", ""ja""))"),"Microsoft Surface Pro 6 Intel i7 8650U 1.90GHz 16GB RAM 512GB SSD 12.3インチ Win 11")</f>
        <v>Microsoft Surface Pro 6 Intel i7 8650U 1.90GHz 16GB RAM 512GB SSD 12.3インチ Win 11</v>
      </c>
    </row>
    <row r="128" ht="15.75" customHeight="1">
      <c r="A128" s="1">
        <v>7976.0</v>
      </c>
      <c r="B128" s="1" t="s">
        <v>6</v>
      </c>
      <c r="C128" s="1" t="s">
        <v>133</v>
      </c>
      <c r="D128" s="1" t="str">
        <f>IFERROR(__xludf.DUMMYFUNCTION("CONCATENATE(GOOGLETRANSLATE(C128, ""en"", ""zh-cn""))"),"微软 13.8 英寸 Surface 笔记本电脑，第 7 版 Snapdragon X Plus，256 GB SSD，Pla")</f>
        <v>微软 13.8 英寸 Surface 笔记本电脑，第 7 版 Snapdragon X Plus，256 GB SSD，Pla</v>
      </c>
      <c r="E128" s="1" t="str">
        <f>IFERROR(__xludf.DUMMYFUNCTION("CONCATENATE(GOOGLETRANSLATE(C128, ""en"", ""ko""))"),"MICROSOFT 13.8인치 Surface 노트북, 7세대 Ed Snapdragon X Plus, 256GB SSD, Pla")</f>
        <v>MICROSOFT 13.8인치 Surface 노트북, 7세대 Ed Snapdragon X Plus, 256GB SSD, Pla</v>
      </c>
      <c r="F128" s="1" t="str">
        <f>IFERROR(__xludf.DUMMYFUNCTION("CONCATENATE(GOOGLETRANSLATE(C128, ""en"", ""ja""))"),"MICROSOFT 13.8 インチ Surface Laptop、第 7 版 Snapdragon X Plus、256 GB SSD、Pla")</f>
        <v>MICROSOFT 13.8 インチ Surface Laptop、第 7 版 Snapdragon X Plus、256 GB SSD、Pla</v>
      </c>
    </row>
    <row r="129" ht="15.75" customHeight="1">
      <c r="A129" s="1">
        <v>7978.0</v>
      </c>
      <c r="B129" s="1" t="s">
        <v>6</v>
      </c>
      <c r="C129" s="1" t="s">
        <v>134</v>
      </c>
      <c r="D129" s="1" t="str">
        <f>IFERROR(__xludf.DUMMYFUNCTION("CONCATENATE(GOOGLETRANSLATE(C129, ""en"", ""zh-cn""))"),"微软 Surface 笔记本电脑 5 13.5 英寸 i7-1265U 32GB RAM 512GB SSD 黑色 W5S-00001")</f>
        <v>微软 Surface 笔记本电脑 5 13.5 英寸 i7-1265U 32GB RAM 512GB SSD 黑色 W5S-00001</v>
      </c>
      <c r="E129" s="1" t="str">
        <f>IFERROR(__xludf.DUMMYFUNCTION("CONCATENATE(GOOGLETRANSLATE(C129, ""en"", ""ko""))"),"마이크로소프트 서피스 노트북 5 13.5인치 i7-1265U 32GB RAM 512GB SSD 블랙 W5S-00001")</f>
        <v>마이크로소프트 서피스 노트북 5 13.5인치 i7-1265U 32GB RAM 512GB SSD 블랙 W5S-00001</v>
      </c>
      <c r="F129" s="1" t="str">
        <f>IFERROR(__xludf.DUMMYFUNCTION("CONCATENATE(GOOGLETRANSLATE(C129, ""en"", ""ja""))"),"マイクロソフト Surface Laptop 5 13.5"" i7-1265U 32GB RAM 512GB SSD ブラック W5S-00001")</f>
        <v>マイクロソフト Surface Laptop 5 13.5" i7-1265U 32GB RAM 512GB SSD ブラック W5S-00001</v>
      </c>
    </row>
    <row r="130" ht="15.75" customHeight="1">
      <c r="A130" s="1">
        <v>7987.0</v>
      </c>
      <c r="B130" s="1" t="s">
        <v>6</v>
      </c>
      <c r="C130" s="1" t="s">
        <v>135</v>
      </c>
      <c r="D130" s="1" t="str">
        <f>IFERROR(__xludf.DUMMYFUNCTION("CONCATENATE(GOOGLETRANSLATE(C130, ""en"", ""zh-cn""))"),"微软 Surface 笔记本电脑 5 15 英寸英特尔酷睿 i7-1265U 16GB DDR5 256GB 固态硬盘")</f>
        <v>微软 Surface 笔记本电脑 5 15 英寸英特尔酷睿 i7-1265U 16GB DDR5 256GB 固态硬盘</v>
      </c>
      <c r="E130" s="1" t="str">
        <f>IFERROR(__xludf.DUMMYFUNCTION("CONCATENATE(GOOGLETRANSLATE(C130, ""en"", ""ko""))"),"마이크로소프트 서피스 노트북 5 15인치 인텔 코어 i7-1265U 16GB DDR5 256GB SSD")</f>
        <v>마이크로소프트 서피스 노트북 5 15인치 인텔 코어 i7-1265U 16GB DDR5 256GB SSD</v>
      </c>
      <c r="F130" s="1" t="str">
        <f>IFERROR(__xludf.DUMMYFUNCTION("CONCATENATE(GOOGLETRANSLATE(C130, ""en"", ""ja""))"),"Microsoft Surface Laptop 5 15 インチ Intel Core i7-1265U 16GB DDR5 256GB SSD")</f>
        <v>Microsoft Surface Laptop 5 15 インチ Intel Core i7-1265U 16GB DDR5 256GB SSD</v>
      </c>
    </row>
    <row r="131" ht="15.75" customHeight="1">
      <c r="A131" s="1">
        <v>7996.0</v>
      </c>
      <c r="B131" s="1" t="s">
        <v>6</v>
      </c>
      <c r="C131" s="1" t="s">
        <v>136</v>
      </c>
      <c r="D131" s="1" t="str">
        <f>IFERROR(__xludf.DUMMYFUNCTION("CONCATENATE(GOOGLETRANSLATE(C131, ""en"", ""zh-cn""))"),"Microsoft Surface Book Intel i5 8GB RAM - 128GB SSD 键盘 Win11 - 阅读说明。")</f>
        <v>Microsoft Surface Book Intel i5 8GB RAM - 128GB SSD 键盘 Win11 - 阅读说明。</v>
      </c>
      <c r="E131" s="1" t="str">
        <f>IFERROR(__xludf.DUMMYFUNCTION("CONCATENATE(GOOGLETRANSLATE(C131, ""en"", ""ko""))"),"마이크로소프트 서피스북 인텔 i5 8GB RAM - 128GB SSD 키보드 Win11 - 설명을 읽어보세요.")</f>
        <v>마이크로소프트 서피스북 인텔 i5 8GB RAM - 128GB SSD 키보드 Win11 - 설명을 읽어보세요.</v>
      </c>
      <c r="F131" s="1" t="str">
        <f>IFERROR(__xludf.DUMMYFUNCTION("CONCATENATE(GOOGLETRANSLATE(C131, ""en"", ""ja""))"),"Microsoft Surface Book Intel i5 8GB RAM - 128GB SSD キーボード Win11 - 説明を読む")</f>
        <v>Microsoft Surface Book Intel i5 8GB RAM - 128GB SSD キーボード Win11 - 説明を読む</v>
      </c>
    </row>
    <row r="132" ht="15.75" customHeight="1">
      <c r="A132" s="1">
        <v>7998.0</v>
      </c>
      <c r="B132" s="1" t="s">
        <v>6</v>
      </c>
      <c r="C132" s="1" t="s">
        <v>137</v>
      </c>
      <c r="D132" s="1" t="str">
        <f>IFERROR(__xludf.DUMMYFUNCTION("CONCATENATE(GOOGLETRANSLATE(C132, ""en"", ""zh-cn""))"),"微软 Surface Book 2 i7 8650U 2.11GHz 8GB 256GB GeForce GTX 1050 13.5 英寸 2 合 1")</f>
        <v>微软 Surface Book 2 i7 8650U 2.11GHz 8GB 256GB GeForce GTX 1050 13.5 英寸 2 合 1</v>
      </c>
      <c r="E132" s="1" t="str">
        <f>IFERROR(__xludf.DUMMYFUNCTION("CONCATENATE(GOOGLETRANSLATE(C132, ""en"", ""ko""))"),"마이크로소프트 서피스북 2 i7 8650U 2.11GHz 8GB 256GB 지포스 GTX 1050 13.5인치 2in1")</f>
        <v>마이크로소프트 서피스북 2 i7 8650U 2.11GHz 8GB 256GB 지포스 GTX 1050 13.5인치 2in1</v>
      </c>
      <c r="F132" s="1" t="str">
        <f>IFERROR(__xludf.DUMMYFUNCTION("CONCATENATE(GOOGLETRANSLATE(C132, ""en"", ""ja""))"),"Microsoft Surface Book 2 i7 8650U 2.11GHz 8GB 256GB GeForce GTX 1050 13.5インチ 2in1")</f>
        <v>Microsoft Surface Book 2 i7 8650U 2.11GHz 8GB 256GB GeForce GTX 1050 13.5インチ 2in1</v>
      </c>
    </row>
    <row r="133" ht="15.75" customHeight="1">
      <c r="A133" s="1">
        <v>8020.0</v>
      </c>
      <c r="B133" s="1" t="s">
        <v>6</v>
      </c>
      <c r="C133" s="1" t="s">
        <v>138</v>
      </c>
      <c r="D133" s="1" t="str">
        <f>IFERROR(__xludf.DUMMYFUNCTION("CONCATENATE(GOOGLETRANSLATE(C133, ""en"", ""zh-cn""))"),"联想旗舰 Chromebook，14 英寸全高清触摸屏超薄笔记本电脑，8 核 Med​​iaTek Kompanio 520 处理器，4GB RAM，64GB eMMC，WiFi 6，Chrome 操作系统，深渊蓝")</f>
        <v>联想旗舰 Chromebook，14 英寸全高清触摸屏超薄笔记本电脑，8 核 Med​​iaTek Kompanio 520 处理器，4GB RAM，64GB eMMC，WiFi 6，Chrome 操作系统，深渊蓝</v>
      </c>
      <c r="E133" s="1" t="str">
        <f>IFERROR(__xludf.DUMMYFUNCTION("CONCATENATE(GOOGLETRANSLATE(C133, ""en"", ""ko""))"),"Lenovo 플래그십 크롬북, 14인치 FHD 터치스크린 슬림하고 얇은 노트북 컴퓨터, 8코어 MediaTek Kompanio 520 프로세서, 4GB RAM, 64GB eMMC, WiFi 6, Chrome OS, Abyss Blue")</f>
        <v>Lenovo 플래그십 크롬북, 14인치 FHD 터치스크린 슬림하고 얇은 노트북 컴퓨터, 8코어 MediaTek Kompanio 520 프로세서, 4GB RAM, 64GB eMMC, WiFi 6, Chrome OS, Abyss Blue</v>
      </c>
      <c r="F133" s="1" t="str">
        <f>IFERROR(__xludf.DUMMYFUNCTION("CONCATENATE(GOOGLETRANSLATE(C133, ""en"", ""ja""))"),"Lenovo フラッグシップ Chromebook、14 インチ FHD タッチスクリーン スリム薄型軽量ラップトップ コンピューター、8 コア MediaTek Kompanio 520 プロセッサー、4GB RAM、64GB eMMC、WiFi 6、Chrome OS、アビス ブルー")</f>
        <v>Lenovo フラッグシップ Chromebook、14 インチ FHD タッチスクリーン スリム薄型軽量ラップトップ コンピューター、8 コア MediaTek Kompanio 520 プロセッサー、4GB RAM、64GB eMMC、WiFi 6、Chrome OS、アビス ブルー</v>
      </c>
    </row>
    <row r="134" ht="15.75" customHeight="1">
      <c r="A134" s="1">
        <v>8031.0</v>
      </c>
      <c r="B134" s="1" t="s">
        <v>6</v>
      </c>
      <c r="C134" s="1" t="s">
        <v>139</v>
      </c>
      <c r="D134" s="1" t="str">
        <f>IFERROR(__xludf.DUMMYFUNCTION("CONCATENATE(GOOGLETRANSLATE(C134, ""en"", ""zh-cn""))"),"戴尔 Latitude 3000 3520 15.6 英寸笔记本电脑 - 高清 - 1399 x 768 - Intel Core i3 第 11 代 i3-1115G4 双核（2 核）3 GHz - 8 GB 总 RAM - 256 GB SSD")</f>
        <v>戴尔 Latitude 3000 3520 15.6 英寸笔记本电脑 - 高清 - 1399 x 768 - Intel Core i3 第 11 代 i3-1115G4 双核（2 核）3 GHz - 8 GB 总 RAM - 256 GB SSD</v>
      </c>
      <c r="E134" s="1" t="str">
        <f>IFERROR(__xludf.DUMMYFUNCTION("CONCATENATE(GOOGLETRANSLATE(C134, ""en"", ""ko""))"),"Dell Latitude 3000 3520 15.6인치 노트북 - HD - 1399 x 768 - Intel Core i3 11세대 i3-1115G4 듀얼 코어(2코어) 3 GHz - 8 GB 총 RAM - 256 GB SSD")</f>
        <v>Dell Latitude 3000 3520 15.6인치 노트북 - HD - 1399 x 768 - Intel Core i3 11세대 i3-1115G4 듀얼 코어(2코어) 3 GHz - 8 GB 총 RAM - 256 GB SSD</v>
      </c>
      <c r="F134" s="1" t="str">
        <f>IFERROR(__xludf.DUMMYFUNCTION("CONCATENATE(GOOGLETRANSLATE(C134, ""en"", ""ja""))"),"Dell Latitude 3000 3520 15.6 インチ ノートブック - HD - 1399 x 768 - Intel Core i3 第 11 世代 i3-1115G4 デュアルコア (2 コア) 3 GHz - 8 GB 合計 RAM - 256 GB SSD")</f>
        <v>Dell Latitude 3000 3520 15.6 インチ ノートブック - HD - 1399 x 768 - Intel Core i3 第 11 世代 i3-1115G4 デュアルコア (2 コア) 3 GHz - 8 GB 合計 RAM - 256 GB SSD</v>
      </c>
    </row>
    <row r="135" ht="15.75" customHeight="1">
      <c r="A135" s="1">
        <v>8032.0</v>
      </c>
      <c r="B135" s="1" t="s">
        <v>6</v>
      </c>
      <c r="C135" s="1" t="s">
        <v>140</v>
      </c>
      <c r="D135" s="1" t="str">
        <f>IFERROR(__xludf.DUMMYFUNCTION("CONCATENATE(GOOGLETRANSLATE(C135, ""en"", ""zh-cn""))"),"戴尔 Vostro 3520 商务笔记本电脑，英特尔酷睿 i3-1215U 处理器，32GB RAM，1TB SSD，15.6 英寸 FHD IPS 显示屏，RJ-45，SD 读卡器，网络摄像头，HDMI，Wi-Fi，Windows 11 Pro，带 WOWPC 捆绑包")</f>
        <v>戴尔 Vostro 3520 商务笔记本电脑，英特尔酷睿 i3-1215U 处理器，32GB RAM，1TB SSD，15.6 英寸 FHD IPS 显示屏，RJ-45，SD 读卡器，网络摄像头，HDMI，Wi-Fi，Windows 11 Pro，带 WOWPC 捆绑包</v>
      </c>
      <c r="E135" s="1" t="str">
        <f>IFERROR(__xludf.DUMMYFUNCTION("CONCATENATE(GOOGLETRANSLATE(C135, ""en"", ""ko""))"),"Dell Vostro 3520 비즈니스 노트북, Intel Core i3-1215U 프로세서, 32GB RAM, 1TB SSD, 15.6인치 FHD IPS 디스플레이, RJ-45, SD 카드 리더기, 웹캠, HDMI, Wi-Fi, Windows 11 Pro, WOWPC 번들 포함")</f>
        <v>Dell Vostro 3520 비즈니스 노트북, Intel Core i3-1215U 프로세서, 32GB RAM, 1TB SSD, 15.6인치 FHD IPS 디스플레이, RJ-45, SD 카드 리더기, 웹캠, HDMI, Wi-Fi, Windows 11 Pro, WOWPC 번들 포함</v>
      </c>
      <c r="F135" s="1" t="str">
        <f>IFERROR(__xludf.DUMMYFUNCTION("CONCATENATE(GOOGLETRANSLATE(C135, ""en"", ""ja""))"),"Dell Vostro 3520 ビジネス ノートパソコン、Intel Core i3-1215U プロセッサー、32GB RAM、1TB SSD、15.6 インチ FHD IPS ディスプレイ、RJ-45、SD カード リーダー、ウェブカメラ、HDMI、Wi-Fi、Windows 11 Pro、WOWPC バンドル付き")</f>
        <v>Dell Vostro 3520 ビジネス ノートパソコン、Intel Core i3-1215U プロセッサー、32GB RAM、1TB SSD、15.6 インチ FHD IPS ディスプレイ、RJ-45、SD カード リーダー、ウェブカメラ、HDMI、Wi-Fi、Windows 11 Pro、WOWPC バンドル付き</v>
      </c>
    </row>
    <row r="136" ht="15.75" customHeight="1">
      <c r="A136" s="1">
        <v>8051.0</v>
      </c>
      <c r="B136" s="1" t="s">
        <v>6</v>
      </c>
      <c r="C136" s="1" t="s">
        <v>141</v>
      </c>
      <c r="D136" s="1" t="str">
        <f>IFERROR(__xludf.DUMMYFUNCTION("CONCATENATE(GOOGLETRANSLATE(C136, ""en"", ""zh-cn""))"),"戴尔 G15 游戏笔记本电脑 - Intel i7-13650HX（14 核）、GeForce RTX 4060、15.6 英寸 FHD 120HZ 显示屏、16GB DDR5 RAM、1TB SSD、背光键盘、Wi-Fi 6、Windows 11 Pro 和 Microsoft Office 2024")</f>
        <v>戴尔 G15 游戏笔记本电脑 - Intel i7-13650HX（14 核）、GeForce RTX 4060、15.6 英寸 FHD 120HZ 显示屏、16GB DDR5 RAM、1TB SSD、背光键盘、Wi-Fi 6、Windows 11 Pro 和 Microsoft Office 2024</v>
      </c>
      <c r="E136" s="1" t="str">
        <f>IFERROR(__xludf.DUMMYFUNCTION("CONCATENATE(GOOGLETRANSLATE(C136, ""en"", ""ko""))"),"Dell G15 게이밍 노트북 PC - Intel i7-13650HX(14코어), GeForce RTX 4060, 15.6인치 FHD 120HZ 디스플레이, 16GB DDR5 RAM, 1TB SSD, 백라이트 키보드, Wi-Fi 6, Windows 11 Pro 및 Microsoft Office 2024")</f>
        <v>Dell G15 게이밍 노트북 PC - Intel i7-13650HX(14코어), GeForce RTX 4060, 15.6인치 FHD 120HZ 디스플레이, 16GB DDR5 RAM, 1TB SSD, 백라이트 키보드, Wi-Fi 6, Windows 11 Pro 및 Microsoft Office 2024</v>
      </c>
      <c r="F136" s="1" t="str">
        <f>IFERROR(__xludf.DUMMYFUNCTION("CONCATENATE(GOOGLETRANSLATE(C136, ""en"", ""ja""))"),"Dell G15 ゲーミング ラップトップ PC - Intel i7-13650HX(14 コア)、GeForce RTX 4060、15.6 インチ FHD 120HZ ディスプレイ、16GB DDR5 RAM、1TB SSD、バックライト付きキーボード、Wi-Fi 6、Windows 11 Pro &amp; Microsoft Office 2024")</f>
        <v>Dell G15 ゲーミング ラップトップ PC - Intel i7-13650HX(14 コア)、GeForce RTX 4060、15.6 インチ FHD 120HZ ディスプレイ、16GB DDR5 RAM、1TB SSD、バックライト付きキーボード、Wi-Fi 6、Windows 11 Pro &amp; Microsoft Office 2024</v>
      </c>
    </row>
    <row r="137" ht="15.75" customHeight="1">
      <c r="A137" s="1">
        <v>8068.0</v>
      </c>
      <c r="B137" s="1" t="s">
        <v>6</v>
      </c>
      <c r="C137" s="1" t="s">
        <v>142</v>
      </c>
      <c r="D137" s="1" t="str">
        <f>IFERROR(__xludf.DUMMYFUNCTION("CONCATENATE(GOOGLETRANSLATE(C137, ""en"", ""zh-cn""))"),"ROG Zephyrus S (2019) 超薄游戏笔记本电脑，15.6 英寸 240Hz IPS 型 FHD，GeForce RTX 2080，Intel Core i7-9750H 处理器，16GB DDR4，1TB PCIe Nvme SSD，Aura Sync RGB，Windows 10 Pro，GX531GX-XB76")</f>
        <v>ROG Zephyrus S (2019) 超薄游戏笔记本电脑，15.6 英寸 240Hz IPS 型 FHD，GeForce RTX 2080，Intel Core i7-9750H 处理器，16GB DDR4，1TB PCIe Nvme SSD，Aura Sync RGB，Windows 10 Pro，GX531GX-XB76</v>
      </c>
      <c r="E137" s="1" t="str">
        <f>IFERROR(__xludf.DUMMYFUNCTION("CONCATENATE(GOOGLETRANSLATE(C137, ""en"", ""ko""))"),"ROG Zephyrus S(2019) 울트라 슬림 게이밍 노트북, 15.6인치 240Hz IPS 유형 FHD, GeForce RTX 2080, Intel Core i7-9750H 프로세서, 16GB DDR4, 1TB PCIe Nvme SSD, Aura Sync RGB, Windows 10 Pro, GX531GX-XB76")</f>
        <v>ROG Zephyrus S(2019) 울트라 슬림 게이밍 노트북, 15.6인치 240Hz IPS 유형 FHD, GeForce RTX 2080, Intel Core i7-9750H 프로세서, 16GB DDR4, 1TB PCIe Nvme SSD, Aura Sync RGB, Windows 10 Pro, GX531GX-XB76</v>
      </c>
      <c r="F137" s="1" t="str">
        <f>IFERROR(__xludf.DUMMYFUNCTION("CONCATENATE(GOOGLETRANSLATE(C137, ""en"", ""ja""))"),"ROG Zephyrus S (2019) ウルトラスリム ゲーミング ノートパソコン、15.6 インチ 240Hz IPS タイプ FHD、GeForce RTX 2080、Intel Core i7-9750H プロセッサー、16GB DDR4、1TB PCIe Nvme SSD、Aura Sync RGB、Windows 10 Pro、GX531GX-XB76")</f>
        <v>ROG Zephyrus S (2019) ウルトラスリム ゲーミング ノートパソコン、15.6 インチ 240Hz IPS タイプ FHD、GeForce RTX 2080、Intel Core i7-9750H プロセッサー、16GB DDR4、1TB PCIe Nvme SSD、Aura Sync RGB、Windows 10 Pro、GX531GX-XB76</v>
      </c>
    </row>
    <row r="138" ht="15.75" customHeight="1">
      <c r="A138" s="1">
        <v>8080.0</v>
      </c>
      <c r="B138" s="1" t="s">
        <v>6</v>
      </c>
      <c r="C138" s="1" t="s">
        <v>143</v>
      </c>
      <c r="D138" s="1" t="str">
        <f>IFERROR(__xludf.DUMMYFUNCTION("CONCATENATE(GOOGLETRANSLATE(C138, ""en"", ""zh-cn""))"),"华硕 Vivobook 15 2024 商务笔记本电脑 15.6 英寸 FHD IPS 触摸屏 10 核 Intel 7 150U 16GB DDR4 1TB SSD Intel Iris Xe 显卡 Wi-Fi 6 Win11 Pro 带 ONT 32GB USB")</f>
        <v>华硕 Vivobook 15 2024 商务笔记本电脑 15.6 英寸 FHD IPS 触摸屏 10 核 Intel 7 150U 16GB DDR4 1TB SSD Intel Iris Xe 显卡 Wi-Fi 6 Win11 Pro 带 ONT 32GB USB</v>
      </c>
      <c r="E138" s="1" t="str">
        <f>IFERROR(__xludf.DUMMYFUNCTION("CONCATENATE(GOOGLETRANSLATE(C138, ""en"", ""ko""))"),"ASUS Vivobook 15 2024 비즈니스 노트북 15.6인치 FHD IPS 터치스크린 10코어 Intel 7 150U 16GB DDR4 1TB SSD Intel Iris Xe 그래픽 Wi-Fi 6 Win11 Pro(ONT 32GB USB 포함)")</f>
        <v>ASUS Vivobook 15 2024 비즈니스 노트북 15.6인치 FHD IPS 터치스크린 10코어 Intel 7 150U 16GB DDR4 1TB SSD Intel Iris Xe 그래픽 Wi-Fi 6 Win11 Pro(ONT 32GB USB 포함)</v>
      </c>
      <c r="F138" s="1" t="str">
        <f>IFERROR(__xludf.DUMMYFUNCTION("CONCATENATE(GOOGLETRANSLATE(C138, ""en"", ""ja""))"),"ASUS Vivobook 15 2024 ビジネスノートパソコン 15.6 インチ FHD IPS タッチスクリーン 10 コアインテル 7 150U 16GB DDR4 1TB SSD インテル Iris Xe グラフィックス Wi-Fi 6 Win11 Pro w/ONT 32GB USB")</f>
        <v>ASUS Vivobook 15 2024 ビジネスノートパソコン 15.6 インチ FHD IPS タッチスクリーン 10 コアインテル 7 150U 16GB DDR4 1TB SSD インテル Iris Xe グラフィックス Wi-Fi 6 Win11 Pro w/ONT 32GB USB</v>
      </c>
    </row>
    <row r="139" ht="15.75" customHeight="1">
      <c r="A139" s="1">
        <v>8084.0</v>
      </c>
      <c r="B139" s="1" t="s">
        <v>6</v>
      </c>
      <c r="C139" s="1" t="s">
        <v>144</v>
      </c>
      <c r="D139" s="1" t="str">
        <f>IFERROR(__xludf.DUMMYFUNCTION("CONCATENATE(GOOGLETRANSLATE(C139, ""en"", ""zh-cn""))"),"华硕 Vivobook 15 2024 笔记本电脑，14 核英特尔酷睿 i9-13900H，15.6 英寸 FHD IPS 显示屏，英特尔 Iris Xe 显卡，32GB DDR4 1TB SSD，背光键盘，指纹识别，Wi-Fi 6E，Win11 Pro（更新版）")</f>
        <v>华硕 Vivobook 15 2024 笔记本电脑，14 核英特尔酷睿 i9-13900H，15.6 英寸 FHD IPS 显示屏，英特尔 Iris Xe 显卡，32GB DDR4 1TB SSD，背光键盘，指纹识别，Wi-Fi 6E，Win11 Pro（更新版）</v>
      </c>
      <c r="E139" s="1" t="str">
        <f>IFERROR(__xludf.DUMMYFUNCTION("CONCATENATE(GOOGLETRANSLATE(C139, ""en"", ""ko""))"),"ASUS Vivobook 15 2024 노트북, 14코어 Intel Core i9-13900H, 15.6인치 FHD IPS 디스플레이, Intel Iris Xe 그래픽, 32GB DDR4 1TB SSD, 백라이트 키보드, 지문 인식, Wi-Fi 6E, Win11 Pro(리뉴얼)")</f>
        <v>ASUS Vivobook 15 2024 노트북, 14코어 Intel Core i9-13900H, 15.6인치 FHD IPS 디스플레이, Intel Iris Xe 그래픽, 32GB DDR4 1TB SSD, 백라이트 키보드, 지문 인식, Wi-Fi 6E, Win11 Pro(리뉴얼)</v>
      </c>
      <c r="F139" s="1" t="str">
        <f>IFERROR(__xludf.DUMMYFUNCTION("CONCATENATE(GOOGLETRANSLATE(C139, ""en"", ""ja""))"),"ASUS Vivobook 15 2024 ラップトップ、14 コア Intel Core i9-13900H、15.6 インチ FHD IPS ディスプレイ、Intel Iris Xe グラフィックス、32GB DDR4 1TB SSD、バックライト付きキーボード、指紋認証、Wi-Fi 6E、Win11 Pro (リニューアル)")</f>
        <v>ASUS Vivobook 15 2024 ラップトップ、14 コア Intel Core i9-13900H、15.6 インチ FHD IPS ディスプレイ、Intel Iris Xe グラフィックス、32GB DDR4 1TB SSD、バックライト付きキーボード、指紋認証、Wi-Fi 6E、Win11 Pro (リニューアル)</v>
      </c>
    </row>
    <row r="140" ht="15.75" customHeight="1">
      <c r="A140" s="1">
        <v>8095.0</v>
      </c>
      <c r="B140" s="1" t="s">
        <v>6</v>
      </c>
      <c r="C140" s="1" t="s">
        <v>145</v>
      </c>
      <c r="D140" s="1" t="str">
        <f>IFERROR(__xludf.DUMMYFUNCTION("CONCATENATE(GOOGLETRANSLATE(C140, ""en"", ""zh-cn""))"),"华硕 Vivobook 17 笔记本电脑 2024 17.3 英寸 FHD 1920 x 1080 显示屏 Intel Core i3-1215U，6 核，Intel UHD 显卡，8GB DDR4，512GB SSD，Wi-Fi 6E，蓝牙 5.1，720p 高清摄像头，Windows 11 Home")</f>
        <v>华硕 Vivobook 17 笔记本电脑 2024 17.3 英寸 FHD 1920 x 1080 显示屏 Intel Core i3-1215U，6 核，Intel UHD 显卡，8GB DDR4，512GB SSD，Wi-Fi 6E，蓝牙 5.1，720p 高清摄像头，Windows 11 Home</v>
      </c>
      <c r="E140" s="1" t="str">
        <f>IFERROR(__xludf.DUMMYFUNCTION("CONCATENATE(GOOGLETRANSLATE(C140, ""en"", ""ko""))"),"ASUS Vivobook 17 노트북 2024 17.3인치 FHD 1920 x 1080 디스플레이 Intel Core i3-1215U, 6코어, Intel UHD 그래픽, 8GB DDR4, 512GB SSD, Wi-Fi 6E, Bluetooth 5.1, 720p HD 카메라, Windows 11 Home")</f>
        <v>ASUS Vivobook 17 노트북 2024 17.3인치 FHD 1920 x 1080 디스플레이 Intel Core i3-1215U, 6코어, Intel UHD 그래픽, 8GB DDR4, 512GB SSD, Wi-Fi 6E, Bluetooth 5.1, 720p HD 카메라, Windows 11 Home</v>
      </c>
      <c r="F140" s="1" t="str">
        <f>IFERROR(__xludf.DUMMYFUNCTION("CONCATENATE(GOOGLETRANSLATE(C140, ""en"", ""ja""))"),"ASUS Vivobook 17 ラップトップ 2024 17.3 インチ FHD 1920 x 1080 ディスプレイ Intel Core i3-1215U、6 コア、Intel UHD グラフィックス、8GB DDR4、512GB SSD、Wi-Fi 6E、Bluetooth 5.1、720p HD カメラ、Windows 11 Home")</f>
        <v>ASUS Vivobook 17 ラップトップ 2024 17.3 インチ FHD 1920 x 1080 ディスプレイ Intel Core i3-1215U、6 コア、Intel UHD グラフィックス、8GB DDR4、512GB SSD、Wi-Fi 6E、Bluetooth 5.1、720p HD カメラ、Windows 11 Home</v>
      </c>
    </row>
    <row r="141" ht="15.75" customHeight="1">
      <c r="A141" s="1">
        <v>8129.0</v>
      </c>
      <c r="B141" s="1" t="s">
        <v>6</v>
      </c>
      <c r="C141" s="1" t="s">
        <v>146</v>
      </c>
      <c r="D141" s="1" t="str">
        <f>IFERROR(__xludf.DUMMYFUNCTION("CONCATENATE(GOOGLETRANSLATE(C141, ""en"", ""zh-cn""))"),"2023 年 Apple MacBook Pro，配备 Apple M2 Pro 芯片（16 英寸，16GB RAM，1TB SSD 存储）（QWERTY 英文）银色（续订）")</f>
        <v>2023 年 Apple MacBook Pro，配备 Apple M2 Pro 芯片（16 英寸，16GB RAM，1TB SSD 存储）（QWERTY 英文）银色（续订）</v>
      </c>
      <c r="E141" s="1" t="str">
        <f>IFERROR(__xludf.DUMMYFUNCTION("CONCATENATE(GOOGLETRANSLATE(C141, ""en"", ""ko""))"),"Apple M2 Pro 칩 탑재 2023 Apple MacBook Pro (16인치, 16GB RAM, 1TB SSD 스토리지) (QWERTY 영어) 실버 (리뉴얼)")</f>
        <v>Apple M2 Pro 칩 탑재 2023 Apple MacBook Pro (16인치, 16GB RAM, 1TB SSD 스토리지) (QWERTY 영어) 실버 (리뉴얼)</v>
      </c>
      <c r="F141" s="1" t="str">
        <f>IFERROR(__xludf.DUMMYFUNCTION("CONCATENATE(GOOGLETRANSLATE(C141, ""en"", ""ja""))"),"2023 Apple MacBook Pro (Apple M2 Pro チップ搭載) (16 インチ、16GB RAM、1TB SSD ストレージ) (QWERTY 英語) シルバー (リニューアル)")</f>
        <v>2023 Apple MacBook Pro (Apple M2 Pro チップ搭載) (16 インチ、16GB RAM、1TB SSD ストレージ) (QWERTY 英語) シルバー (リニューアル)</v>
      </c>
    </row>
    <row r="142" ht="15.75" customHeight="1">
      <c r="A142" s="1">
        <v>8140.0</v>
      </c>
      <c r="B142" s="1" t="s">
        <v>6</v>
      </c>
      <c r="C142" s="1" t="s">
        <v>147</v>
      </c>
      <c r="D142" s="1" t="str">
        <f>IFERROR(__xludf.DUMMYFUNCTION("CONCATENATE(GOOGLETRANSLATE(C142, ""en"", ""zh-cn""))"),"Apple MacBook Air 2020 13.3 英寸（Apple M1 芯片、8GB RAM、128GB SSD 存储）- 深空灰色（续订）")</f>
        <v>Apple MacBook Air 2020 13.3 英寸（Apple M1 芯片、8GB RAM、128GB SSD 存储）- 深空灰色（续订）</v>
      </c>
      <c r="E142" s="1" t="str">
        <f>IFERROR(__xludf.DUMMYFUNCTION("CONCATENATE(GOOGLETRANSLATE(C142, ""en"", ""ko""))"),"Apple MacBook Air 2020 13.3인치 (Apple M1 칩, 8GB RAM, 128GB SSD 스토리지) - 스페이스 그레이(리뉴얼)")</f>
        <v>Apple MacBook Air 2020 13.3인치 (Apple M1 칩, 8GB RAM, 128GB SSD 스토리지) - 스페이스 그레이(리뉴얼)</v>
      </c>
      <c r="F142" s="1" t="str">
        <f>IFERROR(__xludf.DUMMYFUNCTION("CONCATENATE(GOOGLETRANSLATE(C142, ""en"", ""ja""))"),"Apple MacBook Air 2020 13.3 インチ (Apple M1 チップ、8GB RAM、128GB SSD ストレージ) - スペースグレイ (リニューアル)")</f>
        <v>Apple MacBook Air 2020 13.3 インチ (Apple M1 チップ、8GB RAM、128GB SSD ストレージ) - スペースグレイ (リニューアル)</v>
      </c>
    </row>
    <row r="143" ht="15.75" customHeight="1">
      <c r="A143" s="1">
        <v>7786.0</v>
      </c>
      <c r="B143" s="1" t="s">
        <v>6</v>
      </c>
      <c r="C143" s="1" t="s">
        <v>148</v>
      </c>
      <c r="D143" s="1" t="str">
        <f>IFERROR(__xludf.DUMMYFUNCTION("CONCATENATE(GOOGLETRANSLATE(C143, ""en"", ""zh-cn""))"),"佳能 KP-108IN 彩色墨水和纸张套装 - 共 216 页和 6 个墨盒")</f>
        <v>佳能 KP-108IN 彩色墨水和纸张套装 - 共 216 页和 6 个墨盒</v>
      </c>
      <c r="E143" s="1" t="str">
        <f>IFERROR(__xludf.DUMMYFUNCTION("CONCATENATE(GOOGLETRANSLATE(C143, ""en"", ""ko""))"),"Canon KP-108IN 컬러 잉크 및 용지 세트 - 총 216매 및 잉크 카트리지 6개")</f>
        <v>Canon KP-108IN 컬러 잉크 및 용지 세트 - 총 216매 및 잉크 카트리지 6개</v>
      </c>
      <c r="F143" s="1" t="str">
        <f>IFERROR(__xludf.DUMMYFUNCTION("CONCATENATE(GOOGLETRANSLATE(C143, ""en"", ""ja""))"),"Canon KP-108IN カラーインクと用紙のセット - 合計 216 枚とインクカートリッジ 6 本")</f>
        <v>Canon KP-108IN カラーインクと用紙のセット - 合計 216 枚とインクカートリッジ 6 本</v>
      </c>
    </row>
    <row r="144" ht="15.75" customHeight="1">
      <c r="A144" s="1">
        <v>7823.0</v>
      </c>
      <c r="B144" s="1" t="s">
        <v>6</v>
      </c>
      <c r="C144" s="1" t="s">
        <v>149</v>
      </c>
      <c r="D144" s="1" t="str">
        <f>IFERROR(__xludf.DUMMYFUNCTION("CONCATENATE(GOOGLETRANSLATE(C144, ""en"", ""zh-cn""))"),"HP 原装 902 青色、品红色、黄色/902XL 黑色墨盒（4 件装）|工作原理 OfficeJet 6950、6960 系列 OfficeJet Pro 6960、6970 系列 |符合 Instant Ink 条件 | T0A39AN")</f>
        <v>HP 原装 902 青色、品红色、黄色/902XL 黑色墨盒（4 件装）|工作原理 OfficeJet 6950、6960 系列 OfficeJet Pro 6960、6970 系列 |符合 Instant Ink 条件 | T0A39AN</v>
      </c>
      <c r="E144" s="1" t="str">
        <f>IFERROR(__xludf.DUMMYFUNCTION("CONCATENATE(GOOGLETRANSLATE(C144, ""en"", ""ko""))"),"HP 정품 902 시안, 마젠타, 노랑/902XL 검정 잉크 카트리지(4팩) | 작동 OfficeJet 6950, 6960 시리즈 OfficeJet Pro 6960, 6970 시리즈 | 인스턴트 잉크 사용 가능 | T0A39AN")</f>
        <v>HP 정품 902 시안, 마젠타, 노랑/902XL 검정 잉크 카트리지(4팩) | 작동 OfficeJet 6950, 6960 시리즈 OfficeJet Pro 6960, 6970 시리즈 | 인스턴트 잉크 사용 가능 | T0A39AN</v>
      </c>
      <c r="F144" s="1" t="str">
        <f>IFERROR(__xludf.DUMMYFUNCTION("CONCATENATE(GOOGLETRANSLATE(C144, ""en"", ""ja""))"),"HP オリジナル 902 シアン、マゼンタ、イエロー / 902XL ブラック インク カートリッジ (4 パック) |動作 OfficeJet 6950、6960 シリーズ OfficeJet Pro 6960、6970 シリーズ | Instant Ink の対象 | T0A39AN")</f>
        <v>HP オリジナル 902 シアン、マゼンタ、イエロー / 902XL ブラック インク カートリッジ (4 パック) |動作 OfficeJet 6950、6960 シリーズ OfficeJet Pro 6960、6970 シリーズ | Instant Ink の対象 | T0A39AN</v>
      </c>
    </row>
    <row r="145" ht="15.75" customHeight="1">
      <c r="A145" s="1">
        <v>7865.0</v>
      </c>
      <c r="B145" s="1" t="s">
        <v>6</v>
      </c>
      <c r="C145" s="1" t="s">
        <v>150</v>
      </c>
      <c r="D145" s="1" t="str">
        <f>IFERROR(__xludf.DUMMYFUNCTION("CONCATENATE(GOOGLETRANSLATE(C145, ""en"", ""zh-cn""))"),"Brother P-touch CUBE Plus 蓝牙标签机 (PT-P710BT)，白色")</f>
        <v>Brother P-touch CUBE Plus 蓝牙标签机 (PT-P710BT)，白色</v>
      </c>
      <c r="E145" s="1" t="str">
        <f>IFERROR(__xludf.DUMMYFUNCTION("CONCATENATE(GOOGLETRANSLATE(C145, ""en"", ""ko""))"),"브라더 P-touch CUBE Plus Bluetooth 라벨 메이커(PT-P710BT), 화이트")</f>
        <v>브라더 P-touch CUBE Plus Bluetooth 라벨 메이커(PT-P710BT), 화이트</v>
      </c>
      <c r="F145" s="1" t="str">
        <f>IFERROR(__xludf.DUMMYFUNCTION("CONCATENATE(GOOGLETRANSLATE(C145, ""en"", ""ja""))"),"ブラザー P-touch CUBE Plus Bluetooth ラベルメーカー (PT-P710BT) ホワイト")</f>
        <v>ブラザー P-touch CUBE Plus Bluetooth ラベルメーカー (PT-P710BT) ホワイト</v>
      </c>
    </row>
    <row r="146" ht="15.75" customHeight="1">
      <c r="A146" s="1">
        <v>7878.0</v>
      </c>
      <c r="B146" s="1" t="s">
        <v>6</v>
      </c>
      <c r="C146" s="1" t="s">
        <v>151</v>
      </c>
      <c r="D146" s="1" t="str">
        <f>IFERROR(__xludf.DUMMYFUNCTION("CONCATENATE(GOOGLETRANSLATE(C146, ""en"", ""zh-cn""))"),"Scotch 热层压袋，50 个，透明，3 百万个，层压自制装饰品、圣诞横幅和礼品标签，理想的节日用品，适合信纸尺寸（8.9 英寸 × 11.4 英寸）纸张")</f>
        <v>Scotch 热层压袋，50 个，透明，3 百万个，层压自制装饰品、圣诞横幅和礼品标签，理想的节日用品，适合信纸尺寸（8.9 英寸 × 11.4 英寸）纸张</v>
      </c>
      <c r="E146" s="1" t="str">
        <f>IFERROR(__xludf.DUMMYFUNCTION("CONCATENATE(GOOGLETRANSLATE(C146, ""en"", ""ko""))"),"스카치 열 라미네이팅 파우치, 50개, 투명, 300만개, 라미네이트 홈메이드 장식품, 크리스마스 배너 및 선물 태그, 이상적인 명절 용품, Letter 크기(8.9인치 × 11.4인치) 용지에 적합")</f>
        <v>스카치 열 라미네이팅 파우치, 50개, 투명, 300만개, 라미네이트 홈메이드 장식품, 크리스마스 배너 및 선물 태그, 이상적인 명절 용품, Letter 크기(8.9인치 × 11.4인치) 용지에 적합</v>
      </c>
      <c r="F146" s="1" t="str">
        <f>IFERROR(__xludf.DUMMYFUNCTION("CONCATENATE(GOOGLETRANSLATE(C146, ""en"", ""ja""))"),"Scotch サーマルラミネートポーチ、50枚、クリア、3ミル、ラミネート自家製オーナメント、クリスマスバナーとギフトタグ、理想的なホリデー用品、レターサイズ(8.9インチ×11.4インチ)の紙に適合")</f>
        <v>Scotch サーマルラミネートポーチ、50枚、クリア、3ミル、ラミネート自家製オーナメント、クリスマスバナーとギフトタグ、理想的なホリデー用品、レターサイズ(8.9インチ×11.4インチ)の紙に適合</v>
      </c>
    </row>
    <row r="147" ht="15.75" customHeight="1">
      <c r="A147" s="1">
        <v>7901.0</v>
      </c>
      <c r="B147" s="1" t="s">
        <v>6</v>
      </c>
      <c r="C147" s="1" t="s">
        <v>152</v>
      </c>
      <c r="D147" s="1" t="str">
        <f>IFERROR(__xludf.DUMMYFUNCTION("CONCATENATE(GOOGLETRANSLATE(C147, ""en"", ""zh-cn""))"),"Scotch 品牌 Scotch TL906 热覆膜机，永不卡纸技术，自动防止误送物品，2 滚筒系统，9 英寸（2 件装）")</f>
        <v>Scotch 品牌 Scotch TL906 热覆膜机，永不卡纸技术，自动防止误送物品，2 滚筒系统，9 英寸（2 件装）</v>
      </c>
      <c r="E147" s="1" t="str">
        <f>IFERROR(__xludf.DUMMYFUNCTION("CONCATENATE(GOOGLETRANSLATE(C147, ""en"", ""ko""))"),"스카치 브랜드 스카치 TL906 열 라미네이터, 용지 걸림 방지 기술로 잘못된 품목을 자동으로 방지, 롤러 시스템 2개, 9인치(2개 팩)")</f>
        <v>스카치 브랜드 스카치 TL906 열 라미네이터, 용지 걸림 방지 기술로 잘못된 품목을 자동으로 방지, 롤러 시스템 2개, 9인치(2개 팩)</v>
      </c>
      <c r="F147" s="1" t="str">
        <f>IFERROR(__xludf.DUMMYFUNCTION("CONCATENATE(GOOGLETRANSLATE(C147, ""en"", ""ja""))"),"スコッチブランド スコッチ TL906 サーマルラミネーター ネバージャムテクノロジーにより商品の誤送を自動的に防止 2ローラーシステム 9インチ (2個パック)")</f>
        <v>スコッチブランド スコッチ TL906 サーマルラミネーター ネバージャムテクノロジーにより商品の誤送を自動的に防止 2ローラーシステム 9インチ (2個パック)</v>
      </c>
    </row>
    <row r="148" ht="15.75" customHeight="1">
      <c r="A148" s="1">
        <v>7914.0</v>
      </c>
      <c r="B148" s="1" t="s">
        <v>6</v>
      </c>
      <c r="C148" s="1" t="s">
        <v>153</v>
      </c>
      <c r="D148" s="1" t="str">
        <f>IFERROR(__xludf.DUMMYFUNCTION("CONCATENATE(GOOGLETRANSLATE(C148, ""en"", ""zh-cn""))"),"MSI Raider GE66-15 游戏和娱乐笔记本电脑（Intel i7-12700H 14 核、64GB DDR5 4800MHz RAM、2x8TB PCIe SSD RAID 0 (16TB)、GeForce RTX 3080 Ti、15.6"" Win 11 Pro）带 G2 通用扩展坞")</f>
        <v>MSI Raider GE66-15 游戏和娱乐笔记本电脑（Intel i7-12700H 14 核、64GB DDR5 4800MHz RAM、2x8TB PCIe SSD RAID 0 (16TB)、GeForce RTX 3080 Ti、15.6" Win 11 Pro）带 G2 通用扩展坞</v>
      </c>
      <c r="E148" s="1" t="str">
        <f>IFERROR(__xludf.DUMMYFUNCTION("CONCATENATE(GOOGLETRANSLATE(C148, ""en"", ""ko""))"),"MSI Raider GE66-15 게임 및 엔터테인먼트 노트북(Intel i7-12700H 14코어, 64GB DDR5 4800MHz RAM, 2x8TB PCIe SSD RAID 0(16TB), GeForce RTX 3080 Ti, 15.6인치 Win 11 Pro), G2 범용 도크 포함")</f>
        <v>MSI Raider GE66-15 게임 및 엔터테인먼트 노트북(Intel i7-12700H 14코어, 64GB DDR5 4800MHz RAM, 2x8TB PCIe SSD RAID 0(16TB), GeForce RTX 3080 Ti, 15.6인치 Win 11 Pro), G2 범용 도크 포함</v>
      </c>
      <c r="F148" s="1" t="str">
        <f>IFERROR(__xludf.DUMMYFUNCTION("CONCATENATE(GOOGLETRANSLATE(C148, ""en"", ""ja""))"),"MSI Raider GE66-15 ゲーム &amp; エンターテイメント ノートパソコン (Intel i7-12700H 14 コア、64GB DDR5 4800MHz RAM、2x8TB PCIe SSD RAID 0 (16TB)、GeForce RTX 3080 Ti、15.6 インチ Win 11 Pro) G2 ユニバーサル ドック付き")</f>
        <v>MSI Raider GE66-15 ゲーム &amp; エンターテイメント ノートパソコン (Intel i7-12700H 14 コア、64GB DDR5 4800MHz RAM、2x8TB PCIe SSD RAID 0 (16TB)、GeForce RTX 3080 Ti、15.6 インチ Win 11 Pro) G2 ユニバーサル ドック付き</v>
      </c>
    </row>
    <row r="149" ht="15.75" customHeight="1">
      <c r="A149" s="1">
        <v>7924.0</v>
      </c>
      <c r="B149" s="1" t="s">
        <v>6</v>
      </c>
      <c r="C149" s="1" t="s">
        <v>154</v>
      </c>
      <c r="D149" s="1" t="str">
        <f>IFERROR(__xludf.DUMMYFUNCTION("CONCATENATE(GOOGLETRANSLATE(C149, ""en"", ""zh-cn""))"),"MSI GL75 Leopard 游戏笔记本电脑：17.3 英寸 144Hz 显示屏，英特尔酷睿 i7-10750H，NVIDIA GeForce GTX 1660 Ti，16GB RAM，512GB NVMe SSD，Win10，黑色 (10SDK-651)")</f>
        <v>MSI GL75 Leopard 游戏笔记本电脑：17.3 英寸 144Hz 显示屏，英特尔酷睿 i7-10750H，NVIDIA GeForce GTX 1660 Ti，16GB RAM，512GB NVMe SSD，Win10，黑色 (10SDK-651)</v>
      </c>
      <c r="E149" s="1" t="str">
        <f>IFERROR(__xludf.DUMMYFUNCTION("CONCATENATE(GOOGLETRANSLATE(C149, ""en"", ""ko""))"),"MSI GL75 Leopard 게이밍 노트북: 17.3인치 144Hz 디스플레이, Intel Core i7-10750H, NVIDIA GeForce GTX 1660 Ti, 16GB RAM, 512GB NVMe SSD, Win10, 블랙(10SDK-651)")</f>
        <v>MSI GL75 Leopard 게이밍 노트북: 17.3인치 144Hz 디스플레이, Intel Core i7-10750H, NVIDIA GeForce GTX 1660 Ti, 16GB RAM, 512GB NVMe SSD, Win10, 블랙(10SDK-651)</v>
      </c>
      <c r="F149" s="1" t="str">
        <f>IFERROR(__xludf.DUMMYFUNCTION("CONCATENATE(GOOGLETRANSLATE(C149, ""en"", ""ja""))"),"MSI GL75 Leopard ゲーミング ノートパソコン: 17.3 インチ 144Hz ディスプレイ、Intel Core i7-10750H、NVIDIA GeForce GTX 1660 Ti、16GB RAM、512GB NVMe SSD、Win10、ブラック (10SDK-651)")</f>
        <v>MSI GL75 Leopard ゲーミング ノートパソコン: 17.3 インチ 144Hz ディスプレイ、Intel Core i7-10750H、NVIDIA GeForce GTX 1660 Ti、16GB RAM、512GB NVMe SSD、Win10、ブラック (10SDK-651)</v>
      </c>
    </row>
    <row r="150" ht="15.75" customHeight="1">
      <c r="A150" s="1">
        <v>7933.0</v>
      </c>
      <c r="B150" s="1" t="s">
        <v>6</v>
      </c>
      <c r="C150" s="1" t="s">
        <v>155</v>
      </c>
      <c r="D150" s="1" t="str">
        <f>IFERROR(__xludf.DUMMYFUNCTION("CONCATENATE(GOOGLETRANSLATE(C150, ""en"", ""zh-cn""))"),"MSI 2024 Summit E14 笔记本电脑 14"" 2880 x 1800 第 13 代 Intel Core i7-1360P Intel Iris Xe 显卡 32GB LPDDR5 1TB SSD Windows 10 Pro 背光 KB 1080p FHD + 红外摄像头 触摸屏 FP 手写笔")</f>
        <v>MSI 2024 Summit E14 笔记本电脑 14" 2880 x 1800 第 13 代 Intel Core i7-1360P Intel Iris Xe 显卡 32GB LPDDR5 1TB SSD Windows 10 Pro 背光 KB 1080p FHD + 红外摄像头 触摸屏 FP 手写笔</v>
      </c>
      <c r="E150" s="1" t="str">
        <f>IFERROR(__xludf.DUMMYFUNCTION("CONCATENATE(GOOGLETRANSLATE(C150, ""en"", ""ko""))"),"MSI 2024 Summit E14 노트북 14인치 2880 x 1800 13세대 Intel Core i7-1360P Intel Iris Xe 그래픽 32GB LPDDR5 1TB SSD Windows 10 Pro 백라이트 KB 1080p FHD + IR 카메라 터치스크린 FP 스타일러스")</f>
        <v>MSI 2024 Summit E14 노트북 14인치 2880 x 1800 13세대 Intel Core i7-1360P Intel Iris Xe 그래픽 32GB LPDDR5 1TB SSD Windows 10 Pro 백라이트 KB 1080p FHD + IR 카메라 터치스크린 FP 스타일러스</v>
      </c>
      <c r="F150" s="1" t="str">
        <f>IFERROR(__xludf.DUMMYFUNCTION("CONCATENATE(GOOGLETRANSLATE(C150, ""en"", ""ja""))"),"MSI 2024 Summit E14 ラップトップ 14"" 2880 x 1800 第 13 世代 Intel Core i7-1360P Intel Iris Xe グラフィックス 32GB LPDDR5 1TB SSD Windows 10 Pro バックライト付き KB 1080p FHD + IR カメラ タッチスクリーン FP スタイラス")</f>
        <v>MSI 2024 Summit E14 ラップトップ 14" 2880 x 1800 第 13 世代 Intel Core i7-1360P Intel Iris Xe グラフィックス 32GB LPDDR5 1TB SSD Windows 10 Pro バックライト付き KB 1080p FHD + IR カメラ タッチスクリーン FP スタイラス</v>
      </c>
    </row>
    <row r="151" ht="15.75" customHeight="1">
      <c r="A151" s="1">
        <v>7946.0</v>
      </c>
      <c r="B151" s="1" t="s">
        <v>6</v>
      </c>
      <c r="C151" s="1" t="s">
        <v>156</v>
      </c>
      <c r="D151" s="1" t="str">
        <f>IFERROR(__xludf.DUMMYFUNCTION("CONCATENATE(GOOGLETRANSLATE(C151, ""en"", ""zh-cn""))"),"微星 2023 游戏笔记本电脑 Raider GE76 12UE |英特尔酷睿 i7-12700H 14 核 | NVIDIA GeForce RTX 3060 6GB | 24GB DDR5 | 24GB DDR5 1TB 固态硬盘 | 17.3"" 1920 x 1080 144 Hz | Win10 主页 - RGB 背光 KB - 钛蓝色")</f>
        <v>微星 2023 游戏笔记本电脑 Raider GE76 12UE |英特尔酷睿 i7-12700H 14 核 | NVIDIA GeForce RTX 3060 6GB | 24GB DDR5 | 24GB DDR5 1TB 固态硬盘 | 17.3" 1920 x 1080 144 Hz | Win10 主页 - RGB 背光 KB - 钛蓝色</v>
      </c>
      <c r="E151" s="1" t="str">
        <f>IFERROR(__xludf.DUMMYFUNCTION("CONCATENATE(GOOGLETRANSLATE(C151, ""en"", ""ko""))"),"MSI 2023 게이밍 노트북 레이더 GE76 12UE | 인텔 코어 i7-12700H 14코어 | 엔비디아 지포스 RTX 3060 6GB | 24GB DDR5 | 1TB SSD | 17.3인치 1920 x 1080 144Hz | Win10 Home - RGB 백라이트 KB - 티타늄 블루")</f>
        <v>MSI 2023 게이밍 노트북 레이더 GE76 12UE | 인텔 코어 i7-12700H 14코어 | 엔비디아 지포스 RTX 3060 6GB | 24GB DDR5 | 1TB SSD | 17.3인치 1920 x 1080 144Hz | Win10 Home - RGB 백라이트 KB - 티타늄 블루</v>
      </c>
      <c r="F151" s="1" t="str">
        <f>IFERROR(__xludf.DUMMYFUNCTION("CONCATENATE(GOOGLETRANSLATE(C151, ""en"", ""ja""))"),"MSI 2023 ゲーミング ラップトップ Raider GE76 12UE |インテル Core i7-12700H 14 コア | NVIDIA GeForce RTX 3060 6GB | 24GB DDR5 | 1TB SSD | 17.3 インチ 1920 x 1080 144 Hz | Win10 Home - RGB バックライト付き KB - チタニウム ブルー")</f>
        <v>MSI 2023 ゲーミング ラップトップ Raider GE76 12UE |インテル Core i7-12700H 14 コア | NVIDIA GeForce RTX 3060 6GB | 24GB DDR5 | 1TB SSD | 17.3 インチ 1920 x 1080 144 Hz | Win10 Home - RGB バックライト付き KB - チタニウム ブルー</v>
      </c>
    </row>
    <row r="152" ht="15.75" customHeight="1">
      <c r="A152" s="1">
        <v>7992.0</v>
      </c>
      <c r="B152" s="1" t="s">
        <v>6</v>
      </c>
      <c r="C152" s="1" t="s">
        <v>157</v>
      </c>
      <c r="D152" s="1" t="str">
        <f>IFERROR(__xludf.DUMMYFUNCTION("CONCATENATE(GOOGLETRANSLATE(C152, ""en"", ""zh-cn""))"),"微软 Surface 笔记本电脑 7 13.8 英寸 X Plus CPU 16GB 512GB 黑色 ZGX-00038")</f>
        <v>微软 Surface 笔记本电脑 7 13.8 英寸 X Plus CPU 16GB 512GB 黑色 ZGX-00038</v>
      </c>
      <c r="E152" s="1" t="str">
        <f>IFERROR(__xludf.DUMMYFUNCTION("CONCATENATE(GOOGLETRANSLATE(C152, ""en"", ""ko""))"),"마이크로소프트 서피스 노트북 7 13.8인치 X 플러스 CPU 16GB 512GB 블랙 ZGX-00038")</f>
        <v>마이크로소프트 서피스 노트북 7 13.8인치 X 플러스 CPU 16GB 512GB 블랙 ZGX-00038</v>
      </c>
      <c r="F152" s="1" t="str">
        <f>IFERROR(__xludf.DUMMYFUNCTION("CONCATENATE(GOOGLETRANSLATE(C152, ""en"", ""ja""))"),"マイクロソフト Surface Laptop 7 13.8"" X Plus CPU 16GB 512GB ブラック ZGX-00038")</f>
        <v>マイクロソフト Surface Laptop 7 13.8" X Plus CPU 16GB 512GB ブラック ZGX-00038</v>
      </c>
    </row>
    <row r="153" ht="15.75" customHeight="1">
      <c r="A153" s="1">
        <v>7993.0</v>
      </c>
      <c r="B153" s="1" t="s">
        <v>6</v>
      </c>
      <c r="C153" s="1" t="s">
        <v>158</v>
      </c>
      <c r="D153" s="1" t="str">
        <f>IFERROR(__xludf.DUMMYFUNCTION("CONCATENATE(GOOGLETRANSLATE(C153, ""en"", ""zh-cn""))"),"Microsoft R1V-00009-SG 13.5 英寸 8GB 512GB Surface Laptop-5 - 认证翻新")</f>
        <v>Microsoft R1V-00009-SG 13.5 英寸 8GB 512GB Surface Laptop-5 - 认证翻新</v>
      </c>
      <c r="E153" s="1" t="str">
        <f>IFERROR(__xludf.DUMMYFUNCTION("CONCATENATE(GOOGLETRANSLATE(C153, ""en"", ""ko""))"),"마이크로소프트 R1V-00009-SG 13.5인치 8GB 512GB 서피스 노트북-5 - 인증 리퍼비쉬")</f>
        <v>마이크로소프트 R1V-00009-SG 13.5인치 8GB 512GB 서피스 노트북-5 - 인증 리퍼비쉬</v>
      </c>
      <c r="F153" s="1" t="str">
        <f>IFERROR(__xludf.DUMMYFUNCTION("CONCATENATE(GOOGLETRANSLATE(C153, ""en"", ""ja""))"),"Microsoft R1V-00009-SG 13.5 インチ 8GB 512GB Surface Laptop-5 - 認定再生品")</f>
        <v>Microsoft R1V-00009-SG 13.5 インチ 8GB 512GB Surface Laptop-5 - 認定再生品</v>
      </c>
    </row>
    <row r="154" ht="15.75" customHeight="1">
      <c r="A154" s="1">
        <v>8010.0</v>
      </c>
      <c r="B154" s="1" t="s">
        <v>6</v>
      </c>
      <c r="C154" s="1" t="s">
        <v>159</v>
      </c>
      <c r="D154" s="1" t="str">
        <f>IFERROR(__xludf.DUMMYFUNCTION("CONCATENATE(GOOGLETRANSLATE(C154, ""en"", ""zh-cn""))"),"微软 Surface 笔记本电脑 2 13.5 英寸 128GB 英特尔酷睿 i5 第 8 代 8GB 触摸屏")</f>
        <v>微软 Surface 笔记本电脑 2 13.5 英寸 128GB 英特尔酷睿 i5 第 8 代 8GB 触摸屏</v>
      </c>
      <c r="E154" s="1" t="str">
        <f>IFERROR(__xludf.DUMMYFUNCTION("CONCATENATE(GOOGLETRANSLATE(C154, ""en"", ""ko""))"),"마이크로소프트 서피스 노트북 2 13.5인치 128GB 인텔 코어 i5 8세대 8GB 터치스크린")</f>
        <v>마이크로소프트 서피스 노트북 2 13.5인치 128GB 인텔 코어 i5 8세대 8GB 터치스크린</v>
      </c>
      <c r="F154" s="1" t="str">
        <f>IFERROR(__xludf.DUMMYFUNCTION("CONCATENATE(GOOGLETRANSLATE(C154, ""en"", ""ja""))"),"Microsoft Surface Laptop 2 13.5 インチ 128GB Intel Core i5 第 8 世代 8GB タッチスクリーン")</f>
        <v>Microsoft Surface Laptop 2 13.5 インチ 128GB Intel Core i5 第 8 世代 8GB タッチスクリーン</v>
      </c>
    </row>
    <row r="155" ht="15.75" customHeight="1">
      <c r="A155" s="1">
        <v>8028.0</v>
      </c>
      <c r="B155" s="1" t="s">
        <v>6</v>
      </c>
      <c r="C155" s="1" t="s">
        <v>160</v>
      </c>
      <c r="D155" s="1" t="str">
        <f>IFERROR(__xludf.DUMMYFUNCTION("CONCATENATE(GOOGLETRANSLATE(C155, ""en"", ""zh-cn""))"),"戴尔 Inspiron 灵越 3535 笔记本电脑 - 15.6 英寸 FHD (1920 x 1080) 显示屏，AMD Ryzen 5 7520U 处理器，8GB DDR4 RAM，512GB SSD，AMD Radeon 显卡，Windows 11 Home，6 个月迁移 - 碳黑")</f>
        <v>戴尔 Inspiron 灵越 3535 笔记本电脑 - 15.6 英寸 FHD (1920 x 1080) 显示屏，AMD Ryzen 5 7520U 处理器，8GB DDR4 RAM，512GB SSD，AMD Radeon 显卡，Windows 11 Home，6 个月迁移 - 碳黑</v>
      </c>
      <c r="E155" s="1" t="str">
        <f>IFERROR(__xludf.DUMMYFUNCTION("CONCATENATE(GOOGLETRANSLATE(C155, ""en"", ""ko""))"),"Dell Inspiron 3535 노트북 - 15.6인치 FHD(1920 x 1080) 디스플레이, AMD Ryzen 5 7520U 프로세서, 8GB DDR4 RAM, 512GB SSD, AMD Radeon 그래픽, Windows 11 Home, 6개월 마이그레이션 - 카본 블랙")</f>
        <v>Dell Inspiron 3535 노트북 - 15.6인치 FHD(1920 x 1080) 디스플레이, AMD Ryzen 5 7520U 프로세서, 8GB DDR4 RAM, 512GB SSD, AMD Radeon 그래픽, Windows 11 Home, 6개월 마이그레이션 - 카본 블랙</v>
      </c>
      <c r="F155" s="1" t="str">
        <f>IFERROR(__xludf.DUMMYFUNCTION("CONCATENATE(GOOGLETRANSLATE(C155, ""en"", ""ja""))"),"Dell Inspiron 3535 ラップトップ - 15.6 インチ FHD (1920 x 1080) ディスプレイ、AMD Ryzen 5 7520U プロセッサー、8GB DDR4 RAM、512GB SSD、AMD Radeon グラフィックス、Windows 11 Home、6 か月移行 - カーボン ブラック")</f>
        <v>Dell Inspiron 3535 ラップトップ - 15.6 インチ FHD (1920 x 1080) ディスプレイ、AMD Ryzen 5 7520U プロセッサー、8GB DDR4 RAM、512GB SSD、AMD Radeon グラフィックス、Windows 11 Home、6 か月移行 - カーボン ブラック</v>
      </c>
    </row>
    <row r="156" ht="15.75" customHeight="1">
      <c r="A156" s="1">
        <v>8043.0</v>
      </c>
      <c r="B156" s="1" t="s">
        <v>6</v>
      </c>
      <c r="C156" s="1" t="s">
        <v>161</v>
      </c>
      <c r="D156" s="1" t="str">
        <f>IFERROR(__xludf.DUMMYFUNCTION("CONCATENATE(GOOGLETRANSLATE(C156, ""en"", ""zh-cn""))"),"戴尔 Alienware m16 R2 2024 游戏笔记本电脑 16 英寸 WQXGA IPS 16 核 Intel Ultra 7 155H 24GB DDR5 1TB SSD NVIDIA GeForce RTX 4070 8GB GDDR6 Thunderbolt 4 Wi-Fi 6E 单键 RGB 背光键盘 Win11 Pro")</f>
        <v>戴尔 Alienware m16 R2 2024 游戏笔记本电脑 16 英寸 WQXGA IPS 16 核 Intel Ultra 7 155H 24GB DDR5 1TB SSD NVIDIA GeForce RTX 4070 8GB GDDR6 Thunderbolt 4 Wi-Fi 6E 单键 RGB 背光键盘 Win11 Pro</v>
      </c>
      <c r="E156" s="1" t="str">
        <f>IFERROR(__xludf.DUMMYFUNCTION("CONCATENATE(GOOGLETRANSLATE(C156, ""en"", ""ko""))"),"Dell Alienware m16 R2 2024 게이밍 노트북 16인치 WQXGA IPS 16코어 Intel Ultra 7 155H 24GB DDR5 1TB SSD NVIDIA GeForce RTX 4070 8GB GDDR6 Thunderbolt 4 Wi-Fi 6E 키별 RGB 백라이트 키보드 Win11 Pro")</f>
        <v>Dell Alienware m16 R2 2024 게이밍 노트북 16인치 WQXGA IPS 16코어 Intel Ultra 7 155H 24GB DDR5 1TB SSD NVIDIA GeForce RTX 4070 8GB GDDR6 Thunderbolt 4 Wi-Fi 6E 키별 RGB 백라이트 키보드 Win11 Pro</v>
      </c>
      <c r="F156" s="1" t="str">
        <f>IFERROR(__xludf.DUMMYFUNCTION("CONCATENATE(GOOGLETRANSLATE(C156, ""en"", ""ja""))"),"Dell Alienware m16 R2 2024 ゲーミング ノートパソコン 16 インチ WQXGA IPS 16 コア Intel Ultra 7 155H 24GB DDR5 1TB SSD NVIDIA GeForce RTX 4070 8GB GDDR6 Thunderbolt 4 Wi-Fi 6E キーごとの RGB バックライト付きキーボード Win11 Pro")</f>
        <v>Dell Alienware m16 R2 2024 ゲーミング ノートパソコン 16 インチ WQXGA IPS 16 コア Intel Ultra 7 155H 24GB DDR5 1TB SSD NVIDIA GeForce RTX 4070 8GB GDDR6 Thunderbolt 4 Wi-Fi 6E キーごとの RGB バックライト付きキーボード Win11 Pro</v>
      </c>
    </row>
    <row r="157" ht="15.75" customHeight="1">
      <c r="A157" s="1">
        <v>8067.0</v>
      </c>
      <c r="B157" s="1" t="s">
        <v>6</v>
      </c>
      <c r="C157" s="1" t="s">
        <v>162</v>
      </c>
      <c r="D157" s="1" t="str">
        <f>IFERROR(__xludf.DUMMYFUNCTION("CONCATENATE(GOOGLETRANSLATE(C157, ""en"", ""zh-cn""))"),"华硕 2023 笔记本电脑 | Vivobook 16X | 16 英寸 1920 x 1200 LED 背光 | 英特尔酷睿 i9-13900H 14 核 | NVIDIA Geforce RTX 4050 6GB | 32GB DDR4 | 1TB 固态硬盘 | Windows 10 Pro | 背光键盘 - 独立黑色")</f>
        <v>华硕 2023 笔记本电脑 | Vivobook 16X | 16 英寸 1920 x 1200 LED 背光 | 英特尔酷睿 i9-13900H 14 核 | NVIDIA Geforce RTX 4050 6GB | 32GB DDR4 | 1TB 固态硬盘 | Windows 10 Pro | 背光键盘 - 独立黑色</v>
      </c>
      <c r="E157" s="1" t="str">
        <f>IFERROR(__xludf.DUMMYFUNCTION("CONCATENATE(GOOGLETRANSLATE(C157, ""en"", ""ko""))"),"ASUS 2023 노트북 | 비보북 16X | 16인치 1920 x 1200 LED 백라이트 | Intel Core i9-13900H 14코어 | NVIDIA Geforce RTX 4050 6GB | 32GB DDR4 | 1TB SSD | Windows 10 Pro | 백라이트 키보드 - 인디 블랙")</f>
        <v>ASUS 2023 노트북 | 비보북 16X | 16인치 1920 x 1200 LED 백라이트 | Intel Core i9-13900H 14코어 | NVIDIA Geforce RTX 4050 6GB | 32GB DDR4 | 1TB SSD | Windows 10 Pro | 백라이트 키보드 - 인디 블랙</v>
      </c>
      <c r="F157" s="1" t="str">
        <f>IFERROR(__xludf.DUMMYFUNCTION("CONCATENATE(GOOGLETRANSLATE(C157, ""en"", ""ja""))"),"ASUS 2023 ノートパソコン |ビボブック 16X | 16 インチ 1920 x 1200 LED バックライト付き | Intel Core i9-13900H 14 コア | NVIDIA Geforce RTX 4050 6GB | 32GB DDR4 | 1TB SSD | Windows 10 Pro | バックライト付きキーボード - インディー ブラック")</f>
        <v>ASUS 2023 ノートパソコン |ビボブック 16X | 16 インチ 1920 x 1200 LED バックライト付き | Intel Core i9-13900H 14 コア | NVIDIA Geforce RTX 4050 6GB | 32GB DDR4 | 1TB SSD | Windows 10 Pro | バックライト付きキーボード - インディー ブラック</v>
      </c>
    </row>
    <row r="158" ht="15.75" customHeight="1">
      <c r="A158" s="1">
        <v>8069.0</v>
      </c>
      <c r="B158" s="1" t="s">
        <v>6</v>
      </c>
      <c r="C158" s="1" t="s">
        <v>163</v>
      </c>
      <c r="D158" s="1" t="str">
        <f>IFERROR(__xludf.DUMMYFUNCTION("CONCATENATE(GOOGLETRANSLATE(C158, ""en"", ""zh-cn""))"),"华硕轻薄 15.5 英寸全高清笔记本电脑，Windows 11 家庭操作系统，英特尔赛扬处理器高达 2.76GHz，4GB LPDDR4，128GB SSD，背光键盘，深灰色（翻新）")</f>
        <v>华硕轻薄 15.5 英寸全高清笔记本电脑，Windows 11 家庭操作系统，英特尔赛扬处理器高达 2.76GHz，4GB LPDDR4，128GB SSD，背光键盘，深灰色（翻新）</v>
      </c>
      <c r="E158" s="1" t="str">
        <f>IFERROR(__xludf.DUMMYFUNCTION("CONCATENATE(GOOGLETRANSLATE(C158, ""en"", ""ko""))"),"ASUS 경량 15.5인치 풀 HD 노트북, Windows 11 Home OS, Intel Celeron 프로세서 최대 2.76GHz, 4GB LPDDR4, 128GB SSD, 백라이트 키보드, 다크 그레이(리뉴얼)")</f>
        <v>ASUS 경량 15.5인치 풀 HD 노트북, Windows 11 Home OS, Intel Celeron 프로세서 최대 2.76GHz, 4GB LPDDR4, 128GB SSD, 백라이트 키보드, 다크 그레이(리뉴얼)</v>
      </c>
      <c r="F158" s="1" t="str">
        <f>IFERROR(__xludf.DUMMYFUNCTION("CONCATENATE(GOOGLETRANSLATE(C158, ""en"", ""ja""))"),"ASUS 軽量 15.5 インチ フル HD ノートパソコン、Windows 11 Home OS、最大 2.76 GHz の Intel Celeron プロセッサー、4GB LPDDR4、128GB SSD、バックライト付きキーボード、ダークグレー (リニューアル)")</f>
        <v>ASUS 軽量 15.5 インチ フル HD ノートパソコン、Windows 11 Home OS、最大 2.76 GHz の Intel Celeron プロセッサー、4GB LPDDR4、128GB SSD、バックライト付きキーボード、ダークグレー (リニューアル)</v>
      </c>
    </row>
    <row r="159" ht="15.75" customHeight="1">
      <c r="A159" s="1">
        <v>8076.0</v>
      </c>
      <c r="B159" s="1" t="s">
        <v>6</v>
      </c>
      <c r="C159" s="1" t="s">
        <v>164</v>
      </c>
      <c r="D159" s="1" t="str">
        <f>IFERROR(__xludf.DUMMYFUNCTION("CONCATENATE(GOOGLETRANSLATE(C159, ""en"", ""zh-cn""))"),"华硕 2024 笔记本电脑 | Vivobook 15 | 15.6 英寸 1920 x 1080 IPS | Intel-14 Core i9-13900H | 32GB DDR4 | 2TB SSD | Windows 10 主页 | Wi-Fi 6E - 蓝牙 5.3 - 背光键盘 - 720p 高清摄像头 - 安静蓝色")</f>
        <v>华硕 2024 笔记本电脑 | Vivobook 15 | 15.6 英寸 1920 x 1080 IPS | Intel-14 Core i9-13900H | 32GB DDR4 | 2TB SSD | Windows 10 主页 | Wi-Fi 6E - 蓝牙 5.3 - 背光键盘 - 720p 高清摄像头 - 安静蓝色</v>
      </c>
      <c r="E159" s="1" t="str">
        <f>IFERROR(__xludf.DUMMYFUNCTION("CONCATENATE(GOOGLETRANSLATE(C159, ""en"", ""ko""))"),"ASUS 2024 노트북 | 비보북 15 | 15.6인치 1920 x 1080 IPS | Intel-14 Core i9-13900H | 32GB DDR4 | 2TB SSD | Windows 10 Home | Wi-Fi 6E - Bluetooth 5.3 - 백라이트 키보드 - 720p HD 카메라 - 콰이어트 블루")</f>
        <v>ASUS 2024 노트북 | 비보북 15 | 15.6인치 1920 x 1080 IPS | Intel-14 Core i9-13900H | 32GB DDR4 | 2TB SSD | Windows 10 Home | Wi-Fi 6E - Bluetooth 5.3 - 백라이트 키보드 - 720p HD 카메라 - 콰이어트 블루</v>
      </c>
      <c r="F159" s="1" t="str">
        <f>IFERROR(__xludf.DUMMYFUNCTION("CONCATENATE(GOOGLETRANSLATE(C159, ""en"", ""ja""))"),"ASUS 2024 ノートパソコン |ビボブック 15 | 15.6 インチ 1920 x 1080 IPS | Intel-14 Core i9-13900H | 32GB DDR4 | 2TB SSD | Windows 10 Home | Wi-Fi 6E - Bluetooth 5.3 - バックライト付きキーボード - 720p HD カメラ - クワイエットブルー")</f>
        <v>ASUS 2024 ノートパソコン |ビボブック 15 | 15.6 インチ 1920 x 1080 IPS | Intel-14 Core i9-13900H | 32GB DDR4 | 2TB SSD | Windows 10 Home | Wi-Fi 6E - Bluetooth 5.3 - バックライト付きキーボード - 720p HD カメラ - クワイエットブルー</v>
      </c>
    </row>
    <row r="160" ht="15.75" customHeight="1">
      <c r="A160" s="1">
        <v>8087.0</v>
      </c>
      <c r="B160" s="1" t="s">
        <v>6</v>
      </c>
      <c r="C160" s="1" t="s">
        <v>165</v>
      </c>
      <c r="D160" s="1" t="str">
        <f>IFERROR(__xludf.DUMMYFUNCTION("CONCATENATE(GOOGLETRANSLATE(C160, ""en"", ""zh-cn""))"),"华硕 14 英寸全高清笔记本电脑，4 核英特尔奔腾，Windows 11 Pro，带 Microsoft Office Lifetime Suite，4GB RAM 576GB 存储（256GB SSD + 256GB 扩展坞 +64GB eMMC），PLUSERA 耳机，黑色")</f>
        <v>华硕 14 英寸全高清笔记本电脑，4 核英特尔奔腾，Windows 11 Pro，带 Microsoft Office Lifetime Suite，4GB RAM 576GB 存储（256GB SSD + 256GB 扩展坞 +64GB eMMC），PLUSERA 耳机，黑色</v>
      </c>
      <c r="E160" s="1" t="str">
        <f>IFERROR(__xludf.DUMMYFUNCTION("CONCATENATE(GOOGLETRANSLATE(C160, ""en"", ""ko""))"),"ASUS 14인치 FHD 노트북 컴퓨터, 4코어 Intel Pentium, Windows 11 Pro with Microsoft Office Lifetime Suite, 4GB RAM 576GB 스토리지(256GB SSD + 256GB 도킹 스테이션 +64GB eMMC), PLUSERA 이어폰, 블랙")</f>
        <v>ASUS 14인치 FHD 노트북 컴퓨터, 4코어 Intel Pentium, Windows 11 Pro with Microsoft Office Lifetime Suite, 4GB RAM 576GB 스토리지(256GB SSD + 256GB 도킹 스테이션 +64GB eMMC), PLUSERA 이어폰, 블랙</v>
      </c>
      <c r="F160" s="1" t="str">
        <f>IFERROR(__xludf.DUMMYFUNCTION("CONCATENATE(GOOGLETRANSLATE(C160, ""en"", ""ja""))"),"ASUS 14インチ FHD ラップトップコンピュータ、4コアインテル Pentium、Microsoft Office Lifetime Suite 搭載 Windows 11 Pro、4GB RAM 576GB ストレージ (256GB SSD + 256GB ドッキングステーション +64GB eMMC)、PLUSERA イヤホン、ブラック")</f>
        <v>ASUS 14インチ FHD ラップトップコンピュータ、4コアインテル Pentium、Microsoft Office Lifetime Suite 搭載 Windows 11 Pro、4GB RAM 576GB ストレージ (256GB SSD + 256GB ドッキングステーション +64GB eMMC)、PLUSERA イヤホン、ブラック</v>
      </c>
    </row>
    <row r="161" ht="15.75" customHeight="1">
      <c r="A161" s="1">
        <v>8104.0</v>
      </c>
      <c r="B161" s="1" t="s">
        <v>6</v>
      </c>
      <c r="C161" s="1" t="s">
        <v>166</v>
      </c>
      <c r="D161" s="1" t="str">
        <f>IFERROR(__xludf.DUMMYFUNCTION("CONCATENATE(GOOGLETRANSLATE(C161, ""en"", ""zh-cn""))"),"华硕 2024 游戏笔记本电脑 | TUF 游戏 A16 | AMD 16 核锐龙 9 7940HX | NVIDIA GeForce RTX 4070 8GB | 64GB DDR5 | 8TB 固态硬盘 | 16"" 2560 x 1600 165Hz | Win11 Home - Wi-Fi 6 - RGB 背光 KB - 灰色")</f>
        <v>华硕 2024 游戏笔记本电脑 | TUF 游戏 A16 | AMD 16 核锐龙 9 7940HX | NVIDIA GeForce RTX 4070 8GB | 64GB DDR5 | 8TB 固态硬盘 | 16" 2560 x 1600 165Hz | Win11 Home - Wi-Fi 6 - RGB 背光 KB - 灰色</v>
      </c>
      <c r="E161" s="1" t="str">
        <f>IFERROR(__xludf.DUMMYFUNCTION("CONCATENATE(GOOGLETRANSLATE(C161, ""en"", ""ko""))"),"ASUS 2024 게이밍 노트북 | TUF 게이밍 A16 | AMD 16코어 Ryzen 9 7940HX | 엔비디아 지포스 RTX 4070 8GB | 64GB DDR5 | 8TB SSD | 16인치 2560 x 1600 165Hz | Win11 Home - Wi-Fi 6 - RGB 백라이트 KB - 회색")</f>
        <v>ASUS 2024 게이밍 노트북 | TUF 게이밍 A16 | AMD 16코어 Ryzen 9 7940HX | 엔비디아 지포스 RTX 4070 8GB | 64GB DDR5 | 8TB SSD | 16인치 2560 x 1600 165Hz | Win11 Home - Wi-Fi 6 - RGB 백라이트 KB - 회색</v>
      </c>
      <c r="F161" s="1" t="str">
        <f>IFERROR(__xludf.DUMMYFUNCTION("CONCATENATE(GOOGLETRANSLATE(C161, ""en"", ""ja""))"),"ASUS 2024 ゲーミング ノートパソコン | TUF ゲーミング A16 | AMD 16 コア Ryzen 9 7940HX | NVIDIA GeForce RTX 4070 8GB | 64GB DDR5 | 8TB SSD | 16 インチ 2560 x 1600 165Hz | Win11 Home - Wi-Fi 6 - RGB バックライト付き KB - グレー")</f>
        <v>ASUS 2024 ゲーミング ノートパソコン | TUF ゲーミング A16 | AMD 16 コア Ryzen 9 7940HX | NVIDIA GeForce RTX 4070 8GB | 64GB DDR5 | 8TB SSD | 16 インチ 2560 x 1600 165Hz | Win11 Home - Wi-Fi 6 - RGB バックライト付き KB - グレー</v>
      </c>
    </row>
    <row r="162" ht="15.75" customHeight="1">
      <c r="A162" s="1">
        <v>8106.0</v>
      </c>
      <c r="B162" s="1" t="s">
        <v>6</v>
      </c>
      <c r="C162" s="1" t="s">
        <v>167</v>
      </c>
      <c r="D162" s="1" t="str">
        <f>IFERROR(__xludf.DUMMYFUNCTION("CONCATENATE(GOOGLETRANSLATE(C162, ""en"", ""zh-cn""))"),"Apple 2024 款 MacBook Air 15 英寸笔记本电脑，配备 M3 芯片：专为 Apple Intelligence 打造，15.3 英寸 Liquid Retina 显示屏，24GB 统一内存，512GB SSD 存储，背光键盘，Touch ID；星光")</f>
        <v>Apple 2024 款 MacBook Air 15 英寸笔记本电脑，配备 M3 芯片：专为 Apple Intelligence 打造，15.3 英寸 Liquid Retina 显示屏，24GB 统一内存，512GB SSD 存储，背光键盘，Touch ID；星光</v>
      </c>
      <c r="E162" s="1" t="str">
        <f>IFERROR(__xludf.DUMMYFUNCTION("CONCATENATE(GOOGLETRANSLATE(C162, ""en"", ""ko""))"),"M3 칩을 탑재한 Apple 2024 MacBook Air 15인치 노트북: Apple Intelligence용으로 제작, 15.3인치 Liquid Retina 디스플레이, 24GB 통합 메모리, 512GB SSD 스토리지, 백라이트 키보드, Touch ID; 별빛")</f>
        <v>M3 칩을 탑재한 Apple 2024 MacBook Air 15인치 노트북: Apple Intelligence용으로 제작, 15.3인치 Liquid Retina 디스플레이, 24GB 통합 메모리, 512GB SSD 스토리지, 백라이트 키보드, Touch ID; 별빛</v>
      </c>
      <c r="F162" s="1" t="str">
        <f>IFERROR(__xludf.DUMMYFUNCTION("CONCATENATE(GOOGLETRANSLATE(C162, ""en"", ""ja""))"),"M3 チップ搭載 Apple 2024 MacBook Air 15 インチ ラップトップ: Apple インテリジェンス向けに構築、15.3 インチ Liquid Retina ディスプレイ、24GB ユニファイド メモリ、512GB SSD ストレージ、バックライト付きキーボード、Touch ID。スターライト")</f>
        <v>M3 チップ搭載 Apple 2024 MacBook Air 15 インチ ラップトップ: Apple インテリジェンス向けに構築、15.3 インチ Liquid Retina ディスプレイ、24GB ユニファイド メモリ、512GB SSD ストレージ、バックライト付きキーボード、Touch ID。スターライト</v>
      </c>
    </row>
    <row r="163" ht="15.75" customHeight="1">
      <c r="A163" s="1">
        <v>8109.0</v>
      </c>
      <c r="B163" s="1" t="s">
        <v>6</v>
      </c>
      <c r="C163" s="1" t="s">
        <v>168</v>
      </c>
      <c r="D163" s="1" t="str">
        <f>IFERROR(__xludf.DUMMYFUNCTION("CONCATENATE(GOOGLETRANSLATE(C163, ""en"", ""zh-cn""))"),"Apple MacBook Pro GB Wi-Fi 笔记本电脑 256GB 13 英寸，配备英特尔酷睿 i5 2.7Ghz 银色（翻新）")</f>
        <v>Apple MacBook Pro GB Wi-Fi 笔记本电脑 256GB 13 英寸，配备英特尔酷睿 i5 2.7Ghz 银色（翻新）</v>
      </c>
      <c r="E163" s="1" t="str">
        <f>IFERROR(__xludf.DUMMYFUNCTION("CONCATENATE(GOOGLETRANSLATE(C163, ""en"", ""ko""))"),"Apple MacBook Pro GB Wi-Fi 노트북 256GB 13인치 Intel Core i5 2.7Ghz 실버(리퍼비쉬)")</f>
        <v>Apple MacBook Pro GB Wi-Fi 노트북 256GB 13인치 Intel Core i5 2.7Ghz 실버(리퍼비쉬)</v>
      </c>
      <c r="F163" s="1" t="str">
        <f>IFERROR(__xludf.DUMMYFUNCTION("CONCATENATE(GOOGLETRANSLATE(C163, ""en"", ""ja""))"),"Apple MacBook Pro GB Wi-Fi ラップトップ 256GB 13 インチ Intel Core i5 2.7Ghz シルバー (整備済)")</f>
        <v>Apple MacBook Pro GB Wi-Fi ラップトップ 256GB 13 インチ Intel Core i5 2.7Ghz シルバー (整備済)</v>
      </c>
    </row>
    <row r="164" ht="15.75" customHeight="1">
      <c r="A164" s="1">
        <v>7764.0</v>
      </c>
      <c r="B164" s="1" t="s">
        <v>6</v>
      </c>
      <c r="C164" s="1" t="s">
        <v>169</v>
      </c>
      <c r="D164" s="1" t="str">
        <f>IFERROR(__xludf.DUMMYFUNCTION("CONCATENATE(GOOGLETRANSLATE(C164, ""en"", ""zh-cn""))"),"佳能 PGI-250/ CLI-251 5 色亚马逊套装")</f>
        <v>佳能 PGI-250/ CLI-251 5 色亚马逊套装</v>
      </c>
      <c r="E164" s="1" t="str">
        <f>IFERROR(__xludf.DUMMYFUNCTION("CONCATENATE(GOOGLETRANSLATE(C164, ""en"", ""ko""))"),"Canon PGI-250/ CLI-251 5색 아마존 팩")</f>
        <v>Canon PGI-250/ CLI-251 5색 아마존 팩</v>
      </c>
      <c r="F164" s="1" t="str">
        <f>IFERROR(__xludf.DUMMYFUNCTION("CONCATENATE(GOOGLETRANSLATE(C164, ""en"", ""ja""))"),"Canon PGI-250/CLI-251 5色アマゾンパック")</f>
        <v>Canon PGI-250/CLI-251 5色アマゾンパック</v>
      </c>
    </row>
    <row r="165" ht="15.75" customHeight="1">
      <c r="A165" s="1">
        <v>7767.0</v>
      </c>
      <c r="B165" s="1" t="s">
        <v>6</v>
      </c>
      <c r="C165" s="1" t="s">
        <v>170</v>
      </c>
      <c r="D165" s="1" t="str">
        <f>IFERROR(__xludf.DUMMYFUNCTION("CONCATENATE(GOOGLETRANSLATE(C165, ""en"", ""zh-cn""))"),"佳能 imageFORMULA R1​​0 - 便携式文档扫描仪，USB 供电，双面扫描，文档进纸器，设置简单，方便，非常适合移动用户")</f>
        <v>佳能 imageFORMULA R1​​0 - 便携式文档扫描仪，USB 供电，双面扫描，文档进纸器，设置简单，方便，非常适合移动用户</v>
      </c>
      <c r="E165" s="1" t="str">
        <f>IFERROR(__xludf.DUMMYFUNCTION("CONCATENATE(GOOGLETRANSLATE(C165, ""en"", ""ko""))"),"Canon imageFORMULA R10 - 휴대용 문서 스캐너, USB 전원 공급, 양면 스캔, 문서 공급 장치, 쉬운 설정, 편리함, 모바일 사용자에게 적합")</f>
        <v>Canon imageFORMULA R10 - 휴대용 문서 스캐너, USB 전원 공급, 양면 스캔, 문서 공급 장치, 쉬운 설정, 편리함, 모바일 사용자에게 적합</v>
      </c>
      <c r="F165" s="1" t="str">
        <f>IFERROR(__xludf.DUMMYFUNCTION("CONCATENATE(GOOGLETRANSLATE(C165, ""en"", ""ja""))"),"Canon imageFORMULA R1​​0 - ポータブル ドキュメント スキャナー、USB 電源、両面スキャン、ドキュメント フィーダー、簡単なセットアップ、便利、モバイル ユーザーに最適")</f>
        <v>Canon imageFORMULA R1​​0 - ポータブル ドキュメント スキャナー、USB 電源、両面スキャン、ドキュメント フィーダー、簡単なセットアップ、便利、モバイル ユーザーに最適</v>
      </c>
    </row>
    <row r="166" ht="15.75" customHeight="1">
      <c r="A166" s="1">
        <v>7773.0</v>
      </c>
      <c r="B166" s="1" t="s">
        <v>6</v>
      </c>
      <c r="C166" s="1" t="s">
        <v>171</v>
      </c>
      <c r="D166" s="1" t="str">
        <f>IFERROR(__xludf.DUMMYFUNCTION("CONCATENATE(GOOGLETRANSLATE(C166, ""en"", ""zh-cn""))"),"佳能 PG-245 XL 正品黑色墨盒，兼容 iP2820、MG2420/2924/2920/3020/2522/2525、MX492、TS3120/302/302a/202/202a/4520/3320")</f>
        <v>佳能 PG-245 XL 正品黑色墨盒，兼容 iP2820、MG2420/2924/2920/3020/2522/2525、MX492、TS3120/302/302a/202/202a/4520/3320</v>
      </c>
      <c r="E166" s="1" t="str">
        <f>IFERROR(__xludf.DUMMYFUNCTION("CONCATENATE(GOOGLETRANSLATE(C166, ""en"", ""ko""))"),"Canon PG-245 XL 정품 검정색 잉크 카트리지, iP2820, MG2420/2924/2920/3020/2522/2525, MX492, TS3120/302/302a/202/202a/4520/3320과 호환 가능")</f>
        <v>Canon PG-245 XL 정품 검정색 잉크 카트리지, iP2820, MG2420/2924/2920/3020/2522/2525, MX492, TS3120/302/302a/202/202a/4520/3320과 호환 가능</v>
      </c>
      <c r="F166" s="1" t="str">
        <f>IFERROR(__xludf.DUMMYFUNCTION("CONCATENATE(GOOGLETRANSLATE(C166, ""en"", ""ja""))"),"Canon PG-245 XL 純正ブラックインクカートリッジ、iP2820、MG2420/2924/2920/3020/2522/2525、MX492、TS3120/302/302a/202/202a/4520/3320と互換性あり")</f>
        <v>Canon PG-245 XL 純正ブラックインクカートリッジ、iP2820、MG2420/2924/2920/3020/2522/2525、MX492、TS3120/302/302a/202/202a/4520/3320と互換性あり</v>
      </c>
    </row>
    <row r="167" ht="15.75" customHeight="1">
      <c r="A167" s="1">
        <v>7792.0</v>
      </c>
      <c r="B167" s="1" t="s">
        <v>6</v>
      </c>
      <c r="C167" s="1" t="s">
        <v>172</v>
      </c>
      <c r="D167" s="1" t="str">
        <f>IFERROR(__xludf.DUMMYFUNCTION("CONCATENATE(GOOGLETRANSLATE(C167, ""en"", ""zh-cn""))"),"佳能 MegaTank G3270 一体化无线喷墨打印机。适合家庭使用，打印、扫描和复印，黑色")</f>
        <v>佳能 MegaTank G3270 一体化无线喷墨打印机。适合家庭使用，打印、扫描和复印，黑色</v>
      </c>
      <c r="E167" s="1" t="str">
        <f>IFERROR(__xludf.DUMMYFUNCTION("CONCATENATE(GOOGLETRANSLATE(C167, ""en"", ""ko""))"),"Canon MegaTank G3270 올인원 무선 잉크젯 프린터. 가정용, 인쇄, 스캔 및 복사, 검정색")</f>
        <v>Canon MegaTank G3270 올인원 무선 잉크젯 프린터. 가정용, 인쇄, 스캔 및 복사, 검정색</v>
      </c>
      <c r="F167" s="1" t="str">
        <f>IFERROR(__xludf.DUMMYFUNCTION("CONCATENATE(GOOGLETRANSLATE(C167, ""en"", ""ja""))"),"Canon MegaTank G3270 オールインワン ワイヤレス インクジェット プリンター。家庭用、印刷、スキャン、コピー、ブラック")</f>
        <v>Canon MegaTank G3270 オールインワン ワイヤレス インクジェット プリンター。家庭用、印刷、スキャン、コピー、ブラック</v>
      </c>
    </row>
    <row r="168" ht="15.75" customHeight="1">
      <c r="A168" s="1">
        <v>7793.0</v>
      </c>
      <c r="B168" s="1" t="s">
        <v>6</v>
      </c>
      <c r="C168" s="1" t="s">
        <v>173</v>
      </c>
      <c r="D168" s="1" t="str">
        <f>IFERROR(__xludf.DUMMYFUNCTION("CONCATENATE(GOOGLETRANSLATE(C168, ""en"", ""zh-cn""))"),"Canon imageFORMULA R40 - Office 文档扫描仪，Windows 和 Mac，双面扫描，轻松设置，扫描各种文档，扫描到云")</f>
        <v>Canon imageFORMULA R40 - Office 文档扫描仪，Windows 和 Mac，双面扫描，轻松设置，扫描各种文档，扫描到云</v>
      </c>
      <c r="E168" s="1" t="str">
        <f>IFERROR(__xludf.DUMMYFUNCTION("CONCATENATE(GOOGLETRANSLATE(C168, ""en"", ""ko""))"),"Canon imageFORMULA R40 - Office 문서 스캐너, Windows 및 Mac, 양면 스캔, 간편한 설정, 다양한 문서 스캔, 클라우드로 스캔")</f>
        <v>Canon imageFORMULA R40 - Office 문서 스캐너, Windows 및 Mac, 양면 스캔, 간편한 설정, 다양한 문서 스캔, 클라우드로 스캔</v>
      </c>
      <c r="F168" s="1" t="str">
        <f>IFERROR(__xludf.DUMMYFUNCTION("CONCATENATE(GOOGLETRANSLATE(C168, ""en"", ""ja""))"),"Canon imageFORMULA R40 - オフィス ドキュメント スキャナー、Windows および Mac、両面スキャン、簡単セットアップ、さまざまなドキュメントをスキャン、クラウドにスキャン")</f>
        <v>Canon imageFORMULA R40 - オフィス ドキュメント スキャナー、Windows および Mac、両面スキャン、簡単セットアップ、さまざまなドキュメントをスキャン、クラウドにスキャン</v>
      </c>
    </row>
    <row r="169" ht="15.75" customHeight="1">
      <c r="A169" s="1">
        <v>7796.0</v>
      </c>
      <c r="B169" s="1" t="s">
        <v>6</v>
      </c>
      <c r="C169" s="1" t="s">
        <v>174</v>
      </c>
      <c r="D169" s="1" t="str">
        <f>IFERROR(__xludf.DUMMYFUNCTION("CONCATENATE(GOOGLETRANSLATE(C169, ""en"", ""zh-cn""))"),"佳能 CL-276 正品彩色墨盒，兼容 TS3520/3522、TR4720/4722、TS3720/3722")</f>
        <v>佳能 CL-276 正品彩色墨盒，兼容 TS3520/3522、TR4720/4722、TS3720/3722</v>
      </c>
      <c r="E169" s="1" t="str">
        <f>IFERROR(__xludf.DUMMYFUNCTION("CONCATENATE(GOOGLETRANSLATE(C169, ""en"", ""ko""))"),"Canon CL-276 정품 컬러 잉크 카트리지, TS3520/3522, TR4720/4722, TS3720/3722와 호환 가능")</f>
        <v>Canon CL-276 정품 컬러 잉크 카트리지, TS3520/3522, TR4720/4722, TS3720/3722와 호환 가능</v>
      </c>
      <c r="F169" s="1" t="str">
        <f>IFERROR(__xludf.DUMMYFUNCTION("CONCATENATE(GOOGLETRANSLATE(C169, ""en"", ""ja""))"),"キヤノン 純正カラーインクカートリッジ TS3520/3522、TR4720/4722、TS3720/3722対応 CL-276")</f>
        <v>キヤノン 純正カラーインクカートリッジ TS3520/3522、TR4720/4722、TS3720/3722対応 CL-276</v>
      </c>
    </row>
    <row r="170" ht="15.75" customHeight="1">
      <c r="A170" s="1">
        <v>7801.0</v>
      </c>
      <c r="B170" s="1" t="s">
        <v>6</v>
      </c>
      <c r="C170" s="1" t="s">
        <v>175</v>
      </c>
      <c r="D170" s="1" t="str">
        <f>IFERROR(__xludf.DUMMYFUNCTION("CONCATENATE(GOOGLETRANSLATE(C170, ""en"", ""zh-cn""))"),"HP OfficeJet Pro 8135e 无线一体式彩色喷墨打印机，打印、扫描、复印、传真、ADF、双面打印，最适合家庭办公，含 3 个月的 Instant Ink (40Q35A)")</f>
        <v>HP OfficeJet Pro 8135e 无线一体式彩色喷墨打印机，打印、扫描、复印、传真、ADF、双面打印，最适合家庭办公，含 3 个月的 Instant Ink (40Q35A)</v>
      </c>
      <c r="E170" s="1" t="str">
        <f>IFERROR(__xludf.DUMMYFUNCTION("CONCATENATE(GOOGLETRANSLATE(C170, ""en"", ""ko""))"),"HP OfficeJet Pro 8135e 무선 올인원 컬러 잉크젯 프린터, 인쇄, 스캔, 복사, 팩스, ADF, 양면 인쇄, 가정용 오피스, 3개월 인스턴트 잉크 포함(40Q35A)")</f>
        <v>HP OfficeJet Pro 8135e 무선 올인원 컬러 잉크젯 프린터, 인쇄, 스캔, 복사, 팩스, ADF, 양면 인쇄, 가정용 오피스, 3개월 인스턴트 잉크 포함(40Q35A)</v>
      </c>
      <c r="F170" s="1" t="str">
        <f>IFERROR(__xludf.DUMMYFUNCTION("CONCATENATE(GOOGLETRANSLATE(C170, ""en"", ""ja""))"),"HP OfficeJet Pro 8135e ワイヤレス オールインワン カラー インクジェット プリンター、印刷、スキャン、コピー、ファックス、ADF、両面印刷、ホーム オフィスに最適、3 か月分のインスタント インク付属 (40Q35A)")</f>
        <v>HP OfficeJet Pro 8135e ワイヤレス オールインワン カラー インクジェット プリンター、印刷、スキャン、コピー、ファックス、ADF、両面印刷、ホーム オフィスに最適、3 か月分のインスタント インク付属 (40Q35A)</v>
      </c>
    </row>
    <row r="171" ht="15.75" customHeight="1">
      <c r="A171" s="1">
        <v>7811.0</v>
      </c>
      <c r="B171" s="1" t="s">
        <v>6</v>
      </c>
      <c r="C171" s="1" t="s">
        <v>176</v>
      </c>
      <c r="D171" s="1" t="str">
        <f>IFERROR(__xludf.DUMMYFUNCTION("CONCATENATE(GOOGLETRANSLATE(C171, ""en"", ""zh-cn""))"),"HP 64 黑色/三色墨盒（2 件装）|与 HP ENVY Inspire 7950e 配合使用； ENVY 照片 6200、7100、7800；探戈系列|符合 Instant Ink 条件 | X4D92AN")</f>
        <v>HP 64 黑色/三色墨盒（2 件装）|与 HP ENVY Inspire 7950e 配合使用； ENVY 照片 6200、7100、7800；探戈系列|符合 Instant Ink 条件 | X4D92AN</v>
      </c>
      <c r="E171" s="1" t="str">
        <f>IFERROR(__xludf.DUMMYFUNCTION("CONCATENATE(GOOGLETRANSLATE(C171, ""en"", ""ko""))"),"HP 64 검정/3색 잉크 카트리지(2팩) | HP ENVY Inspire 7950e와 함께 작동합니다. ENVY 사진 6200, 7100, 7800; 탱고 시리즈 | 인스턴트 잉크 사용 가능 | X4D92AN")</f>
        <v>HP 64 검정/3색 잉크 카트리지(2팩) | HP ENVY Inspire 7950e와 함께 작동합니다. ENVY 사진 6200, 7100, 7800; 탱고 시리즈 | 인스턴트 잉크 사용 가능 | X4D92AN</v>
      </c>
      <c r="F171" s="1" t="str">
        <f>IFERROR(__xludf.DUMMYFUNCTION("CONCATENATE(GOOGLETRANSLATE(C171, ""en"", ""ja""))"),"HP 64 ブラック/トリカラー インク カートリッジ (2 パック) | HP ENVY Inspire 7950e で動作します。羨望の写真 6200、7100、7800;タンゴシリーズ | Instant Ink の対象 | X4D92AN")</f>
        <v>HP 64 ブラック/トリカラー インク カートリッジ (2 パック) | HP ENVY Inspire 7950e で動作します。羨望の写真 6200、7100、7800;タンゴシリーズ | Instant Ink の対象 | X4D92AN</v>
      </c>
    </row>
    <row r="172" ht="15.75" customHeight="1">
      <c r="A172" s="1">
        <v>7813.0</v>
      </c>
      <c r="B172" s="1" t="s">
        <v>6</v>
      </c>
      <c r="C172" s="1" t="s">
        <v>177</v>
      </c>
      <c r="D172" s="1" t="str">
        <f>IFERROR(__xludf.DUMMYFUNCTION("CONCATENATE(GOOGLETRANSLATE(C172, ""en"", ""zh-cn""))"),"HP OfficeJet 8015e 无线彩色一体机，包含 6 个月的 Instant Ink")</f>
        <v>HP OfficeJet 8015e 无线彩色一体机，包含 6 个月的 Instant Ink</v>
      </c>
      <c r="E172" s="1" t="str">
        <f>IFERROR(__xludf.DUMMYFUNCTION("CONCATENATE(GOOGLETRANSLATE(C172, ""en"", ""ko""))"),"HP 오피스젯 8015e 무선 컬러 복합기 프린터, 6개월 인스턴트 잉크 포함")</f>
        <v>HP 오피스젯 8015e 무선 컬러 복합기 프린터, 6개월 인스턴트 잉크 포함</v>
      </c>
      <c r="F172" s="1" t="str">
        <f>IFERROR(__xludf.DUMMYFUNCTION("CONCATENATE(GOOGLETRANSLATE(C172, ""en"", ""ja""))"),"HP OfficeJet 8015e ワイヤレス カラー オールインワン プリンター、6 か月分のインスタント インクが付属")</f>
        <v>HP OfficeJet 8015e ワイヤレス カラー オールインワン プリンター、6 か月分のインスタント インクが付属</v>
      </c>
    </row>
    <row r="173" ht="15.75" customHeight="1">
      <c r="A173" s="1">
        <v>7830.0</v>
      </c>
      <c r="B173" s="1" t="s">
        <v>6</v>
      </c>
      <c r="C173" s="1" t="s">
        <v>178</v>
      </c>
      <c r="D173" s="1" t="str">
        <f>IFERROR(__xludf.DUMMYFUNCTION("CONCATENATE(GOOGLETRANSLATE(C173, ""en"", ""zh-cn""))"),"HP 62XL 黑色高印量墨盒 |适用于 HP ENVY 5540、5640、5660、7640 系列、HP OfficeJet 5740、8040 系列、HP OfficeJet Mobile 200、250 系列 |符合 Instant Ink 条件 | C2P05AN")</f>
        <v>HP 62XL 黑色高印量墨盒 |适用于 HP ENVY 5540、5640、5660、7640 系列、HP OfficeJet 5740、8040 系列、HP OfficeJet Mobile 200、250 系列 |符合 Instant Ink 条件 | C2P05AN</v>
      </c>
      <c r="E173" s="1" t="str">
        <f>IFERROR(__xludf.DUMMYFUNCTION("CONCATENATE(GOOGLETRANSLATE(C173, ""en"", ""ko""))"),"HP 62XL 검정 대용량 잉크 카트리지 | HP ENVY 5540, 5640, 5660, 7640 시리즈, HP OfficeJet 5740, 8040 시리즈, HP OfficeJet Mobile 200, 250 시리즈와 함께 작동 | 인스턴트 잉크 사용 가능 | C2P05AN")</f>
        <v>HP 62XL 검정 대용량 잉크 카트리지 | HP ENVY 5540, 5640, 5660, 7640 시리즈, HP OfficeJet 5740, 8040 시리즈, HP OfficeJet Mobile 200, 250 시리즈와 함께 작동 | 인스턴트 잉크 사용 가능 | C2P05AN</v>
      </c>
      <c r="F173" s="1" t="str">
        <f>IFERROR(__xludf.DUMMYFUNCTION("CONCATENATE(GOOGLETRANSLATE(C173, ""en"", ""ja""))"),"HP 62XL ブラック高収量インク カートリッジ | HP ENVY 5540、5640、5660、7640 シリーズ、HP OfficeJet 5740、8040 シリーズ、HP OfficeJet Mobile 200、250 シリーズで動作 | Instant Ink の対象 | C2P05AN")</f>
        <v>HP 62XL ブラック高収量インク カートリッジ | HP ENVY 5540、5640、5660、7640 シリーズ、HP OfficeJet 5740、8040 シリーズ、HP OfficeJet Mobile 200、250 シリーズで動作 | Instant Ink の対象 | C2P05AN</v>
      </c>
    </row>
    <row r="174" ht="15.75" customHeight="1">
      <c r="A174" s="1">
        <v>7860.0</v>
      </c>
      <c r="B174" s="1" t="s">
        <v>6</v>
      </c>
      <c r="C174" s="1" t="s">
        <v>179</v>
      </c>
      <c r="D174" s="1" t="str">
        <f>IFERROR(__xludf.DUMMYFUNCTION("CONCATENATE(GOOGLETRANSLATE(C174, ""en"", ""zh-cn""))"),"Brother 正品 TN229XLBK 黑色高印量打印机碳粉盒 - 最多打印 3,000 页(1)")</f>
        <v>Brother 正品 TN229XLBK 黑色高印量打印机碳粉盒 - 最多打印 3,000 页(1)</v>
      </c>
      <c r="E174" s="1" t="str">
        <f>IFERROR(__xludf.DUMMYFUNCTION("CONCATENATE(GOOGLETRANSLATE(C174, ""en"", ""ko""))"),"브라더 정품 TN229XLBK 검정 대용량 프린터 토너 카트리지 - 최대 3,000페이지 인쇄(1)")</f>
        <v>브라더 정품 TN229XLBK 검정 대용량 프린터 토너 카트리지 - 최대 3,000페이지 인쇄(1)</v>
      </c>
      <c r="F174" s="1" t="str">
        <f>IFERROR(__xludf.DUMMYFUNCTION("CONCATENATE(GOOGLETRANSLATE(C174, ""en"", ""ja""))"),"Brother 純正 TN229XLBK ブラック 高収量プリンタ トナー カートリッジ - 最大 3,000 ページ印刷(1)")</f>
        <v>Brother 純正 TN229XLBK ブラック 高収量プリンタ トナー カートリッジ - 最大 3,000 ページ印刷(1)</v>
      </c>
    </row>
    <row r="175" ht="15.75" customHeight="1">
      <c r="A175" s="1">
        <v>7893.0</v>
      </c>
      <c r="B175" s="1" t="s">
        <v>6</v>
      </c>
      <c r="C175" s="1" t="s">
        <v>180</v>
      </c>
      <c r="D175" s="1" t="str">
        <f>IFERROR(__xludf.DUMMYFUNCTION("CONCATENATE(GOOGLETRANSLATE(C175, ""en"", ""zh-cn""))"),"Scotch 哑光热覆膜袋，超透明，哑光饰面，信纸尺寸 8.9 英寸 x 11.4 英寸，50 个装")</f>
        <v>Scotch 哑光热覆膜袋，超透明，哑光饰面，信纸尺寸 8.9 英寸 x 11.4 英寸，50 个装</v>
      </c>
      <c r="E175" s="1" t="str">
        <f>IFERROR(__xludf.DUMMYFUNCTION("CONCATENATE(GOOGLETRANSLATE(C175, ""en"", ""ko""))"),"스카치 무광택 열 라미네이팅 파우치, 무광택 마감의 울트라 클리어, Letter 크기 8.9인치 x 11.4인치, 50팩")</f>
        <v>스카치 무광택 열 라미네이팅 파우치, 무광택 마감의 울트라 클리어, Letter 크기 8.9인치 x 11.4인치, 50팩</v>
      </c>
      <c r="F175" s="1" t="str">
        <f>IFERROR(__xludf.DUMMYFUNCTION("CONCATENATE(GOOGLETRANSLATE(C175, ""en"", ""ja""))"),"Scotch マットサーマルラミネートポーチ、ウルトラクリア、マット仕上げ、レターサイズ 8.9 インチ x 11.4 インチ、50 パック")</f>
        <v>Scotch マットサーマルラミネートポーチ、ウルトラクリア、マット仕上げ、レターサイズ 8.9 インチ x 11.4 インチ、50 パック</v>
      </c>
    </row>
    <row r="176" ht="15.75" customHeight="1">
      <c r="A176" s="1">
        <v>7908.0</v>
      </c>
      <c r="B176" s="1" t="s">
        <v>6</v>
      </c>
      <c r="C176" s="1" t="s">
        <v>181</v>
      </c>
      <c r="D176" s="1" t="str">
        <f>IFERROR(__xludf.DUMMYFUNCTION("CONCATENATE(GOOGLETRANSLATE(C176, ""en"", ""zh-cn""))"),"Scotch 热层压机，5 分钟预热，9 英寸输入，用于层压厚度达 5 密耳的板材")</f>
        <v>Scotch 热层压机，5 分钟预热，9 英寸输入，用于层压厚度达 5 密耳的板材</v>
      </c>
      <c r="E176" s="1" t="str">
        <f>IFERROR(__xludf.DUMMYFUNCTION("CONCATENATE(GOOGLETRANSLATE(C176, ""en"", ""ko""))"),"스카치 열 라미네이터 기계, 5분 예열, 9"" 입력, 최대 5밀 두께의 시트 라미네이팅용")</f>
        <v>스카치 열 라미네이터 기계, 5분 예열, 9" 입력, 최대 5밀 두께의 시트 라미네이팅용</v>
      </c>
      <c r="F176" s="1" t="str">
        <f>IFERROR(__xludf.DUMMYFUNCTION("CONCATENATE(GOOGLETRANSLATE(C176, ""en"", ""ja""))"),"Scotch サーマルラミネーターマシン、5 分間のウォームアップ、9 インチ入力、厚さ 5 ミルまでのシートのラミネート用")</f>
        <v>Scotch サーマルラミネーターマシン、5 分間のウォームアップ、9 インチ入力、厚さ 5 ミルまでのシートのラミネート用</v>
      </c>
    </row>
    <row r="177" ht="15.75" customHeight="1">
      <c r="A177" s="1">
        <v>7915.0</v>
      </c>
      <c r="B177" s="1" t="s">
        <v>6</v>
      </c>
      <c r="C177" s="1" t="s">
        <v>182</v>
      </c>
      <c r="D177" s="1" t="str">
        <f>IFERROR(__xludf.DUMMYFUNCTION("CONCATENATE(GOOGLETRANSLATE(C177, ""en"", ""zh-cn""))"),"MSI Modern 15 笔记本电脑：第 13 代酷睿 i9-13900H、32GB RAM、1TB SSD、15.6 英寸全高清 IPS 显示屏、背光键盘、Windows 11")</f>
        <v>MSI Modern 15 笔记本电脑：第 13 代酷睿 i9-13900H、32GB RAM、1TB SSD、15.6 英寸全高清 IPS 显示屏、背光键盘、Windows 11</v>
      </c>
      <c r="E177" s="1" t="str">
        <f>IFERROR(__xludf.DUMMYFUNCTION("CONCATENATE(GOOGLETRANSLATE(C177, ""en"", ""ko""))"),"MSI 모던 15 노트북: 13세대 코어 i9-13900H, 32GB RAM, 1TB SSD, 15.6인치 풀 HD IPS 디스플레이, 백라이트 키보드, Windows 11")</f>
        <v>MSI 모던 15 노트북: 13세대 코어 i9-13900H, 32GB RAM, 1TB SSD, 15.6인치 풀 HD IPS 디스플레이, 백라이트 키보드, Windows 11</v>
      </c>
      <c r="F177" s="1" t="str">
        <f>IFERROR(__xludf.DUMMYFUNCTION("CONCATENATE(GOOGLETRANSLATE(C177, ""en"", ""ja""))"),"MSI モダン 15 ラップトップ: 第 13 世代 Core i9-13900H、32GB RAM、1TB SSD、15.6 インチ フル HD IPS ディスプレイ、バックライト付きキーボード、Windows 11")</f>
        <v>MSI モダン 15 ラップトップ: 第 13 世代 Core i9-13900H、32GB RAM、1TB SSD、15.6 インチ フル HD IPS ディスプレイ、バックライト付きキーボード、Windows 11</v>
      </c>
    </row>
    <row r="178" ht="15.75" customHeight="1">
      <c r="A178" s="1">
        <v>7919.0</v>
      </c>
      <c r="B178" s="1" t="s">
        <v>6</v>
      </c>
      <c r="C178" s="1" t="s">
        <v>183</v>
      </c>
      <c r="D178" s="1" t="str">
        <f>IFERROR(__xludf.DUMMYFUNCTION("CONCATENATE(GOOGLETRANSLATE(C178, ""en"", ""zh-cn""))"),"MSI GF63 高级游戏笔记本电脑，15.6 英寸全高清薄边框显示屏，第 10 代英特尔四核 i5-10300H，16GB RAM，1TB SSD，GeForce GTX 1650 4GB，背光键盘，Windows 10，黑色")</f>
        <v>MSI GF63 高级游戏笔记本电脑，15.6 英寸全高清薄边框显示屏，第 10 代英特尔四核 i5-10300H，16GB RAM，1TB SSD，GeForce GTX 1650 4GB，背光键盘，Windows 10，黑色</v>
      </c>
      <c r="E178" s="1" t="str">
        <f>IFERROR(__xludf.DUMMYFUNCTION("CONCATENATE(GOOGLETRANSLATE(C178, ""en"", ""ko""))"),"MSI GF63 프리미엄 게이밍 노트북, 15.6인치 FHD 얇은 베젤 디스플레이, 10세대 인텔 쿼드코어 i5-10300H, 16GB RAM, 1TB SSD, GeForce GTX 1650 4GB, 백라이트 키보드, Windows 10, 블랙")</f>
        <v>MSI GF63 프리미엄 게이밍 노트북, 15.6인치 FHD 얇은 베젤 디스플레이, 10세대 인텔 쿼드코어 i5-10300H, 16GB RAM, 1TB SSD, GeForce GTX 1650 4GB, 백라이트 키보드, Windows 10, 블랙</v>
      </c>
      <c r="F178" s="1" t="str">
        <f>IFERROR(__xludf.DUMMYFUNCTION("CONCATENATE(GOOGLETRANSLATE(C178, ""en"", ""ja""))"),"MSI GF63 プレミアム ゲーミング ノートパソコン、15.6 インチ FHD 薄型ベゼル ディスプレイ、第 10 世代インテル クアッドコア i5-10300H、16GB RAM、1TB SSD、GeForce GTX 1650 4GB、バックライト付きキーボード、Windows 10、ブラック")</f>
        <v>MSI GF63 プレミアム ゲーミング ノートパソコン、15.6 インチ FHD 薄型ベゼル ディスプレイ、第 10 世代インテル クアッドコア i5-10300H、16GB RAM、1TB SSD、GeForce GTX 1650 4GB、バックライト付きキーボード、Windows 10、ブラック</v>
      </c>
    </row>
    <row r="179" ht="15.75" customHeight="1">
      <c r="A179" s="1">
        <v>7925.0</v>
      </c>
      <c r="B179" s="1" t="s">
        <v>6</v>
      </c>
      <c r="C179" s="1" t="s">
        <v>184</v>
      </c>
      <c r="D179" s="1" t="str">
        <f>IFERROR(__xludf.DUMMYFUNCTION("CONCATENATE(GOOGLETRANSLATE(C179, ""en"", ""zh-cn""))"),"MSI GF63 高级游戏笔记本电脑，15.6 英寸 FHD 窄边框显示屏，第 10 代英特尔四核 i5-10300H，32GB RAM，1 TB SSD，GeForce GTX 1650 4GB，背光键盘，Windows 10")</f>
        <v>MSI GF63 高级游戏笔记本电脑，15.6 英寸 FHD 窄边框显示屏，第 10 代英特尔四核 i5-10300H，32GB RAM，1 TB SSD，GeForce GTX 1650 4GB，背光键盘，Windows 10</v>
      </c>
      <c r="E179" s="1" t="str">
        <f>IFERROR(__xludf.DUMMYFUNCTION("CONCATENATE(GOOGLETRANSLATE(C179, ""en"", ""ko""))"),"MSI GF63 프리미엄 게이밍 노트북, 15.6인치 FHD 얇은 베젤 디스플레이, 10세대 인텔 쿼드코어 i5-10300H, 32GB RAM, 1TB SSD, GeForce GTX 1650 4GB, 백라이트 키보드, Windows 10")</f>
        <v>MSI GF63 프리미엄 게이밍 노트북, 15.6인치 FHD 얇은 베젤 디스플레이, 10세대 인텔 쿼드코어 i5-10300H, 32GB RAM, 1TB SSD, GeForce GTX 1650 4GB, 백라이트 키보드, Windows 10</v>
      </c>
      <c r="F179" s="1" t="str">
        <f>IFERROR(__xludf.DUMMYFUNCTION("CONCATENATE(GOOGLETRANSLATE(C179, ""en"", ""ja""))"),"MSI GF63 プレミアム ゲーミング ノートパソコン、15.6 インチ FHD 薄型ベゼル ディスプレイ、第 10 世代インテル クアッドコア i5-10300H、32GB RAM、1 TB SSD、GeForce GTX 1650 4GB、バックライト付きキーボード、Windows 10")</f>
        <v>MSI GF63 プレミアム ゲーミング ノートパソコン、15.6 インチ FHD 薄型ベゼル ディスプレイ、第 10 世代インテル クアッドコア i5-10300H、32GB RAM、1 TB SSD、GeForce GTX 1650 4GB、バックライト付きキーボード、Windows 10</v>
      </c>
    </row>
    <row r="180" ht="15.75" customHeight="1">
      <c r="A180" s="1">
        <v>7960.0</v>
      </c>
      <c r="B180" s="1" t="s">
        <v>6</v>
      </c>
      <c r="C180" s="1" t="s">
        <v>185</v>
      </c>
      <c r="D180" s="1" t="str">
        <f>IFERROR(__xludf.DUMMYFUNCTION("CONCATENATE(GOOGLETRANSLATE(C180, ""en"", ""zh-cn""))"),"微软 Surface Pro 第 11 代触摸屏 13 Snapdragon X Plus 16GB 512GB SSD")</f>
        <v>微软 Surface Pro 第 11 代触摸屏 13 Snapdragon X Plus 16GB 512GB SSD</v>
      </c>
      <c r="E180" s="1" t="str">
        <f>IFERROR(__xludf.DUMMYFUNCTION("CONCATENATE(GOOGLETRANSLATE(C180, ""en"", ""ko""))"),"마이크로소프트 서피스 프로 11세대 터치 13 스냅드래곤 X 플러스 16GB 512GB SSD")</f>
        <v>마이크로소프트 서피스 프로 11세대 터치 13 스냅드래곤 X 플러스 16GB 512GB SSD</v>
      </c>
      <c r="F180" s="1" t="str">
        <f>IFERROR(__xludf.DUMMYFUNCTION("CONCATENATE(GOOGLETRANSLATE(C180, ""en"", ""ja""))"),"Microsoft Surface Pro 第 11 世代 Touch 13 Snapdragon X Plus 16GB 512GB SSD")</f>
        <v>Microsoft Surface Pro 第 11 世代 Touch 13 Snapdragon X Plus 16GB 512GB SSD</v>
      </c>
    </row>
    <row r="181" ht="15.75" customHeight="1">
      <c r="A181" s="1">
        <v>7969.0</v>
      </c>
      <c r="B181" s="1" t="s">
        <v>6</v>
      </c>
      <c r="C181" s="1" t="s">
        <v>186</v>
      </c>
      <c r="D181" s="1" t="str">
        <f>IFERROR(__xludf.DUMMYFUNCTION("CONCATENATE(GOOGLETRANSLATE(C181, ""en"", ""zh-cn""))"),"微软 Surface Pro 11 13 英寸 Snapdragon X Plus 16GB DDR5 256GB SSD Windows 11")</f>
        <v>微软 Surface Pro 11 13 英寸 Snapdragon X Plus 16GB DDR5 256GB SSD Windows 11</v>
      </c>
      <c r="E181" s="1" t="str">
        <f>IFERROR(__xludf.DUMMYFUNCTION("CONCATENATE(GOOGLETRANSLATE(C181, ""en"", ""ko""))"),"마이크로소프트 서피스 프로 11 13인치 스냅드래곤 X 플러스 16GB DDR5 256GB SSD 윈도우 11")</f>
        <v>마이크로소프트 서피스 프로 11 13인치 스냅드래곤 X 플러스 16GB DDR5 256GB SSD 윈도우 11</v>
      </c>
      <c r="F181" s="1" t="str">
        <f>IFERROR(__xludf.DUMMYFUNCTION("CONCATENATE(GOOGLETRANSLATE(C181, ""en"", ""ja""))"),"Microsoft Surface Pro 11 13インチ Snapdragon X Plus 16GB DDR5 256GB SSD Windows 11")</f>
        <v>Microsoft Surface Pro 11 13インチ Snapdragon X Plus 16GB DDR5 256GB SSD Windows 11</v>
      </c>
    </row>
    <row r="182" ht="15.75" customHeight="1">
      <c r="A182" s="1">
        <v>7972.0</v>
      </c>
      <c r="B182" s="1" t="s">
        <v>6</v>
      </c>
      <c r="C182" s="1" t="s">
        <v>187</v>
      </c>
      <c r="D182" s="1" t="str">
        <f>IFERROR(__xludf.DUMMYFUNCTION("CONCATENATE(GOOGLETRANSLATE(C182, ""en"", ""zh-cn""))"),"微软 Surface 笔记本电脑 3 触摸屏 i7-1065G7 32GB RAM 1TB SSD 15"" 黑色 Win")</f>
        <v>微软 Surface 笔记本电脑 3 触摸屏 i7-1065G7 32GB RAM 1TB SSD 15" 黑色 Win</v>
      </c>
      <c r="E182" s="1" t="str">
        <f>IFERROR(__xludf.DUMMYFUNCTION("CONCATENATE(GOOGLETRANSLATE(C182, ""en"", ""ko""))"),"마이크로소프트 서피스 노트북 3 터치스크린 i7-1065G7 32GB RAM 1TB SSD 15인치 블랙 윈도우")</f>
        <v>마이크로소프트 서피스 노트북 3 터치스크린 i7-1065G7 32GB RAM 1TB SSD 15인치 블랙 윈도우</v>
      </c>
      <c r="F182" s="1" t="str">
        <f>IFERROR(__xludf.DUMMYFUNCTION("CONCATENATE(GOOGLETRANSLATE(C182, ""en"", ""ja""))"),"Microsoft Surface Laptop 3 タッチスクリーン i7-1065G7 32GB RAM 1TB SSD 15 インチ ブラック Win")</f>
        <v>Microsoft Surface Laptop 3 タッチスクリーン i7-1065G7 32GB RAM 1TB SSD 15 インチ ブラック Win</v>
      </c>
    </row>
    <row r="183" ht="15.75" customHeight="1">
      <c r="A183" s="1">
        <v>7986.0</v>
      </c>
      <c r="B183" s="1" t="s">
        <v>6</v>
      </c>
      <c r="C183" s="1" t="s">
        <v>188</v>
      </c>
      <c r="D183" s="1" t="str">
        <f>IFERROR(__xludf.DUMMYFUNCTION("CONCATENATE(GOOGLETRANSLATE(C183, ""en"", ""zh-cn""))"),"新上市")</f>
        <v>新上市</v>
      </c>
      <c r="E183" s="1" t="str">
        <f>IFERROR(__xludf.DUMMYFUNCTION("CONCATENATE(GOOGLETRANSLATE(C183, ""en"", ""ko""))"),"새 목록")</f>
        <v>새 목록</v>
      </c>
      <c r="F183" s="1" t="str">
        <f>IFERROR(__xludf.DUMMYFUNCTION("CONCATENATE(GOOGLETRANSLATE(C183, ""en"", ""ja""))"),"新規上場")</f>
        <v>新規上場</v>
      </c>
    </row>
    <row r="184" ht="15.75" customHeight="1">
      <c r="A184" s="1">
        <v>7995.0</v>
      </c>
      <c r="B184" s="1" t="s">
        <v>6</v>
      </c>
      <c r="C184" s="1" t="s">
        <v>188</v>
      </c>
      <c r="D184" s="1" t="str">
        <f>IFERROR(__xludf.DUMMYFUNCTION("CONCATENATE(GOOGLETRANSLATE(C184, ""en"", ""zh-cn""))"),"新上市")</f>
        <v>新上市</v>
      </c>
      <c r="E184" s="1" t="str">
        <f>IFERROR(__xludf.DUMMYFUNCTION("CONCATENATE(GOOGLETRANSLATE(C184, ""en"", ""ko""))"),"새 목록")</f>
        <v>새 목록</v>
      </c>
      <c r="F184" s="1" t="str">
        <f>IFERROR(__xludf.DUMMYFUNCTION("CONCATENATE(GOOGLETRANSLATE(C184, ""en"", ""ja""))"),"新規上場")</f>
        <v>新規上場</v>
      </c>
    </row>
    <row r="185" ht="15.75" customHeight="1">
      <c r="A185" s="1">
        <v>8004.0</v>
      </c>
      <c r="B185" s="1" t="s">
        <v>6</v>
      </c>
      <c r="C185" s="1" t="s">
        <v>189</v>
      </c>
      <c r="D185" s="1" t="str">
        <f>IFERROR(__xludf.DUMMYFUNCTION("CONCATENATE(GOOGLETRANSLATE(C185, ""en"", ""zh-cn""))"),"全新微软 Surface Book 3 13.5 英寸 512GB i7-1065G7 32GB GTX 1650 笔记本电脑")</f>
        <v>全新微软 Surface Book 3 13.5 英寸 512GB i7-1065G7 32GB GTX 1650 笔记本电脑</v>
      </c>
      <c r="E185" s="1" t="str">
        <f>IFERROR(__xludf.DUMMYFUNCTION("CONCATENATE(GOOGLETRANSLATE(C185, ""en"", ""ko""))"),"신품 마이크로소프트 서피스 북 3 13.5인치 512GB i7-1065G7 32GB GTX 1650 노트북")</f>
        <v>신품 마이크로소프트 서피스 북 3 13.5인치 512GB i7-1065G7 32GB GTX 1650 노트북</v>
      </c>
      <c r="F185" s="1" t="str">
        <f>IFERROR(__xludf.DUMMYFUNCTION("CONCATENATE(GOOGLETRANSLATE(C185, ""en"", ""ja""))"),"新しい Microsoft Surface Book 3 13.5"" 512GB i7-1065G7 32GB GTX 1650 ラップトップ")</f>
        <v>新しい Microsoft Surface Book 3 13.5" 512GB i7-1065G7 32GB GTX 1650 ラップトップ</v>
      </c>
    </row>
    <row r="186" ht="15.75" customHeight="1">
      <c r="A186" s="1">
        <v>8016.0</v>
      </c>
      <c r="B186" s="1" t="s">
        <v>6</v>
      </c>
      <c r="C186" s="1" t="s">
        <v>190</v>
      </c>
      <c r="D186" s="1" t="str">
        <f>IFERROR(__xludf.DUMMYFUNCTION("CONCATENATE(GOOGLETRANSLATE(C186, ""en"", ""zh-cn""))"),"联想 V 系列 V15 商务笔记本电脑，15.6 英寸 FHD 显示屏，AMD Ryzen 7 7730U，40GB RAM，1TB SSD，数字键盘，HDMI，RJ45，网络摄像头，Wi-Fi，Windows 11 Pro，黑色")</f>
        <v>联想 V 系列 V15 商务笔记本电脑，15.6 英寸 FHD 显示屏，AMD Ryzen 7 7730U，40GB RAM，1TB SSD，数字键盘，HDMI，RJ45，网络摄像头，Wi-Fi，Windows 11 Pro，黑色</v>
      </c>
      <c r="E186" s="1" t="str">
        <f>IFERROR(__xludf.DUMMYFUNCTION("CONCATENATE(GOOGLETRANSLATE(C186, ""en"", ""ko""))"),"Lenovo V-시리즈 V15 비즈니스 노트북, 15.6인치 FHD 디스플레이, AMD Ryzen 7 7730U, 40GB RAM, 1TB SSD, 숫자 키패드, HDMI, RJ45, 웹캠, Wi-Fi, Windows 11 Pro, 블랙")</f>
        <v>Lenovo V-시리즈 V15 비즈니스 노트북, 15.6인치 FHD 디스플레이, AMD Ryzen 7 7730U, 40GB RAM, 1TB SSD, 숫자 키패드, HDMI, RJ45, 웹캠, Wi-Fi, Windows 11 Pro, 블랙</v>
      </c>
      <c r="F186" s="1" t="str">
        <f>IFERROR(__xludf.DUMMYFUNCTION("CONCATENATE(GOOGLETRANSLATE(C186, ""en"", ""ja""))"),"Lenovo V シリーズ V15 ビジネス ノートパソコン、15.6 インチ FHD ディスプレイ、AMD Ryzen 7 7730U、40GB RAM、1TB SSD、テンキー、HDMI、RJ45、ウェブカメラ、Wi-Fi、Windows 11 Pro、ブラック")</f>
        <v>Lenovo V シリーズ V15 ビジネス ノートパソコン、15.6 インチ FHD ディスプレイ、AMD Ryzen 7 7730U、40GB RAM、1TB SSD、テンキー、HDMI、RJ45、ウェブカメラ、Wi-Fi、Windows 11 Pro、ブラック</v>
      </c>
    </row>
    <row r="187" ht="15.75" customHeight="1">
      <c r="A187" s="1">
        <v>8030.0</v>
      </c>
      <c r="B187" s="1" t="s">
        <v>6</v>
      </c>
      <c r="C187" s="1" t="s">
        <v>191</v>
      </c>
      <c r="D187" s="1" t="str">
        <f>IFERROR(__xludf.DUMMYFUNCTION("CONCATENATE(GOOGLETRANSLATE(C187, ""en"", ""zh-cn""))"),"戴尔 M74F6 Latitude 7390 笔记本电脑，配备英特尔 i5-8350U、8GB 256GB SSD、13.3 英寸")</f>
        <v>戴尔 M74F6 Latitude 7390 笔记本电脑，配备英特尔 i5-8350U、8GB 256GB SSD、13.3 英寸</v>
      </c>
      <c r="E187" s="1" t="str">
        <f>IFERROR(__xludf.DUMMYFUNCTION("CONCATENATE(GOOGLETRANSLATE(C187, ""en"", ""ko""))"),"인텔 i5-8350U 탑재 델 M74F6 래티튜드 7390 노트북, 8GB 256GB SSD, 13.3인치")</f>
        <v>인텔 i5-8350U 탑재 델 M74F6 래티튜드 7390 노트북, 8GB 256GB SSD, 13.3인치</v>
      </c>
      <c r="F187" s="1" t="str">
        <f>IFERROR(__xludf.DUMMYFUNCTION("CONCATENATE(GOOGLETRANSLATE(C187, ""en"", ""ja""))"),"Intel i5-8350U、8GB 256GB SSD、13.3 インチを搭載した Dell M74F6 Latitude 7390 ノートブック")</f>
        <v>Intel i5-8350U、8GB 256GB SSD、13.3 インチを搭載した Dell M74F6 Latitude 7390 ノートブック</v>
      </c>
    </row>
    <row r="188" ht="15.75" customHeight="1">
      <c r="A188" s="1">
        <v>8034.0</v>
      </c>
      <c r="B188" s="1" t="s">
        <v>6</v>
      </c>
      <c r="C188" s="1" t="s">
        <v>192</v>
      </c>
      <c r="D188" s="1" t="str">
        <f>IFERROR(__xludf.DUMMYFUNCTION("CONCATENATE(GOOGLETRANSLATE(C188, ""en"", ""zh-cn""))"),"戴尔笔记本电脑|灵越 14 | 14 英寸 1920 x 1200 LED 背光 | AMD Ryzen 7 5825U 8 核 | 8GB DDR4 | 512GB SSD | Windows 11 主页 | Wi-Fi 6 - 蓝牙 5.2 - 背光 KB - 720p 高清摄像头 - 卵石绿")</f>
        <v>戴尔笔记本电脑|灵越 14 | 14 英寸 1920 x 1200 LED 背光 | AMD Ryzen 7 5825U 8 核 | 8GB DDR4 | 512GB SSD | Windows 11 主页 | Wi-Fi 6 - 蓝牙 5.2 - 背光 KB - 720p 高清摄像头 - 卵石绿</v>
      </c>
      <c r="E188" s="1" t="str">
        <f>IFERROR(__xludf.DUMMYFUNCTION("CONCATENATE(GOOGLETRANSLATE(C188, ""en"", ""ko""))"),"델 노트북 | 인스피론 14 | 14인치 1920 x 1200 LED 백라이트 | AMD Ryzen 7 5825U 8코어 | 8GB DDR4 | 512GB SSD | Windows 11 Home | Wi-Fi 6 - Bluetooth 5.2 - 백라이트 KB - 720p HD 카메라 - 페블 그린")</f>
        <v>델 노트북 | 인스피론 14 | 14인치 1920 x 1200 LED 백라이트 | AMD Ryzen 7 5825U 8코어 | 8GB DDR4 | 512GB SSD | Windows 11 Home | Wi-Fi 6 - Bluetooth 5.2 - 백라이트 KB - 720p HD 카메라 - 페블 그린</v>
      </c>
      <c r="F188" s="1" t="str">
        <f>IFERROR(__xludf.DUMMYFUNCTION("CONCATENATE(GOOGLETRANSLATE(C188, ""en"", ""ja""))"),"デルのノートパソコン | Inspiron 14 | 14 インチ 1920 x 1200 LED バックライト付き | AMD Ryzen 7 5825U 8 コア | 8GB DDR4 | 512GB SSD | Windows 11 Home | Wi-Fi 6 - Bluetooth 5.2 - バックライト付き KB - 720p HD カメラ - ペブルグリーン")</f>
        <v>デルのノートパソコン | Inspiron 14 | 14 インチ 1920 x 1200 LED バックライト付き | AMD Ryzen 7 5825U 8 コア | 8GB DDR4 | 512GB SSD | Windows 11 Home | Wi-Fi 6 - Bluetooth 5.2 - バックライト付き KB - 720p HD カメラ - ペブルグリーン</v>
      </c>
    </row>
    <row r="189" ht="15.75" customHeight="1">
      <c r="A189" s="1">
        <v>8044.0</v>
      </c>
      <c r="B189" s="1" t="s">
        <v>6</v>
      </c>
      <c r="C189" s="1" t="s">
        <v>193</v>
      </c>
      <c r="D189" s="1" t="str">
        <f>IFERROR(__xludf.DUMMYFUNCTION("CONCATENATE(GOOGLETRANSLATE(C189, ""en"", ""zh-cn""))"),"戴尔 H865W Precision 7710 移动笔记本电脑，17.3 英寸 FHD，英特尔酷睿 i7-6820HQ，8GB DDR4，256GB SSD，Windows 10 Pro（更新版）")</f>
        <v>戴尔 H865W Precision 7710 移动笔记本电脑，17.3 英寸 FHD，英特尔酷睿 i7-6820HQ，8GB DDR4，256GB SSD，Windows 10 Pro（更新版）</v>
      </c>
      <c r="E189" s="1" t="str">
        <f>IFERROR(__xludf.DUMMYFUNCTION("CONCATENATE(GOOGLETRANSLATE(C189, ""en"", ""ko""))"),"DELL H865W 프리시전 7710 모바일 노트북, 17.3인치 FHD, 인텔 코어 i7-6820HQ, 8GB DDR4, 256GB SSD, 윈도우 10 프로(리뉴얼)")</f>
        <v>DELL H865W 프리시전 7710 모바일 노트북, 17.3인치 FHD, 인텔 코어 i7-6820HQ, 8GB DDR4, 256GB SSD, 윈도우 10 프로(리뉴얼)</v>
      </c>
      <c r="F189" s="1" t="str">
        <f>IFERROR(__xludf.DUMMYFUNCTION("CONCATENATE(GOOGLETRANSLATE(C189, ""en"", ""ja""))"),"DELL H865W Precision 7710 モバイル ラップトップ、17.3 インチ FHD、Intel Core i7-6820HQ、8GB DDR4、256GB SSD、Windows 10 Pro (リニューアル)")</f>
        <v>DELL H865W Precision 7710 モバイル ラップトップ、17.3 インチ FHD、Intel Core i7-6820HQ、8GB DDR4、256GB SSD、Windows 10 Pro (リニューアル)</v>
      </c>
    </row>
    <row r="190" ht="15.75" customHeight="1">
      <c r="A190" s="1">
        <v>8054.0</v>
      </c>
      <c r="B190" s="1" t="s">
        <v>6</v>
      </c>
      <c r="C190" s="1" t="s">
        <v>194</v>
      </c>
      <c r="D190" s="1" t="str">
        <f>IFERROR(__xludf.DUMMYFUNCTION("CONCATENATE(GOOGLETRANSLATE(C190, ""en"", ""zh-cn""))"),"戴尔 Inspiron 灵越 15 3000 个人笔记本电脑，2024 年，15.6 英寸 1920 x 1080 120Hz IPS，AMD Ryzen 5 7520U 4 核，AMD Radeon 显卡，8GB LPDDR5，1TB SSD，Win10 Home，Wi-Fi 5，BT 5，720p 高清摄像头，炭黑")</f>
        <v>戴尔 Inspiron 灵越 15 3000 个人笔记本电脑，2024 年，15.6 英寸 1920 x 1080 120Hz IPS，AMD Ryzen 5 7520U 4 核，AMD Radeon 显卡，8GB LPDDR5，1TB SSD，Win10 Home，Wi-Fi 5，BT 5，720p 高清摄像头，炭黑</v>
      </c>
      <c r="E190" s="1" t="str">
        <f>IFERROR(__xludf.DUMMYFUNCTION("CONCATENATE(GOOGLETRANSLATE(C190, ""en"", ""ko""))"),"Dell Inspiron 15 3000 개인용 노트북, 2024, 15.6인치 1920 x 1080 120Hz IPS, AMD Ryzen 5 7520U 4코어, AMD Radeon 그래픽, 8GB LPDDR5, 1TB SSD, Win10 Home, Wi-Fi 5, BT 5, 720p HD 카메라, 카본 블랙")</f>
        <v>Dell Inspiron 15 3000 개인용 노트북, 2024, 15.6인치 1920 x 1080 120Hz IPS, AMD Ryzen 5 7520U 4코어, AMD Radeon 그래픽, 8GB LPDDR5, 1TB SSD, Win10 Home, Wi-Fi 5, BT 5, 720p HD 카메라, 카본 블랙</v>
      </c>
      <c r="F190" s="1" t="str">
        <f>IFERROR(__xludf.DUMMYFUNCTION("CONCATENATE(GOOGLETRANSLATE(C190, ""en"", ""ja""))"),"Dell Inspiron 15 3000 パーソナル ラップトップ、2024、15.6 インチ 1920 x 1080 120Hz IPS、AMD Ryzen 5 7520U 4 コア、AMD Radeon グラフィックス、8GB LPDDR5、1TB SSD、Win10 Home、Wi-Fi 5、BT 5、720p HD カメラ、カーボン ブラック")</f>
        <v>Dell Inspiron 15 3000 パーソナル ラップトップ、2024、15.6 インチ 1920 x 1080 120Hz IPS、AMD Ryzen 5 7520U 4 コア、AMD Radeon グラフィックス、8GB LPDDR5、1TB SSD、Win10 Home、Wi-Fi 5、BT 5、720p HD カメラ、カーボン ブラック</v>
      </c>
    </row>
    <row r="191" ht="15.75" customHeight="1">
      <c r="A191" s="1">
        <v>8108.0</v>
      </c>
      <c r="B191" s="1" t="s">
        <v>6</v>
      </c>
      <c r="C191" s="1" t="s">
        <v>195</v>
      </c>
      <c r="D191" s="1" t="str">
        <f>IFERROR(__xludf.DUMMYFUNCTION("CONCATENATE(GOOGLETRANSLATE(C191, ""en"", ""zh-cn""))"),"Apple 2024 MacBook Pro 笔记本电脑，配备 M4 Pro、14 核 CPU、20 核 GPU：专为 Apple Intelligence 打造、14.2 英寸 Liquid Retina XDR 显示屏、24GB 统一内存、1TB SSD 存储；深空黑")</f>
        <v>Apple 2024 MacBook Pro 笔记本电脑，配备 M4 Pro、14 核 CPU、20 核 GPU：专为 Apple Intelligence 打造、14.2 英寸 Liquid Retina XDR 显示屏、24GB 统一内存、1TB SSD 存储；深空黑</v>
      </c>
      <c r="E191" s="1" t="str">
        <f>IFERROR(__xludf.DUMMYFUNCTION("CONCATENATE(GOOGLETRANSLATE(C191, ""en"", ""ko""))"),"M4 Pro, 14코어 CPU, 20코어 GPU를 탑재한 Apple 2024 MacBook Pro 노트북: Apple Intelligence용으로 제작, 14.2인치 Liquid Retina XDR 디스플레이, 24GB 통합 메모리, 1TB SSD 스토리지; 스페이스 블랙")</f>
        <v>M4 Pro, 14코어 CPU, 20코어 GPU를 탑재한 Apple 2024 MacBook Pro 노트북: Apple Intelligence용으로 제작, 14.2인치 Liquid Retina XDR 디스플레이, 24GB 통합 메모리, 1TB SSD 스토리지; 스페이스 블랙</v>
      </c>
      <c r="F191" s="1" t="str">
        <f>IFERROR(__xludf.DUMMYFUNCTION("CONCATENATE(GOOGLETRANSLATE(C191, ""en"", ""ja""))"),"Apple 2024 MacBook Pro ラップトップ、M4 Pro、14 コア CPU、20 コア GPU: Apple Intelligence 用に構築、14.2 インチ Liquid Retina XDR ディスプレイ、24 GB ユニファイド メモリ、1 TB SSD ストレージ。スペースブラック")</f>
        <v>Apple 2024 MacBook Pro ラップトップ、M4 Pro、14 コア CPU、20 コア GPU: Apple Intelligence 用に構築、14.2 インチ Liquid Retina XDR ディスプレイ、24 GB ユニファイド メモリ、1 TB SSD ストレージ。スペースブラック</v>
      </c>
    </row>
    <row r="192" ht="15.75" customHeight="1">
      <c r="A192" s="1">
        <v>7776.0</v>
      </c>
      <c r="B192" s="1" t="s">
        <v>6</v>
      </c>
      <c r="C192" s="1" t="s">
        <v>196</v>
      </c>
      <c r="D192" s="1" t="str">
        <f>IFERROR(__xludf.DUMMYFUNCTION("CONCATENATE(GOOGLETRANSLATE(C192, ""en"", ""zh-cn""))"),"佳能 PIXMA TS6420a 一体化无线喷墨打印机 [打印、复印、扫描]，黑色，与 Alexa 兼容")</f>
        <v>佳能 PIXMA TS6420a 一体化无线喷墨打印机 [打印、复印、扫描]，黑色，与 Alexa 兼容</v>
      </c>
      <c r="E192" s="1" t="str">
        <f>IFERROR(__xludf.DUMMYFUNCTION("CONCATENATE(GOOGLETRANSLATE(C192, ""en"", ""ko""))"),"Canon PIXMA TS6420a 올인원 무선 잉크젯 프린터[인쇄,복사,스캔], 검정색, Alexa와 작동")</f>
        <v>Canon PIXMA TS6420a 올인원 무선 잉크젯 프린터[인쇄,복사,스캔], 검정색, Alexa와 작동</v>
      </c>
      <c r="F192" s="1" t="str">
        <f>IFERROR(__xludf.DUMMYFUNCTION("CONCATENATE(GOOGLETRANSLATE(C192, ""en"", ""ja""))"),"Canon PIXUS TS6420a オールインワンワイヤレスインクジェットプリンター [プリント/コピー/スキャン] ブラック、Alexa対応")</f>
        <v>Canon PIXUS TS6420a オールインワンワイヤレスインクジェットプリンター [プリント/コピー/スキャン] ブラック、Alexa対応</v>
      </c>
    </row>
    <row r="193" ht="15.75" customHeight="1">
      <c r="A193" s="1">
        <v>7785.0</v>
      </c>
      <c r="B193" s="1" t="s">
        <v>6</v>
      </c>
      <c r="C193" s="1" t="s">
        <v>197</v>
      </c>
      <c r="D193" s="1" t="str">
        <f>IFERROR(__xludf.DUMMYFUNCTION("CONCATENATE(GOOGLETRANSLATE(C193, ""en"", ""zh-cn""))"),"佳能 PGI-280XL PGBK 兼容 TR7520、TR8520、TR8620、TS6120、TS6220、TS6320、TS702、TS8120、TS8220、TS8320、TS9120、TS9520 打印机")</f>
        <v>佳能 PGI-280XL PGBK 兼容 TR7520、TR8520、TR8620、TS6120、TS6220、TS6320、TS702、TS8120、TS8220、TS8320、TS9120、TS9520 打印机</v>
      </c>
      <c r="E193" s="1" t="str">
        <f>IFERROR(__xludf.DUMMYFUNCTION("CONCATENATE(GOOGLETRANSLATE(C193, ""en"", ""ko""))"),"TR7520,TR8520,TR8620,TS6120,TS6220,TS6320,TS702,TS8120,TS8220,TS8320,TS9120,TS9520 프린터와 호환되는 Canon PGI-280XL PGBK")</f>
        <v>TR7520,TR8520,TR8620,TS6120,TS6220,TS6320,TS702,TS8120,TS8220,TS8320,TS9120,TS9520 프린터와 호환되는 Canon PGI-280XL PGBK</v>
      </c>
      <c r="F193" s="1" t="str">
        <f>IFERROR(__xludf.DUMMYFUNCTION("CONCATENATE(GOOGLETRANSLATE(C193, ""en"", ""ja""))"),"Canon PGI-280XL PGBK TR7520、TR8520、TR8620、TS6120、TS6220、TS6320、TS702、TS8120、TS8220、TS8320、TS9120、TS9520 プリンターに対応")</f>
        <v>Canon PGI-280XL PGBK TR7520、TR8520、TR8620、TS6120、TS6220、TS6320、TS702、TS8120、TS8220、TS8320、TS9120、TS9520 プリンターに対応</v>
      </c>
    </row>
    <row r="194" ht="15.75" customHeight="1">
      <c r="A194" s="1">
        <v>7824.0</v>
      </c>
      <c r="B194" s="1" t="s">
        <v>6</v>
      </c>
      <c r="C194" s="1" t="s">
        <v>198</v>
      </c>
      <c r="D194" s="1" t="str">
        <f>IFERROR(__xludf.DUMMYFUNCTION("CONCATENATE(GOOGLETRANSLATE(C194, ""en"", ""zh-cn""))"),"HP 64XL 三色高印量墨盒 |与 HP ENVY Inspire 7950e 配合使用； ENVY 照片 6200、7100、7800；探戈系列|符合 Instant Ink 条件 | N9J91AN")</f>
        <v>HP 64XL 三色高印量墨盒 |与 HP ENVY Inspire 7950e 配合使用； ENVY 照片 6200、7100、7800；探戈系列|符合 Instant Ink 条件 | N9J91AN</v>
      </c>
      <c r="E194" s="1" t="str">
        <f>IFERROR(__xludf.DUMMYFUNCTION("CONCATENATE(GOOGLETRANSLATE(C194, ""en"", ""ko""))"),"HP 64XL 3색 대용량 잉크 카트리지 | HP ENVY Inspire 7950e와 함께 작동합니다. ENVY 사진 6200, 7100, 7800; 탱고 시리즈 | 인스턴트 잉크 사용 가능 | N9J91AN")</f>
        <v>HP 64XL 3색 대용량 잉크 카트리지 | HP ENVY Inspire 7950e와 함께 작동합니다. ENVY 사진 6200, 7100, 7800; 탱고 시리즈 | 인스턴트 잉크 사용 가능 | N9J91AN</v>
      </c>
      <c r="F194" s="1" t="str">
        <f>IFERROR(__xludf.DUMMYFUNCTION("CONCATENATE(GOOGLETRANSLATE(C194, ""en"", ""ja""))"),"HP 64XL 3 色高収量インク カートリッジ | HP ENVY Inspire 7950e で動作します。羨望の写真 6200、7100、7800;タンゴシリーズ | Instant Ink の対象 | N9J91AN")</f>
        <v>HP 64XL 3 色高収量インク カートリッジ | HP ENVY Inspire 7950e で動作します。羨望の写真 6200、7100、7800;タンゴシリーズ | Instant Ink の対象 | N9J91AN</v>
      </c>
    </row>
    <row r="195" ht="15.75" customHeight="1">
      <c r="A195" s="1">
        <v>7827.0</v>
      </c>
      <c r="B195" s="1" t="s">
        <v>6</v>
      </c>
      <c r="C195" s="1" t="s">
        <v>199</v>
      </c>
      <c r="D195" s="1" t="str">
        <f>IFERROR(__xludf.DUMMYFUNCTION("CONCATENATE(GOOGLETRANSLATE(C195, ""en"", ""zh-cn""))"),"惠普 206A 黑色碳粉盒 |适用于 HP Color LaserJet Pro M255、HP Color LaserJet Pro MFP M282、M283 系列 | W2110A，1 件（1 件装）")</f>
        <v>惠普 206A 黑色碳粉盒 |适用于 HP Color LaserJet Pro M255、HP Color LaserJet Pro MFP M282、M283 系列 | W2110A，1 件（1 件装）</v>
      </c>
      <c r="E195" s="1" t="str">
        <f>IFERROR(__xludf.DUMMYFUNCTION("CONCATENATE(GOOGLETRANSLATE(C195, ""en"", ""ko""))"),"HP 206A 검정 토너 카트리지 | HP 컬러 레이저젯 프로 M255, HP 컬러 레이저젯 프로 MFP M282, M283 시리즈와 함께 작동 | W2110A , 1개(1팩)")</f>
        <v>HP 206A 검정 토너 카트리지 | HP 컬러 레이저젯 프로 M255, HP 컬러 레이저젯 프로 MFP M282, M283 시리즈와 함께 작동 | W2110A , 1개(1팩)</v>
      </c>
      <c r="F195" s="1" t="str">
        <f>IFERROR(__xludf.DUMMYFUNCTION("CONCATENATE(GOOGLETRANSLATE(C195, ""en"", ""ja""))"),"HP 206A ブラック トナー カートリッジ | HP Color LaserJet Pro M255、HP Color LaserJet Pro MFP M282、M283 シリーズで動作 | W2110A 1個入（1個入り）")</f>
        <v>HP 206A ブラック トナー カートリッジ | HP Color LaserJet Pro M255、HP Color LaserJet Pro MFP M282、M283 シリーズで動作 | W2110A 1個入（1個入り）</v>
      </c>
    </row>
    <row r="196" ht="15.75" customHeight="1">
      <c r="A196" s="1">
        <v>7828.0</v>
      </c>
      <c r="B196" s="1" t="s">
        <v>6</v>
      </c>
      <c r="C196" s="1" t="s">
        <v>200</v>
      </c>
      <c r="D196" s="1" t="str">
        <f>IFERROR(__xludf.DUMMYFUNCTION("CONCATENATE(GOOGLETRANSLATE(C196, ""en"", ""zh-cn""))"),"原装 HP 67 三色/67XL 黑色墨盒（2 件装）|适用于 HP DeskJet 1255、2700、4100 系列；惠普 ENVY 6000、6400 系列 |符合 Instant Ink 条件 | 3YP30AN")</f>
        <v>原装 HP 67 三色/67XL 黑色墨盒（2 件装）|适用于 HP DeskJet 1255、2700、4100 系列；惠普 ENVY 6000、6400 系列 |符合 Instant Ink 条件 | 3YP30AN</v>
      </c>
      <c r="E196" s="1" t="str">
        <f>IFERROR(__xludf.DUMMYFUNCTION("CONCATENATE(GOOGLETRANSLATE(C196, ""en"", ""ko""))"),"정품 HP 67 3색/67XL 검정 잉크 카트리지(2팩) | HP DeskJet 1255, 2700, 4100 시리즈와 함께 작동합니다. HP ENVY 6000, 6400 시리즈 | 인스턴트 잉크 사용 가능 | 3YP30AN")</f>
        <v>정품 HP 67 3색/67XL 검정 잉크 카트리지(2팩) | HP DeskJet 1255, 2700, 4100 시리즈와 함께 작동합니다. HP ENVY 6000, 6400 시리즈 | 인스턴트 잉크 사용 가능 | 3YP30AN</v>
      </c>
      <c r="F196" s="1" t="str">
        <f>IFERROR(__xludf.DUMMYFUNCTION("CONCATENATE(GOOGLETRANSLATE(C196, ""en"", ""ja""))"),"オリジナル HP 67 トリカラー / 67XL ブラック インク カートリッジ (2 パック) | HP DeskJet 1255、2700、4100 シリーズで動作します。 HP ENVY 6000、6400 シリーズ | Instant Ink の対象 | 3YP30AN")</f>
        <v>オリジナル HP 67 トリカラー / 67XL ブラック インク カートリッジ (2 パック) | HP DeskJet 1255、2700、4100 シリーズで動作します。 HP ENVY 6000、6400 シリーズ | Instant Ink の対象 | 3YP30AN</v>
      </c>
    </row>
    <row r="197" ht="15.75" customHeight="1">
      <c r="A197" s="1">
        <v>7851.0</v>
      </c>
      <c r="B197" s="1" t="s">
        <v>6</v>
      </c>
      <c r="C197" s="1" t="s">
        <v>201</v>
      </c>
      <c r="D197" s="1" t="str">
        <f>IFERROR(__xludf.DUMMYFUNCTION("CONCATENATE(GOOGLETRANSLATE(C197, ""en"", ""zh-cn""))"),"Brother P-Touch PTD220 家庭/办公室日常标签制作器 |打印高达 ~1/2 英寸的白色 TZe 标签带")</f>
        <v>Brother P-Touch PTD220 家庭/办公室日常标签制作器 |打印高达 ~1/2 英寸的白色 TZe 标签带</v>
      </c>
      <c r="E197" s="1" t="str">
        <f>IFERROR(__xludf.DUMMYFUNCTION("CONCATENATE(GOOGLETRANSLATE(C197, ""en"", ""ko""))"),"브라더 P-Touch PTD220 가정/사무실 일상용 라벨 메이커 | TZe 라벨 테이프를 최대 1/2인치 흰색까지 인쇄합니다.")</f>
        <v>브라더 P-Touch PTD220 가정/사무실 일상용 라벨 메이커 | TZe 라벨 테이프를 최대 1/2인치 흰색까지 인쇄합니다.</v>
      </c>
      <c r="F197" s="1" t="str">
        <f>IFERROR(__xludf.DUMMYFUNCTION("CONCATENATE(GOOGLETRANSLATE(C197, ""en"", ""ja""))"),"ブラザー ピータッチ PTD220 家庭/オフィス用日常ラベルメーカー |最大約 1/2 インチの TZe ラベルテープを白色で印刷")</f>
        <v>ブラザー ピータッチ PTD220 家庭/オフィス用日常ラベルメーカー |最大約 1/2 インチの TZe ラベルテープを白色で印刷</v>
      </c>
    </row>
    <row r="198" ht="15.75" customHeight="1">
      <c r="A198" s="1">
        <v>7855.0</v>
      </c>
      <c r="B198" s="1" t="s">
        <v>6</v>
      </c>
      <c r="C198" s="1" t="s">
        <v>202</v>
      </c>
      <c r="D198" s="1" t="str">
        <f>IFERROR(__xludf.DUMMYFUNCTION("CONCATENATE(GOOGLETRANSLATE(C198, ""en"", ""zh-cn""))"),"Brother HL-L2460DW 无线紧凑型黑白激光打印机，具有双面、移动打印、黑白输出功能| Brother包括刷新订阅试用版 (1)、Amazon Dash 补充就绪")</f>
        <v>Brother HL-L2460DW 无线紧凑型黑白激光打印机，具有双面、移动打印、黑白输出功能| Brother包括刷新订阅试用版 (1)、Amazon Dash 补充就绪</v>
      </c>
      <c r="E198" s="1" t="str">
        <f>IFERROR(__xludf.DUMMYFUNCTION("CONCATENATE(GOOGLETRANSLATE(C198, ""en"", ""ko""))"),"Brother HL-L2460DW 양면, 모바일 인쇄, 흑백 출력 기능을 갖춘 무선 소형 흑백 레이저 프린터 | 새로 고침 구독 평가판(1), Amazon Dash 보충 준비 포함")</f>
        <v>Brother HL-L2460DW 양면, 모바일 인쇄, 흑백 출력 기능을 갖춘 무선 소형 흑백 레이저 프린터 | 새로 고침 구독 평가판(1), Amazon Dash 보충 준비 포함</v>
      </c>
      <c r="F198" s="1" t="str">
        <f>IFERROR(__xludf.DUMMYFUNCTION("CONCATENATE(GOOGLETRANSLATE(C198, ""en"", ""ja""))"),"Brother HL-L2460DW ワイヤレスコンパクトモノクロレーザープリンター、両面印刷、モバイル印刷、白黒出力 |リフレッシュ サブスクリプション トライアル (1) が含まれており、Amazon Dash Replenishment 対応")</f>
        <v>Brother HL-L2460DW ワイヤレスコンパクトモノクロレーザープリンター、両面印刷、モバイル印刷、白黒出力 |リフレッシュ サブスクリプション トライアル (1) が含まれており、Amazon Dash Replenishment 対応</v>
      </c>
    </row>
    <row r="199" ht="15.75" customHeight="1">
      <c r="A199" s="1">
        <v>7867.0</v>
      </c>
      <c r="B199" s="1" t="s">
        <v>6</v>
      </c>
      <c r="C199" s="1" t="s">
        <v>203</v>
      </c>
      <c r="D199" s="1" t="str">
        <f>IFERROR(__xludf.DUMMYFUNCTION("CONCATENATE(GOOGLETRANSLATE(C199, ""en"", ""zh-cn""))"),"兄弟正品高印量黑色碳粉盒双装 TN660 2PK (TN6602PK)")</f>
        <v>兄弟正品高印量黑色碳粉盒双装 TN660 2PK (TN6602PK)</v>
      </c>
      <c r="E199" s="1" t="str">
        <f>IFERROR(__xludf.DUMMYFUNCTION("CONCATENATE(GOOGLETRANSLATE(C199, ""en"", ""ko""))"),"브라더 정품 대용량 블랙 토너 카트리지 트윈 팩 TN660 2PK (TN6602PK)")</f>
        <v>브라더 정품 대용량 블랙 토너 카트리지 트윈 팩 TN660 2PK (TN6602PK)</v>
      </c>
      <c r="F199" s="1" t="str">
        <f>IFERROR(__xludf.DUMMYFUNCTION("CONCATENATE(GOOGLETRANSLATE(C199, ""en"", ""ja""))"),"Brother 純正 大容量 ブラック トナーカートリッジ ツインパック TN660 2PK (TN6602PK)")</f>
        <v>Brother 純正 大容量 ブラック トナーカートリッジ ツインパック TN660 2PK (TN6602PK)</v>
      </c>
    </row>
    <row r="200" ht="15.75" customHeight="1">
      <c r="A200" s="1">
        <v>7868.0</v>
      </c>
      <c r="B200" s="1" t="s">
        <v>6</v>
      </c>
      <c r="C200" s="1" t="s">
        <v>204</v>
      </c>
      <c r="D200" s="1" t="str">
        <f>IFERROR(__xludf.DUMMYFUNCTION("CONCATENATE(GOOGLETRANSLATE(C200, ""en"", ""zh-cn""))"),"Brother P-Touch PT- D610BT 商务专业联网标签制作器 |通过蓝牙® 在长达约 1 英寸的 TZe 标签带上进行连接和创建，白色")</f>
        <v>Brother P-Touch PT- D610BT 商务专业联网标签制作器 |通过蓝牙® 在长达约 1 英寸的 TZe 标签带上进行连接和创建，白色</v>
      </c>
      <c r="E200" s="1" t="str">
        <f>IFERROR(__xludf.DUMMYFUNCTION("CONCATENATE(GOOGLETRANSLATE(C200, ""en"", ""ko""))"),"Brother P-Touch PT-D610BT 비즈니스 전문가 연결 라벨 메이커 | TZe 라벨 테이프(최대 1인치, 흰색)에서 Bluetooth®를 통해 연결 및 생성")</f>
        <v>Brother P-Touch PT-D610BT 비즈니스 전문가 연결 라벨 메이커 | TZe 라벨 테이프(최대 1인치, 흰색)에서 Bluetooth®를 통해 연결 및 생성</v>
      </c>
      <c r="F200" s="1" t="str">
        <f>IFERROR(__xludf.DUMMYFUNCTION("CONCATENATE(GOOGLETRANSLATE(C200, ""en"", ""ja""))"),"Brother P-Touch PT-D610BT ビジネスプロフェッショナル接続ラベルメーカー | Bluetooth® 経由で最大 ~1 インチの TZe ラベル テープに接続して作成、白")</f>
        <v>Brother P-Touch PT-D610BT ビジネスプロフェッショナル接続ラベルメーカー | Bluetooth® 経由で最大 ~1 インチの TZe ラベル テープに接続して作成、白</v>
      </c>
    </row>
    <row r="201" ht="15.75" customHeight="1">
      <c r="A201" s="1">
        <v>7887.0</v>
      </c>
      <c r="B201" s="1" t="s">
        <v>6</v>
      </c>
      <c r="C201" s="1" t="s">
        <v>205</v>
      </c>
      <c r="D201" s="1" t="str">
        <f>IFERROR(__xludf.DUMMYFUNCTION("CONCATENATE(GOOGLETRANSLATE(C201, ""en"", ""zh-cn""))"),"Scotch 热覆膜袋，200 个，透明，3 百万个，理想的办公或学校用品，适合信纸尺寸的纸张（8.9 英寸 × 11.4 英寸）")</f>
        <v>Scotch 热覆膜袋，200 个，透明，3 百万个，理想的办公或学校用品，适合信纸尺寸的纸张（8.9 英寸 × 11.4 英寸）</v>
      </c>
      <c r="E201" s="1" t="str">
        <f>IFERROR(__xludf.DUMMYFUNCTION("CONCATENATE(GOOGLETRANSLATE(C201, ""en"", ""ko""))"),"스카치 열 라미네이팅 파우치, 200개, 투명, 300만개, 이상적인 사무실 또는 학교 용품, Letter 크기 용지에 적합(8.9인치 × 11.4인치)")</f>
        <v>스카치 열 라미네이팅 파우치, 200개, 투명, 300만개, 이상적인 사무실 또는 학교 용품, Letter 크기 용지에 적합(8.9인치 × 11.4인치)</v>
      </c>
      <c r="F201" s="1" t="str">
        <f>IFERROR(__xludf.DUMMYFUNCTION("CONCATENATE(GOOGLETRANSLATE(C201, ""en"", ""ja""))"),"Scotch サーマルラミネートポーチ、200 枚、透明、3 ミル、オフィスや学校用品に最適、レターサイズの用紙に適合 (8.9 インチ × 11.4 インチ)")</f>
        <v>Scotch サーマルラミネートポーチ、200 枚、透明、3 ミル、オフィスや学校用品に最適、レターサイズの用紙に適合 (8.9 インチ × 11.4 インチ)</v>
      </c>
    </row>
    <row r="202" ht="15.75" customHeight="1">
      <c r="A202" s="1">
        <v>7899.0</v>
      </c>
      <c r="B202" s="1" t="s">
        <v>6</v>
      </c>
      <c r="C202" s="1" t="s">
        <v>206</v>
      </c>
      <c r="D202" s="1" t="str">
        <f>IFERROR(__xludf.DUMMYFUNCTION("CONCATENATE(GOOGLETRANSLATE(C202, ""en"", ""zh-cn""))"),"Scotch 热覆膜机，带 20 个热袋，9 英寸宽，灰色 (TL901X-20)")</f>
        <v>Scotch 热覆膜机，带 20 个热袋，9 英寸宽，灰色 (TL901X-20)</v>
      </c>
      <c r="E202" s="1" t="str">
        <f>IFERROR(__xludf.DUMMYFUNCTION("CONCATENATE(GOOGLETRANSLATE(C202, ""en"", ""ko""))"),"열 파우치 20개가 포함된 스카치 열 라미네이터, 9인치 폭, 회색(TL901X-20)")</f>
        <v>열 파우치 20개가 포함된 스카치 열 라미네이터, 9인치 폭, 회색(TL901X-20)</v>
      </c>
      <c r="F202" s="1" t="str">
        <f>IFERROR(__xludf.DUMMYFUNCTION("CONCATENATE(GOOGLETRANSLATE(C202, ""en"", ""ja""))"),"Scotch サーマルラミネーター 20 サーマルポーチ付き、幅 9 インチ、グレー (TL901X-20)")</f>
        <v>Scotch サーマルラミネーター 20 サーマルポーチ付き、幅 9 インチ、グレー (TL901X-20)</v>
      </c>
    </row>
    <row r="203" ht="15.75" customHeight="1">
      <c r="A203" s="1">
        <v>7905.0</v>
      </c>
      <c r="B203" s="1" t="s">
        <v>6</v>
      </c>
      <c r="C203" s="1" t="s">
        <v>207</v>
      </c>
      <c r="D203" s="1" t="str">
        <f>IFERROR(__xludf.DUMMYFUNCTION("CONCATENATE(GOOGLETRANSLATE(C203, ""en"", ""zh-cn""))"),"Scotch® 热层压袋，8 1/2"" x 14""，20 件装")</f>
        <v>Scotch® 热层压袋，8 1/2" x 14"，20 件装</v>
      </c>
      <c r="E203" s="1" t="str">
        <f>IFERROR(__xludf.DUMMYFUNCTION("CONCATENATE(GOOGLETRANSLATE(C203, ""en"", ""ko""))"),"Scotch® 열 라미네이팅 파우치, 8 1/2"" x 14"", 20개 팩")</f>
        <v>Scotch® 열 라미네이팅 파우치, 8 1/2" x 14", 20개 팩</v>
      </c>
      <c r="F203" s="1" t="str">
        <f>IFERROR(__xludf.DUMMYFUNCTION("CONCATENATE(GOOGLETRANSLATE(C203, ""en"", ""ja""))"),"Scotch® サーマルラミネートポーチ、8 1/2インチ x 14インチ、20個パック")</f>
        <v>Scotch® サーマルラミネートポーチ、8 1/2インチ x 14インチ、20個パック</v>
      </c>
    </row>
    <row r="204" ht="15.75" customHeight="1">
      <c r="A204" s="1">
        <v>7912.0</v>
      </c>
      <c r="B204" s="1" t="s">
        <v>6</v>
      </c>
      <c r="C204" s="1" t="s">
        <v>208</v>
      </c>
      <c r="D204" s="1" t="str">
        <f>IFERROR(__xludf.DUMMYFUNCTION("CONCATENATE(GOOGLETRANSLATE(C204, ""en"", ""zh-cn""))"),"MSI Stealth 16 AI Studio 16 英寸 120Hz UHD+ Mini LED 游戏笔记本电脑：Intel Core Ultra 9-185H、NVIDIA Geforce RTX 4080、64GB DDR5、1TB NVMe SSD、Thunderbolt 4、Win 11 Pro：星蓝 A1VHG-027US")</f>
        <v>MSI Stealth 16 AI Studio 16 英寸 120Hz UHD+ Mini LED 游戏笔记本电脑：Intel Core Ultra 9-185H、NVIDIA Geforce RTX 4080、64GB DDR5、1TB NVMe SSD、Thunderbolt 4、Win 11 Pro：星蓝 A1VHG-027US</v>
      </c>
      <c r="E204" s="1" t="str">
        <f>IFERROR(__xludf.DUMMYFUNCTION("CONCATENATE(GOOGLETRANSLATE(C204, ""en"", ""ko""))"),"MSI Stealth 16 AI Studio 16인치 120Hz UHD+ 미니 LED 게이밍 노트북: Intel Core Ultra 9-185H, NVIDIA Geforce RTX 4080, 64GB DDR5, 1TB NVMe SSD, Thunderbolt 4, Win 11 Pro: Star Blue A1VHG-027US")</f>
        <v>MSI Stealth 16 AI Studio 16인치 120Hz UHD+ 미니 LED 게이밍 노트북: Intel Core Ultra 9-185H, NVIDIA Geforce RTX 4080, 64GB DDR5, 1TB NVMe SSD, Thunderbolt 4, Win 11 Pro: Star Blue A1VHG-027US</v>
      </c>
      <c r="F204" s="1" t="str">
        <f>IFERROR(__xludf.DUMMYFUNCTION("CONCATENATE(GOOGLETRANSLATE(C204, ""en"", ""ja""))"),"MSI Stealth 16 AI Studio 16 インチ 120Hz UHD+ ミニ LED ゲーミング ノートパソコン: Intel Core Ultra 9-185H、NVIDIA Geforce RTX 4080、64GB DDR5、1TB NVMe SSD、Thunderbolt 4、Win 11 Pro: スター ブルー A1VHG-027US")</f>
        <v>MSI Stealth 16 AI Studio 16 インチ 120Hz UHD+ ミニ LED ゲーミング ノートパソコン: Intel Core Ultra 9-185H、NVIDIA Geforce RTX 4080、64GB DDR5、1TB NVMe SSD、Thunderbolt 4、Win 11 Pro: スター ブルー A1VHG-027US</v>
      </c>
    </row>
    <row r="205" ht="15.75" customHeight="1">
      <c r="A205" s="1">
        <v>7935.0</v>
      </c>
      <c r="B205" s="1" t="s">
        <v>6</v>
      </c>
      <c r="C205" s="1" t="s">
        <v>209</v>
      </c>
      <c r="D205" s="1" t="str">
        <f>IFERROR(__xludf.DUMMYFUNCTION("CONCATENATE(GOOGLETRANSLATE(C205, ""en"", ""zh-cn""))"),"MSI 2023 Cyborg 15.6 英寸 144HZ 全高清游戏笔记本电脑，第 13 代英特尔酷睿 i7-13620H，NVIDIA GeForce RTX 4050，16GB DDR5 RAM，1TB NVMe，Wi-Fi 6，背光键盘，Win11")</f>
        <v>MSI 2023 Cyborg 15.6 英寸 144HZ 全高清游戏笔记本电脑，第 13 代英特尔酷睿 i7-13620H，NVIDIA GeForce RTX 4050，16GB DDR5 RAM，1TB NVMe，Wi-Fi 6，背光键盘，Win11</v>
      </c>
      <c r="E205" s="1" t="str">
        <f>IFERROR(__xludf.DUMMYFUNCTION("CONCATENATE(GOOGLETRANSLATE(C205, ""en"", ""ko""))"),"MSI 2023 사이보그 15.6인치 144HZ FHD 게이밍 노트북, 13세대 인텔 코어 i7-13620H, NVIDIA GeForce RTX 4050, 16GB DDR5 RAM, 1TB NVMe, Wi-Fi 6, 백라이트 키보드, Win11")</f>
        <v>MSI 2023 사이보그 15.6인치 144HZ FHD 게이밍 노트북, 13세대 인텔 코어 i7-13620H, NVIDIA GeForce RTX 4050, 16GB DDR5 RAM, 1TB NVMe, Wi-Fi 6, 백라이트 키보드, Win11</v>
      </c>
      <c r="F205" s="1" t="str">
        <f>IFERROR(__xludf.DUMMYFUNCTION("CONCATENATE(GOOGLETRANSLATE(C205, ""en"", ""ja""))"),"MSI 2023 Cyborg 15.6 インチ 144HZ FHD ゲーミング ノートパソコン、第 13 世代 Intel Core i7-13620H、NVIDIA GeForce RTX 4050、16GB DDR5 RAM、1TB NVMe、Wi-Fi 6、バックライト付きキーボード、Win11")</f>
        <v>MSI 2023 Cyborg 15.6 インチ 144HZ FHD ゲーミング ノートパソコン、第 13 世代 Intel Core i7-13620H、NVIDIA GeForce RTX 4050、16GB DDR5 RAM、1TB NVMe、Wi-Fi 6、バックライト付きキーボード、Win11</v>
      </c>
    </row>
    <row r="206" ht="15.75" customHeight="1">
      <c r="A206" s="1">
        <v>7954.0</v>
      </c>
      <c r="B206" s="1" t="s">
        <v>6</v>
      </c>
      <c r="C206" s="1" t="s">
        <v>210</v>
      </c>
      <c r="D206" s="1" t="str">
        <f>IFERROR(__xludf.DUMMYFUNCTION("CONCATENATE(GOOGLETRANSLATE(C206, ""en"", ""zh-cn""))"),"微软 Surface Pro 7 英特尔 i5 1035G4 1.10GHz 8GB RAM 256GB SSD 12.3"" Win 11")</f>
        <v>微软 Surface Pro 7 英特尔 i5 1035G4 1.10GHz 8GB RAM 256GB SSD 12.3" Win 11</v>
      </c>
      <c r="E206" s="1" t="str">
        <f>IFERROR(__xludf.DUMMYFUNCTION("CONCATENATE(GOOGLETRANSLATE(C206, ""en"", ""ko""))"),"마이크로소프트 서피스 프로 7 인텔 i5 1035G4 1.10GHz 8GB RAM 256GB SSD 12.3인치 윈도우 11")</f>
        <v>마이크로소프트 서피스 프로 7 인텔 i5 1035G4 1.10GHz 8GB RAM 256GB SSD 12.3인치 윈도우 11</v>
      </c>
      <c r="F206" s="1" t="str">
        <f>IFERROR(__xludf.DUMMYFUNCTION("CONCATENATE(GOOGLETRANSLATE(C206, ""en"", ""ja""))"),"Microsoft Surface Pro 7 Intel i5 1035G4 1.10GHz 8GB RAM 256GB SSD 12.3インチ Win 11")</f>
        <v>Microsoft Surface Pro 7 Intel i5 1035G4 1.10GHz 8GB RAM 256GB SSD 12.3インチ Win 11</v>
      </c>
    </row>
    <row r="207" ht="15.75" customHeight="1">
      <c r="A207" s="1">
        <v>7968.0</v>
      </c>
      <c r="B207" s="1" t="s">
        <v>6</v>
      </c>
      <c r="C207" s="1" t="s">
        <v>211</v>
      </c>
      <c r="D207" s="1" t="str">
        <f>IFERROR(__xludf.DUMMYFUNCTION("CONCATENATE(GOOGLETRANSLATE(C207, ""en"", ""zh-cn""))"),"微软 Surface 笔记本电脑 3 1868 i7-1065G7 16GB RAM/512GB SSD 13.5 BLK 状况良好")</f>
        <v>微软 Surface 笔记本电脑 3 1868 i7-1065G7 16GB RAM/512GB SSD 13.5 BLK 状况良好</v>
      </c>
      <c r="E207" s="1" t="str">
        <f>IFERROR(__xludf.DUMMYFUNCTION("CONCATENATE(GOOGLETRANSLATE(C207, ""en"", ""ko""))"),"마이크로소프트 서피스 노트북 3 1868 i7-1065G7 16GB RAM/512GB SSD 13.5 블랙 상태 좋음")</f>
        <v>마이크로소프트 서피스 노트북 3 1868 i7-1065G7 16GB RAM/512GB SSD 13.5 블랙 상태 좋음</v>
      </c>
      <c r="F207" s="1" t="str">
        <f>IFERROR(__xludf.DUMMYFUNCTION("CONCATENATE(GOOGLETRANSLATE(C207, ""en"", ""ja""))"),"Microsoft Surface Laptop 3 1868 i7-1065G7 16GB RAM/512GB SSD 13.5 BLK 良好な状態")</f>
        <v>Microsoft Surface Laptop 3 1868 i7-1065G7 16GB RAM/512GB SSD 13.5 BLK 良好な状態</v>
      </c>
    </row>
    <row r="208" ht="15.75" customHeight="1">
      <c r="A208" s="1">
        <v>7983.0</v>
      </c>
      <c r="B208" s="1" t="s">
        <v>6</v>
      </c>
      <c r="C208" s="1" t="s">
        <v>212</v>
      </c>
      <c r="D208" s="1" t="str">
        <f>IFERROR(__xludf.DUMMYFUNCTION("CONCATENATE(GOOGLETRANSLATE(C208, ""en"", ""zh-cn""))"),"Microsoft Surface Pro 5 i5 7300U 2.60GHz 8GB RAM 256GB SSD 12 英寸 Win 10 平板电脑（仅限）")</f>
        <v>Microsoft Surface Pro 5 i5 7300U 2.60GHz 8GB RAM 256GB SSD 12 英寸 Win 10 平板电脑（仅限）</v>
      </c>
      <c r="E208" s="1" t="str">
        <f>IFERROR(__xludf.DUMMYFUNCTION("CONCATENATE(GOOGLETRANSLATE(C208, ""en"", ""ko""))"),"마이크로소프트 서피스 프로 5 i5 7300U 2.60GHz 8GB RAM 256GB SSD 12인치 윈도우 10 태블릿 전용")</f>
        <v>마이크로소프트 서피스 프로 5 i5 7300U 2.60GHz 8GB RAM 256GB SSD 12인치 윈도우 10 태블릿 전용</v>
      </c>
      <c r="F208" s="1" t="str">
        <f>IFERROR(__xludf.DUMMYFUNCTION("CONCATENATE(GOOGLETRANSLATE(C208, ""en"", ""ja""))"),"Microsoft Surface Pro 5 i5 7300U 2.60GHz 8GB RAM 256GB SSD 12インチ Win 10 タブレットのみ")</f>
        <v>Microsoft Surface Pro 5 i5 7300U 2.60GHz 8GB RAM 256GB SSD 12インチ Win 10 タブレットのみ</v>
      </c>
    </row>
    <row r="209" ht="15.75" customHeight="1">
      <c r="A209" s="1">
        <v>7985.0</v>
      </c>
      <c r="B209" s="1" t="s">
        <v>6</v>
      </c>
      <c r="C209" s="1" t="s">
        <v>213</v>
      </c>
      <c r="D209" s="1" t="str">
        <f>IFERROR(__xludf.DUMMYFUNCTION("CONCATENATE(GOOGLETRANSLATE(C209, ""en"", ""zh-cn""))"),"微软 Surface Book 2 13.5 英寸英特尔 i7 8650U 1.90GHz 16GB RAM 512GB SSD Win 11")</f>
        <v>微软 Surface Book 2 13.5 英寸英特尔 i7 8650U 1.90GHz 16GB RAM 512GB SSD Win 11</v>
      </c>
      <c r="E209" s="1" t="str">
        <f>IFERROR(__xludf.DUMMYFUNCTION("CONCATENATE(GOOGLETRANSLATE(C209, ""en"", ""ko""))"),"마이크로소프트 서피스 북 2 13.5인치 인텔 i7 8650U 1.90GHz 16GB RAM 512GB SSD 윈도우 11")</f>
        <v>마이크로소프트 서피스 북 2 13.5인치 인텔 i7 8650U 1.90GHz 16GB RAM 512GB SSD 윈도우 11</v>
      </c>
      <c r="F209" s="1" t="str">
        <f>IFERROR(__xludf.DUMMYFUNCTION("CONCATENATE(GOOGLETRANSLATE(C209, ""en"", ""ja""))"),"Microsoft Surface Book 2 13.5インチ Intel i7 8650U 1.90GHz 16GB RAM 512GB SSD Win 11")</f>
        <v>Microsoft Surface Book 2 13.5インチ Intel i7 8650U 1.90GHz 16GB RAM 512GB SSD Win 11</v>
      </c>
    </row>
    <row r="210" ht="15.75" customHeight="1">
      <c r="A210" s="1">
        <v>8025.0</v>
      </c>
      <c r="B210" s="1" t="s">
        <v>6</v>
      </c>
      <c r="C210" s="1" t="s">
        <v>214</v>
      </c>
      <c r="D210" s="1" t="str">
        <f>IFERROR(__xludf.DUMMYFUNCTION("CONCATENATE(GOOGLETRANSLATE(C210, ""en"", ""zh-cn""))"),"联想 2024 IdeaPad 1 Gen 7 笔记本电脑，15.6 英寸全高清触摸屏，英特尔酷睿 i3-1215U，16GB RAM，512GB SSD，SD 读卡器，HDMI，网络摄像头，Wi-Fi 6，Windows 11 Home，灰色")</f>
        <v>联想 2024 IdeaPad 1 Gen 7 笔记本电脑，15.6 英寸全高清触摸屏，英特尔酷睿 i3-1215U，16GB RAM，512GB SSD，SD 读卡器，HDMI，网络摄像头，Wi-Fi 6，Windows 11 Home，灰色</v>
      </c>
      <c r="E210" s="1" t="str">
        <f>IFERROR(__xludf.DUMMYFUNCTION("CONCATENATE(GOOGLETRANSLATE(C210, ""en"", ""ko""))"),"Lenovo 2024 IdeaPad 1 Gen 7 노트북, 15.6인치 FHD 터치스크린, Intel Core i3-1215U, 16GB RAM, 512GB SSD, SD 카드 리더기, HDMI, 웹캠, Wi-Fi 6, Windows 11 Home, 회색")</f>
        <v>Lenovo 2024 IdeaPad 1 Gen 7 노트북, 15.6인치 FHD 터치스크린, Intel Core i3-1215U, 16GB RAM, 512GB SSD, SD 카드 리더기, HDMI, 웹캠, Wi-Fi 6, Windows 11 Home, 회색</v>
      </c>
      <c r="F210" s="1" t="str">
        <f>IFERROR(__xludf.DUMMYFUNCTION("CONCATENATE(GOOGLETRANSLATE(C210, ""en"", ""ja""))"),"Lenovo 2024 IdeaPad 1 Gen 7 ラップトップ、15.6 インチ FHD タッチスクリーン、Intel Core i3-1215U、16GB RAM、512GB SSD、SD カード リーダー、HDMI、ウェブカメラ、Wi-Fi 6、Windows 11 Home、グレー")</f>
        <v>Lenovo 2024 IdeaPad 1 Gen 7 ラップトップ、15.6 インチ FHD タッチスクリーン、Intel Core i3-1215U、16GB RAM、512GB SSD、SD カード リーダー、HDMI、ウェブカメラ、Wi-Fi 6、Windows 11 Home、グレー</v>
      </c>
    </row>
    <row r="211" ht="15.75" customHeight="1">
      <c r="A211" s="1">
        <v>8033.0</v>
      </c>
      <c r="B211" s="1" t="s">
        <v>6</v>
      </c>
      <c r="C211" s="1" t="s">
        <v>215</v>
      </c>
      <c r="D211" s="1" t="str">
        <f>IFERROR(__xludf.DUMMYFUNCTION("CONCATENATE(GOOGLETRANSLATE(C211, ""en"", ""zh-cn""))"),"戴尔 Vostro 3520 笔记本电脑，2023 年，15.6 英寸 1920 x 1080 120Hz，英特尔酷睿 i5-1235U 10 核，16GB DDR4，1TB 固态硬盘，Windows 11 Pro，Wi-Fi 5，蓝牙 5，720p 高清摄像头，炭黑")</f>
        <v>戴尔 Vostro 3520 笔记本电脑，2023 年，15.6 英寸 1920 x 1080 120Hz，英特尔酷睿 i5-1235U 10 核，16GB DDR4，1TB 固态硬盘，Windows 11 Pro，Wi-Fi 5，蓝牙 5，720p 高清摄像头，炭黑</v>
      </c>
      <c r="E211" s="1" t="str">
        <f>IFERROR(__xludf.DUMMYFUNCTION("CONCATENATE(GOOGLETRANSLATE(C211, ""en"", ""ko""))"),"Dell Vostro 3520 노트북, 2023, 15.6인치 1920 x 1080 120Hz, Intel Core i5-1235U 10코어, 16GB DDR4, 1TB SSD, Windows 11 Pro, Wi-Fi 5, Bluetooth 5, 720p HD 카메라, 카본 블랙")</f>
        <v>Dell Vostro 3520 노트북, 2023, 15.6인치 1920 x 1080 120Hz, Intel Core i5-1235U 10코어, 16GB DDR4, 1TB SSD, Windows 11 Pro, Wi-Fi 5, Bluetooth 5, 720p HD 카메라, 카본 블랙</v>
      </c>
      <c r="F211" s="1" t="str">
        <f>IFERROR(__xludf.DUMMYFUNCTION("CONCATENATE(GOOGLETRANSLATE(C211, ""en"", ""ja""))"),"Dell Vostro 3520 ラップトップ、2023、15.6 インチ 1920 x 1080 120Hz、Intel Core i5-1235U 10 コア、16GB DDR4、1TB SSD、Windows 11 Pro、Wi-Fi 5、Bluetooth 5、720p HD カメラ、カーボン ブラック")</f>
        <v>Dell Vostro 3520 ラップトップ、2023、15.6 インチ 1920 x 1080 120Hz、Intel Core i5-1235U 10 コア、16GB DDR4、1TB SSD、Windows 11 Pro、Wi-Fi 5、Bluetooth 5、720p HD カメラ、カーボン ブラック</v>
      </c>
    </row>
    <row r="212" ht="15.75" customHeight="1">
      <c r="A212" s="1">
        <v>8046.0</v>
      </c>
      <c r="B212" s="1" t="s">
        <v>6</v>
      </c>
      <c r="C212" s="1" t="s">
        <v>216</v>
      </c>
      <c r="D212" s="1" t="str">
        <f>IFERROR(__xludf.DUMMYFUNCTION("CONCATENATE(GOOGLETRANSLATE(C212, ""en"", ""zh-cn""))"),"戴尔 Latitude 7300 笔记本电脑 | 13.3 英寸 1920x1080 FHD | Core i7-8665U - 1TB SSD 硬盘 - 16GB RAM | 4 核 @ 4.8 GHz Win 10 Pro 黑色（更新版）")</f>
        <v>戴尔 Latitude 7300 笔记本电脑 | 13.3 英寸 1920x1080 FHD | Core i7-8665U - 1TB SSD 硬盘 - 16GB RAM | 4 核 @ 4.8 GHz Win 10 Pro 黑色（更新版）</v>
      </c>
      <c r="E212" s="1" t="str">
        <f>IFERROR(__xludf.DUMMYFUNCTION("CONCATENATE(GOOGLETRANSLATE(C212, ""en"", ""ko""))"),"Dell Latitude 7300 노트북 | 13.3인치 1920x1080 FHD | Core i7-8665U - 1TB SSD 하드 드라이브 - 16GB RAM | 4코어 @ 4.8GHz Win 10 Pro 블랙(리뉴얼)")</f>
        <v>Dell Latitude 7300 노트북 | 13.3인치 1920x1080 FHD | Core i7-8665U - 1TB SSD 하드 드라이브 - 16GB RAM | 4코어 @ 4.8GHz Win 10 Pro 블랙(리뉴얼)</v>
      </c>
      <c r="F212" s="1" t="str">
        <f>IFERROR(__xludf.DUMMYFUNCTION("CONCATENATE(GOOGLETRANSLATE(C212, ""en"", ""ja""))"),"Dell Latitude 7300 ラップトップ | 13.3 インチ 1920x1080 FHD | Core i7-8665U - 1TB SSD ハードドライブ - 16GB RAM | 4 コア @ 4.8 GHz Win 10 Pro ブラック (リニューアル)")</f>
        <v>Dell Latitude 7300 ラップトップ | 13.3 インチ 1920x1080 FHD | Core i7-8665U - 1TB SSD ハードドライブ - 16GB RAM | 4 コア @ 4.8 GHz Win 10 Pro ブラック (リニューアル)</v>
      </c>
    </row>
    <row r="213" ht="15.75" customHeight="1">
      <c r="A213" s="1">
        <v>8049.0</v>
      </c>
      <c r="B213" s="1" t="s">
        <v>6</v>
      </c>
      <c r="C213" s="1" t="s">
        <v>217</v>
      </c>
      <c r="D213" s="1" t="str">
        <f>IFERROR(__xludf.DUMMYFUNCTION("CONCATENATE(GOOGLETRANSLATE(C213, ""en"", ""zh-cn""))"),"戴尔 Latitude 7490 14 高清防眩光，英特尔酷睿 i5-8350U，16GB DDR4，256GB 固态硬盘，网络摄像头，蓝牙，Windows 10Pro（更新版）")</f>
        <v>戴尔 Latitude 7490 14 高清防眩光，英特尔酷睿 i5-8350U，16GB DDR4，256GB 固态硬盘，网络摄像头，蓝牙，Windows 10Pro（更新版）</v>
      </c>
      <c r="E213" s="1" t="str">
        <f>IFERROR(__xludf.DUMMYFUNCTION("CONCATENATE(GOOGLETRANSLATE(C213, ""en"", ""ko""))"),"Dell Latitude 7490 14 HD 눈부심 방지, Intel Core i5-8350U, 16GB DDR4, 256GB 솔리드 스테이트 드라이브, 웹캠, 블루투스, Windows 10Pro(리뉴얼)")</f>
        <v>Dell Latitude 7490 14 HD 눈부심 방지, Intel Core i5-8350U, 16GB DDR4, 256GB 솔리드 스테이트 드라이브, 웹캠, 블루투스, Windows 10Pro(리뉴얼)</v>
      </c>
      <c r="F213" s="1" t="str">
        <f>IFERROR(__xludf.DUMMYFUNCTION("CONCATENATE(GOOGLETRANSLATE(C213, ""en"", ""ja""))"),"Dell Latitude 7490 14 HD アンチグレア、Intel Core i5-8350U、16GB DDR4、256GB ソリッド ステート ドライブ、ウェブカメラ、Bluetooth、Windows 10Pro (リニューアル)")</f>
        <v>Dell Latitude 7490 14 HD アンチグレア、Intel Core i5-8350U、16GB DDR4、256GB ソリッド ステート ドライブ、ウェブカメラ、Bluetooth、Windows 10Pro (リニューアル)</v>
      </c>
    </row>
    <row r="214" ht="15.75" customHeight="1">
      <c r="A214" s="1">
        <v>8055.0</v>
      </c>
      <c r="B214" s="1" t="s">
        <v>6</v>
      </c>
      <c r="C214" s="1" t="s">
        <v>218</v>
      </c>
      <c r="D214" s="1" t="str">
        <f>IFERROR(__xludf.DUMMYFUNCTION("CONCATENATE(GOOGLETRANSLATE(C214, ""en"", ""zh-cn""))"),"戴尔 Alienware 笔记本电脑 17.3 英寸 FHD IPS ~ Intel i7-12700H 14 核 ~ NVIDIA GeForce RTX 3070Ti ~ 64GB DDR5~1TB SSD ~ 单键 RGB 背光键盘 ~ Thunderbolt 4 ~ Wi-Fi 6E ~ Win11 Pro WWC 32GB USB")</f>
        <v>戴尔 Alienware 笔记本电脑 17.3 英寸 FHD IPS ~ Intel i7-12700H 14 核 ~ NVIDIA GeForce RTX 3070Ti ~ 64GB DDR5~1TB SSD ~ 单键 RGB 背光键盘 ~ Thunderbolt 4 ~ Wi-Fi 6E ~ Win11 Pro WWC 32GB USB</v>
      </c>
      <c r="E214" s="1" t="str">
        <f>IFERROR(__xludf.DUMMYFUNCTION("CONCATENATE(GOOGLETRANSLATE(C214, ""en"", ""ko""))"),"Dell Alienware 노트북 17.3인치 FHD IPS ~ Intel i7-12700H 14코어 ~ NVIDIA GeForce RTX 3070Ti ~ 64GB DDR5~1TB SSD ~ 키별 RGB 백라이트 키보드 ~ Thunderbolt 4 ~ Wi-Fi 6E ~ Win11 Pro WWC 32GB USB")</f>
        <v>Dell Alienware 노트북 17.3인치 FHD IPS ~ Intel i7-12700H 14코어 ~ NVIDIA GeForce RTX 3070Ti ~ 64GB DDR5~1TB SSD ~ 키별 RGB 백라이트 키보드 ~ Thunderbolt 4 ~ Wi-Fi 6E ~ Win11 Pro WWC 32GB USB</v>
      </c>
      <c r="F214" s="1" t="str">
        <f>IFERROR(__xludf.DUMMYFUNCTION("CONCATENATE(GOOGLETRANSLATE(C214, ""en"", ""ja""))"),"Dell Alienware ラップトップ 17.3 インチ FHD IPS ~ Intel i7-12700H 14 コア ~ NVIDIA GeForce RTX 3070Ti ~ 64GB DDR5~1TB SSD ~ キーごとの RGB バックライト付きキーボード ~ Thunderbolt 4 ~ Wi-Fi 6E ~ Win11 Pro WWC 32GB USB")</f>
        <v>Dell Alienware ラップトップ 17.3 インチ FHD IPS ~ Intel i7-12700H 14 コア ~ NVIDIA GeForce RTX 3070Ti ~ 64GB DDR5~1TB SSD ~ キーごとの RGB バックライト付きキーボード ~ Thunderbolt 4 ~ Wi-Fi 6E ~ Win11 Pro WWC 32GB USB</v>
      </c>
    </row>
    <row r="215" ht="15.75" customHeight="1">
      <c r="A215" s="1">
        <v>8063.0</v>
      </c>
      <c r="B215" s="1" t="s">
        <v>6</v>
      </c>
      <c r="C215" s="1" t="s">
        <v>219</v>
      </c>
      <c r="D215" s="1" t="str">
        <f>IFERROR(__xludf.DUMMYFUNCTION("CONCATENATE(GOOGLETRANSLATE(C215, ""en"", ""zh-cn""))"),"戴尔 Inspiron 灵越 3520 15.6 英寸触摸屏 i7 笔记本电脑，15.6 英寸全高清触摸屏，英特尔酷睿 i7-1255U，32GB 内存，1TB 固态硬盘，数字键盘，网络摄像头，SD 读卡器，HDMI，Wi-Fi，Windows 11 家庭版，黑色")</f>
        <v>戴尔 Inspiron 灵越 3520 15.6 英寸触摸屏 i7 笔记本电脑，15.6 英寸全高清触摸屏，英特尔酷睿 i7-1255U，32GB 内存，1TB 固态硬盘，数字键盘，网络摄像头，SD 读卡器，HDMI，Wi-Fi，Windows 11 家庭版，黑色</v>
      </c>
      <c r="E215" s="1" t="str">
        <f>IFERROR(__xludf.DUMMYFUNCTION("CONCATENATE(GOOGLETRANSLATE(C215, ""en"", ""ko""))"),"Dell Inspiron 3520 15.6인치 터치스크린 i7 노트북, 15.6인치 FHD 터치스크린, Intel Core i7-1255U, 32GB RAM, 1TB SSD, 숫자 키패드, 웹캠, SD 카드 리더기, HDMI, Wi-Fi, Windows 11 Home, 블랙")</f>
        <v>Dell Inspiron 3520 15.6인치 터치스크린 i7 노트북, 15.6인치 FHD 터치스크린, Intel Core i7-1255U, 32GB RAM, 1TB SSD, 숫자 키패드, 웹캠, SD 카드 리더기, HDMI, Wi-Fi, Windows 11 Home, 블랙</v>
      </c>
      <c r="F215" s="1" t="str">
        <f>IFERROR(__xludf.DUMMYFUNCTION("CONCATENATE(GOOGLETRANSLATE(C215, ""en"", ""ja""))"),"Dell Inspiron 3520 15.6 インチ タッチスクリーン i7 ノートパソコン、15.6 インチ FHD タッチスクリーン、Intel Core i7-1255U、32GB RAM、1TB SSD、テンキー、ウェブカメラ、SD カード リーダー、HDMI、Wi-Fi、Windows 11 Home、ブラック")</f>
        <v>Dell Inspiron 3520 15.6 インチ タッチスクリーン i7 ノートパソコン、15.6 インチ FHD タッチスクリーン、Intel Core i7-1255U、32GB RAM、1TB SSD、テンキー、ウェブカメラ、SD カード リーダー、HDMI、Wi-Fi、Windows 11 Home、ブラック</v>
      </c>
    </row>
    <row r="216" ht="15.75" customHeight="1">
      <c r="A216" s="1">
        <v>8078.0</v>
      </c>
      <c r="B216" s="1" t="s">
        <v>6</v>
      </c>
      <c r="C216" s="1" t="s">
        <v>220</v>
      </c>
      <c r="D216" s="1" t="str">
        <f>IFERROR(__xludf.DUMMYFUNCTION("CONCATENATE(GOOGLETRANSLATE(C216, ""en"", ""zh-cn""))"),"华硕游戏笔记本电脑 AMD Ryzen 9 7845HX 3.0 GHz NVIDIA GeForce RTX 4060 8 GB GDDR6")</f>
        <v>华硕游戏笔记本电脑 AMD Ryzen 9 7845HX 3.0 GHz NVIDIA GeForce RTX 4060 8 GB GDDR6</v>
      </c>
      <c r="E216" s="1" t="str">
        <f>IFERROR(__xludf.DUMMYFUNCTION("CONCATENATE(GOOGLETRANSLATE(C216, ""en"", ""ko""))"),"ASUS 게이밍 노트북 AMD Ryzen 9 7845HX 3.0GHz NVIDIA GeForce RTX 4060 8GB GDDR6")</f>
        <v>ASUS 게이밍 노트북 AMD Ryzen 9 7845HX 3.0GHz NVIDIA GeForce RTX 4060 8GB GDDR6</v>
      </c>
      <c r="F216" s="1" t="str">
        <f>IFERROR(__xludf.DUMMYFUNCTION("CONCATENATE(GOOGLETRANSLATE(C216, ""en"", ""ja""))"),"ASUS ゲーミング ノートパソコン AMD Ryzen 9 7845HX 3.0 GHz NVIDIA GeForce RTX 4060 8 GB GDDR6")</f>
        <v>ASUS ゲーミング ノートパソコン AMD Ryzen 9 7845HX 3.0 GHz NVIDIA GeForce RTX 4060 8 GB GDDR6</v>
      </c>
    </row>
    <row r="217" ht="15.75" customHeight="1">
      <c r="A217" s="1">
        <v>8096.0</v>
      </c>
      <c r="B217" s="1" t="s">
        <v>6</v>
      </c>
      <c r="C217" s="1" t="s">
        <v>221</v>
      </c>
      <c r="D217" s="1" t="str">
        <f>IFERROR(__xludf.DUMMYFUNCTION("CONCATENATE(GOOGLETRANSLATE(C217, ""en"", ""zh-cn""))"),"华硕 2024 游戏笔记本电脑 | ROG Strix G17 | ROG Strix G17 | ROG Strix G17 AMD 12 核锐龙 9 7845HX | NVIDIA GeForce RTX 4060 8GB | 48GB DDR5 | 48GB DDR5 4TB 固态硬盘 | 17.3 英寸 2560 x 1440 240 Hz | Win10 Pro - RGB 背光 KB - 日食灰")</f>
        <v>华硕 2024 游戏笔记本电脑 | ROG Strix G17 | ROG Strix G17 | ROG Strix G17 AMD 12 核锐龙 9 7845HX | NVIDIA GeForce RTX 4060 8GB | 48GB DDR5 | 48GB DDR5 4TB 固态硬盘 | 17.3 英寸 2560 x 1440 240 Hz | Win10 Pro - RGB 背光 KB - 日食灰</v>
      </c>
      <c r="E217" s="1" t="str">
        <f>IFERROR(__xludf.DUMMYFUNCTION("CONCATENATE(GOOGLETRANSLATE(C217, ""en"", ""ko""))"),"ASUS 2024 게이밍 노트북 | ROG 스트릭스 G17 | AMD 12코어 Ryzen 9 7845HX | 엔비디아 지포스 RTX 4060 8GB | 48GB DDR5 | 4TB SSD | 17.3인치 2560 x 1440 240Hz | Win10 Pro - RGB 백라이트 KB - Eclipse 그레이")</f>
        <v>ASUS 2024 게이밍 노트북 | ROG 스트릭스 G17 | AMD 12코어 Ryzen 9 7845HX | 엔비디아 지포스 RTX 4060 8GB | 48GB DDR5 | 4TB SSD | 17.3인치 2560 x 1440 240Hz | Win10 Pro - RGB 백라이트 KB - Eclipse 그레이</v>
      </c>
      <c r="F217" s="1" t="str">
        <f>IFERROR(__xludf.DUMMYFUNCTION("CONCATENATE(GOOGLETRANSLATE(C217, ""en"", ""ja""))"),"ASUS 2024 ゲーミング ノートパソコン | ROG Strix G17 | AMD 12 コア Ryzen 9 7845HX | NVIDIA GeForce RTX 4060 8GB | 48GB DDR5 | 4TB SSD | 17.3 インチ 2560 x 1440 240 Hz | Win10 Pro - RGB バックライト付き KB - Eclipse グレー")</f>
        <v>ASUS 2024 ゲーミング ノートパソコン | ROG Strix G17 | AMD 12 コア Ryzen 9 7845HX | NVIDIA GeForce RTX 4060 8GB | 48GB DDR5 | 4TB SSD | 17.3 インチ 2560 x 1440 240 Hz | Win10 Pro - RGB バックライト付き KB - Eclipse グレー</v>
      </c>
    </row>
    <row r="218" ht="15.75" customHeight="1">
      <c r="A218" s="1">
        <v>8098.0</v>
      </c>
      <c r="B218" s="1" t="s">
        <v>6</v>
      </c>
      <c r="C218" s="1" t="s">
        <v>222</v>
      </c>
      <c r="D218" s="1" t="str">
        <f>IFERROR(__xludf.DUMMYFUNCTION("CONCATENATE(GOOGLETRANSLATE(C218, ""en"", ""zh-cn""))"),"华硕 2023 游戏笔记本电脑 ROG Strix G16 |酷睿 i7-13650HX 14 核 | NVIDIA GeForce RTX 4060 8GB | 64GB DDR5 | 2TB 固态硬盘 | 16 英寸 1920 x 1200 165 Hz | Win11 Pro - Wi-Fi 6E - RGB 背光键盘 - 灰色")</f>
        <v>华硕 2023 游戏笔记本电脑 ROG Strix G16 |酷睿 i7-13650HX 14 核 | NVIDIA GeForce RTX 4060 8GB | 64GB DDR5 | 2TB 固态硬盘 | 16 英寸 1920 x 1200 165 Hz | Win11 Pro - Wi-Fi 6E - RGB 背光键盘 - 灰色</v>
      </c>
      <c r="E218" s="1" t="str">
        <f>IFERROR(__xludf.DUMMYFUNCTION("CONCATENATE(GOOGLETRANSLATE(C218, ""en"", ""ko""))"),"ASUS 2023 게이밍 노트북 ROG Strix G16 | 코어 i7-13650HX 14코어 | 엔비디아 지포스 RTX 4060 8GB | 64GB DDR5 | 2TB SSD | 16인치 1920 x 1200 165Hz | Win11 Pro - Wi-Fi 6E - RGB 백라이트 키보드 - 회색")</f>
        <v>ASUS 2023 게이밍 노트북 ROG Strix G16 | 코어 i7-13650HX 14코어 | 엔비디아 지포스 RTX 4060 8GB | 64GB DDR5 | 2TB SSD | 16인치 1920 x 1200 165Hz | Win11 Pro - Wi-Fi 6E - RGB 백라이트 키보드 - 회색</v>
      </c>
      <c r="F218" s="1" t="str">
        <f>IFERROR(__xludf.DUMMYFUNCTION("CONCATENATE(GOOGLETRANSLATE(C218, ""en"", ""ja""))"),"ASUS 2023 ゲーミング ノートパソコン ROG Strix G16 | Core i7-13650HX 14 コア | NVIDIA GeForce RTX 4060 8GB | 64GB DDR5 | 2TB SSD | 16 インチ 1920 x 1200 165 Hz | Win11 Pro - Wi-Fi 6E - RGB バックライト付きキーボード - グレー")</f>
        <v>ASUS 2023 ゲーミング ノートパソコン ROG Strix G16 | Core i7-13650HX 14 コア | NVIDIA GeForce RTX 4060 8GB | 64GB DDR5 | 2TB SSD | 16 インチ 1920 x 1200 165 Hz | Win11 Pro - Wi-Fi 6E - RGB バックライト付きキーボード - グレー</v>
      </c>
    </row>
    <row r="219" ht="15.75" customHeight="1">
      <c r="A219" s="1">
        <v>8105.0</v>
      </c>
      <c r="B219" s="1" t="s">
        <v>6</v>
      </c>
      <c r="C219" s="1" t="s">
        <v>223</v>
      </c>
      <c r="D219" s="1" t="str">
        <f>IFERROR(__xludf.DUMMYFUNCTION("CONCATENATE(GOOGLETRANSLATE(C219, ""en"", ""zh-cn""))"),"华硕 2024 游戏笔记本电脑 | TUF A17 | AMD 8 核锐龙 9 7940HS | NVIDIA GeForce RTX 4050 6GB | 显卡64GB DDR5 | 4TB 固态硬盘 | 17.3"" 1920 x 1080 144Hz | Win10 Pro - RGB 背光 KB - 机甲灰")</f>
        <v>华硕 2024 游戏笔记本电脑 | TUF A17 | AMD 8 核锐龙 9 7940HS | NVIDIA GeForce RTX 4050 6GB | 显卡64GB DDR5 | 4TB 固态硬盘 | 17.3" 1920 x 1080 144Hz | Win10 Pro - RGB 背光 KB - 机甲灰</v>
      </c>
      <c r="E219" s="1" t="str">
        <f>IFERROR(__xludf.DUMMYFUNCTION("CONCATENATE(GOOGLETRANSLATE(C219, ""en"", ""ko""))"),"ASUS 2024 게이밍 노트북 | TUF A17 | AMD 8코어 Ryzen 9 7940HS | 엔비디아 지포스 RTX 4050 6GB | 64GB DDR5 | 4TB SSD | 17.3인치 1920 x 1080 144Hz | Win10 Pro - RGB 백라이트 KB - 메카 그레이")</f>
        <v>ASUS 2024 게이밍 노트북 | TUF A17 | AMD 8코어 Ryzen 9 7940HS | 엔비디아 지포스 RTX 4050 6GB | 64GB DDR5 | 4TB SSD | 17.3인치 1920 x 1080 144Hz | Win10 Pro - RGB 백라이트 KB - 메카 그레이</v>
      </c>
      <c r="F219" s="1" t="str">
        <f>IFERROR(__xludf.DUMMYFUNCTION("CONCATENATE(GOOGLETRANSLATE(C219, ""en"", ""ja""))"),"ASUS 2024 ゲーミング ノートパソコン | TUF A17 | AMD 8コア Ryzen 9 7940HS | NVIDIA GeForce RTX 4050 6GB | 64GB DDR5 | 4TB SSD | 17.3 インチ 1920 x 1080 144Hz | Win10 Pro - RGB バックライト付き KB - メカ グレー")</f>
        <v>ASUS 2024 ゲーミング ノートパソコン | TUF A17 | AMD 8コア Ryzen 9 7940HS | NVIDIA GeForce RTX 4050 6GB | 64GB DDR5 | 4TB SSD | 17.3 インチ 1920 x 1080 144Hz | Win10 Pro - RGB バックライト付き KB - メカ グレー</v>
      </c>
    </row>
    <row r="220" ht="15.75" customHeight="1">
      <c r="A220" s="1">
        <v>7780.0</v>
      </c>
      <c r="B220" s="1" t="s">
        <v>6</v>
      </c>
      <c r="C220" s="1" t="s">
        <v>224</v>
      </c>
      <c r="D220" s="1" t="str">
        <f>IFERROR(__xludf.DUMMYFUNCTION("CONCATENATE(GOOGLETRANSLATE(C220, ""en"", ""zh-cn""))"),"佳能 PGI-280XL/CLI-281 5 色包兼容 TR8520、TR7520、TS9120 系列、TS8120 系列、TS6120 系列")</f>
        <v>佳能 PGI-280XL/CLI-281 5 色包兼容 TR8520、TR7520、TS9120 系列、TS8120 系列、TS6120 系列</v>
      </c>
      <c r="E220" s="1" t="str">
        <f>IFERROR(__xludf.DUMMYFUNCTION("CONCATENATE(GOOGLETRANSLATE(C220, ""en"", ""ko""))"),"Canon PGI-280XL/CLI-281 TR8520, TR7520, TS9120 시리즈, TS8120 시리즈, TS6120 시리즈와 호환되는 5색 팩")</f>
        <v>Canon PGI-280XL/CLI-281 TR8520, TR7520, TS9120 시리즈, TS8120 시리즈, TS6120 시리즈와 호환되는 5색 팩</v>
      </c>
      <c r="F220" s="1" t="str">
        <f>IFERROR(__xludf.DUMMYFUNCTION("CONCATENATE(GOOGLETRANSLATE(C220, ""en"", ""ja""))"),"Canon PGI-280XL/CLI-281 5色パック TR8520、TR7520、TS9120シリーズ、TS8120シリーズ、TS6120シリーズ対応")</f>
        <v>Canon PGI-280XL/CLI-281 5色パック TR8520、TR7520、TS9120シリーズ、TS8120シリーズ、TS6120シリーズ対応</v>
      </c>
    </row>
    <row r="221" ht="15.75" customHeight="1">
      <c r="A221" s="1">
        <v>7781.0</v>
      </c>
      <c r="B221" s="1" t="s">
        <v>6</v>
      </c>
      <c r="C221" s="1" t="s">
        <v>225</v>
      </c>
      <c r="D221" s="1" t="str">
        <f>IFERROR(__xludf.DUMMYFUNCTION("CONCATENATE(GOOGLETRANSLATE(C221, ""en"", ""zh-cn""))"),"佳能 PG-240 XL 正品黑色墨盒，兼容 MG2120/3120/4120、MX512/432/472/372/392/522/532/452、MG2220/3220/4220/3520/3620、TS5120")</f>
        <v>佳能 PG-240 XL 正品黑色墨盒，兼容 MG2120/3120/4120、MX512/432/472/372/392/522/532/452、MG2220/3220/4220/3520/3620、TS5120</v>
      </c>
      <c r="E221" s="1" t="str">
        <f>IFERROR(__xludf.DUMMYFUNCTION("CONCATENATE(GOOGLETRANSLATE(C221, ""en"", ""ko""))"),"Canon PG-240 XL 정품 검정 잉크 카트리지, MG2120/3120/4120, MX512/432/472/372/392/522/532/452, MG2220/3220/4220/3520/3620, TS5120과 호환 가능")</f>
        <v>Canon PG-240 XL 정품 검정 잉크 카트리지, MG2120/3120/4120, MX512/432/472/372/392/522/532/452, MG2220/3220/4220/3520/3620, TS5120과 호환 가능</v>
      </c>
      <c r="F221" s="1" t="str">
        <f>IFERROR(__xludf.DUMMYFUNCTION("CONCATENATE(GOOGLETRANSLATE(C221, ""en"", ""ja""))"),"Canon PG-240 XL 純正 ブラック インクカートリッジ MG2120/3120/4120、MX512/432/472/372/392/522/532/452、MG2220/3220/4220/3520/3620、TS5120 対応")</f>
        <v>Canon PG-240 XL 純正 ブラック インクカートリッジ MG2120/3120/4120、MX512/432/472/372/392/522/532/452、MG2220/3220/4220/3520/3620、TS5120 対応</v>
      </c>
    </row>
    <row r="222" ht="15.75" customHeight="1">
      <c r="A222" s="1">
        <v>7805.0</v>
      </c>
      <c r="B222" s="1" t="s">
        <v>6</v>
      </c>
      <c r="C222" s="1" t="s">
        <v>226</v>
      </c>
      <c r="D222" s="1" t="str">
        <f>IFERROR(__xludf.DUMMYFUNCTION("CONCATENATE(GOOGLETRANSLATE(C222, ""en"", ""zh-cn""))"),"HP 962XL 黑色高印量墨盒 |适用于 HP OfficeJet 9010 系列、HP OfficeJet Pro 9010、9020 系列 |符合 Instant Ink 条件 | 3JA03AN")</f>
        <v>HP 962XL 黑色高印量墨盒 |适用于 HP OfficeJet 9010 系列、HP OfficeJet Pro 9010、9020 系列 |符合 Instant Ink 条件 | 3JA03AN</v>
      </c>
      <c r="E222" s="1" t="str">
        <f>IFERROR(__xludf.DUMMYFUNCTION("CONCATENATE(GOOGLETRANSLATE(C222, ""en"", ""ko""))"),"HP 962XL 검정 대용량 잉크 카트리지 | HP OfficeJet 9010 시리즈, HP OfficeJet Pro 9010, 9020 시리즈와 함께 작동 | 인스턴트 잉크 사용 가능 | 3JA03AN")</f>
        <v>HP 962XL 검정 대용량 잉크 카트리지 | HP OfficeJet 9010 시리즈, HP OfficeJet Pro 9010, 9020 시리즈와 함께 작동 | 인스턴트 잉크 사용 가능 | 3JA03AN</v>
      </c>
      <c r="F222" s="1" t="str">
        <f>IFERROR(__xludf.DUMMYFUNCTION("CONCATENATE(GOOGLETRANSLATE(C222, ""en"", ""ja""))"),"HP 962XL ブラック高収量インク カートリッジ | HP OfficeJet 9010 シリーズ、HP OfficeJet Pro 9010、9020 シリーズで動作 | Instant Ink の対象 | 3JA03AN")</f>
        <v>HP 962XL ブラック高収量インク カートリッジ | HP OfficeJet 9010 シリーズ、HP OfficeJet Pro 9010、9020 シリーズで動作 | Instant Ink の対象 | 3JA03AN</v>
      </c>
    </row>
    <row r="223" ht="15.75" customHeight="1">
      <c r="A223" s="1">
        <v>7834.0</v>
      </c>
      <c r="B223" s="1" t="s">
        <v>6</v>
      </c>
      <c r="C223" s="1" t="s">
        <v>227</v>
      </c>
      <c r="D223" s="1" t="str">
        <f>IFERROR(__xludf.DUMMYFUNCTION("CONCATENATE(GOOGLETRANSLATE(C223, ""en"", ""zh-cn""))"),"Brother TN227 4 件高印量彩色碳粉套装 (BK/C/M/Y) (1) TN227BK、(1) TN227C、(1) TN227M、(1) TN227Y")</f>
        <v>Brother TN227 4 件高印量彩色碳粉套装 (BK/C/M/Y) (1) TN227BK、(1) TN227C、(1) TN227M、(1) TN227Y</v>
      </c>
      <c r="E223" s="1" t="str">
        <f>IFERROR(__xludf.DUMMYFUNCTION("CONCATENATE(GOOGLETRANSLATE(C223, ""en"", ""ko""))"),"Brother TN227 4 대용량 컬러 토너 세트(BK/C/M/Y) (1) TN227BK, (1) TN227C, (1) TN227M, (1) TN227Y")</f>
        <v>Brother TN227 4 대용량 컬러 토너 세트(BK/C/M/Y) (1) TN227BK, (1) TN227C, (1) TN227M, (1) TN227Y</v>
      </c>
      <c r="F223" s="1" t="str">
        <f>IFERROR(__xludf.DUMMYFUNCTION("CONCATENATE(GOOGLETRANSLATE(C223, ""en"", ""ja""))"),"Brother TN227 4 高収量カラー トナー セット (BK/C/M/Y) (1) TN227BK、(1) TN227C、(1) TN227M、(1) TN227Y")</f>
        <v>Brother TN227 4 高収量カラー トナー セット (BK/C/M/Y) (1) TN227BK、(1) TN227C、(1) TN227M、(1) TN227Y</v>
      </c>
    </row>
    <row r="224" ht="15.75" customHeight="1">
      <c r="A224" s="1">
        <v>7840.0</v>
      </c>
      <c r="B224" s="1" t="s">
        <v>6</v>
      </c>
      <c r="C224" s="1" t="s">
        <v>228</v>
      </c>
      <c r="D224" s="1" t="str">
        <f>IFERROR(__xludf.DUMMYFUNCTION("CONCATENATE(GOOGLETRANSLATE(C224, ""en"", ""zh-cn""))"),"Brother 正品高印量碳粉盒，TN850，替换黑色碳粉，页打印量高达 8，000 页，亚马逊 Dash 补充墨盒")</f>
        <v>Brother 正品高印量碳粉盒，TN850，替换黑色碳粉，页打印量高达 8，000 页，亚马逊 Dash 补充墨盒</v>
      </c>
      <c r="E224" s="1" t="str">
        <f>IFERROR(__xludf.DUMMYFUNCTION("CONCATENATE(GOOGLETRANSLATE(C224, ""en"", ""ko""))"),"브라더 정품 대용량 토너 카트리지, TN850, 교체용 검정색 토너, 페이지 출력량 최대 8,000페이지, 아마존 대시 보충 카트리지")</f>
        <v>브라더 정품 대용량 토너 카트리지, TN850, 교체용 검정색 토너, 페이지 출력량 최대 8,000페이지, 아마존 대시 보충 카트리지</v>
      </c>
      <c r="F224" s="1" t="str">
        <f>IFERROR(__xludf.DUMMYFUNCTION("CONCATENATE(GOOGLETRANSLATE(C224, ""en"", ""ja""))"),"Brother 純正高収量トナーカートリッジ、TN850、交換用ブラックトナー、最大 8,000 ページの印刷可能量、Amazon ダッシュ補充カートリッジ")</f>
        <v>Brother 純正高収量トナーカートリッジ、TN850、交換用ブラックトナー、最大 8,000 ページの印刷可能量、Amazon ダッシュ補充カートリッジ</v>
      </c>
    </row>
    <row r="225" ht="15.75" customHeight="1">
      <c r="A225" s="1">
        <v>7850.0</v>
      </c>
      <c r="B225" s="1" t="s">
        <v>6</v>
      </c>
      <c r="C225" s="1" t="s">
        <v>229</v>
      </c>
      <c r="D225" s="1" t="str">
        <f>IFERROR(__xludf.DUMMYFUNCTION("CONCATENATE(GOOGLETRANSLATE(C225, ""en"", ""zh-cn""))"),"Brother HL-L2405W 无线紧凑型单色激光打印机，具有移动打印、黑白输出功能| Brother包括刷新订阅试用版 (1)、Amazon Dash 补充就绪")</f>
        <v>Brother HL-L2405W 无线紧凑型单色激光打印机，具有移动打印、黑白输出功能| Brother包括刷新订阅试用版 (1)、Amazon Dash 补充就绪</v>
      </c>
      <c r="E225" s="1" t="str">
        <f>IFERROR(__xludf.DUMMYFUNCTION("CONCATENATE(GOOGLETRANSLATE(C225, ""en"", ""ko""))"),"Brother HL-L2405W 모바일 인쇄, 흑백 출력 기능을 갖춘 무선 소형 흑백 레이저 프린터 | 새로 고침 구독 평가판(1), Amazon Dash 보충 준비 포함")</f>
        <v>Brother HL-L2405W 모바일 인쇄, 흑백 출력 기능을 갖춘 무선 소형 흑백 레이저 프린터 | 새로 고침 구독 평가판(1), Amazon Dash 보충 준비 포함</v>
      </c>
      <c r="F225" s="1" t="str">
        <f>IFERROR(__xludf.DUMMYFUNCTION("CONCATENATE(GOOGLETRANSLATE(C225, ""en"", ""ja""))"),"Brother HL-L2405W ワイヤレスコンパクトモノクロレーザープリンター、モバイル印刷、白黒出力 |リフレッシュ サブスクリプション トライアル (1) が含まれており、Amazon Dash Replenishment 対応")</f>
        <v>Brother HL-L2405W ワイヤレスコンパクトモノクロレーザープリンター、モバイル印刷、白黒出力 |リフレッシュ サブスクリプション トライアル (1) が含まれており、Amazon Dash Replenishment 対応</v>
      </c>
    </row>
    <row r="226" ht="15.75" customHeight="1">
      <c r="A226" s="1">
        <v>7888.0</v>
      </c>
      <c r="B226" s="1" t="s">
        <v>6</v>
      </c>
      <c r="C226" s="1" t="s">
        <v>151</v>
      </c>
      <c r="D226" s="1" t="str">
        <f>IFERROR(__xludf.DUMMYFUNCTION("CONCATENATE(GOOGLETRANSLATE(C226, ""en"", ""zh-cn""))"),"Scotch 热层压袋，50 个，透明，3 百万个，层压自制装饰品、圣诞横幅和礼品标签，理想的节日用品，适合信纸尺寸（8.9 英寸 × 11.4 英寸）纸张")</f>
        <v>Scotch 热层压袋，50 个，透明，3 百万个，层压自制装饰品、圣诞横幅和礼品标签，理想的节日用品，适合信纸尺寸（8.9 英寸 × 11.4 英寸）纸张</v>
      </c>
      <c r="E226" s="1" t="str">
        <f>IFERROR(__xludf.DUMMYFUNCTION("CONCATENATE(GOOGLETRANSLATE(C226, ""en"", ""ko""))"),"스카치 열 라미네이팅 파우치, 50개, 투명, 300만개, 라미네이트 홈메이드 장식품, 크리스마스 배너 및 선물 태그, 이상적인 명절 용품, Letter 크기(8.9인치 × 11.4인치) 용지에 적합")</f>
        <v>스카치 열 라미네이팅 파우치, 50개, 투명, 300만개, 라미네이트 홈메이드 장식품, 크리스마스 배너 및 선물 태그, 이상적인 명절 용품, Letter 크기(8.9인치 × 11.4인치) 용지에 적합</v>
      </c>
      <c r="F226" s="1" t="str">
        <f>IFERROR(__xludf.DUMMYFUNCTION("CONCATENATE(GOOGLETRANSLATE(C226, ""en"", ""ja""))"),"Scotch サーマルラミネートポーチ、50枚、クリア、3ミル、ラミネート自家製オーナメント、クリスマスバナーとギフトタグ、理想的なホリデー用品、レターサイズ(8.9インチ×11.4インチ)の紙に適合")</f>
        <v>Scotch サーマルラミネートポーチ、50枚、クリア、3ミル、ラミネート自家製オーナメント、クリスマスバナーとギフトタグ、理想的なホリデー用品、レターサイズ(8.9インチ×11.4インチ)の紙に適合</v>
      </c>
    </row>
    <row r="227" ht="15.75" customHeight="1">
      <c r="A227" s="1">
        <v>7918.0</v>
      </c>
      <c r="B227" s="1" t="s">
        <v>6</v>
      </c>
      <c r="C227" s="1" t="s">
        <v>230</v>
      </c>
      <c r="D227" s="1" t="str">
        <f>IFERROR(__xludf.DUMMYFUNCTION("CONCATENATE(GOOGLETRANSLATE(C227, ""en"", ""zh-cn""))"),"MSI Prestige 16 EVO 16"" QHD+ 165Hz 笔记本电脑：Intel Core i9-13900H、Intel Iris Xe、32GB DDR5、1TB NVMe SSD、Thunderbolt 4、HDMI、MicroSD 读卡器、Win 11 Pro：Urban Silver A13M-408US")</f>
        <v>MSI Prestige 16 EVO 16" QHD+ 165Hz 笔记本电脑：Intel Core i9-13900H、Intel Iris Xe、32GB DDR5、1TB NVMe SSD、Thunderbolt 4、HDMI、MicroSD 读卡器、Win 11 Pro：Urban Silver A13M-408US</v>
      </c>
      <c r="E227" s="1" t="str">
        <f>IFERROR(__xludf.DUMMYFUNCTION("CONCATENATE(GOOGLETRANSLATE(C227, ""en"", ""ko""))"),"MSI Prestige 16 EVO 16인치 QHD+ 165Hz 노트북: Intel Core i9-13900H, Intel Iris Xe, 32GB DDR5, 1TB NVMe SSD, Thunderbolt 4, HDMI, MicroSD 카드 리더기, Win 11 Pro: Urban Silver A13M-408US")</f>
        <v>MSI Prestige 16 EVO 16인치 QHD+ 165Hz 노트북: Intel Core i9-13900H, Intel Iris Xe, 32GB DDR5, 1TB NVMe SSD, Thunderbolt 4, HDMI, MicroSD 카드 리더기, Win 11 Pro: Urban Silver A13M-408US</v>
      </c>
      <c r="F227" s="1" t="str">
        <f>IFERROR(__xludf.DUMMYFUNCTION("CONCATENATE(GOOGLETRANSLATE(C227, ""en"", ""ja""))"),"MSI Prestige 16 EVO 16 インチ QHD+ 165Hz ノートパソコン: Intel Core i9-13900H、Intel Iris Xe、32GB DDR5、1TB NVMe SSD、Thunderbolt 4、HDMI、MicroSD カード リーダー、Win 11 Pro: アーバン シルバー A13M-408US")</f>
        <v>MSI Prestige 16 EVO 16 インチ QHD+ 165Hz ノートパソコン: Intel Core i9-13900H、Intel Iris Xe、32GB DDR5、1TB NVMe SSD、Thunderbolt 4、HDMI、MicroSD カード リーダー、Win 11 Pro: アーバン シルバー A13M-408US</v>
      </c>
    </row>
    <row r="228" ht="15.75" customHeight="1">
      <c r="A228" s="1">
        <v>7921.0</v>
      </c>
      <c r="B228" s="1" t="s">
        <v>6</v>
      </c>
      <c r="C228" s="1" t="s">
        <v>231</v>
      </c>
      <c r="D228" s="1" t="str">
        <f>IFERROR(__xludf.DUMMYFUNCTION("CONCATENATE(GOOGLETRANSLATE(C228, ""en"", ""zh-cn""))"),"MSI Raider GE68HX 游戏笔记本电脑 16 英寸 FHD+ IPS 144Hz Intel 24 核 i9-14900HX 64GB RAM 4TB SSD GeForce RTX 4070 RGB 背光 Thunderbolt4 USB-C Dynaudio FHD 红外防窥摄像头 Win11 带 ICP 配件")</f>
        <v>MSI Raider GE68HX 游戏笔记本电脑 16 英寸 FHD+ IPS 144Hz Intel 24 核 i9-14900HX 64GB RAM 4TB SSD GeForce RTX 4070 RGB 背光 Thunderbolt4 USB-C Dynaudio FHD 红外防窥摄像头 Win11 带 ICP 配件</v>
      </c>
      <c r="E228" s="1" t="str">
        <f>IFERROR(__xludf.DUMMYFUNCTION("CONCATENATE(GOOGLETRANSLATE(C228, ""en"", ""ko""))"),"MSI Raider GE68HX 게이밍 노트북 16인치 FHD+ IPS 144Hz 인텔 24코어 i9-14900HX 64GB RAM 4TB SSD GeForce RTX 4070 RGB 백라이트 Thunderbolt4 USB-C 다인오디오 FHD IR 개인 정보 보호 카메라 Win11(ICP 액세서리 포함)")</f>
        <v>MSI Raider GE68HX 게이밍 노트북 16인치 FHD+ IPS 144Hz 인텔 24코어 i9-14900HX 64GB RAM 4TB SSD GeForce RTX 4070 RGB 백라이트 Thunderbolt4 USB-C 다인오디오 FHD IR 개인 정보 보호 카메라 Win11(ICP 액세서리 포함)</v>
      </c>
      <c r="F228" s="1" t="str">
        <f>IFERROR(__xludf.DUMMYFUNCTION("CONCATENATE(GOOGLETRANSLATE(C228, ""en"", ""ja""))"),"MSI Raider GE68HX ゲーミング ノートパソコン 16 インチ FHD+ IPS 144Hz Intel 24 コア i9-14900HX 64GB RAM 4TB SSD GeForce RTX 4070 RGB バックライト付き Thunderbolt4 USB-C Dynaudio FHD IR プライバシー カメラ Win11 ICP アクセサリ付き")</f>
        <v>MSI Raider GE68HX ゲーミング ノートパソコン 16 インチ FHD+ IPS 144Hz Intel 24 コア i9-14900HX 64GB RAM 4TB SSD GeForce RTX 4070 RGB バックライト付き Thunderbolt4 USB-C Dynaudio FHD IR プライバシー カメラ Win11 ICP アクセサリ付き</v>
      </c>
    </row>
    <row r="229" ht="15.75" customHeight="1">
      <c r="A229" s="1">
        <v>7929.0</v>
      </c>
      <c r="B229" s="1" t="s">
        <v>6</v>
      </c>
      <c r="C229" s="1" t="s">
        <v>232</v>
      </c>
      <c r="D229" s="1" t="str">
        <f>IFERROR(__xludf.DUMMYFUNCTION("CONCATENATE(GOOGLETRANSLATE(C229, ""en"", ""zh-cn""))"),"MSI Katana A15 AI B8VF 游戏笔记本电脑 2024 年，15.6 英寸 FHD IPS 144Hz，AMD Ryzen 7 8845HS 8 核，NVIDIA GeForce RTX 4060 8GB，32GB DDR5 1TB SSD，RGB 背光键盘，Wi-Fi 6E，Win10 Home，COU 32GB USB")</f>
        <v>MSI Katana A15 AI B8VF 游戏笔记本电脑 2024 年，15.6 英寸 FHD IPS 144Hz，AMD Ryzen 7 8845HS 8 核，NVIDIA GeForce RTX 4060 8GB，32GB DDR5 1TB SSD，RGB 背光键盘，Wi-Fi 6E，Win10 Home，COU 32GB USB</v>
      </c>
      <c r="E229" s="1" t="str">
        <f>IFERROR(__xludf.DUMMYFUNCTION("CONCATENATE(GOOGLETRANSLATE(C229, ""en"", ""ko""))"),"MSI Katana A15 AI B8VF 게이밍 노트북 2024, 15.6인치 FHD IPS 144Hz, AMD Ryzen 7 8845HS 8코어, NVIDIA GeForce RTX 4060 8GB, 32GB DDR5 1TB SSD, RGB 백라이트 키보드, Wi-Fi 6E, Win10 Home, COU 32GB USB")</f>
        <v>MSI Katana A15 AI B8VF 게이밍 노트북 2024, 15.6인치 FHD IPS 144Hz, AMD Ryzen 7 8845HS 8코어, NVIDIA GeForce RTX 4060 8GB, 32GB DDR5 1TB SSD, RGB 백라이트 키보드, Wi-Fi 6E, Win10 Home, COU 32GB USB</v>
      </c>
      <c r="F229" s="1" t="str">
        <f>IFERROR(__xludf.DUMMYFUNCTION("CONCATENATE(GOOGLETRANSLATE(C229, ""en"", ""ja""))"),"MSI Katana A15 AI B8VF ゲーミング ラップトップ 2024、15.6 インチ FHD IPS 144Hz、AMD Ryzen 7 8845HS 8 コア、NVIDIA GeForce RTX 4060 8GB、32GB DDR5 1TB SSD、RGB バックライト付きキーボード、Wi-Fi 6E、Win10 Home、COU 32GB USB")</f>
        <v>MSI Katana A15 AI B8VF ゲーミング ラップトップ 2024、15.6 インチ FHD IPS 144Hz、AMD Ryzen 7 8845HS 8 コア、NVIDIA GeForce RTX 4060 8GB、32GB DDR5 1TB SSD、RGB バックライト付きキーボード、Wi-Fi 6E、Win10 Home、COU 32GB USB</v>
      </c>
    </row>
    <row r="230" ht="15.75" customHeight="1">
      <c r="A230" s="1">
        <v>7957.0</v>
      </c>
      <c r="B230" s="1" t="s">
        <v>6</v>
      </c>
      <c r="C230" s="1" t="s">
        <v>233</v>
      </c>
      <c r="D230" s="1" t="str">
        <f>IFERROR(__xludf.DUMMYFUNCTION("CONCATENATE(GOOGLETRANSLATE(C230, ""en"", ""zh-cn""))"),"微软 Surface 笔记本电脑 Go 3 12.4 英寸 i5-1235U 8GB DDR5 256GB SSD 砂岩")</f>
        <v>微软 Surface 笔记本电脑 Go 3 12.4 英寸 i5-1235U 8GB DDR5 256GB SSD 砂岩</v>
      </c>
      <c r="E230" s="1" t="str">
        <f>IFERROR(__xludf.DUMMYFUNCTION("CONCATENATE(GOOGLETRANSLATE(C230, ""en"", ""ko""))"),"마이크로소프트 서피스 노트북 고3 12.4인치 i5-1235U 8GB DDR5 256GB SSD 샌드스톤")</f>
        <v>마이크로소프트 서피스 노트북 고3 12.4인치 i5-1235U 8GB DDR5 256GB SSD 샌드스톤</v>
      </c>
      <c r="F230" s="1" t="str">
        <f>IFERROR(__xludf.DUMMYFUNCTION("CONCATENATE(GOOGLETRANSLATE(C230, ""en"", ""ja""))"),"Microsoft Surface Laptop Go 3 12.4インチ i5-1235U 8GB DDR5 256GB SSD サンドストーン")</f>
        <v>Microsoft Surface Laptop Go 3 12.4インチ i5-1235U 8GB DDR5 256GB SSD サンドストーン</v>
      </c>
    </row>
    <row r="231" ht="15.75" customHeight="1">
      <c r="A231" s="1">
        <v>8035.0</v>
      </c>
      <c r="B231" s="1" t="s">
        <v>6</v>
      </c>
      <c r="C231" s="1" t="s">
        <v>234</v>
      </c>
      <c r="D231" s="1" t="str">
        <f>IFERROR(__xludf.DUMMYFUNCTION("CONCATENATE(GOOGLETRANSLATE(C231, ""en"", ""zh-cn""))"),"戴尔 Inspiron 灵越 15 3000 3520 商务笔记本电脑[Windows 11 Pro]，15.6 英寸全高清触摸屏，第 11 代英特尔四核 i5-1135G7，16GB RAM，1TB PCIe SSD，数字键盘，Wi-Fi，网络摄像头，HDMI，黑色")</f>
        <v>戴尔 Inspiron 灵越 15 3000 3520 商务笔记本电脑[Windows 11 Pro]，15.6 英寸全高清触摸屏，第 11 代英特尔四核 i5-1135G7，16GB RAM，1TB PCIe SSD，数字键盘，Wi-Fi，网络摄像头，HDMI，黑色</v>
      </c>
      <c r="E231" s="1" t="str">
        <f>IFERROR(__xludf.DUMMYFUNCTION("CONCATENATE(GOOGLETRANSLATE(C231, ""en"", ""ko""))"),"Dell Inspiron 15 3000 3520 비즈니스 노트북 컴퓨터[Windows 11 Pro], 15.6인치 FHD 터치스크린, 11세대 인텔 쿼드코어 i5-1135G7, 16GB RAM, 1TB PCIe SSD, 숫자 키패드, Wi-Fi, 웹캠, HDMI, 블랙")</f>
        <v>Dell Inspiron 15 3000 3520 비즈니스 노트북 컴퓨터[Windows 11 Pro], 15.6인치 FHD 터치스크린, 11세대 인텔 쿼드코어 i5-1135G7, 16GB RAM, 1TB PCIe SSD, 숫자 키패드, Wi-Fi, 웹캠, HDMI, 블랙</v>
      </c>
      <c r="F231" s="1" t="str">
        <f>IFERROR(__xludf.DUMMYFUNCTION("CONCATENATE(GOOGLETRANSLATE(C231, ""en"", ""ja""))"),"Dell Inspiron 15 3000 3520 ビジネス ラップトップ コンピューター [Windows 11 Pro]、15.6 インチ FHD タッチスクリーン、第 11 世代インテル クアッドコア i5-1135G7、16GB RAM、1TB PCIe SSD、テンキー、Wi-Fi、ウェブカメラ、HDMI、ブラック")</f>
        <v>Dell Inspiron 15 3000 3520 ビジネス ラップトップ コンピューター [Windows 11 Pro]、15.6 インチ FHD タッチスクリーン、第 11 世代インテル クアッドコア i5-1135G7、16GB RAM、1TB PCIe SSD、テンキー、Wi-Fi、ウェブカメラ、HDMI、ブラック</v>
      </c>
    </row>
    <row r="232" ht="15.75" customHeight="1">
      <c r="A232" s="1">
        <v>8110.0</v>
      </c>
      <c r="B232" s="1" t="s">
        <v>6</v>
      </c>
      <c r="C232" s="1" t="s">
        <v>235</v>
      </c>
      <c r="D232" s="1" t="str">
        <f>IFERROR(__xludf.DUMMYFUNCTION("CONCATENATE(GOOGLETRANSLATE(C232, ""en"", ""zh-cn""))"),"Apple MacBook Air MJVM2LL/A 11.6 英寸笔记本电脑（1.6 GHz Intel Core i5、128 GB 硬盘、集成 Intel HD Graphics 6000、Mac OS X 10.10 Yosemite）（更新）")</f>
        <v>Apple MacBook Air MJVM2LL/A 11.6 英寸笔记本电脑（1.6 GHz Intel Core i5、128 GB 硬盘、集成 Intel HD Graphics 6000、Mac OS X 10.10 Yosemite）（更新）</v>
      </c>
      <c r="E232" s="1" t="str">
        <f>IFERROR(__xludf.DUMMYFUNCTION("CONCATENATE(GOOGLETRANSLATE(C232, ""en"", ""ko""))"),"Apple MacBook Air MJVM2LL/A 11.6인치 노트북(1.6GHz Intel Core i5, 128GB 하드 드라이브, 통합 Intel HD 그래픽 6000, Mac OS X 10.10 Yosemite)(리뉴얼)")</f>
        <v>Apple MacBook Air MJVM2LL/A 11.6인치 노트북(1.6GHz Intel Core i5, 128GB 하드 드라이브, 통합 Intel HD 그래픽 6000, Mac OS X 10.10 Yosemite)(리뉴얼)</v>
      </c>
      <c r="F232" s="1" t="str">
        <f>IFERROR(__xludf.DUMMYFUNCTION("CONCATENATE(GOOGLETRANSLATE(C232, ""en"", ""ja""))"),"Apple MacBook Air MJVM2LL/A 11.6 インチ ラップトップ (1.6 GHz Intel Core i5、128 GB ハード ドライブ、統合 Intel HD グラフィックス 6000、Mac OS X 10.10 Yosemite) (リニューアル)")</f>
        <v>Apple MacBook Air MJVM2LL/A 11.6 インチ ラップトップ (1.6 GHz Intel Core i5、128 GB ハード ドライブ、統合 Intel HD グラフィックス 6000、Mac OS X 10.10 Yosemite) (リニューアル)</v>
      </c>
    </row>
    <row r="233" ht="15.75" customHeight="1">
      <c r="A233" s="1">
        <v>8116.0</v>
      </c>
      <c r="B233" s="1" t="s">
        <v>6</v>
      </c>
      <c r="C233" s="1" t="s">
        <v>236</v>
      </c>
      <c r="D233" s="1" t="str">
        <f>IFERROR(__xludf.DUMMYFUNCTION("CONCATENATE(GOOGLETRANSLATE(C233, ""en"", ""zh-cn""))"),"采用 M2 芯片的 Apple 2022 MacBook Air 笔记本电脑：专为 Apple Intelligence 打造、13.6 英寸 Liquid Retina 显示屏、16GB RAM、256GB SSD 存储、背光键盘、1080p FaceTime 高清摄像头；午夜")</f>
        <v>采用 M2 芯片的 Apple 2022 MacBook Air 笔记本电脑：专为 Apple Intelligence 打造、13.6 英寸 Liquid Retina 显示屏、16GB RAM、256GB SSD 存储、背光键盘、1080p FaceTime 高清摄像头；午夜</v>
      </c>
      <c r="E233" s="1" t="str">
        <f>IFERROR(__xludf.DUMMYFUNCTION("CONCATENATE(GOOGLETRANSLATE(C233, ""en"", ""ko""))"),"M2 칩이 탑재된 Apple 2022 MacBook Air 노트북: Apple Intelligence용으로 제작, 13.6인치 Liquid Retina 디스플레이, 16GB RAM, 256GB SSD 스토리지, 백라이트 키보드, 1080p FaceTime HD 카메라; 자정")</f>
        <v>M2 칩이 탑재된 Apple 2022 MacBook Air 노트북: Apple Intelligence용으로 제작, 13.6인치 Liquid Retina 디스플레이, 16GB RAM, 256GB SSD 스토리지, 백라이트 키보드, 1080p FaceTime HD 카메라; 자정</v>
      </c>
      <c r="F233" s="1" t="str">
        <f>IFERROR(__xludf.DUMMYFUNCTION("CONCATENATE(GOOGLETRANSLATE(C233, ""en"", ""ja""))"),"M2 チップ搭載 Apple 2022 MacBook Air ラップトップ: Apple Intelligence 向けに構築、13.6 インチ Liquid Retina ディスプレイ、16GB RAM、256GB SSD ストレージ、バックライト付きキーボード、1080p FaceTime HD カメラ。夜中")</f>
        <v>M2 チップ搭載 Apple 2022 MacBook Air ラップトップ: Apple Intelligence 向けに構築、13.6 インチ Liquid Retina ディスプレイ、16GB RAM、256GB SSD ストレージ、バックライト付きキーボード、1080p FaceTime HD カメラ。夜中</v>
      </c>
    </row>
    <row r="234" ht="15.75" customHeight="1">
      <c r="A234" s="1">
        <v>7779.0</v>
      </c>
      <c r="B234" s="1" t="s">
        <v>6</v>
      </c>
      <c r="C234" s="1" t="s">
        <v>237</v>
      </c>
      <c r="D234" s="1" t="str">
        <f>IFERROR(__xludf.DUMMYFUNCTION("CONCATENATE(GOOGLETRANSLATE(C234, ""en"", ""zh-cn""))"),"佳能 PG-275 正品黑色墨盒，兼容 TS3520/3522、TR4720/4722、TS3720/3722")</f>
        <v>佳能 PG-275 正品黑色墨盒，兼容 TS3520/3522、TR4720/4722、TS3720/3722</v>
      </c>
      <c r="E234" s="1" t="str">
        <f>IFERROR(__xludf.DUMMYFUNCTION("CONCATENATE(GOOGLETRANSLATE(C234, ""en"", ""ko""))"),"Canon PG-275 정품 검정 잉크 카트리지, TS3520/3522, TR4720/4722, TS3720/3722와 호환 가능")</f>
        <v>Canon PG-275 정품 검정 잉크 카트리지, TS3520/3522, TR4720/4722, TS3720/3722와 호환 가능</v>
      </c>
      <c r="F234" s="1" t="str">
        <f>IFERROR(__xludf.DUMMYFUNCTION("CONCATENATE(GOOGLETRANSLATE(C234, ""en"", ""ja""))"),"Canon 純正インクカートリッジ PG-275 ブラック TS3520/3522、TR4720/4722、TS3720/3722対応")</f>
        <v>Canon 純正インクカートリッジ PG-275 ブラック TS3520/3522、TR4720/4722、TS3720/3722対応</v>
      </c>
    </row>
    <row r="235" ht="15.75" customHeight="1">
      <c r="A235" s="1">
        <v>7782.0</v>
      </c>
      <c r="B235" s="1" t="s">
        <v>6</v>
      </c>
      <c r="C235" s="1" t="s">
        <v>238</v>
      </c>
      <c r="D235" s="1" t="str">
        <f>IFERROR(__xludf.DUMMYFUNCTION("CONCATENATE(GOOGLETRANSLATE(C235, ""en"", ""zh-cn""))"),"佳能 Image Class D570 单色激光打印机，带扫描仪和复印机 - 黑色")</f>
        <v>佳能 Image Class D570 单色激光打印机，带扫描仪和复印机 - 黑色</v>
      </c>
      <c r="E235" s="1" t="str">
        <f>IFERROR(__xludf.DUMMYFUNCTION("CONCATENATE(GOOGLETRANSLATE(C235, ""en"", ""ko""))"),"Canon Image Class D570 흑백 레이저 프린터(스캐너 및 복사기 포함) - 블랙")</f>
        <v>Canon Image Class D570 흑백 레이저 프린터(스캐너 및 복사기 포함) - 블랙</v>
      </c>
      <c r="F235" s="1" t="str">
        <f>IFERROR(__xludf.DUMMYFUNCTION("CONCATENATE(GOOGLETRANSLATE(C235, ""en"", ""ja""))"),"Canon Image Class D570 モノクロ レーザー プリンター (スキャナーおよびコピー機付き) - ブラック")</f>
        <v>Canon Image Class D570 モノクロ レーザー プリンター (スキャナーおよびコピー機付き) - ブラック</v>
      </c>
    </row>
    <row r="236" ht="15.75" customHeight="1">
      <c r="A236" s="1">
        <v>7789.0</v>
      </c>
      <c r="B236" s="1" t="s">
        <v>6</v>
      </c>
      <c r="C236" s="1" t="s">
        <v>239</v>
      </c>
      <c r="D236" s="1" t="str">
        <f>IFERROR(__xludf.DUMMYFUNCTION("CONCATENATE(GOOGLETRANSLATE(C236, ""en"", ""zh-cn""))"),"佳能 Canoscan Lide 300 扫描仪（PDF、自动扫描、复制、发送）")</f>
        <v>佳能 Canoscan Lide 300 扫描仪（PDF、自动扫描、复制、发送）</v>
      </c>
      <c r="E236" s="1" t="str">
        <f>IFERROR(__xludf.DUMMYFUNCTION("CONCATENATE(GOOGLETRANSLATE(C236, ""en"", ""ko""))"),"Canon Canoscan Lide 300 스캐너(PDF, AUTOSCAN, COPY, SEND)")</f>
        <v>Canon Canoscan Lide 300 스캐너(PDF, AUTOSCAN, COPY, SEND)</v>
      </c>
      <c r="F236" s="1" t="str">
        <f>IFERROR(__xludf.DUMMYFUNCTION("CONCATENATE(GOOGLETRANSLATE(C236, ""en"", ""ja""))"),"Canon Canoscan Lide 300 スキャナー (PDF、オートスキャン、コピー、送信)")</f>
        <v>Canon Canoscan Lide 300 スキャナー (PDF、オートスキャン、コピー、送信)</v>
      </c>
    </row>
    <row r="237" ht="15.75" customHeight="1">
      <c r="A237" s="1">
        <v>7808.0</v>
      </c>
      <c r="B237" s="1" t="s">
        <v>6</v>
      </c>
      <c r="C237" s="1" t="s">
        <v>240</v>
      </c>
      <c r="D237" s="1" t="str">
        <f>IFERROR(__xludf.DUMMYFUNCTION("CONCATENATE(GOOGLETRANSLATE(C237, ""en"", ""zh-cn""))"),"HP 63 黑色/三色墨盒（2 件装）|适用于 HP DeskJet 1112、2130、3630 系列；惠普 ENVY 4510、4520 系列； HP OfficeJet 3830、4650、5200 系列 |符合 Instant Ink 条件 | L0R46AN")</f>
        <v>HP 63 黑色/三色墨盒（2 件装）|适用于 HP DeskJet 1112、2130、3630 系列；惠普 ENVY 4510、4520 系列； HP OfficeJet 3830、4650、5200 系列 |符合 Instant Ink 条件 | L0R46AN</v>
      </c>
      <c r="E237" s="1" t="str">
        <f>IFERROR(__xludf.DUMMYFUNCTION("CONCATENATE(GOOGLETRANSLATE(C237, ""en"", ""ko""))"),"HP 63 검정/3색 잉크 카트리지(2팩) | HP DeskJet 1112, 2130, 3630 시리즈와 함께 작동합니다. HP ENVY 4510, 4520 시리즈; HP 오피스젯 3830, 4650, 5200 시리즈 | 인스턴트 잉크 사용 가능 | L0R46AN")</f>
        <v>HP 63 검정/3색 잉크 카트리지(2팩) | HP DeskJet 1112, 2130, 3630 시리즈와 함께 작동합니다. HP ENVY 4510, 4520 시리즈; HP 오피스젯 3830, 4650, 5200 시리즈 | 인스턴트 잉크 사용 가능 | L0R46AN</v>
      </c>
      <c r="F237" s="1" t="str">
        <f>IFERROR(__xludf.DUMMYFUNCTION("CONCATENATE(GOOGLETRANSLATE(C237, ""en"", ""ja""))"),"HP 63 ブラック/トリカラー インク カートリッジ (2 パック) | HP DeskJet 1112、2130、3630 シリーズで動作します。 HP ENVY 4510、4520 シリーズ; HP OfficeJet 3830、4650、5200 シリーズ | Instant Ink の対象 | L0R46AN")</f>
        <v>HP 63 ブラック/トリカラー インク カートリッジ (2 パック) | HP DeskJet 1112、2130、3630 シリーズで動作します。 HP ENVY 4510、4520 シリーズ; HP OfficeJet 3830、4650、5200 シリーズ | Instant Ink の対象 | L0R46AN</v>
      </c>
    </row>
    <row r="238" ht="15.75" customHeight="1">
      <c r="A238" s="1">
        <v>7821.0</v>
      </c>
      <c r="B238" s="1" t="s">
        <v>6</v>
      </c>
      <c r="C238" s="1" t="s">
        <v>241</v>
      </c>
      <c r="D238" s="1" t="str">
        <f>IFERROR(__xludf.DUMMYFUNCTION("CONCATENATE(GOOGLETRANSLATE(C238, ""en"", ""zh-cn""))"),"原装 HP 951 青色、品红色、黄色/950XL 黑色墨盒（4 件装）|适用于 HP OfficeJet 8600 系列； HP OfficeJet Pro 251dw、276dw、8100、8600 系列 |符合 Instant Ink 条件 | C2P01FN")</f>
        <v>原装 HP 951 青色、品红色、黄色/950XL 黑色墨盒（4 件装）|适用于 HP OfficeJet 8600 系列； HP OfficeJet Pro 251dw、276dw、8100、8600 系列 |符合 Instant Ink 条件 | C2P01FN</v>
      </c>
      <c r="E238" s="1" t="str">
        <f>IFERROR(__xludf.DUMMYFUNCTION("CONCATENATE(GOOGLETRANSLATE(C238, ""en"", ""ko""))"),"정품 HP 951 시안, 마젠타, 노랑/950XL 검정 잉크 카트리지(4팩) | HP OfficeJet 8600 시리즈와 함께 작동합니다. HP 오피스젯 프로 251dw, 276dw, 8100, 8600 시리즈 | 인스턴트 잉크 사용 가능 | C2P01FN")</f>
        <v>정품 HP 951 시안, 마젠타, 노랑/950XL 검정 잉크 카트리지(4팩) | HP OfficeJet 8600 시리즈와 함께 작동합니다. HP 오피스젯 프로 251dw, 276dw, 8100, 8600 시리즈 | 인스턴트 잉크 사용 가능 | C2P01FN</v>
      </c>
      <c r="F238" s="1" t="str">
        <f>IFERROR(__xludf.DUMMYFUNCTION("CONCATENATE(GOOGLETRANSLATE(C238, ""en"", ""ja""))"),"オリジナル HP 951 シアン、マゼンタ、イエロー / 950XL ブラック インク カートリッジ (4 パック) | HP OfficeJet 8600 シリーズで動作します。 HP OfficeJet Pro 251dw、276dw、8100、8600 シリーズ | Instant Ink の対象 | C2P01FN")</f>
        <v>オリジナル HP 951 シアン、マゼンタ、イエロー / 950XL ブラック インク カートリッジ (4 パック) | HP OfficeJet 8600 シリーズで動作します。 HP OfficeJet Pro 251dw、276dw、8100、8600 シリーズ | Instant Ink の対象 | C2P01FN</v>
      </c>
    </row>
    <row r="239" ht="15.75" customHeight="1">
      <c r="A239" s="1">
        <v>7873.0</v>
      </c>
      <c r="B239" s="1" t="s">
        <v>6</v>
      </c>
      <c r="C239" s="1" t="s">
        <v>242</v>
      </c>
      <c r="D239" s="1" t="str">
        <f>IFERROR(__xludf.DUMMYFUNCTION("CONCATENATE(GOOGLETRANSLATE(C239, ""en"", ""zh-cn""))"),"Scotch 自封层压袋，4 x 6 英寸，3 包 5 个袋 – 无需机器，透明，可安全拍照")</f>
        <v>Scotch 自封层压袋，4 x 6 英寸，3 包 5 个袋 – 无需机器，透明，可安全拍照</v>
      </c>
      <c r="E239" s="1" t="str">
        <f>IFERROR(__xludf.DUMMYFUNCTION("CONCATENATE(GOOGLETRANSLATE(C239, ""en"", ""ko""))"),"스카치 자체 밀봉 라미네이팅 파우치, 4 x 6인치, 파우치 5개들이 3팩 - 기계 필요 없음, 투명, 사진 안전")</f>
        <v>스카치 자체 밀봉 라미네이팅 파우치, 4 x 6인치, 파우치 5개들이 3팩 - 기계 필요 없음, 투명, 사진 안전</v>
      </c>
      <c r="F239" s="1" t="str">
        <f>IFERROR(__xludf.DUMMYFUNCTION("CONCATENATE(GOOGLETRANSLATE(C239, ""en"", ""ja""))"),"Scotch セルフシール ラミネート パウチ、4 x 6 インチ、5 つのパウチの 3 パック – 機械不要、透明、写真に安全")</f>
        <v>Scotch セルフシール ラミネート パウチ、4 x 6 インチ、5 つのパウチの 3 パック – 機械不要、透明、写真に安全</v>
      </c>
    </row>
    <row r="240" ht="15.75" customHeight="1">
      <c r="A240" s="1">
        <v>7876.0</v>
      </c>
      <c r="B240" s="1" t="s">
        <v>6</v>
      </c>
      <c r="C240" s="1" t="s">
        <v>243</v>
      </c>
      <c r="D240" s="1" t="str">
        <f>IFERROR(__xludf.DUMMYFUNCTION("CONCATENATE(GOOGLETRANSLATE(C240, ""en"", ""zh-cn""))"),"Scotch 热覆膜袋，100 个，透明，500 万个，层压名片、横幅和随笔，理想的办公或学校用品，适合名片（2.3 英寸 × 3.7 英寸）纸张")</f>
        <v>Scotch 热覆膜袋，100 个，透明，500 万个，层压名片、横幅和随笔，理想的办公或学校用品，适合名片（2.3 英寸 × 3.7 英寸）纸张</v>
      </c>
      <c r="E240" s="1" t="str">
        <f>IFERROR(__xludf.DUMMYFUNCTION("CONCATENATE(GOOGLETRANSLATE(C240, ""en"", ""ko""))"),"스카치 열 라미네이팅 파우치, 100개, 투명, 500만개, 라미네이트 명함, 배너 및 에세이, 이상적인 사무실 또는 학교 용품, 명함(2.3인치 × 3.7인치)에 적합 용지")</f>
        <v>스카치 열 라미네이팅 파우치, 100개, 투명, 500만개, 라미네이트 명함, 배너 및 에세이, 이상적인 사무실 또는 학교 용품, 명함(2.3인치 × 3.7인치)에 적합 용지</v>
      </c>
      <c r="F240" s="1" t="str">
        <f>IFERROR(__xludf.DUMMYFUNCTION("CONCATENATE(GOOGLETRANSLATE(C240, ""en"", ""ja""))"),"Scotch サーマルラミネートポーチ、100枚、クリア、5ミル、ラミネート名刺、バナー、エッセイ、オフィスや学校用品に最適、名刺(2.3インチ×3.7インチ)紙に適合")</f>
        <v>Scotch サーマルラミネートポーチ、100枚、クリア、5ミル、ラミネート名刺、バナー、エッセイ、オフィスや学校用品に最適、名刺(2.3インチ×3.7インチ)紙に適合</v>
      </c>
    </row>
    <row r="241" ht="15.75" customHeight="1">
      <c r="A241" s="1">
        <v>7909.0</v>
      </c>
      <c r="B241" s="1" t="s">
        <v>6</v>
      </c>
      <c r="C241" s="1" t="s">
        <v>244</v>
      </c>
      <c r="D241" s="1" t="str">
        <f>IFERROR(__xludf.DUMMYFUNCTION("CONCATENATE(GOOGLETRANSLATE(C241, ""en"", ""zh-cn""))"),"Scotch 冷裱机，带 5 个墨盒 (LS960)")</f>
        <v>Scotch 冷裱机，带 5 个墨盒 (LS960)</v>
      </c>
      <c r="E241" s="1" t="str">
        <f>IFERROR(__xludf.DUMMYFUNCTION("CONCATENATE(GOOGLETRANSLATE(C241, ""en"", ""ko""))"),"스카치 콜드 라미네이팅 기계, 카트리지 5개 포함(LS960)")</f>
        <v>스카치 콜드 라미네이팅 기계, 카트리지 5개 포함(LS960)</v>
      </c>
      <c r="F241" s="1" t="str">
        <f>IFERROR(__xludf.DUMMYFUNCTION("CONCATENATE(GOOGLETRANSLATE(C241, ""en"", ""ja""))"),"スコッチ コールドラミネート機、カートリッジ 5 個付き (LS960)")</f>
        <v>スコッチ コールドラミネート機、カートリッジ 5 個付き (LS960)</v>
      </c>
    </row>
    <row r="242" ht="15.75" customHeight="1">
      <c r="A242" s="1">
        <v>7911.0</v>
      </c>
      <c r="B242" s="1" t="s">
        <v>6</v>
      </c>
      <c r="C242" s="1" t="s">
        <v>245</v>
      </c>
      <c r="D242" s="1" t="str">
        <f>IFERROR(__xludf.DUMMYFUNCTION("CONCATENATE(GOOGLETRANSLATE(C242, ""en"", ""zh-cn""))"),"Scotch 冷层压系统，无需电力 (LS960)")</f>
        <v>Scotch 冷层压系统，无需电力 (LS960)</v>
      </c>
      <c r="E242" s="1" t="str">
        <f>IFERROR(__xludf.DUMMYFUNCTION("CONCATENATE(GOOGLETRANSLATE(C242, ""en"", ""ko""))"),"스카치 콜드 라미네이팅 시스템, 전기 불필요(LS960)")</f>
        <v>스카치 콜드 라미네이팅 시스템, 전기 불필요(LS960)</v>
      </c>
      <c r="F242" s="1" t="str">
        <f>IFERROR(__xludf.DUMMYFUNCTION("CONCATENATE(GOOGLETRANSLATE(C242, ""en"", ""ja""))"),"電気不要のスコッチコールドラミネートシステム (LS960)")</f>
        <v>電気不要のスコッチコールドラミネートシステム (LS960)</v>
      </c>
    </row>
    <row r="243" ht="15.75" customHeight="1">
      <c r="A243" s="1">
        <v>7922.0</v>
      </c>
      <c r="B243" s="1" t="s">
        <v>6</v>
      </c>
      <c r="C243" s="1" t="s">
        <v>246</v>
      </c>
      <c r="D243" s="1" t="str">
        <f>IFERROR(__xludf.DUMMYFUNCTION("CONCATENATE(GOOGLETRANSLATE(C243, ""en"", ""zh-cn""))"),"MSI Titan 18 HX A14VIG-088US 18 英寸 4K 超高清+ 120Hz 游戏笔记本电脑，英特尔酷睿 i9-14900HX 2.2GHz，64GB RAM，4TB SSD，NVIDIA GeForce RTX 4090 16GB，Windows 11 Pro，Core Black")</f>
        <v>MSI Titan 18 HX A14VIG-088US 18 英寸 4K 超高清+ 120Hz 游戏笔记本电脑，英特尔酷睿 i9-14900HX 2.2GHz，64GB RAM，4TB SSD，NVIDIA GeForce RTX 4090 16GB，Windows 11 Pro，Core Black</v>
      </c>
      <c r="E243" s="1" t="str">
        <f>IFERROR(__xludf.DUMMYFUNCTION("CONCATENATE(GOOGLETRANSLATE(C243, ""en"", ""ko""))"),"MSI 타이탄 18 HX A14VIG-088US 18인치 4K 울트라 HD+ 120Hz 게이밍 노트북, 인텔 코어 i9-14900HX 2.2GHz, 64GB RAM, 4TB SSD, 엔비디아 지포스 RTX 4090 16GB, 윈도우 11 프로, 코어 블랙")</f>
        <v>MSI 타이탄 18 HX A14VIG-088US 18인치 4K 울트라 HD+ 120Hz 게이밍 노트북, 인텔 코어 i9-14900HX 2.2GHz, 64GB RAM, 4TB SSD, 엔비디아 지포스 RTX 4090 16GB, 윈도우 11 프로, 코어 블랙</v>
      </c>
      <c r="F243" s="1" t="str">
        <f>IFERROR(__xludf.DUMMYFUNCTION("CONCATENATE(GOOGLETRANSLATE(C243, ""en"", ""ja""))"),"MSI Titan 18 HX A14VIG-088US 18 インチ 4K Ultra HD+ 120Hz ゲーミング ノートパソコン、Intel Core i9-14900HX 2.2GHz、64GB RAM、4TB SSD、NVIDIA GeForce RTX 4090 16GB、Windows 11 Pro、コア ブラック")</f>
        <v>MSI Titan 18 HX A14VIG-088US 18 インチ 4K Ultra HD+ 120Hz ゲーミング ノートパソコン、Intel Core i9-14900HX 2.2GHz、64GB RAM、4TB SSD、NVIDIA GeForce RTX 4090 16GB、Windows 11 Pro、コア ブラック</v>
      </c>
    </row>
    <row r="244" ht="15.75" customHeight="1">
      <c r="A244" s="1">
        <v>7962.0</v>
      </c>
      <c r="B244" s="1" t="s">
        <v>6</v>
      </c>
      <c r="C244" s="1" t="s">
        <v>247</v>
      </c>
      <c r="D244" s="1" t="str">
        <f>IFERROR(__xludf.DUMMYFUNCTION("CONCATENATE(GOOGLETRANSLATE(C244, ""en"", ""zh-cn""))"),"全新 Microsoft Surface 笔记本电脑 6 - 15 英寸英特尔酷睿 Ultra 5 135H 16GB 256GB Win Pro")</f>
        <v>全新 Microsoft Surface 笔记本电脑 6 - 15 英寸英特尔酷睿 Ultra 5 135H 16GB 256GB Win Pro</v>
      </c>
      <c r="E244" s="1" t="str">
        <f>IFERROR(__xludf.DUMMYFUNCTION("CONCATENATE(GOOGLETRANSLATE(C244, ""en"", ""ko""))"),"신품 마이크로소프트 서피스 노트북 6 - 15인치 인텔 코어 울트라 5 135H 16GB 256GB 윈도우 프로")</f>
        <v>신품 마이크로소프트 서피스 노트북 6 - 15인치 인텔 코어 울트라 5 135H 16GB 256GB 윈도우 프로</v>
      </c>
      <c r="F244" s="1" t="str">
        <f>IFERROR(__xludf.DUMMYFUNCTION("CONCATENATE(GOOGLETRANSLATE(C244, ""en"", ""ja""))"),"新しい Microsoft Surface Laptop 6 - 15 インチ Intel Core Ultra 5 135H 16GB 256GB Win Pro")</f>
        <v>新しい Microsoft Surface Laptop 6 - 15 インチ Intel Core Ultra 5 135H 16GB 256GB Win Pro</v>
      </c>
    </row>
    <row r="245" ht="15.75" customHeight="1">
      <c r="A245" s="1">
        <v>7981.0</v>
      </c>
      <c r="B245" s="1" t="s">
        <v>6</v>
      </c>
      <c r="C245" s="1" t="s">
        <v>248</v>
      </c>
      <c r="D245" s="1" t="str">
        <f>IFERROR(__xludf.DUMMYFUNCTION("CONCATENATE(GOOGLETRANSLATE(C245, ""en"", ""zh-cn""))"),"微软 SURFACE 笔记本电脑 3 13.5 英寸 256GB SSD，i7-1035G7，1.20 GHz，16GB 享受")</f>
        <v>微软 SURFACE 笔记本电脑 3 13.5 英寸 256GB SSD，i7-1035G7，1.20 GHz，16GB 享受</v>
      </c>
      <c r="E245" s="1" t="str">
        <f>IFERROR(__xludf.DUMMYFUNCTION("CONCATENATE(GOOGLETRANSLATE(C245, ""en"", ""ko""))"),"MICROSOFT SURFACE 노트북 3 13.5인치 256GB SSD, i7-1035G7, 1.20GHz, 16GB 즐겨보세요")</f>
        <v>MICROSOFT SURFACE 노트북 3 13.5인치 256GB SSD, i7-1035G7, 1.20GHz, 16GB 즐겨보세요</v>
      </c>
      <c r="F245" s="1" t="str">
        <f>IFERROR(__xludf.DUMMYFUNCTION("CONCATENATE(GOOGLETRANSLATE(C245, ""en"", ""ja""))"),"MICROSOFT SURFACE LAPTOP 3 13.5 インチ 256GB SSD、i7-1035G7、1.20 GHz、16GB お楽しみください")</f>
        <v>MICROSOFT SURFACE LAPTOP 3 13.5 インチ 256GB SSD、i7-1035G7、1.20 GHz、16GB お楽しみください</v>
      </c>
    </row>
    <row r="246" ht="15.75" customHeight="1">
      <c r="A246" s="1">
        <v>7984.0</v>
      </c>
      <c r="B246" s="1" t="s">
        <v>6</v>
      </c>
      <c r="C246" s="1" t="s">
        <v>249</v>
      </c>
      <c r="D246" s="1" t="str">
        <f>IFERROR(__xludf.DUMMYFUNCTION("CONCATENATE(GOOGLETRANSLATE(C246, ""en"", ""zh-cn""))"),"微软 Surface Pro 7 英特尔 i5 1035G4 1.10GHz 8GB RAM 128GB SSD 12.3"" Win 11 -")</f>
        <v>微软 Surface Pro 7 英特尔 i5 1035G4 1.10GHz 8GB RAM 128GB SSD 12.3" Win 11 -</v>
      </c>
      <c r="E246" s="1" t="str">
        <f>IFERROR(__xludf.DUMMYFUNCTION("CONCATENATE(GOOGLETRANSLATE(C246, ""en"", ""ko""))"),"마이크로소프트 서피스 프로 7 인텔 i5 1035G4 1.10GHz 8GB RAM 128GB SSD 12.3인치 윈도우 11 -")</f>
        <v>마이크로소프트 서피스 프로 7 인텔 i5 1035G4 1.10GHz 8GB RAM 128GB SSD 12.3인치 윈도우 11 -</v>
      </c>
      <c r="F246" s="1" t="str">
        <f>IFERROR(__xludf.DUMMYFUNCTION("CONCATENATE(GOOGLETRANSLATE(C246, ""en"", ""ja""))"),"Microsoft Surface Pro 7 Intel i5 1035G4 1.10GHz 8GB RAM 128GB SSD 12.3インチ Win 11 -")</f>
        <v>Microsoft Surface Pro 7 Intel i5 1035G4 1.10GHz 8GB RAM 128GB SSD 12.3インチ Win 11 -</v>
      </c>
    </row>
    <row r="247" ht="15.75" customHeight="1">
      <c r="A247" s="1">
        <v>8002.0</v>
      </c>
      <c r="B247" s="1" t="s">
        <v>6</v>
      </c>
      <c r="C247" s="1" t="s">
        <v>250</v>
      </c>
      <c r="D247" s="1" t="str">
        <f>IFERROR(__xludf.DUMMYFUNCTION("CONCATENATE(GOOGLETRANSLATE(C247, ""en"", ""zh-cn""))"),"微软 Surface 笔记本电脑 5 15 黑色 2K TOUCH i7-1265U 16GB 512GB SSD - 优秀")</f>
        <v>微软 Surface 笔记本电脑 5 15 黑色 2K TOUCH i7-1265U 16GB 512GB SSD - 优秀</v>
      </c>
      <c r="E247" s="1" t="str">
        <f>IFERROR(__xludf.DUMMYFUNCTION("CONCATENATE(GOOGLETRANSLATE(C247, ""en"", ""ko""))"),"마이크로소프트 서피스 노트북 5 15 블랙 2K 터치 i7-1265U 16GB 512GB SSD - 상태 매우 좋음")</f>
        <v>마이크로소프트 서피스 노트북 5 15 블랙 2K 터치 i7-1265U 16GB 512GB SSD - 상태 매우 좋음</v>
      </c>
      <c r="F247" s="1" t="str">
        <f>IFERROR(__xludf.DUMMYFUNCTION("CONCATENATE(GOOGLETRANSLATE(C247, ""en"", ""ja""))"),"Microsoft Surface Laptop 5 15 ブラック 2K TOUCH i7-1265U 16GB 512GB SSD - 優れた")</f>
        <v>Microsoft Surface Laptop 5 15 ブラック 2K TOUCH i7-1265U 16GB 512GB SSD - 優れた</v>
      </c>
    </row>
    <row r="248" ht="15.75" customHeight="1">
      <c r="A248" s="1">
        <v>8041.0</v>
      </c>
      <c r="B248" s="1" t="s">
        <v>6</v>
      </c>
      <c r="C248" s="1" t="s">
        <v>251</v>
      </c>
      <c r="D248" s="1" t="str">
        <f>IFERROR(__xludf.DUMMYFUNCTION("CONCATENATE(GOOGLETRANSLATE(C248, ""en"", ""zh-cn""))"),"戴尔 Inspiron 灵越 15 3520 15.6 英寸触摸屏全高清商用笔记本电脑，英特尔四核 i5-1135G7 (Beat i7-1065G7)，16GB DDR4 RAM，512GB PCIe SSD，802.11AC WiFi，蓝牙，Carbon Black，Windows 11 Pro")</f>
        <v>戴尔 Inspiron 灵越 15 3520 15.6 英寸触摸屏全高清商用笔记本电脑，英特尔四核 i5-1135G7 (Beat i7-1065G7)，16GB DDR4 RAM，512GB PCIe SSD，802.11AC WiFi，蓝牙，Carbon Black，Windows 11 Pro</v>
      </c>
      <c r="E248" s="1" t="str">
        <f>IFERROR(__xludf.DUMMYFUNCTION("CONCATENATE(GOOGLETRANSLATE(C248, ""en"", ""ko""))"),"Dell Inspiron 15 3520 15.6인치 터치스크린 FHD 비즈니스 노트북 컴퓨터, Intel 쿼드 코어 i5-1135G7(Beat i7-1065G7), 16GB DDR4 RAM, 512GB PCIe SSD, 802.11AC WiFi, Bluetooth, 카본 블랙, Windows 11 Pro")</f>
        <v>Dell Inspiron 15 3520 15.6인치 터치스크린 FHD 비즈니스 노트북 컴퓨터, Intel 쿼드 코어 i5-1135G7(Beat i7-1065G7), 16GB DDR4 RAM, 512GB PCIe SSD, 802.11AC WiFi, Bluetooth, 카본 블랙, Windows 11 Pro</v>
      </c>
      <c r="F248" s="1" t="str">
        <f>IFERROR(__xludf.DUMMYFUNCTION("CONCATENATE(GOOGLETRANSLATE(C248, ""en"", ""ja""))"),"Dell Inspiron 15 3520 15.6 インチ タッチスクリーン FHD ビジネス ラップトップ コンピューター、Intel クアッドコア i5-1135G7 (Beat i7-1065G7)、16GB DDR4 RAM、512GB PCIe SSD、802.11AC WiFi、Bluetooth、カーボン ブラック、Windows 11 Pro")</f>
        <v>Dell Inspiron 15 3520 15.6 インチ タッチスクリーン FHD ビジネス ラップトップ コンピューター、Intel クアッドコア i5-1135G7 (Beat i7-1065G7)、16GB DDR4 RAM、512GB PCIe SSD、802.11AC WiFi、Bluetooth、カーボン ブラック、Windows 11 Pro</v>
      </c>
    </row>
    <row r="249" ht="15.75" customHeight="1">
      <c r="A249" s="1">
        <v>8058.0</v>
      </c>
      <c r="B249" s="1" t="s">
        <v>6</v>
      </c>
      <c r="C249" s="1" t="s">
        <v>252</v>
      </c>
      <c r="D249" s="1" t="str">
        <f>IFERROR(__xludf.DUMMYFUNCTION("CONCATENATE(GOOGLETRANSLATE(C249, ""en"", ""zh-cn""))"),"戴尔 XPS 13 9370 13.3 英寸 4K 超高清触摸屏笔记本电脑，英特尔酷睿 i5-8250U 1.60GHz，8GB RAM，128GB SSD，Windows 10 家庭版，玫瑰金")</f>
        <v>戴尔 XPS 13 9370 13.3 英寸 4K 超高清触摸屏笔记本电脑，英特尔酷睿 i5-8250U 1.60GHz，8GB RAM，128GB SSD，Windows 10 家庭版，玫瑰金</v>
      </c>
      <c r="E249" s="1" t="str">
        <f>IFERROR(__xludf.DUMMYFUNCTION("CONCATENATE(GOOGLETRANSLATE(C249, ""en"", ""ko""))"),"델 XPS 13 9370 13.3인치 4K 울트라HD 터치스크린 노트북 컴퓨터, 인텔 코어 i5-8250U 1.60GHz, 8GB RAM, 128GB SSD, 윈도우 10 홈, 로즈 골드")</f>
        <v>델 XPS 13 9370 13.3인치 4K 울트라HD 터치스크린 노트북 컴퓨터, 인텔 코어 i5-8250U 1.60GHz, 8GB RAM, 128GB SSD, 윈도우 10 홈, 로즈 골드</v>
      </c>
      <c r="F249" s="1" t="str">
        <f>IFERROR(__xludf.DUMMYFUNCTION("CONCATENATE(GOOGLETRANSLATE(C249, ""en"", ""ja""))"),"Dell XPS 13 9370 13.3インチ 4K Ultra HD タッチスクリーン ラップトップ コンピューター、Intel Core i5-8250U 1.60GHz、8GB RAM、128GB SSD、Windows 10 Home、ローズゴールド")</f>
        <v>Dell XPS 13 9370 13.3インチ 4K Ultra HD タッチスクリーン ラップトップ コンピューター、Intel Core i5-8250U 1.60GHz、8GB RAM、128GB SSD、Windows 10 Home、ローズゴールド</v>
      </c>
    </row>
    <row r="250" ht="15.75" customHeight="1">
      <c r="A250" s="1">
        <v>8064.0</v>
      </c>
      <c r="B250" s="1" t="s">
        <v>6</v>
      </c>
      <c r="C250" s="1" t="s">
        <v>253</v>
      </c>
      <c r="D250" s="1" t="str">
        <f>IFERROR(__xludf.DUMMYFUNCTION("CONCATENATE(GOOGLETRANSLATE(C250, ""en"", ""zh-cn""))"),"戴尔 Vostro 5000 5301 13 轻薄笔记本电脑 13.3 英寸全高清第 11 代英特尔四核 i7-1165G7 8GB RAM 1TB SSD GeForce MX350 2GB 图形指纹背光键盘 USB-C HDMI Win10 Dune")</f>
        <v>戴尔 Vostro 5000 5301 13 轻薄笔记本电脑 13.3 英寸全高清第 11 代英特尔四核 i7-1165G7 8GB RAM 1TB SSD GeForce MX350 2GB 图形指纹背光键盘 USB-C HDMI Win10 Dune</v>
      </c>
      <c r="E250" s="1" t="str">
        <f>IFERROR(__xludf.DUMMYFUNCTION("CONCATENATE(GOOGLETRANSLATE(C250, ""en"", ""ko""))"),"Dell Vostro 5000 5301 13 경량 노트북 13.3인치 풀 HD 11세대 인텔 쿼드 코어 i7-1165G7 8GB RAM 1TB SSD GeForce MX350 2GB 그래픽 지문 인식 백라이트 키보드 USB-C HDMI Win10 Dune")</f>
        <v>Dell Vostro 5000 5301 13 경량 노트북 13.3인치 풀 HD 11세대 인텔 쿼드 코어 i7-1165G7 8GB RAM 1TB SSD GeForce MX350 2GB 그래픽 지문 인식 백라이트 키보드 USB-C HDMI Win10 Dune</v>
      </c>
      <c r="F250" s="1" t="str">
        <f>IFERROR(__xludf.DUMMYFUNCTION("CONCATENATE(GOOGLETRANSLATE(C250, ""en"", ""ja""))"),"Dell Vostro 5000 5301 13 軽量ラップトップ 13.3 インチ フル HD 第 11 世代インテル クアッドコア i7-1165G7 8GB RAM 1TB SSD GeForce MX350 2GB グラフィック指紋認証バックライト付きキーボード USB-C HDMI Win10 Dune")</f>
        <v>Dell Vostro 5000 5301 13 軽量ラップトップ 13.3 インチ フル HD 第 11 世代インテル クアッドコア i7-1165G7 8GB RAM 1TB SSD GeForce MX350 2GB グラフィック指紋認証バックライト付きキーボード USB-C HDMI Win10 Dune</v>
      </c>
    </row>
    <row r="251" ht="15.75" customHeight="1">
      <c r="A251" s="1">
        <v>8070.0</v>
      </c>
      <c r="B251" s="1" t="s">
        <v>6</v>
      </c>
      <c r="C251" s="1" t="s">
        <v>254</v>
      </c>
      <c r="D251" s="1" t="str">
        <f>IFERROR(__xludf.DUMMYFUNCTION("CONCATENATE(GOOGLETRANSLATE(C251, ""en"", ""zh-cn""))"),"华硕 2023 笔记本电脑 | Vivobook S 16 翻盖 | 16 英寸 1920 x 1200 触摸屏 | Intel-14 Core i9-13900H | 24GB DDR4 | 1TB SSD | Windows 10 主页 | Wi-Fi 6E - 蓝牙 5.3 - 背光 KB - 1080p 摄像头 - 黑色")</f>
        <v>华硕 2023 笔记本电脑 | Vivobook S 16 翻盖 | 16 英寸 1920 x 1200 触摸屏 | Intel-14 Core i9-13900H | 24GB DDR4 | 1TB SSD | Windows 10 主页 | Wi-Fi 6E - 蓝牙 5.3 - 背光 KB - 1080p 摄像头 - 黑色</v>
      </c>
      <c r="E251" s="1" t="str">
        <f>IFERROR(__xludf.DUMMYFUNCTION("CONCATENATE(GOOGLETRANSLATE(C251, ""en"", ""ko""))"),"ASUS 2023 노트북 | Vivobook S 16 플립 | 16인치 1920 x 1200 터치 | Intel-14 코어 i9-13900H | 24GB DDR4 | 1TB SSD | Windows 10 Home | Wi-Fi 6E - Bluetooth 5.3 - 백라이트 KB - 1080p 카메라 - 블랙")</f>
        <v>ASUS 2023 노트북 | Vivobook S 16 플립 | 16인치 1920 x 1200 터치 | Intel-14 코어 i9-13900H | 24GB DDR4 | 1TB SSD | Windows 10 Home | Wi-Fi 6E - Bluetooth 5.3 - 백라이트 KB - 1080p 카메라 - 블랙</v>
      </c>
      <c r="F251" s="1" t="str">
        <f>IFERROR(__xludf.DUMMYFUNCTION("CONCATENATE(GOOGLETRANSLATE(C251, ""en"", ""ja""))"),"ASUS 2023 ノートパソコン | Vivobook S 16 フリップ | 16 インチ 1920 x 1200 タッチ | Intel-14 Core i9-13900H | 24GB DDR4 | 1TB SSD | Windows 10 Home | Wi-Fi 6E - Bluetooth 5.3 - バックライト付き KB - 1080p カメラ - ブラック")</f>
        <v>ASUS 2023 ノートパソコン | Vivobook S 16 フリップ | 16 インチ 1920 x 1200 タッチ | Intel-14 Core i9-13900H | 24GB DDR4 | 1TB SSD | Windows 10 Home | Wi-Fi 6E - Bluetooth 5.3 - バックライト付き KB - 1080p カメラ - ブラック</v>
      </c>
    </row>
    <row r="252" ht="15.75" customHeight="1">
      <c r="A252" s="1">
        <v>8075.0</v>
      </c>
      <c r="B252" s="1" t="s">
        <v>6</v>
      </c>
      <c r="C252" s="1" t="s">
        <v>255</v>
      </c>
      <c r="D252" s="1" t="str">
        <f>IFERROR(__xludf.DUMMYFUNCTION("CONCATENATE(GOOGLETRANSLATE(C252, ""en"", ""zh-cn""))"),"华硕 Vivobook 14 2023 商务笔记本电脑 14/英寸 WXGA HD 2 核英特尔 i3-1115G4 32GB DDR4 1TB SSD 英特尔 UHD 显卡 Wi-Fi 5 Windows 10 家庭版带 ONT 32GB USB")</f>
        <v>华硕 Vivobook 14 2023 商务笔记本电脑 14/英寸 WXGA HD 2 核英特尔 i3-1115G4 32GB DDR4 1TB SSD 英特尔 UHD 显卡 Wi-Fi 5 Windows 10 家庭版带 ONT 32GB USB</v>
      </c>
      <c r="E252" s="1" t="str">
        <f>IFERROR(__xludf.DUMMYFUNCTION("CONCATENATE(GOOGLETRANSLATE(C252, ""en"", ""ko""))"),"Asus Vivobook 14 2023 비즈니스 노트북 14인치 WXGA HD 2코어 인텔 i3-1115G4 32GB DDR4 1TB SSD 인텔 UHD 그래픽 Wi-Fi 5 Windows 10 홈 ONT 32GB USB 포함")</f>
        <v>Asus Vivobook 14 2023 비즈니스 노트북 14인치 WXGA HD 2코어 인텔 i3-1115G4 32GB DDR4 1TB SSD 인텔 UHD 그래픽 Wi-Fi 5 Windows 10 홈 ONT 32GB USB 포함</v>
      </c>
      <c r="F252" s="1" t="str">
        <f>IFERROR(__xludf.DUMMYFUNCTION("CONCATENATE(GOOGLETRANSLATE(C252, ""en"", ""ja""))"),"Asus Vivobook 14 2023 ビジネス ラップトップ 14/インチ WXGA HD 2 コア インテル i3-1115G4 32GB DDR4 1TB SSD インテル UHD グラフィックス Wi-Fi 5 Windows 10 Home w/ONT 32GB USB")</f>
        <v>Asus Vivobook 14 2023 ビジネス ラップトップ 14/インチ WXGA HD 2 コア インテル i3-1115G4 32GB DDR4 1TB SSD インテル UHD グラフィックス Wi-Fi 5 Windows 10 Home w/ONT 32GB USB</v>
      </c>
    </row>
    <row r="253" ht="15.75" customHeight="1">
      <c r="A253" s="1">
        <v>8081.0</v>
      </c>
      <c r="B253" s="1" t="s">
        <v>6</v>
      </c>
      <c r="C253" s="1" t="s">
        <v>256</v>
      </c>
      <c r="D253" s="1" t="str">
        <f>IFERROR(__xludf.DUMMYFUNCTION("CONCATENATE(GOOGLETRANSLATE(C253, ""en"", ""zh-cn""))"),"华硕 TUF A17 游戏笔记本电脑 2024 17.3 英寸 FHD 1920 x 1080 IPS 144hz AMD Ryzen 9 7940HS NVIDIA GeForce RTX 4050 6GB GDDR6 16GB DDR5 1TB SSD 单区 RGB 背光键盘 Wi-Fi 6 Windows 11 Pro")</f>
        <v>华硕 TUF A17 游戏笔记本电脑 2024 17.3 英寸 FHD 1920 x 1080 IPS 144hz AMD Ryzen 9 7940HS NVIDIA GeForce RTX 4050 6GB GDDR6 16GB DDR5 1TB SSD 单区 RGB 背光键盘 Wi-Fi 6 Windows 11 Pro</v>
      </c>
      <c r="E253" s="1" t="str">
        <f>IFERROR(__xludf.DUMMYFUNCTION("CONCATENATE(GOOGLETRANSLATE(C253, ""en"", ""ko""))"),"ASUS TUF A17 게이밍 노트북 2024 17.3인치 FHD 1920 x 1080 IPS 144hz AMD Ryzen 9 7940HS NVIDIA GeForce RTX 4050 6GB GDDR6 16GB DDR5 1TB SSD 단일 영역 RGB 백라이트 키보드 Wi-Fi 6 Windows 11 Pro")</f>
        <v>ASUS TUF A17 게이밍 노트북 2024 17.3인치 FHD 1920 x 1080 IPS 144hz AMD Ryzen 9 7940HS NVIDIA GeForce RTX 4050 6GB GDDR6 16GB DDR5 1TB SSD 단일 영역 RGB 백라이트 키보드 Wi-Fi 6 Windows 11 Pro</v>
      </c>
      <c r="F253" s="1" t="str">
        <f>IFERROR(__xludf.DUMMYFUNCTION("CONCATENATE(GOOGLETRANSLATE(C253, ""en"", ""ja""))"),"ASUS TUF A17 ゲーミング ラップトップ 2024 17.3 インチ FHD 1920 x 1080 IPS 144hz AMD Ryzen 9 7940HS NVIDIA GeForce RTX 4050 6GB GDDR6 16GB DDR5 1TB SSD シングルゾーン RGB バックライト付きキーボード Wi-Fi 6 Windows 11 Pro")</f>
        <v>ASUS TUF A17 ゲーミング ラップトップ 2024 17.3 インチ FHD 1920 x 1080 IPS 144hz AMD Ryzen 9 7940HS NVIDIA GeForce RTX 4050 6GB GDDR6 16GB DDR5 1TB SSD シングルゾーン RGB バックライト付きキーボード Wi-Fi 6 Windows 11 Pro</v>
      </c>
    </row>
    <row r="254" ht="15.75" customHeight="1">
      <c r="A254" s="1">
        <v>8090.0</v>
      </c>
      <c r="B254" s="1" t="s">
        <v>6</v>
      </c>
      <c r="C254" s="1" t="s">
        <v>257</v>
      </c>
      <c r="D254" s="1" t="str">
        <f>IFERROR(__xludf.DUMMYFUNCTION("CONCATENATE(GOOGLETRANSLATE(C254, ""en"", ""zh-cn""))"),"华硕 Vivobook 15.6 英寸 FHD 笔记本电脑，16GB RAM，672GB 存储（512GB SSD 和 160GB 扩展坞套件），AMD Ryzen 3 3250U，AMD Radeon 显卡，Windows 11 S，数字键盘，720p 摄像头，银色")</f>
        <v>华硕 Vivobook 15.6 英寸 FHD 笔记本电脑，16GB RAM，672GB 存储（512GB SSD 和 160GB 扩展坞套件），AMD Ryzen 3 3250U，AMD Radeon 显卡，Windows 11 S，数字键盘，720p 摄像头，银色</v>
      </c>
      <c r="E254" s="1" t="str">
        <f>IFERROR(__xludf.DUMMYFUNCTION("CONCATENATE(GOOGLETRANSLATE(C254, ""en"", ""ko""))"),"ASUS Vivobook 15.6인치 FHD 노트북, 16GB RAM, 672GB 스토리지(512GB SSD 및 160GB 도킹 스테이션 세트), AMD Ryzen 3 3250U, AMD Radeon 그래픽, Windows 11 S, 숫자 키패드, 720p 카메라, 실버")</f>
        <v>ASUS Vivobook 15.6인치 FHD 노트북, 16GB RAM, 672GB 스토리지(512GB SSD 및 160GB 도킹 스테이션 세트), AMD Ryzen 3 3250U, AMD Radeon 그래픽, Windows 11 S, 숫자 키패드, 720p 카메라, 실버</v>
      </c>
      <c r="F254" s="1" t="str">
        <f>IFERROR(__xludf.DUMMYFUNCTION("CONCATENATE(GOOGLETRANSLATE(C254, ""en"", ""ja""))"),"ASUS Vivobook 15.6インチ FHD ラップトップ、16GB RAM、672GB ストレージ(512GB SSD &amp; 160GB ドッキングステーションセット)、AMD Ryzen 3 3250U、AMD Radeon グラフィックス、Windows 11 S、テンキーパッド、720p カメラ、シルバー")</f>
        <v>ASUS Vivobook 15.6インチ FHD ラップトップ、16GB RAM、672GB ストレージ(512GB SSD &amp; 160GB ドッキングステーションセット)、AMD Ryzen 3 3250U、AMD Radeon グラフィックス、Windows 11 S、テンキーパッド、720p カメラ、シルバー</v>
      </c>
    </row>
    <row r="255" ht="15.75" customHeight="1">
      <c r="A255" s="1">
        <v>8094.0</v>
      </c>
      <c r="B255" s="1" t="s">
        <v>6</v>
      </c>
      <c r="C255" s="1" t="s">
        <v>258</v>
      </c>
      <c r="D255" s="1" t="str">
        <f>IFERROR(__xludf.DUMMYFUNCTION("CONCATENATE(GOOGLETRANSLATE(C255, ""en"", ""zh-cn""))"),"华硕 ZenBook S 超轻薄笔记本电脑，13.3 英寸超高清 4K 触控，第 8 代英特尔酷睿 i7-8565U 处理器，16GB RAM，512GB PCIe SSD，FP 传感器，Thunderbolt，Windows 10 Professional - UX391FA-XH74T")</f>
        <v>华硕 ZenBook S 超轻薄笔记本电脑，13.3 英寸超高清 4K 触控，第 8 代英特尔酷睿 i7-8565U 处理器，16GB RAM，512GB PCIe SSD，FP 传感器，Thunderbolt，Windows 10 Professional - UX391FA-XH74T</v>
      </c>
      <c r="E255" s="1" t="str">
        <f>IFERROR(__xludf.DUMMYFUNCTION("CONCATENATE(GOOGLETRANSLATE(C255, ""en"", ""ko""))"),"ASUS ZenBook S 초박형 경량 노트북, 13.3인치 UHD 4K 터치, 8세대 인텔 코어 i7-8565U 프로세서, 16GB RAM, 512GB PCIe SSD, FP 센서, Thunderbolt, Windows 10 Professional - UX391FA-XH74T")</f>
        <v>ASUS ZenBook S 초박형 경량 노트북, 13.3인치 UHD 4K 터치, 8세대 인텔 코어 i7-8565U 프로세서, 16GB RAM, 512GB PCIe SSD, FP 센서, Thunderbolt, Windows 10 Professional - UX391FA-XH74T</v>
      </c>
      <c r="F255" s="1" t="str">
        <f>IFERROR(__xludf.DUMMYFUNCTION("CONCATENATE(GOOGLETRANSLATE(C255, ""en"", ""ja""))"),"ASUS ZenBook S 超薄型軽量ラップトップ、13.3 インチ UHD 4K タッチ、第 8 世代インテル Core i7-8565U プロセッサー、16GB RAM、512GB PCIe SSD、FP センサー、サンダーボルト、Windows 10 Professional - UX391FA-XH74T")</f>
        <v>ASUS ZenBook S 超薄型軽量ラップトップ、13.3 インチ UHD 4K タッチ、第 8 世代インテル Core i7-8565U プロセッサー、16GB RAM、512GB PCIe SSD、FP センサー、サンダーボルト、Windows 10 Professional - UX391FA-XH74T</v>
      </c>
    </row>
    <row r="256" ht="15.75" customHeight="1">
      <c r="A256" s="1">
        <v>8103.0</v>
      </c>
      <c r="B256" s="1" t="s">
        <v>6</v>
      </c>
      <c r="C256" s="1" t="s">
        <v>259</v>
      </c>
      <c r="D256" s="1" t="str">
        <f>IFERROR(__xludf.DUMMYFUNCTION("CONCATENATE(GOOGLETRANSLATE(C256, ""en"", ""zh-cn""))"),"华硕 2023 游戏笔记本电脑 TUF | AMD 锐龙 7 7735HS 8 核 | NVIDIA Geforce RTX 4050 6GB | 16GB DDR5 | 16GB DDR5 1TB 固态硬盘 | 17.3 英寸 1920x1080 144 Hz | Win10 Pro - WiFi 6 - 蓝牙 5.3 - 机甲灰")</f>
        <v>华硕 2023 游戏笔记本电脑 TUF | AMD 锐龙 7 7735HS 8 核 | NVIDIA Geforce RTX 4050 6GB | 16GB DDR5 | 16GB DDR5 1TB 固态硬盘 | 17.3 英寸 1920x1080 144 Hz | Win10 Pro - WiFi 6 - 蓝牙 5.3 - 机甲灰</v>
      </c>
      <c r="E256" s="1" t="str">
        <f>IFERROR(__xludf.DUMMYFUNCTION("CONCATENATE(GOOGLETRANSLATE(C256, ""en"", ""ko""))"),"ASUS 2023 게이밍 노트북 TUF | AMD Ryzen 7 7735HS 8코어 | 엔비디아 지포스 RTX 4050 6GB | 16GB DDR5 | 1TB SSD | 17.3인치 1920x1080 144Hz | Win10 Pro - WiFi 6 - 블루투스 5.3 - 메카 그레이")</f>
        <v>ASUS 2023 게이밍 노트북 TUF | AMD Ryzen 7 7735HS 8코어 | 엔비디아 지포스 RTX 4050 6GB | 16GB DDR5 | 1TB SSD | 17.3인치 1920x1080 144Hz | Win10 Pro - WiFi 6 - 블루투스 5.3 - 메카 그레이</v>
      </c>
      <c r="F256" s="1" t="str">
        <f>IFERROR(__xludf.DUMMYFUNCTION("CONCATENATE(GOOGLETRANSLATE(C256, ""en"", ""ja""))"),"ASUS 2023 ゲーミング ノートパソコン TUF | AMD Ryzen 7 7735HS 8 コア | NVIDIA Geforce RTX 4050 6GB | 16GB DDR5 | 1TB SSD | 17.3 インチ 1920x1080 144 Hz | Win10 Pro - WiFi 6 - Bluetooth 5.3 - メカ グレー")</f>
        <v>ASUS 2023 ゲーミング ノートパソコン TUF | AMD Ryzen 7 7735HS 8 コア | NVIDIA Geforce RTX 4050 6GB | 16GB DDR5 | 1TB SSD | 17.3 インチ 1920x1080 144 Hz | Win10 Pro - WiFi 6 - Bluetooth 5.3 - メカ グレー</v>
      </c>
    </row>
    <row r="257" ht="15.75" customHeight="1">
      <c r="A257" s="1">
        <v>8114.0</v>
      </c>
      <c r="B257" s="1" t="s">
        <v>6</v>
      </c>
      <c r="C257" s="1" t="s">
        <v>260</v>
      </c>
      <c r="D257" s="1" t="str">
        <f>IFERROR(__xludf.DUMMYFUNCTION("CONCATENATE(GOOGLETRANSLATE(C257, ""en"", ""zh-cn""))"),"2019 年 Apple MacBook Air，配备 1.6GHz Intel Core i5（13 英寸，8GB RAM，128GB SSD 存储）金色（续订）")</f>
        <v>2019 年 Apple MacBook Air，配备 1.6GHz Intel Core i5（13 英寸，8GB RAM，128GB SSD 存储）金色（续订）</v>
      </c>
      <c r="E257" s="1" t="str">
        <f>IFERROR(__xludf.DUMMYFUNCTION("CONCATENATE(GOOGLETRANSLATE(C257, ""en"", ""ko""))"),"2019 Apple MacBook Air 1.6GHz Intel Core i5(13인치, 8GB RAM, 128GB SSD 스토리지) 골드(리뉴얼)")</f>
        <v>2019 Apple MacBook Air 1.6GHz Intel Core i5(13인치, 8GB RAM, 128GB SSD 스토리지) 골드(리뉴얼)</v>
      </c>
      <c r="F257" s="1" t="str">
        <f>IFERROR(__xludf.DUMMYFUNCTION("CONCATENATE(GOOGLETRANSLATE(C257, ""en"", ""ja""))"),"2019 Apple MacBook Air 1.6GHz Intel Core i5 (13 インチ、8GB RAM、128GB SSD ストレージ) ゴールド (新品)")</f>
        <v>2019 Apple MacBook Air 1.6GHz Intel Core i5 (13 インチ、8GB RAM、128GB SSD ストレージ) ゴールド (新品)</v>
      </c>
    </row>
    <row r="258" ht="15.75" customHeight="1">
      <c r="A258" s="1">
        <v>8117.0</v>
      </c>
      <c r="B258" s="1" t="s">
        <v>6</v>
      </c>
      <c r="C258" s="1" t="s">
        <v>261</v>
      </c>
      <c r="D258" s="1" t="str">
        <f>IFERROR(__xludf.DUMMYFUNCTION("CONCATENATE(GOOGLETRANSLATE(C258, ""en"", ""zh-cn""))"),"Apple MacBook Pro MGX72LL/A 13.3 英寸笔记本电脑，配备 Retina 显示屏、Intel Core i5 2.6 GHz、8 GB RAM、128 GB SSD（翻新）")</f>
        <v>Apple MacBook Pro MGX72LL/A 13.3 英寸笔记本电脑，配备 Retina 显示屏、Intel Core i5 2.6 GHz、8 GB RAM、128 GB SSD（翻新）</v>
      </c>
      <c r="E258" s="1" t="str">
        <f>IFERROR(__xludf.DUMMYFUNCTION("CONCATENATE(GOOGLETRANSLATE(C258, ""en"", ""ko""))"),"Apple MacBook Pro MGX72LL/A 13.3인치 노트북 Retina 디스플레이, Intel Core i5 2.6 GHz, 8 GB RAM, 128 GB SSD(리퍼브)")</f>
        <v>Apple MacBook Pro MGX72LL/A 13.3인치 노트북 Retina 디스플레이, Intel Core i5 2.6 GHz, 8 GB RAM, 128 GB SSD(리퍼브)</v>
      </c>
      <c r="F258" s="1" t="str">
        <f>IFERROR(__xludf.DUMMYFUNCTION("CONCATENATE(GOOGLETRANSLATE(C258, ""en"", ""ja""))"),"Apple MacBook Pro MGX72LL/A 13.3 インチ ラップトップ (Retina ディスプレイ搭載)、Intel Core i5 2.6 GHz、8 GB RAM、128 GB SSD (整備済)")</f>
        <v>Apple MacBook Pro MGX72LL/A 13.3 インチ ラップトップ (Retina ディスプレイ搭載)、Intel Core i5 2.6 GHz、8 GB RAM、128 GB SSD (整備済)</v>
      </c>
    </row>
    <row r="259" ht="15.75" customHeight="1">
      <c r="A259" s="1">
        <v>7778.0</v>
      </c>
      <c r="B259" s="1" t="s">
        <v>6</v>
      </c>
      <c r="C259" s="1" t="s">
        <v>262</v>
      </c>
      <c r="D259" s="1" t="str">
        <f>IFERROR(__xludf.DUMMYFUNCTION("CONCATENATE(GOOGLETRANSLATE(C259, ""en"", ""zh-cn""))"),"佳能 Pixma MG3620 无线一体式彩色喷墨打印机，支持手机和平板电脑打印，黑色")</f>
        <v>佳能 Pixma MG3620 无线一体式彩色喷墨打印机，支持手机和平板电脑打印，黑色</v>
      </c>
      <c r="E259" s="1" t="str">
        <f>IFERROR(__xludf.DUMMYFUNCTION("CONCATENATE(GOOGLETRANSLATE(C259, ""en"", ""ko""))"),"Canon Pixma MG3620 모바일 및 태블릿 인쇄 기능이 있는 무선 올인원 컬러 잉크젯 프린터, 블랙")</f>
        <v>Canon Pixma MG3620 모바일 및 태블릿 인쇄 기능이 있는 무선 올인원 컬러 잉크젯 프린터, 블랙</v>
      </c>
      <c r="F259" s="1" t="str">
        <f>IFERROR(__xludf.DUMMYFUNCTION("CONCATENATE(GOOGLETRANSLATE(C259, ""en"", ""ja""))"),"Canon Pixma MG3620 モバイルおよびタブレット印刷機能付きワイヤレスオールインワンカラーインクジェットプリンター、ブラック")</f>
        <v>Canon Pixma MG3620 モバイルおよびタブレット印刷機能付きワイヤレスオールインワンカラーインクジェットプリンター、ブラック</v>
      </c>
    </row>
    <row r="260" ht="15.75" customHeight="1">
      <c r="A260" s="1">
        <v>7787.0</v>
      </c>
      <c r="B260" s="1" t="s">
        <v>6</v>
      </c>
      <c r="C260" s="1" t="s">
        <v>263</v>
      </c>
      <c r="D260" s="1" t="str">
        <f>IFERROR(__xludf.DUMMYFUNCTION("CONCATENATE(GOOGLETRANSLATE(C260, ""en"", ""zh-cn""))"),"佳能 Pixma PG-240 黑色和 CL-241 彩色墨盒")</f>
        <v>佳能 Pixma PG-240 黑色和 CL-241 彩色墨盒</v>
      </c>
      <c r="E260" s="1" t="str">
        <f>IFERROR(__xludf.DUMMYFUNCTION("CONCATENATE(GOOGLETRANSLATE(C260, ""en"", ""ko""))"),"Canon Pixma PG-240 검정 및 CL-241 컬러 잉크 카트리지")</f>
        <v>Canon Pixma PG-240 검정 및 CL-241 컬러 잉크 카트리지</v>
      </c>
      <c r="F260" s="1" t="str">
        <f>IFERROR(__xludf.DUMMYFUNCTION("CONCATENATE(GOOGLETRANSLATE(C260, ""en"", ""ja""))"),"Canon Pixma PG-240 ブラック &amp; CL-241 カラー インク カートリッジ")</f>
        <v>Canon Pixma PG-240 ブラック &amp; CL-241 カラー インク カートリッジ</v>
      </c>
    </row>
    <row r="261" ht="15.75" customHeight="1">
      <c r="A261" s="1">
        <v>7788.0</v>
      </c>
      <c r="B261" s="1" t="s">
        <v>6</v>
      </c>
      <c r="C261" s="1" t="s">
        <v>264</v>
      </c>
      <c r="D261" s="1" t="str">
        <f>IFERROR(__xludf.DUMMYFUNCTION("CONCATENATE(GOOGLETRANSLATE(C261, ""en"", ""zh-cn""))"),"佳能 PG-260 XL 正品黑色墨盒，兼容 TS5320/6420/6420a、TR7020/7020a")</f>
        <v>佳能 PG-260 XL 正品黑色墨盒，兼容 TS5320/6420/6420a、TR7020/7020a</v>
      </c>
      <c r="E261" s="1" t="str">
        <f>IFERROR(__xludf.DUMMYFUNCTION("CONCATENATE(GOOGLETRANSLATE(C261, ""en"", ""ko""))"),"Canon PG-260 XL 정품 검정 잉크 카트리지, TS5320/6420/6420a,TR7020/7020a와 호환 가능")</f>
        <v>Canon PG-260 XL 정품 검정 잉크 카트리지, TS5320/6420/6420a,TR7020/7020a와 호환 가능</v>
      </c>
      <c r="F261" s="1" t="str">
        <f>IFERROR(__xludf.DUMMYFUNCTION("CONCATENATE(GOOGLETRANSLATE(C261, ""en"", ""ja""))"),"Canon PG-260 XL 純正 ブラック インクカートリッジ TS5320/6420/6420a、TR7020/7020a 対応")</f>
        <v>Canon PG-260 XL 純正 ブラック インクカートリッジ TS5320/6420/6420a、TR7020/7020a 対応</v>
      </c>
    </row>
    <row r="262" ht="15.75" customHeight="1">
      <c r="A262" s="1">
        <v>7791.0</v>
      </c>
      <c r="B262" s="1" t="s">
        <v>6</v>
      </c>
      <c r="C262" s="1" t="s">
        <v>265</v>
      </c>
      <c r="D262" s="1" t="str">
        <f>IFERROR(__xludf.DUMMYFUNCTION("CONCATENATE(GOOGLETRANSLATE(C262, ""en"", ""zh-cn""))"),"佳能 G7020 一体式打印机家庭办公 |无线超级坦克（Megatank）打印机|复印机|扫描，|带移动打印功能的传真和 ADF，黑色，与 Alexa 配合使用")</f>
        <v>佳能 G7020 一体式打印机家庭办公 |无线超级坦克（Megatank）打印机|复印机|扫描，|带移动打印功能的传真和 ADF，黑色，与 Alexa 配合使用</v>
      </c>
      <c r="E262" s="1" t="str">
        <f>IFERROR(__xludf.DUMMYFUNCTION("CONCATENATE(GOOGLETRANSLATE(C262, ""en"", ""ko""))"),"Canon G7020 올인원 프린터 홈 오피스 | 무선 슈퍼탱크(메가탱크) 프린터 | 복사기 | 스캔 | 모바일 인쇄 기능이 있는 팩스 및 ADF, 검정색, Alexa와 호환")</f>
        <v>Canon G7020 올인원 프린터 홈 오피스 | 무선 슈퍼탱크(메가탱크) 프린터 | 복사기 | 스캔 | 모바일 인쇄 기능이 있는 팩스 및 ADF, 검정색, Alexa와 호환</v>
      </c>
      <c r="F262" s="1" t="str">
        <f>IFERROR(__xludf.DUMMYFUNCTION("CONCATENATE(GOOGLETRANSLATE(C262, ""en"", ""ja""))"),"Canon G7020 オールインワン プリンター ホーム オフィス |ワイヤレス スーパータンク (メガタンク) プリンター |コピー機 |スキャン、 |モバイル印刷機能付き FAX および ADF、ブラック、Alexa と連携")</f>
        <v>Canon G7020 オールインワン プリンター ホーム オフィス |ワイヤレス スーパータンク (メガタンク) プリンター |コピー機 |スキャン、 |モバイル印刷機能付き FAX および ADF、ブラック、Alexa と連携</v>
      </c>
    </row>
    <row r="263" ht="15.75" customHeight="1">
      <c r="A263" s="1">
        <v>7794.0</v>
      </c>
      <c r="B263" s="1" t="s">
        <v>6</v>
      </c>
      <c r="C263" s="1" t="s">
        <v>266</v>
      </c>
      <c r="D263" s="1" t="str">
        <f>IFERROR(__xludf.DUMMYFUNCTION("CONCATENATE(GOOGLETRANSLATE(C263, ""en"", ""zh-cn""))"),"Canon Color imageCLASS MF753Cdw - 无线双面激光打印机，集扫描仪、复印机、传真机、自动送稿器、移动就绪、3 年有限保修、35 PPM、白色于一体")</f>
        <v>Canon Color imageCLASS MF753Cdw - 无线双面激光打印机，集扫描仪、复印机、传真机、自动送稿器、移动就绪、3 年有限保修、35 PPM、白色于一体</v>
      </c>
      <c r="E263" s="1" t="str">
        <f>IFERROR(__xludf.DUMMYFUNCTION("CONCATENATE(GOOGLETRANSLATE(C263, ""en"", ""ko""))"),"Canon 컬러 imageCLASS MF753Cdw - 무선 양면 레이저 프린터, 스캐너, 복사기, 팩스, 자동 문서 공급 장치가 포함된 올인원, 모바일 지원, 3년 제한 보증, 35 PPM, 흰색")</f>
        <v>Canon 컬러 imageCLASS MF753Cdw - 무선 양면 레이저 프린터, 스캐너, 복사기, 팩스, 자동 문서 공급 장치가 포함된 올인원, 모바일 지원, 3년 제한 보증, 35 PPM, 흰색</v>
      </c>
      <c r="F263" s="1" t="str">
        <f>IFERROR(__xludf.DUMMYFUNCTION("CONCATENATE(GOOGLETRANSLATE(C263, ""en"", ""ja""))"),"Canon Color imageCLASS MF753Cdw - ワイヤレス両面レーザー プリンター、スキャナー、コピー機、ファックス、自動ドキュメント フィーダーを備えたオールインワン、モバイル対応、3 年間の限定保証、35 PPM、ホワイト")</f>
        <v>Canon Color imageCLASS MF753Cdw - ワイヤレス両面レーザー プリンター、スキャナー、コピー機、ファックス、自動ドキュメント フィーダーを備えたオールインワン、モバイル対応、3 年間の限定保証、35 PPM、ホワイト</v>
      </c>
    </row>
    <row r="264" ht="15.75" customHeight="1">
      <c r="A264" s="1">
        <v>7797.0</v>
      </c>
      <c r="B264" s="1" t="s">
        <v>6</v>
      </c>
      <c r="C264" s="1" t="s">
        <v>267</v>
      </c>
      <c r="D264" s="1" t="str">
        <f>IFERROR(__xludf.DUMMYFUNCTION("CONCATENATE(GOOGLETRANSLATE(C264, ""en"", ""zh-cn""))"),"HP DeskJet 4255e 无线一体式彩色喷墨打印机、扫描仪、复印机，最适合家庭使用，包含 3 个月的即时墨水 (588S6A)")</f>
        <v>HP DeskJet 4255e 无线一体式彩色喷墨打印机、扫描仪、复印机，最适合家庭使用，包含 3 个月的即时墨水 (588S6A)</v>
      </c>
      <c r="E264" s="1" t="str">
        <f>IFERROR(__xludf.DUMMYFUNCTION("CONCATENATE(GOOGLETRANSLATE(C264, ""en"", ""ko""))"),"HP 데스크젯 4255e 무선 올인원 컬러 잉크젯 프린터, 스캐너, 복사기, 가정용, 3개월 인스턴트 잉크 포함(588S6A)")</f>
        <v>HP 데스크젯 4255e 무선 올인원 컬러 잉크젯 프린터, 스캐너, 복사기, 가정용, 3개월 인스턴트 잉크 포함(588S6A)</v>
      </c>
      <c r="F264" s="1" t="str">
        <f>IFERROR(__xludf.DUMMYFUNCTION("CONCATENATE(GOOGLETRANSLATE(C264, ""en"", ""ja""))"),"HP DeskJet 4255e ワイヤレス オールインワン カラー インクジェット プリンター、スキャナー、コピー機、家庭用に最適、3 か月分のインスタント インク付属 (588S6A)")</f>
        <v>HP DeskJet 4255e ワイヤレス オールインワン カラー インクジェット プリンター、スキャナー、コピー機、家庭用に最適、3 か月分のインスタント インク付属 (588S6A)</v>
      </c>
    </row>
    <row r="265" ht="15.75" customHeight="1">
      <c r="A265" s="1">
        <v>7804.0</v>
      </c>
      <c r="B265" s="1" t="s">
        <v>6</v>
      </c>
      <c r="C265" s="1" t="s">
        <v>268</v>
      </c>
      <c r="D265" s="1" t="str">
        <f>IFERROR(__xludf.DUMMYFUNCTION("CONCATENATE(GOOGLETRANSLATE(C265, ""en"", ""zh-cn""))"),"HP 67XL 三色高印量墨盒 |适用于 HP DeskJet 1255、2700、4100 系列、HP ENVY 6000、6400 系列 |符合 Instant Ink 条件 | 3YM58AN")</f>
        <v>HP 67XL 三色高印量墨盒 |适用于 HP DeskJet 1255、2700、4100 系列、HP ENVY 6000、6400 系列 |符合 Instant Ink 条件 | 3YM58AN</v>
      </c>
      <c r="E265" s="1" t="str">
        <f>IFERROR(__xludf.DUMMYFUNCTION("CONCATENATE(GOOGLETRANSLATE(C265, ""en"", ""ko""))"),"HP 67XL 3색 대용량 잉크 카트리지 | HP DeskJet 1255, 2700, 4100 시리즈, HP ENVY 6000, 6400 시리즈와 함께 작동 | 인스턴트 잉크 사용 가능 | 3YM58AN")</f>
        <v>HP 67XL 3색 대용량 잉크 카트리지 | HP DeskJet 1255, 2700, 4100 시리즈, HP ENVY 6000, 6400 시리즈와 함께 작동 | 인스턴트 잉크 사용 가능 | 3YM58AN</v>
      </c>
      <c r="F265" s="1" t="str">
        <f>IFERROR(__xludf.DUMMYFUNCTION("CONCATENATE(GOOGLETRANSLATE(C265, ""en"", ""ja""))"),"HP 67XL 3 色高収量インク カートリッジ | HP DeskJet 1255、2700、4100 シリーズ、HP ENVY 6000、6400 シリーズで動作 | Instant Ink の対象 | 3YM58AN")</f>
        <v>HP 67XL 3 色高収量インク カートリッジ | HP DeskJet 1255、2700、4100 シリーズ、HP ENVY 6000、6400 シリーズで動作 | Instant Ink の対象 | 3YM58AN</v>
      </c>
    </row>
    <row r="266" ht="15.75" customHeight="1">
      <c r="A266" s="1">
        <v>7818.0</v>
      </c>
      <c r="B266" s="1" t="s">
        <v>6</v>
      </c>
      <c r="C266" s="1" t="s">
        <v>269</v>
      </c>
      <c r="D266" s="1" t="str">
        <f>IFERROR(__xludf.DUMMYFUNCTION("CONCATENATE(GOOGLETRANSLATE(C266, ""en"", ""zh-cn""))"),"HP 67XL 黑色高印量墨盒 |适用于 HP DeskJet 1255、2700、4100 系列、HP ENVY 6000、6400 系列 |符合 Instant Ink 条件 |均码 | 3YM57AN")</f>
        <v>HP 67XL 黑色高印量墨盒 |适用于 HP DeskJet 1255、2700、4100 系列、HP ENVY 6000、6400 系列 |符合 Instant Ink 条件 |均码 | 3YM57AN</v>
      </c>
      <c r="E266" s="1" t="str">
        <f>IFERROR(__xludf.DUMMYFUNCTION("CONCATENATE(GOOGLETRANSLATE(C266, ""en"", ""ko""))"),"HP 67XL 검정 대용량 잉크 카트리지 | HP DeskJet 1255, 2700, 4100 시리즈, HP ENVY 6000, 6400 시리즈와 함께 작동 | 인스턴트 잉크 사용 가능 | 원 사이즈 | 3YM57AN")</f>
        <v>HP 67XL 검정 대용량 잉크 카트리지 | HP DeskJet 1255, 2700, 4100 시리즈, HP ENVY 6000, 6400 시리즈와 함께 작동 | 인스턴트 잉크 사용 가능 | 원 사이즈 | 3YM57AN</v>
      </c>
      <c r="F266" s="1" t="str">
        <f>IFERROR(__xludf.DUMMYFUNCTION("CONCATENATE(GOOGLETRANSLATE(C266, ""en"", ""ja""))"),"HP 67XL ブラック高収量インク カートリッジ | HP DeskJet 1255、2700、4100 シリーズ、HP ENVY 6000、6400 シリーズで動作 | Instant Ink の対象 |ワンサイズ | 3YM57AN")</f>
        <v>HP 67XL ブラック高収量インク カートリッジ | HP DeskJet 1255、2700、4100 シリーズ、HP ENVY 6000、6400 シリーズで動作 | Instant Ink の対象 |ワンサイズ | 3YM57AN</v>
      </c>
    </row>
    <row r="267" ht="15.75" customHeight="1">
      <c r="A267" s="1">
        <v>7835.0</v>
      </c>
      <c r="B267" s="1" t="s">
        <v>6</v>
      </c>
      <c r="C267" s="1" t="s">
        <v>270</v>
      </c>
      <c r="D267" s="1" t="str">
        <f>IFERROR(__xludf.DUMMYFUNCTION("CONCATENATE(GOOGLETRANSLATE(C267, ""en"", ""zh-cn""))"),"Brother 正品 TN830XL​​ 2PK 黑色高印量打印机碳粉盒 2 件装 – 每件最多可打印 3,000 页(1)")</f>
        <v>Brother 正品 TN830XL​​ 2PK 黑色高印量打印机碳粉盒 2 件装 – 每件最多可打印 3,000 页(1)</v>
      </c>
      <c r="E267" s="1" t="str">
        <f>IFERROR(__xludf.DUMMYFUNCTION("CONCATENATE(GOOGLETRANSLATE(C267, ""en"", ""ko""))"),"브라더 정품 TN830XL ​​2PK 블랙 대용량 프린터 토너 카트리지 2팩 – 각 최대 3,000페이지 인쇄(1)")</f>
        <v>브라더 정품 TN830XL ​​2PK 블랙 대용량 프린터 토너 카트리지 2팩 – 각 최대 3,000페이지 인쇄(1)</v>
      </c>
      <c r="F267" s="1" t="str">
        <f>IFERROR(__xludf.DUMMYFUNCTION("CONCATENATE(GOOGLETRANSLATE(C267, ""en"", ""ja""))"),"Brother 純正 TN830XL​​ 2PK ブラック 高収量プリンタ トナー カートリッジ 2 パック – 各最大 3,000 ページ印刷(1)")</f>
        <v>Brother 純正 TN830XL​​ 2PK ブラック 高収量プリンタ トナー カートリッジ 2 パック – 各最大 3,000 ページ印刷(1)</v>
      </c>
    </row>
    <row r="268" ht="15.75" customHeight="1">
      <c r="A268" s="1">
        <v>7836.0</v>
      </c>
      <c r="B268" s="1" t="s">
        <v>6</v>
      </c>
      <c r="C268" s="1" t="s">
        <v>271</v>
      </c>
      <c r="D268" s="1" t="str">
        <f>IFERROR(__xludf.DUMMYFUNCTION("CONCATENATE(GOOGLETRANSLATE(C268, ""en"", ""zh-cn""))"),"Brother P-Touch，PTH110，简易便携式单色标签制作机，轻便，Qwerty 键盘，一键式按键，白色")</f>
        <v>Brother P-Touch，PTH110，简易便携式单色标签制作机，轻便，Qwerty 键盘，一键式按键，白色</v>
      </c>
      <c r="E268" s="1" t="str">
        <f>IFERROR(__xludf.DUMMYFUNCTION("CONCATENATE(GOOGLETRANSLATE(C268, ""en"", ""ko""))"),"브라더 P-Touch, PTH110, 간편한 휴대용 흑백 라벨 메이커, 경량, 쿼티 키보드, 원터치 키, 흰색")</f>
        <v>브라더 P-Touch, PTH110, 간편한 휴대용 흑백 라벨 메이커, 경량, 쿼티 키보드, 원터치 키, 흰색</v>
      </c>
      <c r="F268" s="1" t="str">
        <f>IFERROR(__xludf.DUMMYFUNCTION("CONCATENATE(GOOGLETRANSLATE(C268, ""en"", ""ja""))"),"ブラザー ピータッチ 簡単ポータブルモノクロラベルメーカー 軽量 Qwertyキーボード ワンタッチキー PTH110 ホワイト")</f>
        <v>ブラザー ピータッチ 簡単ポータブルモノクロラベルメーカー 軽量 Qwertyキーボード ワンタッチキー PTH110 ホワイト</v>
      </c>
    </row>
    <row r="269" ht="15.75" customHeight="1">
      <c r="A269" s="1">
        <v>7839.0</v>
      </c>
      <c r="B269" s="1" t="s">
        <v>6</v>
      </c>
      <c r="C269" s="1" t="s">
        <v>272</v>
      </c>
      <c r="D269" s="1" t="str">
        <f>IFERROR(__xludf.DUMMYFUNCTION("CONCATENATE(GOOGLETRANSLATE(C269, ""en"", ""zh-cn""))"),"Brother LC4063PK 3 件装标准容量青色、品红色和黄色墨水墨盒")</f>
        <v>Brother LC4063PK 3 件装标准容量青色、品红色和黄色墨水墨盒</v>
      </c>
      <c r="E269" s="1" t="str">
        <f>IFERROR(__xludf.DUMMYFUNCTION("CONCATENATE(GOOGLETRANSLATE(C269, ""en"", ""ko""))"),"브라더 LC4063PK 표준 출력 시안, 마젠타, 옐로우 3팩 -잉크 -카트리지")</f>
        <v>브라더 LC4063PK 표준 출력 시안, 마젠타, 옐로우 3팩 -잉크 -카트리지</v>
      </c>
      <c r="F269" s="1" t="str">
        <f>IFERROR(__xludf.DUMMYFUNCTION("CONCATENATE(GOOGLETRANSLATE(C269, ""en"", ""ja""))"),"Brother LC4063PK 標準収量シアン、マゼンタ、イエロー インク カートリッジ 3 パック")</f>
        <v>Brother LC4063PK 標準収量シアン、マゼンタ、イエロー インク カートリッジ 3 パック</v>
      </c>
    </row>
    <row r="270" ht="15.75" customHeight="1">
      <c r="A270" s="1">
        <v>7842.0</v>
      </c>
      <c r="B270" s="1" t="s">
        <v>6</v>
      </c>
      <c r="C270" s="1" t="s">
        <v>273</v>
      </c>
      <c r="D270" s="1" t="str">
        <f>IFERROR(__xludf.DUMMYFUNCTION("CONCATENATE(GOOGLETRANSLATE(C270, ""en"", ""zh-cn""))"),"Brother 正品高印量碳粉盒，TN450，替换黑色碳粉，页印量高达 2,600 页")</f>
        <v>Brother 正品高印量碳粉盒，TN450，替换黑色碳粉，页印量高达 2,600 页</v>
      </c>
      <c r="E270" s="1" t="str">
        <f>IFERROR(__xludf.DUMMYFUNCTION("CONCATENATE(GOOGLETRANSLATE(C270, ""en"", ""ko""))"),"브라더 정품 대용량 토너 카트리지, TN450, 교체용 검정색 토너, 페이지 출력량 최대 2,600페이지")</f>
        <v>브라더 정품 대용량 토너 카트리지, TN450, 교체용 검정색 토너, 페이지 출력량 최대 2,600페이지</v>
      </c>
      <c r="F270" s="1" t="str">
        <f>IFERROR(__xludf.DUMMYFUNCTION("CONCATENATE(GOOGLETRANSLATE(C270, ""en"", ""ja""))"),"Brother 純正 高収量トナー カートリッジ、TN450、交換用ブラック トナー、最大 2,600 ページの印刷可能枚数")</f>
        <v>Brother 純正 高収量トナー カートリッジ、TN450、交換用ブラック トナー、最大 2,600 ページの印刷可能枚数</v>
      </c>
    </row>
    <row r="271" ht="15.75" customHeight="1">
      <c r="A271" s="1">
        <v>7845.0</v>
      </c>
      <c r="B271" s="1" t="s">
        <v>6</v>
      </c>
      <c r="C271" s="1" t="s">
        <v>274</v>
      </c>
      <c r="D271" s="1" t="str">
        <f>IFERROR(__xludf.DUMMYFUNCTION("CONCATENATE(GOOGLETRANSLATE(C271, ""en"", ""zh-cn""))"),"Brother 正品 TN830XL​​ 黑色高印量打印机碳粉盒 - 最多打印 3,000 页(1)")</f>
        <v>Brother 正品 TN830XL​​ 黑色高印量打印机碳粉盒 - 最多打印 3,000 页(1)</v>
      </c>
      <c r="E271" s="1" t="str">
        <f>IFERROR(__xludf.DUMMYFUNCTION("CONCATENATE(GOOGLETRANSLATE(C271, ""en"", ""ko""))"),"브라더 정품 TN830XL ​​검정 대용량 프린터 토너 카트리지 - 최대 3,000페이지 인쇄(1)")</f>
        <v>브라더 정품 TN830XL ​​검정 대용량 프린터 토너 카트리지 - 최대 3,000페이지 인쇄(1)</v>
      </c>
      <c r="F271" s="1" t="str">
        <f>IFERROR(__xludf.DUMMYFUNCTION("CONCATENATE(GOOGLETRANSLATE(C271, ""en"", ""ja""))"),"Brother 純正 TN830XL​​ ブラック 高収量プリンタ トナー カートリッジ - 最大 3,000 ページ印刷(1)")</f>
        <v>Brother 純正 TN830XL​​ ブラック 高収量プリンタ トナー カートリッジ - 最大 3,000 ページ印刷(1)</v>
      </c>
    </row>
    <row r="272" ht="15.75" customHeight="1">
      <c r="A272" s="1">
        <v>7866.0</v>
      </c>
      <c r="B272" s="1" t="s">
        <v>6</v>
      </c>
      <c r="C272" s="1" t="s">
        <v>275</v>
      </c>
      <c r="D272" s="1" t="str">
        <f>IFERROR(__xludf.DUMMYFUNCTION("CONCATENATE(GOOGLETRANSLATE(C272, ""en"", ""zh-cn""))"),"兄弟正品 LC401XL 2PK 高印量 2 件装黑色墨盒")</f>
        <v>兄弟正品 LC401XL 2PK 高印量 2 件装黑色墨盒</v>
      </c>
      <c r="E272" s="1" t="str">
        <f>IFERROR(__xludf.DUMMYFUNCTION("CONCATENATE(GOOGLETRANSLATE(C272, ""en"", ""ko""))"),"브라더 정품 LC401XL 2PK 대용량 검정 잉크 카트리지 2팩")</f>
        <v>브라더 정품 LC401XL 2PK 대용량 검정 잉크 카트리지 2팩</v>
      </c>
      <c r="F272" s="1" t="str">
        <f>IFERROR(__xludf.DUMMYFUNCTION("CONCATENATE(GOOGLETRANSLATE(C272, ""en"", ""ja""))"),"Brother 純正 LC401XL 2PK 高収量 2 パック ブラック インク カートリッジ")</f>
        <v>Brother 純正 LC401XL 2PK 高収量 2 パック ブラック インク カートリッジ</v>
      </c>
    </row>
    <row r="273" ht="15.75" customHeight="1">
      <c r="A273" s="1">
        <v>7871.0</v>
      </c>
      <c r="B273" s="1" t="s">
        <v>6</v>
      </c>
      <c r="C273" s="1" t="s">
        <v>276</v>
      </c>
      <c r="D273" s="1" t="str">
        <f>IFERROR(__xludf.DUMMYFUNCTION("CONCATENATE(GOOGLETRANSLATE(C273, ""en"", ""zh-cn""))"),"Brother 打印机正品 LC30133PKS 3 件（每包 1 个）高印量彩色墨盒，页印量高达 400 页/墨盒，包括青色、品红色和黄色，LC3013")</f>
        <v>Brother 打印机正品 LC30133PKS 3 件（每包 1 个）高印量彩色墨盒，页印量高达 400 页/墨盒，包括青色、品红色和黄色，LC3013</v>
      </c>
      <c r="E273" s="1" t="str">
        <f>IFERROR(__xludf.DUMMYFUNCTION("CONCATENATE(GOOGLETRANSLATE(C273, ""en"", ""ko""))"),"브라더 프린터 정품 LC30133PKS 3개(1팩) 대용량 컬러 잉크 카트리지, 페이지 출력량 카트리지당 최대 400페이지, 시안, 마젠타 및 노란색 포함, LC3013")</f>
        <v>브라더 프린터 정품 LC30133PKS 3개(1팩) 대용량 컬러 잉크 카트리지, 페이지 출력량 카트리지당 최대 400페이지, 시안, 마젠타 및 노란색 포함, LC3013</v>
      </c>
      <c r="F273" s="1" t="str">
        <f>IFERROR(__xludf.DUMMYFUNCTION("CONCATENATE(GOOGLETRANSLATE(C273, ""en"", ""ja""))"),"Brother プリンタ 純正 LC30133PKS 3 カウント (1 パック) 高収量カラー インク カートリッジ、ページ収量最大 400 ページ/カートリッジ、シアン、マゼンタ、イエローを含む、LC3013")</f>
        <v>Brother プリンタ 純正 LC30133PKS 3 カウント (1 パック) 高収量カラー インク カートリッジ、ページ収量最大 400 ページ/カートリッジ、シアン、マゼンタ、イエローを含む、LC3013</v>
      </c>
    </row>
    <row r="274" ht="15.75" customHeight="1">
      <c r="A274" s="1">
        <v>7886.0</v>
      </c>
      <c r="B274" s="1" t="s">
        <v>6</v>
      </c>
      <c r="C274" s="1" t="s">
        <v>277</v>
      </c>
      <c r="D274" s="1" t="str">
        <f>IFERROR(__xludf.DUMMYFUNCTION("CONCATENATE(GOOGLETRANSLATE(C274, ""en"", ""zh-cn""))"),"Scotch 热层压袋优质，5 密尔厚，提供额外保护，20 张照片尺寸层压板，我们最耐用的层压袋，3.7 x 5.2 英寸，透明 (TP5902-20)")</f>
        <v>Scotch 热层压袋优质，5 密尔厚，提供额外保护，20 张照片尺寸层压板，我们最耐用的层压袋，3.7 x 5.2 英寸，透明 (TP5902-20)</v>
      </c>
      <c r="E274" s="1" t="str">
        <f>IFERROR(__xludf.DUMMYFUNCTION("CONCATENATE(GOOGLETRANSLATE(C274, ""en"", ""ko""))"),"스카치 열 라미네이팅 파우치 프리미엄 품질, 추가 보호를 위한 5밀리 두께, 20팩 사진 크기 라미네이팅 시트, 가장 내구성이 뛰어난 라미네이션 파우치, 3.7 x 5.2인치, 투명(TP5902-20)")</f>
        <v>스카치 열 라미네이팅 파우치 프리미엄 품질, 추가 보호를 위한 5밀리 두께, 20팩 사진 크기 라미네이팅 시트, 가장 내구성이 뛰어난 라미네이션 파우치, 3.7 x 5.2인치, 투명(TP5902-20)</v>
      </c>
      <c r="F274" s="1" t="str">
        <f>IFERROR(__xludf.DUMMYFUNCTION("CONCATENATE(GOOGLETRANSLATE(C274, ""en"", ""ja""))"),"Scotch サーマルラミネートポーチ プレミアム品質、厚さ 5 ミルでさらなる保護、写真サイズのラミネートシート 20 パック、最も耐久性のあるラミネートポーチ、3.7 x 5.2 インチ、クリア (TP5902-20)")</f>
        <v>Scotch サーマルラミネートポーチ プレミアム品質、厚さ 5 ミルでさらなる保護、写真サイズのラミネートシート 20 パック、最も耐久性のあるラミネートポーチ、3.7 x 5.2 インチ、クリア (TP5902-20)</v>
      </c>
    </row>
    <row r="275" ht="15.75" customHeight="1">
      <c r="A275" s="1">
        <v>7938.0</v>
      </c>
      <c r="B275" s="1" t="s">
        <v>6</v>
      </c>
      <c r="C275" s="1" t="s">
        <v>278</v>
      </c>
      <c r="D275" s="1" t="str">
        <f>IFERROR(__xludf.DUMMYFUNCTION("CONCATENATE(GOOGLETRANSLATE(C275, ""en"", ""zh-cn""))"),"MSI Katana GF76 游戏笔记本电脑 17.3 英寸 FHD IPS 144Hz 显示屏 第 12 代英特尔 14 核 i7-12700H 16GB RAM 1TB SSD GeForce RTX 3060 6GB 显卡背光 USB-C Nahimic Win11 黑色 + HDMI 线")</f>
        <v>MSI Katana GF76 游戏笔记本电脑 17.3 英寸 FHD IPS 144Hz 显示屏 第 12 代英特尔 14 核 i7-12700H 16GB RAM 1TB SSD GeForce RTX 3060 6GB 显卡背光 USB-C Nahimic Win11 黑色 + HDMI 线</v>
      </c>
      <c r="E275" s="1" t="str">
        <f>IFERROR(__xludf.DUMMYFUNCTION("CONCATENATE(GOOGLETRANSLATE(C275, ""en"", ""ko""))"),"MSI Katana GF76 게이밍 노트북 17.3인치 FHD IPS 144Hz 디스플레이 12세대 인텔 14코어 i7-12700H 16GB RAM 1TB SSD GeForce RTX 3060 6GB 그래픽 백라이트 USB-C Nahimic Win11 검정색 + HDMI 케이블")</f>
        <v>MSI Katana GF76 게이밍 노트북 17.3인치 FHD IPS 144Hz 디스플레이 12세대 인텔 14코어 i7-12700H 16GB RAM 1TB SSD GeForce RTX 3060 6GB 그래픽 백라이트 USB-C Nahimic Win11 검정색 + HDMI 케이블</v>
      </c>
      <c r="F275" s="1" t="str">
        <f>IFERROR(__xludf.DUMMYFUNCTION("CONCATENATE(GOOGLETRANSLATE(C275, ""en"", ""ja""))"),"MSI Katana GF76 ゲーミング ノートパソコン 17.3 インチ FHD IPS 144Hz ディスプレイ 第 12 世代インテル 14 コア i7-12700H 16GB RAM 1TB SSD GeForce RTX 3060 6GB グラフィック バックライト付き USB-C Nahimic Win11 ブラック + HDMI ケーブル")</f>
        <v>MSI Katana GF76 ゲーミング ノートパソコン 17.3 インチ FHD IPS 144Hz ディスプレイ 第 12 世代インテル 14 コア i7-12700H 16GB RAM 1TB SSD GeForce RTX 3060 6GB グラフィック バックライト付き USB-C Nahimic Win11 ブラック + HDMI ケーブル</v>
      </c>
    </row>
    <row r="276" ht="15.75" customHeight="1">
      <c r="A276" s="1">
        <v>7940.0</v>
      </c>
      <c r="B276" s="1" t="s">
        <v>6</v>
      </c>
      <c r="C276" s="1" t="s">
        <v>279</v>
      </c>
      <c r="D276" s="1" t="str">
        <f>IFERROR(__xludf.DUMMYFUNCTION("CONCATENATE(GOOGLETRANSLATE(C276, ""en"", ""zh-cn""))"),"MSI Raider 游戏笔记本电脑，16 英寸 IPS FHD 显示屏，第 13 代英特尔酷睿 i9-13950HX，64 GB DDR5 RAM，4 TB NVMe SSD，GeForce RTX 4060，背光键盘，Windows 11 Home，黑色")</f>
        <v>MSI Raider 游戏笔记本电脑，16 英寸 IPS FHD 显示屏，第 13 代英特尔酷睿 i9-13950HX，64 GB DDR5 RAM，4 TB NVMe SSD，GeForce RTX 4060，背光键盘，Windows 11 Home，黑色</v>
      </c>
      <c r="E276" s="1" t="str">
        <f>IFERROR(__xludf.DUMMYFUNCTION("CONCATENATE(GOOGLETRANSLATE(C276, ""en"", ""ko""))"),"MSI Raider 게이밍 노트북, 16인치 IPS FHD 디스플레이, 13세대 인텔 코어 i9-13950HX, 64GB DDR5 RAM, 4TB NVMe SSD, GeForce RTX 4060, 백라이트 키보드, Windows 11 Home, 블랙")</f>
        <v>MSI Raider 게이밍 노트북, 16인치 IPS FHD 디스플레이, 13세대 인텔 코어 i9-13950HX, 64GB DDR5 RAM, 4TB NVMe SSD, GeForce RTX 4060, 백라이트 키보드, Windows 11 Home, 블랙</v>
      </c>
      <c r="F276" s="1" t="str">
        <f>IFERROR(__xludf.DUMMYFUNCTION("CONCATENATE(GOOGLETRANSLATE(C276, ""en"", ""ja""))"),"MSI Raider ゲーミング ラップトップ、16 インチ IPS FHD ディスプレイ、第 13 世代 Intel Core i9-13950HX、64 GB DDR5 RAM、4 TB NVMe SSD、GeForce RTX 4060、バックライト付きキーボード、Windows 11 Home、ブラック")</f>
        <v>MSI Raider ゲーミング ラップトップ、16 インチ IPS FHD ディスプレイ、第 13 世代 Intel Core i9-13950HX、64 GB DDR5 RAM、4 TB NVMe SSD、GeForce RTX 4060、バックライト付きキーボード、Windows 11 Home、ブラック</v>
      </c>
    </row>
    <row r="277" ht="15.75" customHeight="1">
      <c r="A277" s="1">
        <v>7951.0</v>
      </c>
      <c r="B277" s="1" t="s">
        <v>6</v>
      </c>
      <c r="C277" s="1" t="s">
        <v>280</v>
      </c>
      <c r="D277" s="1" t="str">
        <f>IFERROR(__xludf.DUMMYFUNCTION("CONCATENATE(GOOGLETRANSLATE(C277, ""en"", ""zh-cn""))"),"MSI Katana A15 AI 游戏笔记本电脑，2024 年，15.6 英寸 1920 x 1080 144Hz，AMD 8 核 Ryzen 7 8845HS，NVIDIA GeForce RTX 4060，64GB DDR5，1TB SSD，Win11 Pro，RGB 背光 KB，Wi-Fi 6E，BT 5.3，720p 摄像头，黑色")</f>
        <v>MSI Katana A15 AI 游戏笔记本电脑，2024 年，15.6 英寸 1920 x 1080 144Hz，AMD 8 核 Ryzen 7 8845HS，NVIDIA GeForce RTX 4060，64GB DDR5，1TB SSD，Win11 Pro，RGB 背光 KB，Wi-Fi 6E，BT 5.3，720p 摄像头，黑色</v>
      </c>
      <c r="E277" s="1" t="str">
        <f>IFERROR(__xludf.DUMMYFUNCTION("CONCATENATE(GOOGLETRANSLATE(C277, ""en"", ""ko""))"),"MSI Katana A15 AI 게이밍 노트북, 2024, 15.6인치 1920 x 1080 144Hz, AMD 8코어 Ryzen 7 8845HS, NVIDIA GeForce RTX 4060, 64GB DDR5, 1TB SSD, Win11 Pro, RGB 백라이트 KB, Wi-Fi 6E, BT 5.3, 720p 카메라, 블랙")</f>
        <v>MSI Katana A15 AI 게이밍 노트북, 2024, 15.6인치 1920 x 1080 144Hz, AMD 8코어 Ryzen 7 8845HS, NVIDIA GeForce RTX 4060, 64GB DDR5, 1TB SSD, Win11 Pro, RGB 백라이트 KB, Wi-Fi 6E, BT 5.3, 720p 카메라, 블랙</v>
      </c>
      <c r="F277" s="1" t="str">
        <f>IFERROR(__xludf.DUMMYFUNCTION("CONCATENATE(GOOGLETRANSLATE(C277, ""en"", ""ja""))"),"MSI Katana A15 AI ゲーミング ラップトップ、2024、15.6 インチ 1920 x 1080 144Hz、AMD 8 コア Ryzen 7 8845HS、NVIDIA GeForce RTX 4060、64GB DDR5、1TB SSD、Win11 Pro、RGB バックライト KB、Wi-Fi 6E、BT 5.3、 720p カメラ、ブラック")</f>
        <v>MSI Katana A15 AI ゲーミング ラップトップ、2024、15.6 インチ 1920 x 1080 144Hz、AMD 8 コア Ryzen 7 8845HS、NVIDIA GeForce RTX 4060、64GB DDR5、1TB SSD、Win11 Pro、RGB バックライト KB、Wi-Fi 6E、BT 5.3、 720p カメラ、ブラック</v>
      </c>
    </row>
    <row r="278" ht="15.75" customHeight="1">
      <c r="A278" s="1">
        <v>7963.0</v>
      </c>
      <c r="B278" s="1" t="s">
        <v>6</v>
      </c>
      <c r="C278" s="1" t="s">
        <v>281</v>
      </c>
      <c r="D278" s="1" t="str">
        <f>IFERROR(__xludf.DUMMYFUNCTION("CONCATENATE(GOOGLETRANSLATE(C278, ""en"", ""zh-cn""))"),"微软 Surface 笔记本电脑 5 13.5 英寸英特尔 i5 1235U 8GB 512GB Windows 11 家庭版")</f>
        <v>微软 Surface 笔记本电脑 5 13.5 英寸英特尔 i5 1235U 8GB 512GB Windows 11 家庭版</v>
      </c>
      <c r="E278" s="1" t="str">
        <f>IFERROR(__xludf.DUMMYFUNCTION("CONCATENATE(GOOGLETRANSLATE(C278, ""en"", ""ko""))"),"마이크로소프트 서피스 노트북 5 13.5인치 인텔 i5 1235U 8GB 512GB 윈도우 11 홈")</f>
        <v>마이크로소프트 서피스 노트북 5 13.5인치 인텔 i5 1235U 8GB 512GB 윈도우 11 홈</v>
      </c>
      <c r="F278" s="1" t="str">
        <f>IFERROR(__xludf.DUMMYFUNCTION("CONCATENATE(GOOGLETRANSLATE(C278, ""en"", ""ja""))"),"Microsoft Surface Laptop 5 13.5インチ Intel i5 1235U 8GB 512GB Windows 11 Home")</f>
        <v>Microsoft Surface Laptop 5 13.5インチ Intel i5 1235U 8GB 512GB Windows 11 Home</v>
      </c>
    </row>
    <row r="279" ht="15.75" customHeight="1">
      <c r="A279" s="1">
        <v>8007.0</v>
      </c>
      <c r="B279" s="1" t="s">
        <v>6</v>
      </c>
      <c r="C279" s="1" t="s">
        <v>188</v>
      </c>
      <c r="D279" s="1" t="str">
        <f>IFERROR(__xludf.DUMMYFUNCTION("CONCATENATE(GOOGLETRANSLATE(C279, ""en"", ""zh-cn""))"),"新上市")</f>
        <v>新上市</v>
      </c>
      <c r="E279" s="1" t="str">
        <f>IFERROR(__xludf.DUMMYFUNCTION("CONCATENATE(GOOGLETRANSLATE(C279, ""en"", ""ko""))"),"새 목록")</f>
        <v>새 목록</v>
      </c>
      <c r="F279" s="1" t="str">
        <f>IFERROR(__xludf.DUMMYFUNCTION("CONCATENATE(GOOGLETRANSLATE(C279, ""en"", ""ja""))"),"新規上場")</f>
        <v>新規上場</v>
      </c>
    </row>
    <row r="280" ht="15.75" customHeight="1">
      <c r="A280" s="1">
        <v>8026.0</v>
      </c>
      <c r="B280" s="1" t="s">
        <v>6</v>
      </c>
      <c r="C280" s="1" t="s">
        <v>282</v>
      </c>
      <c r="D280" s="1" t="str">
        <f>IFERROR(__xludf.DUMMYFUNCTION("CONCATENATE(GOOGLETRANSLATE(C280, ""en"", ""zh-cn""))"),"Lenovo IdeaPad 1 学生笔记本电脑，英特尔双核处理器，20GB RAM，1TB SSD + 128GB eMMC，15.6 英寸 FHD 显示屏，1 年 Office 365，Windows 11 Home，Wi-Fi 6，网络摄像头，蓝牙，SD 卡读卡器，灰色")</f>
        <v>Lenovo IdeaPad 1 学生笔记本电脑，英特尔双核处理器，20GB RAM，1TB SSD + 128GB eMMC，15.6 英寸 FHD 显示屏，1 年 Office 365，Windows 11 Home，Wi-Fi 6，网络摄像头，蓝牙，SD 卡读卡器，灰色</v>
      </c>
      <c r="E280" s="1" t="str">
        <f>IFERROR(__xludf.DUMMYFUNCTION("CONCATENATE(GOOGLETRANSLATE(C280, ""en"", ""ko""))"),"Lenovo IdeaPad 학생용 노트북 1대, Intel 듀얼 코어 프로세서, 20GB RAM, 1TB SSD + 128GB eMMC, 15.6인치 FHD 디스플레이, 1년 Office 365, Windows 11 Home, Wi-Fi 6, 웹캠, Bluetooth, SD 카드 리더기, 회색")</f>
        <v>Lenovo IdeaPad 학생용 노트북 1대, Intel 듀얼 코어 프로세서, 20GB RAM, 1TB SSD + 128GB eMMC, 15.6인치 FHD 디스플레이, 1년 Office 365, Windows 11 Home, Wi-Fi 6, 웹캠, Bluetooth, SD 카드 리더기, 회색</v>
      </c>
      <c r="F280" s="1" t="str">
        <f>IFERROR(__xludf.DUMMYFUNCTION("CONCATENATE(GOOGLETRANSLATE(C280, ""en"", ""ja""))"),"Lenovo IdeaPad 1 学生用ラップトップ、インテル デュアル コア プロセッサー、20GB RAM、1TB SSD + 128GB eMMC、15.6 インチ FHD ディスプレイ、1 年間の Office 365、Windows 11 Home、Wi-Fi 6、ウェブカメラ、Bluetooth、SD カード リーダー、グレー")</f>
        <v>Lenovo IdeaPad 1 学生用ラップトップ、インテル デュアル コア プロセッサー、20GB RAM、1TB SSD + 128GB eMMC、15.6 インチ FHD ディスプレイ、1 年間の Office 365、Windows 11 Home、Wi-Fi 6、ウェブカメラ、Bluetooth、SD カード リーダー、グレー</v>
      </c>
    </row>
    <row r="281" ht="15.75" customHeight="1">
      <c r="A281" s="1">
        <v>8038.0</v>
      </c>
      <c r="B281" s="1" t="s">
        <v>6</v>
      </c>
      <c r="C281" s="1" t="s">
        <v>283</v>
      </c>
      <c r="D281" s="1" t="str">
        <f>IFERROR(__xludf.DUMMYFUNCTION("CONCATENATE(GOOGLETRANSLATE(C281, ""en"", ""zh-cn""))"),"戴尔 2024 款游戏笔记本电脑 | Alienware m18 R2 | 外星人英特尔 24 核 i9-14900HX | NVIDIA GeForce RTX 4080 | NVIDIA GeForce RTX 4080 32GB DDR5 | 32GB DDR5 1TB 固态硬盘 | 18"" 2560x1600 165Hz | Win11 Pro - Wi-Fi - BT 5.4 - RGB 背光 KB")</f>
        <v>戴尔 2024 款游戏笔记本电脑 | Alienware m18 R2 | 外星人英特尔 24 核 i9-14900HX | NVIDIA GeForce RTX 4080 | NVIDIA GeForce RTX 4080 32GB DDR5 | 32GB DDR5 1TB 固态硬盘 | 18" 2560x1600 165Hz | Win11 Pro - Wi-Fi - BT 5.4 - RGB 背光 KB</v>
      </c>
      <c r="E281" s="1" t="str">
        <f>IFERROR(__xludf.DUMMYFUNCTION("CONCATENATE(GOOGLETRANSLATE(C281, ""en"", ""ko""))"),"Dell 2024 게이밍 노트북 | Alienware m18 R2 | 인텔 24코어 i9-14900HX | 엔비디아 지포스 RTX 4080 | 32GB DDR5 | 1TB SSD | 18인치 2560x1600 165Hz | Win11 Pro - Wi-Fi - BT 5.4 - RGB 백라이트 KB")</f>
        <v>Dell 2024 게이밍 노트북 | Alienware m18 R2 | 인텔 24코어 i9-14900HX | 엔비디아 지포스 RTX 4080 | 32GB DDR5 | 1TB SSD | 18인치 2560x1600 165Hz | Win11 Pro - Wi-Fi - BT 5.4 - RGB 백라이트 KB</v>
      </c>
      <c r="F281" s="1" t="str">
        <f>IFERROR(__xludf.DUMMYFUNCTION("CONCATENATE(GOOGLETRANSLATE(C281, ""en"", ""ja""))"),"デル 2024 ゲーミング ノートパソコン |エイリアンウェア m18 R2 |インテル 24 コア i9-14900HX | NVIDIA GeForce RTX 4080 | 32GB DDR5 | 1TB SSD | 18 インチ 2560x1600 165Hz | Win11 Pro - Wi-Fi - BT 5.4 - RGB バックライト付き KB")</f>
        <v>デル 2024 ゲーミング ノートパソコン |エイリアンウェア m18 R2 |インテル 24 コア i9-14900HX | NVIDIA GeForce RTX 4080 | 32GB DDR5 | 1TB SSD | 18 インチ 2560x1600 165Hz | Win11 Pro - Wi-Fi - BT 5.4 - RGB バックライト付き KB</v>
      </c>
    </row>
    <row r="282" ht="15.75" customHeight="1">
      <c r="A282" s="1">
        <v>8056.0</v>
      </c>
      <c r="B282" s="1" t="s">
        <v>6</v>
      </c>
      <c r="C282" s="1" t="s">
        <v>284</v>
      </c>
      <c r="D282" s="1" t="str">
        <f>IFERROR(__xludf.DUMMYFUNCTION("CONCATENATE(GOOGLETRANSLATE(C282, ""en"", ""zh-cn""))"),"戴尔 Inspiron 灵越 14 7445 商用笔记本电脑，14 英寸 FHD+ 二合一触摸屏，AMD Ryzen 5 8640HS，32 GB DDR5，1 TB SSD，指纹识别器，背光 KB，Wi-Fi，Windows 11 Pro，带专利鼠标和 USB 闪存盘")</f>
        <v>戴尔 Inspiron 灵越 14 7445 商用笔记本电脑，14 英寸 FHD+ 二合一触摸屏，AMD Ryzen 5 8640HS，32 GB DDR5，1 TB SSD，指纹识别器，背光 KB，Wi-Fi，Windows 11 Pro，带专利鼠标和 USB 闪存盘</v>
      </c>
      <c r="E282" s="1" t="str">
        <f>IFERROR(__xludf.DUMMYFUNCTION("CONCATENATE(GOOGLETRANSLATE(C282, ""en"", ""ko""))"),"Dell Inspiron 14 7445 비즈니스 노트북, 14인치 FHD+ 2-in-1 터치스크린, AMD Ryzen 5 8640HS, 32GB DDR5, 1TB SSD, 지문 판독기, 백라이트 KB, Wi-Fi, Windows 11 Pro, 특허 받은 마우스 및 USB 플래시 디스크 포함")</f>
        <v>Dell Inspiron 14 7445 비즈니스 노트북, 14인치 FHD+ 2-in-1 터치스크린, AMD Ryzen 5 8640HS, 32GB DDR5, 1TB SSD, 지문 판독기, 백라이트 KB, Wi-Fi, Windows 11 Pro, 특허 받은 마우스 및 USB 플래시 디스크 포함</v>
      </c>
      <c r="F282" s="1" t="str">
        <f>IFERROR(__xludf.DUMMYFUNCTION("CONCATENATE(GOOGLETRANSLATE(C282, ""en"", ""ja""))"),"Dell Inspiron 14 7445 ビジネス ノートパソコン、14 インチ FHD+ 2-in-1 タッチスクリーン、AMD Ryzen 5 8640HS、32 GB DDR5、1 TB SSD、指紋リーダー、バックライト付き KB、Wi-Fi、Windows 11 Pro、特許取得済みのマウスおよび USB フラッシュ ディスク付き")</f>
        <v>Dell Inspiron 14 7445 ビジネス ノートパソコン、14 インチ FHD+ 2-in-1 タッチスクリーン、AMD Ryzen 5 8640HS、32 GB DDR5、1 TB SSD、指紋リーダー、バックライト付き KB、Wi-Fi、Windows 11 Pro、特許取得済みのマウスおよび USB フラッシュ ディスク付き</v>
      </c>
    </row>
    <row r="283" ht="15.75" customHeight="1">
      <c r="A283" s="1">
        <v>8074.0</v>
      </c>
      <c r="B283" s="1" t="s">
        <v>6</v>
      </c>
      <c r="C283" s="1" t="s">
        <v>285</v>
      </c>
      <c r="D283" s="1" t="str">
        <f>IFERROR(__xludf.DUMMYFUNCTION("CONCATENATE(GOOGLETRANSLATE(C283, ""en"", ""zh-cn""))"),"华硕 VivoBook 15 15.6 英寸全高清笔记本电脑，四核 AMD Ryzen 5 3500U (Beats i7-8550U)，8GB DDR4 RAM，1TB PCIe SSD，802.11ac WiFi，Type-C，银色，Windows 10。 棕盒一年支持")</f>
        <v>华硕 VivoBook 15 15.6 英寸全高清笔记本电脑，四核 AMD Ryzen 5 3500U (Beats i7-8550U)，8GB DDR4 RAM，1TB PCIe SSD，802.11ac WiFi，Type-C，银色，Windows 10。 棕盒一年支持</v>
      </c>
      <c r="E283" s="1" t="str">
        <f>IFERROR(__xludf.DUMMYFUNCTION("CONCATENATE(GOOGLETRANSLATE(C283, ""en"", ""ko""))"),"ASUS VivoBook 15 15.6인치 FHD 노트북 컴퓨터, 쿼드코어 AMD Ryzen 5 3500U(i7-8550U를 능가함), 8GB DDR4 RAM, 1TB PCIe SSD, 802.11ac WiFi, Type-C, 실버, Windows 10. 브라운 박스 1년 지원")</f>
        <v>ASUS VivoBook 15 15.6인치 FHD 노트북 컴퓨터, 쿼드코어 AMD Ryzen 5 3500U(i7-8550U를 능가함), 8GB DDR4 RAM, 1TB PCIe SSD, 802.11ac WiFi, Type-C, 실버, Windows 10. 브라운 박스 1년 지원</v>
      </c>
      <c r="F283" s="1" t="str">
        <f>IFERROR(__xludf.DUMMYFUNCTION("CONCATENATE(GOOGLETRANSLATE(C283, ""en"", ""ja""))"),"ASUS VivoBook 15 15.6インチ FHD ラップトップ コンピューター、クアッドコア AMD Ryzen 5 3500U (Beats i7-8550U)、8GB DDR4 RAM、1TB PCIe SSD、802.11ac WiFi、Type-C、シルバー、Windows 10。ブラウン ボックス 1 年間サポート")</f>
        <v>ASUS VivoBook 15 15.6インチ FHD ラップトップ コンピューター、クアッドコア AMD Ryzen 5 3500U (Beats i7-8550U)、8GB DDR4 RAM、1TB PCIe SSD、802.11ac WiFi、Type-C、シルバー、Windows 10。ブラウン ボックス 1 年間サポート</v>
      </c>
    </row>
    <row r="284" ht="15.75" customHeight="1">
      <c r="A284" s="1">
        <v>8093.0</v>
      </c>
      <c r="B284" s="1" t="s">
        <v>6</v>
      </c>
      <c r="C284" s="1" t="s">
        <v>286</v>
      </c>
      <c r="D284" s="1" t="str">
        <f>IFERROR(__xludf.DUMMYFUNCTION("CONCATENATE(GOOGLETRANSLATE(C284, ""en"", ""zh-cn""))"),"华硕 Vivobook 笔记本电脑 2023 新款，17.3 英寸 FHD IPS，AMD Ryzen 7 7730U 8 核，AMD Radeon 显卡，16GB DDR4，512GB SSD，背光键盘，指纹识别器，Wi-Fi 5，Win11 Pro，COU 32GB USB")</f>
        <v>华硕 Vivobook 笔记本电脑 2023 新款，17.3 英寸 FHD IPS，AMD Ryzen 7 7730U 8 核，AMD Radeon 显卡，16GB DDR4，512GB SSD，背光键盘，指纹识别器，Wi-Fi 5，Win11 Pro，COU 32GB USB</v>
      </c>
      <c r="E284" s="1" t="str">
        <f>IFERROR(__xludf.DUMMYFUNCTION("CONCATENATE(GOOGLETRANSLATE(C284, ""en"", ""ko""))"),"ASUS Vivobook 노트북 2023 신제품, 17.3인치 FHD IPS, AMD Ryzen 7 7730U 8코어, AMD Radeon 그래픽, 16GB DDR4, 512GB SSD, 백라이트 키보드, 지문 인식기, Wi-Fi 5, Win11 Pro, COU 32GB USB")</f>
        <v>ASUS Vivobook 노트북 2023 신제품, 17.3인치 FHD IPS, AMD Ryzen 7 7730U 8코어, AMD Radeon 그래픽, 16GB DDR4, 512GB SSD, 백라이트 키보드, 지문 인식기, Wi-Fi 5, Win11 Pro, COU 32GB USB</v>
      </c>
      <c r="F284" s="1" t="str">
        <f>IFERROR(__xludf.DUMMYFUNCTION("CONCATENATE(GOOGLETRANSLATE(C284, ""en"", ""ja""))"),"ASUS Vivobook ラップトップ 2023 新しい、17.3 インチ FHD IPS、AMD Ryzen 7 7730U 8 コア、AMD Radeon グラフィックス、16GB DDR4、512GB SSD、バックライト付きキーボード、指紋リーダー、Wi-Fi 5、Win11 Pro、COU 32GB USB")</f>
        <v>ASUS Vivobook ラップトップ 2023 新しい、17.3 インチ FHD IPS、AMD Ryzen 7 7730U 8 コア、AMD Radeon グラフィックス、16GB DDR4、512GB SSD、バックライト付きキーボード、指紋リーダー、Wi-Fi 5、Win11 Pro、COU 32GB USB</v>
      </c>
    </row>
    <row r="285" ht="15.75" customHeight="1">
      <c r="A285" s="1">
        <v>8102.0</v>
      </c>
      <c r="B285" s="1" t="s">
        <v>6</v>
      </c>
      <c r="C285" s="1" t="s">
        <v>287</v>
      </c>
      <c r="D285" s="1" t="str">
        <f>IFERROR(__xludf.DUMMYFUNCTION("CONCATENATE(GOOGLETRANSLATE(C285, ""en"", ""zh-cn""))"),"华硕 2024 游戏笔记本电脑 | TUF 游戏 A17 | AMD 8 核锐龙 9 7940HS | NVIDIA Geforce RTX 4050 6GB | 32GB DDR5 | 32GB DDR5 4TB 固态硬盘 | 17.3 英寸 1920 x 1080 144Hz | Win11 Pro - Wi-Fi 6 - RGB 背光 KB - 机甲灰")</f>
        <v>华硕 2024 游戏笔记本电脑 | TUF 游戏 A17 | AMD 8 核锐龙 9 7940HS | NVIDIA Geforce RTX 4050 6GB | 32GB DDR5 | 32GB DDR5 4TB 固态硬盘 | 17.3 英寸 1920 x 1080 144Hz | Win11 Pro - Wi-Fi 6 - RGB 背光 KB - 机甲灰</v>
      </c>
      <c r="E285" s="1" t="str">
        <f>IFERROR(__xludf.DUMMYFUNCTION("CONCATENATE(GOOGLETRANSLATE(C285, ""en"", ""ko""))"),"ASUS 2024 게이밍 노트북 | TUF 게이밍 A17 | AMD 8코어 Ryzen 9 7940HS | 엔비디아 지포스 RTX 4050 6GB | 32GB DDR5 | 4TB SSD | 17.3인치 1920 x 1080 144Hz | Win11 Pro - Wi-Fi 6 - RGB 백라이트 KB - 메카 그레이")</f>
        <v>ASUS 2024 게이밍 노트북 | TUF 게이밍 A17 | AMD 8코어 Ryzen 9 7940HS | 엔비디아 지포스 RTX 4050 6GB | 32GB DDR5 | 4TB SSD | 17.3인치 1920 x 1080 144Hz | Win11 Pro - Wi-Fi 6 - RGB 백라이트 KB - 메카 그레이</v>
      </c>
      <c r="F285" s="1" t="str">
        <f>IFERROR(__xludf.DUMMYFUNCTION("CONCATENATE(GOOGLETRANSLATE(C285, ""en"", ""ja""))"),"ASUS 2024 ゲーミング ノートパソコン | TUF ゲーミング A17 | AMD 8コア Ryzen 9 7940HS | NVIDIA Geforce RTX 4050 6GB | 32GB DDR5 | 4TB SSD | 17.3 インチ 1920 x 1080 144Hz | Win11 Pro - Wi-Fi 6 - RGB バックライト付き KB - メカ グレー")</f>
        <v>ASUS 2024 ゲーミング ノートパソコン | TUF ゲーミング A17 | AMD 8コア Ryzen 9 7940HS | NVIDIA Geforce RTX 4050 6GB | 32GB DDR5 | 4TB SSD | 17.3 インチ 1920 x 1080 144Hz | Win11 Pro - Wi-Fi 6 - RGB バックライト付き KB - メカ グレー</v>
      </c>
    </row>
    <row r="286" ht="15.75" customHeight="1">
      <c r="A286" s="1">
        <v>8120.0</v>
      </c>
      <c r="B286" s="1" t="s">
        <v>6</v>
      </c>
      <c r="C286" s="1" t="s">
        <v>288</v>
      </c>
      <c r="D286" s="1" t="str">
        <f>IFERROR(__xludf.DUMMYFUNCTION("CONCATENATE(GOOGLETRANSLATE(C286, ""en"", ""zh-cn""))"),"2020 年初 Apple MacBook Air，配备 1.1GHz Intel Core i3（13 英寸，8GB RAM，256GB SSD 存储）（QWERTY 英文版）深空灰色（续订）")</f>
        <v>2020 年初 Apple MacBook Air，配备 1.1GHz Intel Core i3（13 英寸，8GB RAM，256GB SSD 存储）（QWERTY 英文版）深空灰色（续订）</v>
      </c>
      <c r="E286" s="1" t="str">
        <f>IFERROR(__xludf.DUMMYFUNCTION("CONCATENATE(GOOGLETRANSLATE(C286, ""en"", ""ko""))"),"2020년 상반기 Apple MacBook Air 1.1GHz Intel Core i3(13인치, 8GB RAM, 256GB SSD 스토리지)(QWERTY 영어) 스페이스 그레이(리뉴얼)")</f>
        <v>2020년 상반기 Apple MacBook Air 1.1GHz Intel Core i3(13인치, 8GB RAM, 256GB SSD 스토리지)(QWERTY 영어) 스페이스 그레이(리뉴얼)</v>
      </c>
      <c r="F286" s="1" t="str">
        <f>IFERROR(__xludf.DUMMYFUNCTION("CONCATENATE(GOOGLETRANSLATE(C286, ""en"", ""ja""))"),"2020 年初頭 Apple MacBook Air 1.1GHz Intel Core i3 搭載 (13 インチ、8GB RAM、256GB SSD ストレージ) (QWERTY 英語) スペース グレイ (リニューアル)")</f>
        <v>2020 年初頭 Apple MacBook Air 1.1GHz Intel Core i3 搭載 (13 インチ、8GB RAM、256GB SSD ストレージ) (QWERTY 英語) スペース グレイ (リニューアル)</v>
      </c>
    </row>
    <row r="287" ht="15.75" customHeight="1">
      <c r="A287" s="1">
        <v>8123.0</v>
      </c>
      <c r="B287" s="1" t="s">
        <v>6</v>
      </c>
      <c r="C287" s="1" t="s">
        <v>289</v>
      </c>
      <c r="D287" s="1" t="str">
        <f>IFERROR(__xludf.DUMMYFUNCTION("CONCATENATE(GOOGLETRANSLATE(C287, ""en"", ""zh-cn""))"),"2024 年 Apple MacBook Air，配备 Apple M3 芯片（15 英寸，16GB RAM，512GB SSD 存储）（QWERTY 英文）深空灰色（续订）")</f>
        <v>2024 年 Apple MacBook Air，配备 Apple M3 芯片（15 英寸，16GB RAM，512GB SSD 存储）（QWERTY 英文）深空灰色（续订）</v>
      </c>
      <c r="E287" s="1" t="str">
        <f>IFERROR(__xludf.DUMMYFUNCTION("CONCATENATE(GOOGLETRANSLATE(C287, ""en"", ""ko""))"),"Apple M3 칩 탑재 2024 Apple MacBook Air(15인치, 16GB RAM, 512GB SSD 스토리지)(QWERTY 영어) 스페이스 그레이(리뉴얼)")</f>
        <v>Apple M3 칩 탑재 2024 Apple MacBook Air(15인치, 16GB RAM, 512GB SSD 스토리지)(QWERTY 영어) 스페이스 그레이(리뉴얼)</v>
      </c>
      <c r="F287" s="1" t="str">
        <f>IFERROR(__xludf.DUMMYFUNCTION("CONCATENATE(GOOGLETRANSLATE(C287, ""en"", ""ja""))"),"2024 Apple MacBook Air (Apple M3 チップ搭載) (15 インチ、16GB RAM、512GB SSD ストレージ) (QWERTY 英語) スペース グレイ (リニューアル)")</f>
        <v>2024 Apple MacBook Air (Apple M3 チップ搭載) (15 インチ、16GB RAM、512GB SSD ストレージ) (QWERTY 英語) スペース グレイ (リニューアル)</v>
      </c>
    </row>
    <row r="288" ht="15.75" customHeight="1">
      <c r="A288" s="1">
        <v>8125.0</v>
      </c>
      <c r="B288" s="1" t="s">
        <v>6</v>
      </c>
      <c r="C288" s="1" t="s">
        <v>290</v>
      </c>
      <c r="D288" s="1" t="str">
        <f>IFERROR(__xludf.DUMMYFUNCTION("CONCATENATE(GOOGLETRANSLATE(C288, ""en"", ""zh-cn""))"),"2022 年 Apple MacBook Air 笔记本电脑，配备 M2 芯片（13.6 英寸，8GB RAM，256GB SSD 存储）Starlight（更新）")</f>
        <v>2022 年 Apple MacBook Air 笔记本电脑，配备 M2 芯片（13.6 英寸，8GB RAM，256GB SSD 存储）Starlight（更新）</v>
      </c>
      <c r="E288" s="1" t="str">
        <f>IFERROR(__xludf.DUMMYFUNCTION("CONCATENATE(GOOGLETRANSLATE(C288, ""en"", ""ko""))"),"2022년 Apple MacBook Air 노트북 M2 칩 탑재(13.6인치, 8GB RAM, 256GB SSD 스토리지) Starlight(리뉴얼)")</f>
        <v>2022년 Apple MacBook Air 노트북 M2 칩 탑재(13.6인치, 8GB RAM, 256GB SSD 스토리지) Starlight(리뉴얼)</v>
      </c>
      <c r="F288" s="1" t="str">
        <f>IFERROR(__xludf.DUMMYFUNCTION("CONCATENATE(GOOGLETRANSLATE(C288, ""en"", ""ja""))"),"M2 チップ搭載 2022 Apple MacBook Air ラップトップ (13.6 インチ、8GB RAM、256GB SSD ストレージ) Starlight (リニューアル)")</f>
        <v>M2 チップ搭載 2022 Apple MacBook Air ラップトップ (13.6 インチ、8GB RAM、256GB SSD ストレージ) Starlight (リニューアル)</v>
      </c>
    </row>
    <row r="289" ht="15.75" customHeight="1">
      <c r="A289" s="1">
        <v>8133.0</v>
      </c>
      <c r="B289" s="1" t="s">
        <v>6</v>
      </c>
      <c r="C289" s="1" t="s">
        <v>291</v>
      </c>
      <c r="D289" s="1" t="str">
        <f>IFERROR(__xludf.DUMMYFUNCTION("CONCATENATE(GOOGLETRANSLATE(C289, ""en"", ""zh-cn""))"),"Apple 2024 MacBook Pro 笔记本电脑，配备 M4 Max、16 核 CPU、40 核 GPU：专为 Apple Intelligence 打造、16.2 英寸 Liquid Retina XDR 显示屏、48GB 统一内存、1TB SSD 存储；深空黑")</f>
        <v>Apple 2024 MacBook Pro 笔记本电脑，配备 M4 Max、16 核 CPU、40 核 GPU：专为 Apple Intelligence 打造、16.2 英寸 Liquid Retina XDR 显示屏、48GB 统一内存、1TB SSD 存储；深空黑</v>
      </c>
      <c r="E289" s="1" t="str">
        <f>IFERROR(__xludf.DUMMYFUNCTION("CONCATENATE(GOOGLETRANSLATE(C289, ""en"", ""ko""))"),"M4 Max, 16코어 CPU, 40코어 GPU를 탑재한 Apple 2024 MacBook Pro 노트북: Apple Intelligence를 위해 제작됨, 16.2인치 Liquid Retina XDR 디스플레이, 48GB 통합 메모리, 1TB SSD 스토리지; 스페이스 블랙")</f>
        <v>M4 Max, 16코어 CPU, 40코어 GPU를 탑재한 Apple 2024 MacBook Pro 노트북: Apple Intelligence를 위해 제작됨, 16.2인치 Liquid Retina XDR 디스플레이, 48GB 통합 메모리, 1TB SSD 스토리지; 스페이스 블랙</v>
      </c>
      <c r="F289" s="1" t="str">
        <f>IFERROR(__xludf.DUMMYFUNCTION("CONCATENATE(GOOGLETRANSLATE(C289, ""en"", ""ja""))"),"Apple 2024 MacBook Pro ラップトップ (M4 Max、16 コア CPU、40 コア GPU): Apple Intelligence 用に構築、16.2 インチ Liquid Retina XDR ディスプレイ、48 GB ユニファイド メモリ、1 TB SSD ストレージ。スペースブラック")</f>
        <v>Apple 2024 MacBook Pro ラップトップ (M4 Max、16 コア CPU、40 コア GPU): Apple Intelligence 用に構築、16.2 インチ Liquid Retina XDR ディスプレイ、48 GB ユニファイド メモリ、1 TB SSD ストレージ。スペースブラック</v>
      </c>
    </row>
    <row r="290" ht="15.75" customHeight="1">
      <c r="A290" s="1">
        <v>8134.0</v>
      </c>
      <c r="B290" s="1" t="s">
        <v>6</v>
      </c>
      <c r="C290" s="1" t="s">
        <v>292</v>
      </c>
      <c r="D290" s="1" t="str">
        <f>IFERROR(__xludf.DUMMYFUNCTION("CONCATENATE(GOOGLETRANSLATE(C290, ""en"", ""zh-cn""))"),"Apple 2024 MacBook Air 13 英寸笔记本电脑，配备 M3 芯片：专为 Apple Intelligence 打造，13.6 英寸 Liquid Retina 显示屏，8GB 统一内存，512GB SSD 存储，背光键盘，Touch ID；深空灰色")</f>
        <v>Apple 2024 MacBook Air 13 英寸笔记本电脑，配备 M3 芯片：专为 Apple Intelligence 打造，13.6 英寸 Liquid Retina 显示屏，8GB 统一内存，512GB SSD 存储，背光键盘，Touch ID；深空灰色</v>
      </c>
      <c r="E290" s="1" t="str">
        <f>IFERROR(__xludf.DUMMYFUNCTION("CONCATENATE(GOOGLETRANSLATE(C290, ""en"", ""ko""))"),"M3 칩이 탑재된 Apple 2024 MacBook Air 13인치 노트북: Apple Intelligence용으로 제작, 13.6인치 Liquid Retina 디스플레이, 8GB 통합 메모리, 512GB SSD 스토리지, 백라이트 키보드, Touch ID; 스페이스 그레이")</f>
        <v>M3 칩이 탑재된 Apple 2024 MacBook Air 13인치 노트북: Apple Intelligence용으로 제작, 13.6인치 Liquid Retina 디스플레이, 8GB 통합 메모리, 512GB SSD 스토리지, 백라이트 키보드, Touch ID; 스페이스 그레이</v>
      </c>
      <c r="F290" s="1" t="str">
        <f>IFERROR(__xludf.DUMMYFUNCTION("CONCATENATE(GOOGLETRANSLATE(C290, ""en"", ""ja""))"),"M3 チップ搭載 Apple 2024 MacBook Air 13 インチ ラップトップ: Apple インテリジェンス向けに構築、13.6 インチ Liquid Retina ディスプレイ、8GB ユニファイド メモリ、512GB SSD ストレージ、バックライト付きキーボード、Touch ID。スペースグレイ")</f>
        <v>M3 チップ搭載 Apple 2024 MacBook Air 13 インチ ラップトップ: Apple インテリジェンス向けに構築、13.6 インチ Liquid Retina ディスプレイ、8GB ユニファイド メモリ、512GB SSD ストレージ、バックライト付きキーボード、Touch ID。スペースグレイ</v>
      </c>
    </row>
    <row r="291" ht="15.75" customHeight="1">
      <c r="A291" s="1">
        <v>8136.0</v>
      </c>
      <c r="B291" s="1" t="s">
        <v>6</v>
      </c>
      <c r="C291" s="1" t="s">
        <v>293</v>
      </c>
      <c r="D291" s="1" t="str">
        <f>IFERROR(__xludf.DUMMYFUNCTION("CONCATENATE(GOOGLETRANSLATE(C291, ""en"", ""zh-cn""))"),"采用 M2 芯片的 Apple 2022 MacBook Air 笔记本电脑：专为 Apple Intelligence 打造、13.6 英寸 Liquid Retina 显示屏、8GB RAM、256GB SSD 存储、背光键盘、1080p FaceTime 高清摄像头；星光")</f>
        <v>采用 M2 芯片的 Apple 2022 MacBook Air 笔记本电脑：专为 Apple Intelligence 打造、13.6 英寸 Liquid Retina 显示屏、8GB RAM、256GB SSD 存储、背光键盘、1080p FaceTime 高清摄像头；星光</v>
      </c>
      <c r="E291" s="1" t="str">
        <f>IFERROR(__xludf.DUMMYFUNCTION("CONCATENATE(GOOGLETRANSLATE(C291, ""en"", ""ko""))"),"M2 칩이 탑재된 Apple 2022 MacBook Air 노트북: Apple Intelligence용으로 제작, 13.6인치 Liquid Retina 디스플레이, 8GB RAM, 256GB SSD 스토리지, 백라이트 키보드, 1080p FaceTime HD 카메라; 별빛")</f>
        <v>M2 칩이 탑재된 Apple 2022 MacBook Air 노트북: Apple Intelligence용으로 제작, 13.6인치 Liquid Retina 디스플레이, 8GB RAM, 256GB SSD 스토리지, 백라이트 키보드, 1080p FaceTime HD 카메라; 별빛</v>
      </c>
      <c r="F291" s="1" t="str">
        <f>IFERROR(__xludf.DUMMYFUNCTION("CONCATENATE(GOOGLETRANSLATE(C291, ""en"", ""ja""))"),"M2 チップ搭載 Apple 2022 MacBook Air ラップトップ: Apple Intelligence 向けに構築、13.6 インチ Liquid Retina ディスプレイ、8GB RAM、256GB SSD ストレージ、バックライト付きキーボード、1080p FaceTime HD カメラ。スターライト")</f>
        <v>M2 チップ搭載 Apple 2022 MacBook Air ラップトップ: Apple Intelligence 向けに構築、13.6 インチ Liquid Retina ディスプレイ、8GB RAM、256GB SSD ストレージ、バックライト付きキーボード、1080p FaceTime HD カメラ。スターライト</v>
      </c>
    </row>
    <row r="292" ht="15.75" customHeight="1">
      <c r="A292" s="1">
        <v>8143.0</v>
      </c>
      <c r="B292" s="1" t="s">
        <v>6</v>
      </c>
      <c r="C292" s="1" t="s">
        <v>294</v>
      </c>
      <c r="D292" s="1" t="str">
        <f>IFERROR(__xludf.DUMMYFUNCTION("CONCATENATE(GOOGLETRANSLATE(C292, ""en"", ""zh-cn""))"),"2021 年 Apple MacBook Pro（16 英寸，M1 Pro 芯片，10 核 CPU 和 16 核 GPU，16GB RAM，1TB SSD）- 银色")</f>
        <v>2021 年 Apple MacBook Pro（16 英寸，M1 Pro 芯片，10 核 CPU 和 16 核 GPU，16GB RAM，1TB SSD）- 银色</v>
      </c>
      <c r="E292" s="1" t="str">
        <f>IFERROR(__xludf.DUMMYFUNCTION("CONCATENATE(GOOGLETRANSLATE(C292, ""en"", ""ko""))"),"2021 Apple MacBook Pro(16인치, M1 Pro 칩, 10코어 CPU 및 16코어 GPU, 16GB RAM, 1TB SSD) - 실버")</f>
        <v>2021 Apple MacBook Pro(16인치, M1 Pro 칩, 10코어 CPU 및 16코어 GPU, 16GB RAM, 1TB SSD) - 실버</v>
      </c>
      <c r="F292" s="1" t="str">
        <f>IFERROR(__xludf.DUMMYFUNCTION("CONCATENATE(GOOGLETRANSLATE(C292, ""en"", ""ja""))"),"2021 Apple MacBook Pro (16 インチ、10 コア CPU および 16 コア GPU 搭載 M1 Pro チップ、16 GB RAM、1 TB SSD) - シルバー")</f>
        <v>2021 Apple MacBook Pro (16 インチ、10 コア CPU および 16 コア GPU 搭載 M1 Pro チップ、16 GB RAM、1 TB SSD) - シルバー</v>
      </c>
    </row>
    <row r="293" ht="15.75" customHeight="1">
      <c r="A293" s="1">
        <v>7790.0</v>
      </c>
      <c r="B293" s="1" t="s">
        <v>6</v>
      </c>
      <c r="C293" s="1" t="s">
        <v>295</v>
      </c>
      <c r="D293" s="1" t="str">
        <f>IFERROR(__xludf.DUMMYFUNCTION("CONCATENATE(GOOGLETRANSLATE(C293, ""en"", ""zh-cn""))"),"佳能 CRG 055 标准容量墨粉盒，适用于 MF743 和 MF741 打印机，捆绑黑色/青色/品红色/黄色")</f>
        <v>佳能 CRG 055 标准容量墨粉盒，适用于 MF743 和 MF741 打印机，捆绑黑色/青色/品红色/黄色</v>
      </c>
      <c r="E293" s="1" t="str">
        <f>IFERROR(__xludf.DUMMYFUNCTION("CONCATENATE(GOOGLETRANSLATE(C293, ""en"", ""ko""))"),"MF743 및 MF741 프린터용 Canon CRG 055 표준 용량 토너 카트리지, 검정/청록색/마젠타색/노랑 번들")</f>
        <v>MF743 및 MF741 프린터용 Canon CRG 055 표준 용량 토너 카트리지, 검정/청록색/마젠타색/노랑 번들</v>
      </c>
      <c r="F293" s="1" t="str">
        <f>IFERROR(__xludf.DUMMYFUNCTION("CONCATENATE(GOOGLETRANSLATE(C293, ""en"", ""ja""))"),"Canon CRG 055 標準容量トナーカートリッジ MF743 &amp; MF741 プリンタ用、ブラック/シアン/マゼンタ/イエローのバンドル")</f>
        <v>Canon CRG 055 標準容量トナーカートリッジ MF743 &amp; MF741 プリンタ用、ブラック/シアン/マゼンタ/イエローのバンドル</v>
      </c>
    </row>
    <row r="294" ht="15.75" customHeight="1">
      <c r="A294" s="1">
        <v>7807.0</v>
      </c>
      <c r="B294" s="1" t="s">
        <v>6</v>
      </c>
      <c r="C294" s="1" t="s">
        <v>296</v>
      </c>
      <c r="D294" s="1" t="str">
        <f>IFERROR(__xludf.DUMMYFUNCTION("CONCATENATE(GOOGLETRANSLATE(C294, ""en"", ""zh-cn""))"),"HP 原装 952 青色、品红色、黄色/952XL 黑色墨盒（4 件装） |工作原理 OfficeJet 8702 OfficeJet Pro 7700、8210、8700 系列 |符合 Instant Ink 条件 | N9K28AN")</f>
        <v>HP 原装 952 青色、品红色、黄色/952XL 黑色墨盒（4 件装） |工作原理 OfficeJet 8702 OfficeJet Pro 7700、8210、8700 系列 |符合 Instant Ink 条件 | N9K28AN</v>
      </c>
      <c r="E294" s="1" t="str">
        <f>IFERROR(__xludf.DUMMYFUNCTION("CONCATENATE(GOOGLETRANSLATE(C294, ""en"", ""ko""))"),"HP 정품 952 시안, 마젠타, 노랑/952XL 검정 잉크 카트리지(4팩) | 작동 OfficeJet 8702 OfficeJet Pro 7700, 8210, 8700 시리즈 | 인스턴트 잉크 사용 가능 | N9K28AN")</f>
        <v>HP 정품 952 시안, 마젠타, 노랑/952XL 검정 잉크 카트리지(4팩) | 작동 OfficeJet 8702 OfficeJet Pro 7700, 8210, 8700 시리즈 | 인스턴트 잉크 사용 가능 | N9K28AN</v>
      </c>
      <c r="F294" s="1" t="str">
        <f>IFERROR(__xludf.DUMMYFUNCTION("CONCATENATE(GOOGLETRANSLATE(C294, ""en"", ""ja""))"),"HP オリジナル 952 シアン、マゼンタ、イエロー / 952XL ブラック インク カートリッジ (4 パック) |動作 OfficeJet 8702 OfficeJet Pro 7700、8210、8700 シリーズ | Instant Ink の対象 | N9K28AN")</f>
        <v>HP オリジナル 952 シアン、マゼンタ、イエロー / 952XL ブラック インク カートリッジ (4 パック) |動作 OfficeJet 8702 OfficeJet Pro 7700、8210、8700 シリーズ | Instant Ink の対象 | N9K28AN</v>
      </c>
    </row>
    <row r="295" ht="15.75" customHeight="1">
      <c r="A295" s="1">
        <v>7837.0</v>
      </c>
      <c r="B295" s="1" t="s">
        <v>6</v>
      </c>
      <c r="C295" s="1" t="s">
        <v>297</v>
      </c>
      <c r="D295" s="1" t="str">
        <f>IFERROR(__xludf.DUMMYFUNCTION("CONCATENATE(GOOGLETRANSLATE(C295, ""en"", ""zh-cn""))"),"Brother 正品 TN227、TN227BK、高打印量碳粉盒、替换黑色碳粉、页打印量高达 3,000 页、TN227BK、Amazon Dash 可用")</f>
        <v>Brother 正品 TN227、TN227BK、高打印量碳粉盒、替换黑色碳粉、页打印量高达 3,000 页、TN227BK、Amazon Dash 可用</v>
      </c>
      <c r="E295" s="1" t="str">
        <f>IFERROR(__xludf.DUMMYFUNCTION("CONCATENATE(GOOGLETRANSLATE(C295, ""en"", ""ko""))"),"브라더 정품 TN227, TN227BK, 대용량 토너 카트리지, 교체용 검정색 토너, 페이지 출력량 최대 3,000페이지, TN227BK, Amazon Dash 사용 가능")</f>
        <v>브라더 정품 TN227, TN227BK, 대용량 토너 카트리지, 교체용 검정색 토너, 페이지 출력량 최대 3,000페이지, TN227BK, Amazon Dash 사용 가능</v>
      </c>
      <c r="F295" s="1" t="str">
        <f>IFERROR(__xludf.DUMMYFUNCTION("CONCATENATE(GOOGLETRANSLATE(C295, ""en"", ""ja""))"),"Brother 純正 TN227、TN227BK、高収量トナー カートリッジ、交換用ブラック トナー、最大 3,000 ページの印刷可能枚数、TN227BK、Amazon Dash 利用可能")</f>
        <v>Brother 純正 TN227、TN227BK、高収量トナー カートリッジ、交換用ブラック トナー、最大 3,000 ページの印刷可能枚数、TN227BK、Amazon Dash 利用可能</v>
      </c>
    </row>
    <row r="296" ht="15.75" customHeight="1">
      <c r="A296" s="1">
        <v>7861.0</v>
      </c>
      <c r="B296" s="1" t="s">
        <v>6</v>
      </c>
      <c r="C296" s="1" t="s">
        <v>298</v>
      </c>
      <c r="D296" s="1" t="str">
        <f>IFERROR(__xludf.DUMMYFUNCTION("CONCATENATE(GOOGLETRANSLATE(C296, ""en"", ""zh-cn""))"),"Brother 正品 LC401XL 3PK 高产量 3 件装彩色墨水墨盒包括 1 个青色、品红色和黄色墨水各墨盒。")</f>
        <v>Brother 正品 LC401XL 3PK 高产量 3 件装彩色墨水墨盒包括 1 个青色、品红色和黄色墨水各墨盒。</v>
      </c>
      <c r="E296" s="1" t="str">
        <f>IFERROR(__xludf.DUMMYFUNCTION("CONCATENATE(GOOGLETRANSLATE(C296, ""en"", ""ko""))"),"브라더 정품 LC401XL 3PK 대용량 3팩 컬러 -잉크 -카트리지 시안, 마젠타, 옐로우 카트리지 각각 1개 포함 -잉크.")</f>
        <v>브라더 정품 LC401XL 3PK 대용량 3팩 컬러 -잉크 -카트리지 시안, 마젠타, 옐로우 카트리지 각각 1개 포함 -잉크.</v>
      </c>
      <c r="F296" s="1" t="str">
        <f>IFERROR(__xludf.DUMMYFUNCTION("CONCATENATE(GOOGLETRANSLATE(C296, ""en"", ""ja""))"),"ブラザー純正 LC401XL 3PK 高収量 3 パック カラー - インク - カートリッジ 1 個入り - - シアン、マゼンタ、イエローの各カートリッジ - インク。")</f>
        <v>ブラザー純正 LC401XL 3PK 高収量 3 パック カラー - インク - カートリッジ 1 個入り - - シアン、マゼンタ、イエローの各カートリッジ - インク。</v>
      </c>
    </row>
    <row r="297" ht="15.75" customHeight="1">
      <c r="A297" s="1">
        <v>7863.0</v>
      </c>
      <c r="B297" s="1" t="s">
        <v>6</v>
      </c>
      <c r="C297" s="1" t="s">
        <v>299</v>
      </c>
      <c r="D297" s="1" t="str">
        <f>IFERROR(__xludf.DUMMYFUNCTION("CONCATENATE(GOOGLETRANSLATE(C297, ""en"", ""zh-cn""))"),"Brother HL-L3280CDW 无线紧凑型数字彩色打印机，具有激光质量输出、双面、移动打印和以太网 |包括 4 个月刷新订阅试用 1、Amazon Dash 补充就绪")</f>
        <v>Brother HL-L3280CDW 无线紧凑型数字彩色打印机，具有激光质量输出、双面、移动打印和以太网 |包括 4 个月刷新订阅试用 1、Amazon Dash 补充就绪</v>
      </c>
      <c r="E297" s="1" t="str">
        <f>IFERROR(__xludf.DUMMYFUNCTION("CONCATENATE(GOOGLETRANSLATE(C297, ""en"", ""ko""))"),"Brother HL-L3280CDW 레이저 품질 출력, 양면 인쇄, 모바일 인쇄 및 이더넷 기능을 갖춘 무선 소형 디지털 컬러 프린터 | 4개월 갱신 구독 평가판 포함, Amazon Dash 보충 준비 완료")</f>
        <v>Brother HL-L3280CDW 레이저 품질 출력, 양면 인쇄, 모바일 인쇄 및 이더넷 기능을 갖춘 무선 소형 디지털 컬러 프린터 | 4개월 갱신 구독 평가판 포함, Amazon Dash 보충 준비 완료</v>
      </c>
      <c r="F297" s="1" t="str">
        <f>IFERROR(__xludf.DUMMYFUNCTION("CONCATENATE(GOOGLETRANSLATE(C297, ""en"", ""ja""))"),"Brother HL-L3280CDW レーザー品質出力、両面印刷、モバイル印刷、イーサネット機能を備えたワイヤレスコンパクトデジタルカラープリンター | 4 か月間の更新サブスクリプショントライアル¹ が含まれており、Amazon Dash Replenishment の準備ができています")</f>
        <v>Brother HL-L3280CDW レーザー品質出力、両面印刷、モバイル印刷、イーサネット機能を備えたワイヤレスコンパクトデジタルカラープリンター | 4 か月間の更新サブスクリプショントライアル¹ が含まれており、Amazon Dash Replenishment の準備ができています</v>
      </c>
    </row>
    <row r="298" ht="15.75" customHeight="1">
      <c r="A298" s="1">
        <v>7872.0</v>
      </c>
      <c r="B298" s="1" t="s">
        <v>6</v>
      </c>
      <c r="C298" s="1" t="s">
        <v>300</v>
      </c>
      <c r="D298" s="1" t="str">
        <f>IFERROR(__xludf.DUMMYFUNCTION("CONCATENATE(GOOGLETRANSLATE(C298, ""en"", ""zh-cn""))"),"Scotch 热覆膜机，超宽 13 英寸输入，非常适合教师、小型办公室或家庭 (TL1302X)")</f>
        <v>Scotch 热覆膜机，超宽 13 英寸输入，非常适合教师、小型办公室或家庭 (TL1302X)</v>
      </c>
      <c r="E298" s="1" t="str">
        <f>IFERROR(__xludf.DUMMYFUNCTION("CONCATENATE(GOOGLETRANSLATE(C298, ""en"", ""ko""))"),"스카치 열 라미네이터, 초대형 13인치 입력, 교사, 소규모 사무실 또는 가정에 적합(TL1302X)")</f>
        <v>스카치 열 라미네이터, 초대형 13인치 입력, 교사, 소규모 사무실 또는 가정에 적합(TL1302X)</v>
      </c>
      <c r="F298" s="1" t="str">
        <f>IFERROR(__xludf.DUMMYFUNCTION("CONCATENATE(GOOGLETRANSLATE(C298, ""en"", ""ja""))"),"Scotch サーマルラミネーター、エクストラワイド 13 インチ入力、教師、小規模オフィス、または家庭に最適 (TL1302X)")</f>
        <v>Scotch サーマルラミネーター、エクストラワイド 13 インチ入力、教師、小規模オフィス、または家庭に最適 (TL1302X)</v>
      </c>
    </row>
    <row r="299" ht="15.75" customHeight="1">
      <c r="A299" s="1">
        <v>7884.0</v>
      </c>
      <c r="B299" s="1" t="s">
        <v>6</v>
      </c>
      <c r="C299" s="1" t="s">
        <v>301</v>
      </c>
      <c r="D299" s="1" t="str">
        <f>IFERROR(__xludf.DUMMYFUNCTION("CONCATENATE(GOOGLETRANSLATE(C299, ""en"", ""zh-cn""))"),"Scotch 自封层压袋，钱包照片尺寸，光面，2 1/2 英寸 x 3 1/2 英寸，5 个袋")</f>
        <v>Scotch 自封层压袋，钱包照片尺寸，光面，2 1/2 英寸 x 3 1/2 英寸，5 个袋</v>
      </c>
      <c r="E299" s="1" t="str">
        <f>IFERROR(__xludf.DUMMYFUNCTION("CONCATENATE(GOOGLETRANSLATE(C299, ""en"", ""ko""))"),"스카치 자체 밀봉 라미네이팅 파우치, 지갑 사진 크기, 광택 마감, 2 1/2인치 x 3 1/2인치, 파우치 5개")</f>
        <v>스카치 자체 밀봉 라미네이팅 파우치, 지갑 사진 크기, 광택 마감, 2 1/2인치 x 3 1/2인치, 파우치 5개</v>
      </c>
      <c r="F299" s="1" t="str">
        <f>IFERROR(__xludf.DUMMYFUNCTION("CONCATENATE(GOOGLETRANSLATE(C299, ""en"", ""ja""))"),"Scotch セルフシールラミネートポーチ、財布の写真サイズ、光沢仕上げ、2 1/2インチ x 3 1/2インチ、ポーチ5個")</f>
        <v>Scotch セルフシールラミネートポーチ、財布の写真サイズ、光沢仕上げ、2 1/2インチ x 3 1/2インチ、ポーチ5個</v>
      </c>
    </row>
    <row r="300" ht="15.75" customHeight="1">
      <c r="A300" s="1">
        <v>7907.0</v>
      </c>
      <c r="B300" s="1" t="s">
        <v>6</v>
      </c>
      <c r="C300" s="1" t="s">
        <v>302</v>
      </c>
      <c r="D300" s="1" t="str">
        <f>IFERROR(__xludf.DUMMYFUNCTION("CONCATENATE(GOOGLETRANSLATE(C300, ""en"", ""zh-cn""))"),"Scotch 层压板 9 英寸 x 12 英寸 Letter 尺寸单面")</f>
        <v>Scotch 层压板 9 英寸 x 12 英寸 Letter 尺寸单面</v>
      </c>
      <c r="E300" s="1" t="str">
        <f>IFERROR(__xludf.DUMMYFUNCTION("CONCATENATE(GOOGLETRANSLATE(C300, ""en"", ""ko""))"),"스카치 라미네이팅 시트 9인치 x 12인치 레터 크기 단면")</f>
        <v>스카치 라미네이팅 시트 9인치 x 12인치 레터 크기 단면</v>
      </c>
      <c r="F300" s="1" t="str">
        <f>IFERROR(__xludf.DUMMYFUNCTION("CONCATENATE(GOOGLETRANSLATE(C300, ""en"", ""ja""))"),"スコッチ ラミネート シート 9 インチ x 12 インチ レター サイズ 片面")</f>
        <v>スコッチ ラミネート シート 9 インチ x 12 インチ レター サイズ 片面</v>
      </c>
    </row>
    <row r="301" ht="15.75" customHeight="1">
      <c r="A301" s="1">
        <v>7942.0</v>
      </c>
      <c r="B301" s="1" t="s">
        <v>6</v>
      </c>
      <c r="C301" s="1" t="s">
        <v>303</v>
      </c>
      <c r="D301" s="1" t="str">
        <f>IFERROR(__xludf.DUMMYFUNCTION("CONCATENATE(GOOGLETRANSLATE(C301, ""en"", ""zh-cn""))"),"微星 GF65 薄 9SE-013 15.6 英寸 120Hz 游戏笔记本电脑英特尔酷睿 i7-9750H RTX2060 16GB 512GB NVMe SSD Win10Home")</f>
        <v>微星 GF65 薄 9SE-013 15.6 英寸 120Hz 游戏笔记本电脑英特尔酷睿 i7-9750H RTX2060 16GB 512GB NVMe SSD Win10Home</v>
      </c>
      <c r="E301" s="1" t="str">
        <f>IFERROR(__xludf.DUMMYFUNCTION("CONCATENATE(GOOGLETRANSLATE(C301, ""en"", ""ko""))"),"MSI GF65 Thin 9SE-013 15.6인치 120Hz 게이밍 노트북 인텔 코어 i7-9750H RTX2060 16GB 512GB Nvme SSD Win10Home")</f>
        <v>MSI GF65 Thin 9SE-013 15.6인치 120Hz 게이밍 노트북 인텔 코어 i7-9750H RTX2060 16GB 512GB Nvme SSD Win10Home</v>
      </c>
      <c r="F301" s="1" t="str">
        <f>IFERROR(__xludf.DUMMYFUNCTION("CONCATENATE(GOOGLETRANSLATE(C301, ""en"", ""ja""))"),"MSI GF65 薄型 9SE-013 15.6"" 120Hz ゲーミング ノートパソコン Intel Core i7-9750H RTX2060 16GB 512GB Nvme SSD Win10Home")</f>
        <v>MSI GF65 薄型 9SE-013 15.6" 120Hz ゲーミング ノートパソコン Intel Core i7-9750H RTX2060 16GB 512GB Nvme SSD Win10Home</v>
      </c>
    </row>
    <row r="302" ht="15.75" customHeight="1">
      <c r="A302" s="1">
        <v>7948.0</v>
      </c>
      <c r="B302" s="1" t="s">
        <v>6</v>
      </c>
      <c r="C302" s="1" t="s">
        <v>304</v>
      </c>
      <c r="D302" s="1" t="str">
        <f>IFERROR(__xludf.DUMMYFUNCTION("CONCATENATE(GOOGLETRANSLATE(C302, ""en"", ""zh-cn""))"),"MSI Thin GF63 12VE 游戏笔记本电脑，2023 年，15.6 英寸 1920 x 1080 144 Hz，英特尔酷睿 i7-12650H 10 核，NVIDIA GeForce RTX 4050 6GB，48GB DDR4，1TB SSD，Windows 10 Pro，背光键盘，黑色")</f>
        <v>MSI Thin GF63 12VE 游戏笔记本电脑，2023 年，15.6 英寸 1920 x 1080 144 Hz，英特尔酷睿 i7-12650H 10 核，NVIDIA GeForce RTX 4050 6GB，48GB DDR4，1TB SSD，Windows 10 Pro，背光键盘，黑色</v>
      </c>
      <c r="E302" s="1" t="str">
        <f>IFERROR(__xludf.DUMMYFUNCTION("CONCATENATE(GOOGLETRANSLATE(C302, ""en"", ""ko""))"),"MSI Thin GF63 12VE 게이밍 노트북, 2023, 15.6인치 1920 x 1080 144Hz, Intel Core i7-12650H 10코어, NVIDIA GeForce RTX 4050 6GB, 48GB DDR4, 1TB SSD, Windows 10 Pro, 백라이트 키보드, 블랙")</f>
        <v>MSI Thin GF63 12VE 게이밍 노트북, 2023, 15.6인치 1920 x 1080 144Hz, Intel Core i7-12650H 10코어, NVIDIA GeForce RTX 4050 6GB, 48GB DDR4, 1TB SSD, Windows 10 Pro, 백라이트 키보드, 블랙</v>
      </c>
      <c r="F302" s="1" t="str">
        <f>IFERROR(__xludf.DUMMYFUNCTION("CONCATENATE(GOOGLETRANSLATE(C302, ""en"", ""ja""))"),"MSI 薄型 GF63 12VE ゲーミング ノートパソコン、2023 年、15.6 インチ 1920 x 1080 144 Hz、Intel Core i7-12650H 10 コア、NVIDIA GeForce RTX 4050 6GB、48GB DDR4、1TB SSD、Windows 10 Pro、バックライト付きキーボード、ブラック")</f>
        <v>MSI 薄型 GF63 12VE ゲーミング ノートパソコン、2023 年、15.6 インチ 1920 x 1080 144 Hz、Intel Core i7-12650H 10 コア、NVIDIA GeForce RTX 4050 6GB、48GB DDR4、1TB SSD、Windows 10 Pro、バックライト付きキーボード、ブラック</v>
      </c>
    </row>
    <row r="303" ht="15.75" customHeight="1">
      <c r="A303" s="1">
        <v>7955.0</v>
      </c>
      <c r="B303" s="1" t="s">
        <v>6</v>
      </c>
      <c r="C303" s="1" t="s">
        <v>305</v>
      </c>
      <c r="D303" s="1" t="str">
        <f>IFERROR(__xludf.DUMMYFUNCTION("CONCATENATE(GOOGLETRANSLATE(C303, ""en"", ""zh-cn""))"),"微软 Surface Pro 6 12.3 英寸英特尔 i5 8350U 1.70GHz 8GB RAM 256GB SSD Win 11 - ")</f>
        <v>微软 Surface Pro 6 12.3 英寸英特尔 i5 8350U 1.70GHz 8GB RAM 256GB SSD Win 11 - </v>
      </c>
      <c r="E303" s="1" t="str">
        <f>IFERROR(__xludf.DUMMYFUNCTION("CONCATENATE(GOOGLETRANSLATE(C303, ""en"", ""ko""))"),"마이크로소프트 서피스 프로 6 12.3인치 인텔 i5 8350U 1.70GHz 8GB RAM 256GB SSD 윈도우 11 - ")</f>
        <v>마이크로소프트 서피스 프로 6 12.3인치 인텔 i5 8350U 1.70GHz 8GB RAM 256GB SSD 윈도우 11 - </v>
      </c>
      <c r="F303" s="1" t="str">
        <f>IFERROR(__xludf.DUMMYFUNCTION("CONCATENATE(GOOGLETRANSLATE(C303, ""en"", ""ja""))"),"Microsoft Surface Pro 6 12.3インチ Intel i5 8350U 1.70GHz 8GB RAM 256GB SSD Win 11 - ")</f>
        <v>Microsoft Surface Pro 6 12.3インチ Intel i5 8350U 1.70GHz 8GB RAM 256GB SSD Win 11 - </v>
      </c>
    </row>
    <row r="304" ht="15.75" customHeight="1">
      <c r="A304" s="1">
        <v>7956.0</v>
      </c>
      <c r="B304" s="1" t="s">
        <v>6</v>
      </c>
      <c r="C304" s="1" t="s">
        <v>306</v>
      </c>
      <c r="D304" s="1" t="str">
        <f>IFERROR(__xludf.DUMMYFUNCTION("CONCATENATE(GOOGLETRANSLATE(C304, ""en"", ""zh-cn""))"),"全新 Microsoft Surface 笔记本电脑 6 商用 13 英寸 Ultra 5 16GB RAM 256GB SSD")</f>
        <v>全新 Microsoft Surface 笔记本电脑 6 商用 13 英寸 Ultra 5 16GB RAM 256GB SSD</v>
      </c>
      <c r="E304" s="1" t="str">
        <f>IFERROR(__xludf.DUMMYFUNCTION("CONCATENATE(GOOGLETRANSLATE(C304, ""en"", ""ko""))"),"신품 마이크로소프트 서피스 노트북 6 기업용 13인치 울트라 5 16GB RAM 256GB SSD")</f>
        <v>신품 마이크로소프트 서피스 노트북 6 기업용 13인치 울트라 5 16GB RAM 256GB SSD</v>
      </c>
      <c r="F304" s="1" t="str">
        <f>IFERROR(__xludf.DUMMYFUNCTION("CONCATENATE(GOOGLETRANSLATE(C304, ""en"", ""ja""))"),"新しい Microsoft Surface Laptop 6 ビジネス向け 13 インチ Ultra 5 16GB RAM 256GB SSD")</f>
        <v>新しい Microsoft Surface Laptop 6 ビジネス向け 13 インチ Ultra 5 16GB RAM 256GB SSD</v>
      </c>
    </row>
    <row r="305" ht="15.75" customHeight="1">
      <c r="A305" s="1">
        <v>7958.0</v>
      </c>
      <c r="B305" s="1" t="s">
        <v>6</v>
      </c>
      <c r="C305" s="1" t="s">
        <v>307</v>
      </c>
      <c r="D305" s="1" t="str">
        <f>IFERROR(__xludf.DUMMYFUNCTION("CONCATENATE(GOOGLETRANSLATE(C305, ""en"", ""zh-cn""))"),"微软 Surface 笔记本电脑 4 i7- 1185G7 16GB RAM 256GB SSD 触摸屏 Win 11 Pro")</f>
        <v>微软 Surface 笔记本电脑 4 i7- 1185G7 16GB RAM 256GB SSD 触摸屏 Win 11 Pro</v>
      </c>
      <c r="E305" s="1" t="str">
        <f>IFERROR(__xludf.DUMMYFUNCTION("CONCATENATE(GOOGLETRANSLATE(C305, ""en"", ""ko""))"),"마이크로소프트 서피스 노트북 4 i7- 1185G7 16GB RAM 256GB SSD 터치스크린 윈도우 11 프로")</f>
        <v>마이크로소프트 서피스 노트북 4 i7- 1185G7 16GB RAM 256GB SSD 터치스크린 윈도우 11 프로</v>
      </c>
      <c r="F305" s="1" t="str">
        <f>IFERROR(__xludf.DUMMYFUNCTION("CONCATENATE(GOOGLETRANSLATE(C305, ""en"", ""ja""))"),"Microsoft Surface Laptop 4 i7- 1185G7 16GB RAM 256GB SSD タッチスクリーン Win 11 Pro")</f>
        <v>Microsoft Surface Laptop 4 i7- 1185G7 16GB RAM 256GB SSD タッチスクリーン Win 11 Pro</v>
      </c>
    </row>
    <row r="306" ht="15.75" customHeight="1">
      <c r="A306" s="1">
        <v>7959.0</v>
      </c>
      <c r="B306" s="1" t="s">
        <v>6</v>
      </c>
      <c r="C306" s="1" t="s">
        <v>308</v>
      </c>
      <c r="D306" s="1" t="str">
        <f>IFERROR(__xludf.DUMMYFUNCTION("CONCATENATE(GOOGLETRANSLATE(C306, ""en"", ""zh-cn""))"),"微软 Surface 笔记本电脑 3 英特尔酷睿 i5-1035G7 16GB RAM 256GB SSD Win 11 Pro	")</f>
        <v>微软 Surface 笔记本电脑 3 英特尔酷睿 i5-1035G7 16GB RAM 256GB SSD Win 11 Pro	</v>
      </c>
      <c r="E306" s="1" t="str">
        <f>IFERROR(__xludf.DUMMYFUNCTION("CONCATENATE(GOOGLETRANSLATE(C306, ""en"", ""ko""))"),"마이크로소프트 서피스 노트북 3 인텔 코어 i5-1035G7 16GB RAM 256GB SSD 윈도우 11 프로	")</f>
        <v>마이크로소프트 서피스 노트북 3 인텔 코어 i5-1035G7 16GB RAM 256GB SSD 윈도우 11 프로	</v>
      </c>
      <c r="F306" s="1" t="str">
        <f>IFERROR(__xludf.DUMMYFUNCTION("CONCATENATE(GOOGLETRANSLATE(C306, ""en"", ""ja""))"),"Microsoft Surface Laptop 3 Intel Core i5-1035G7 16GB RAM 256GB SSD Win 11 Pro	")</f>
        <v>Microsoft Surface Laptop 3 Intel Core i5-1035G7 16GB RAM 256GB SSD Win 11 Pro	</v>
      </c>
    </row>
    <row r="307" ht="15.75" customHeight="1">
      <c r="A307" s="1">
        <v>8001.0</v>
      </c>
      <c r="B307" s="1" t="s">
        <v>6</v>
      </c>
      <c r="C307" s="1" t="s">
        <v>309</v>
      </c>
      <c r="D307" s="1" t="str">
        <f>IFERROR(__xludf.DUMMYFUNCTION("CONCATENATE(GOOGLETRANSLATE(C307, ""en"", ""zh-cn""))"),"全新微软 Surface 6 笔记本电脑 13.5 英寸英特尔酷睿 Ultra 5 135H 16GB 256GB W11 Pro")</f>
        <v>全新微软 Surface 6 笔记本电脑 13.5 英寸英特尔酷睿 Ultra 5 135H 16GB 256GB W11 Pro</v>
      </c>
      <c r="E307" s="1" t="str">
        <f>IFERROR(__xludf.DUMMYFUNCTION("CONCATENATE(GOOGLETRANSLATE(C307, ""en"", ""ko""))"),"신품 마이크로소프트 서피스 6 노트북 13.5인치 인텔 코어 울트라 5 135H 16GB 256GB W11 프로")</f>
        <v>신품 마이크로소프트 서피스 6 노트북 13.5인치 인텔 코어 울트라 5 135H 16GB 256GB W11 프로</v>
      </c>
      <c r="F307" s="1" t="str">
        <f>IFERROR(__xludf.DUMMYFUNCTION("CONCATENATE(GOOGLETRANSLATE(C307, ""en"", ""ja""))"),"新品 Microsoft Surface 6 ラップトップ 13.5"" Intel Core Ultra 5 135H 16GB 256GB W11 Pro")</f>
        <v>新品 Microsoft Surface 6 ラップトップ 13.5" Intel Core Ultra 5 135H 16GB 256GB W11 Pro</v>
      </c>
    </row>
    <row r="308" ht="15.75" customHeight="1">
      <c r="A308" s="1">
        <v>8008.0</v>
      </c>
      <c r="B308" s="1" t="s">
        <v>6</v>
      </c>
      <c r="C308" s="1" t="s">
        <v>310</v>
      </c>
      <c r="D308" s="1" t="str">
        <f>IFERROR(__xludf.DUMMYFUNCTION("CONCATENATE(GOOGLETRANSLATE(C308, ""en"", ""zh-cn""))"),"新的！微软 Surface 笔记本电脑 4 -2K 触摸屏 13.5 英寸锐龙 7 16GB/512GB-黑色")</f>
        <v>新的！微软 Surface 笔记本电脑 4 -2K 触摸屏 13.5 英寸锐龙 7 16GB/512GB-黑色</v>
      </c>
      <c r="E308" s="1" t="str">
        <f>IFERROR(__xludf.DUMMYFUNCTION("CONCATENATE(GOOGLETRANSLATE(C308, ""en"", ""ko""))"),"새로운! 마이크로소프트 서피스 랩톱 4 -2K 터치스크린 13.5인치 라이젠 7 16GB/512GB- 블랙")</f>
        <v>새로운! 마이크로소프트 서피스 랩톱 4 -2K 터치스크린 13.5인치 라이젠 7 16GB/512GB- 블랙</v>
      </c>
      <c r="F308" s="1" t="str">
        <f>IFERROR(__xludf.DUMMYFUNCTION("CONCATENATE(GOOGLETRANSLATE(C308, ""en"", ""ja""))"),"新しい！ Microsoft Surface Laptop 4 -2K タッチスクリーン 13.5 インチ Ryzen 7 16GB/512GB- ブラック")</f>
        <v>新しい！ Microsoft Surface Laptop 4 -2K タッチスクリーン 13.5 インチ Ryzen 7 16GB/512GB- ブラック</v>
      </c>
    </row>
    <row r="309" ht="15.75" customHeight="1">
      <c r="A309" s="1">
        <v>8014.0</v>
      </c>
      <c r="B309" s="1" t="s">
        <v>6</v>
      </c>
      <c r="C309" s="1" t="s">
        <v>311</v>
      </c>
      <c r="D309" s="1" t="str">
        <f>IFERROR(__xludf.DUMMYFUNCTION("CONCATENATE(GOOGLETRANSLATE(C309, ""en"", ""zh-cn""))"),"Lenovo V15 笔记本电脑，15.6 英寸 FHD 显示屏，AMD Ryzen 5 5500U 六核处理器（击败 Intel i7-1065G7），16GB RAM，512GB SSD，HDMI，RJ45，数字键盘，Wi-Fi，Windows 11 Pro，黑色")</f>
        <v>Lenovo V15 笔记本电脑，15.6 英寸 FHD 显示屏，AMD Ryzen 5 5500U 六核处理器（击败 Intel i7-1065G7），16GB RAM，512GB SSD，HDMI，RJ45，数字键盘，Wi-Fi，Windows 11 Pro，黑色</v>
      </c>
      <c r="E309" s="1" t="str">
        <f>IFERROR(__xludf.DUMMYFUNCTION("CONCATENATE(GOOGLETRANSLATE(C309, ""en"", ""ko""))"),"Lenovo V15 노트북, 15.6인치 FHD 디스플레이, AMD Ryzen 5 5500U 헥사코어 프로세서(Beat Intel i7-1065G7), 16GB RAM, 512GB SSD, HDMI, RJ45, 숫자 키패드, Wi-Fi, Windows 11 Pro, 블랙")</f>
        <v>Lenovo V15 노트북, 15.6인치 FHD 디스플레이, AMD Ryzen 5 5500U 헥사코어 프로세서(Beat Intel i7-1065G7), 16GB RAM, 512GB SSD, HDMI, RJ45, 숫자 키패드, Wi-Fi, Windows 11 Pro, 블랙</v>
      </c>
      <c r="F309" s="1" t="str">
        <f>IFERROR(__xludf.DUMMYFUNCTION("CONCATENATE(GOOGLETRANSLATE(C309, ""en"", ""ja""))"),"Lenovo V15 ラップトップ、15.6 インチ FHD ディスプレイ、AMD Ryzen 5 5500U ヘキサコア プロセッサー (Beat Intel i7-1065G7)、16GB RAM、512GB SSD、HDMI、RJ45、テンキー、Wi-Fi、Windows 11 Pro、ブラック")</f>
        <v>Lenovo V15 ラップトップ、15.6 インチ FHD ディスプレイ、AMD Ryzen 5 5500U ヘキサコア プロセッサー (Beat Intel i7-1065G7)、16GB RAM、512GB SSD、HDMI、RJ45、テンキー、Wi-Fi、Windows 11 Pro、ブラック</v>
      </c>
    </row>
    <row r="310" ht="15.75" customHeight="1">
      <c r="A310" s="1">
        <v>8019.0</v>
      </c>
      <c r="B310" s="1" t="s">
        <v>6</v>
      </c>
      <c r="C310" s="1" t="s">
        <v>312</v>
      </c>
      <c r="D310" s="1" t="str">
        <f>IFERROR(__xludf.DUMMYFUNCTION("CONCATENATE(GOOGLETRANSLATE(C310, ""en"", ""zh-cn""))"),"联想V15笔记本电脑| 32GB 内存 | 1TB PCIe 固态硬盘 |英特尔赛扬 N4500 处理器 |英特尔超高清显卡 | 15.6 英寸 FHD 1080p 防眩光显示屏 | 以太网端口 RJ-45 | Windows 11 Pro | WOWPC 恢复 USB")</f>
        <v>联想V15笔记本电脑| 32GB 内存 | 1TB PCIe 固态硬盘 |英特尔赛扬 N4500 处理器 |英特尔超高清显卡 | 15.6 英寸 FHD 1080p 防眩光显示屏 | 以太网端口 RJ-45 | Windows 11 Pro | WOWPC 恢复 USB</v>
      </c>
      <c r="E310" s="1" t="str">
        <f>IFERROR(__xludf.DUMMYFUNCTION("CONCATENATE(GOOGLETRANSLATE(C310, ""en"", ""ko""))"),"레노버 V15 노트북 | 32GB RAM | 1TB PCIe SSD | 인텔 셀러론 N4500 프로세서 | 인텔 UHD 그래픽 | 15.6인치 FHD 1080p 눈부심 방지 디스플레이 | 이더넷 포트 RJ-45 | Windows 11 Pro | WOWPC 복구 USB")</f>
        <v>레노버 V15 노트북 | 32GB RAM | 1TB PCIe SSD | 인텔 셀러론 N4500 프로세서 | 인텔 UHD 그래픽 | 15.6인치 FHD 1080p 눈부심 방지 디스플레이 | 이더넷 포트 RJ-45 | Windows 11 Pro | WOWPC 복구 USB</v>
      </c>
      <c r="F310" s="1" t="str">
        <f>IFERROR(__xludf.DUMMYFUNCTION("CONCATENATE(GOOGLETRANSLATE(C310, ""en"", ""ja""))"),"レノボ V15 ラップトップ | 32GB RAM | 1TB PCIe SSD |インテル Celeron N4500 プロセッサ |インテル UHD グラフィックス | 15.6 インチ FHD 1080p アンチグレア ディスプレイ | イーサネット ポート RJ-45 | Windows 11 Pro | WOWPC リカバリ USB")</f>
        <v>レノボ V15 ラップトップ | 32GB RAM | 1TB PCIe SSD |インテル Celeron N4500 プロセッサ |インテル UHD グラフィックス | 15.6 インチ FHD 1080p アンチグレア ディスプレイ | イーサネット ポート RJ-45 | Windows 11 Pro | WOWPC リカバリ USB</v>
      </c>
    </row>
    <row r="311" ht="15.75" customHeight="1">
      <c r="A311" s="1">
        <v>8045.0</v>
      </c>
      <c r="B311" s="1" t="s">
        <v>6</v>
      </c>
      <c r="C311" s="1" t="s">
        <v>313</v>
      </c>
      <c r="D311" s="1" t="str">
        <f>IFERROR(__xludf.DUMMYFUNCTION("CONCATENATE(GOOGLETRANSLATE(C311, ""en"", ""zh-cn""))"),"戴尔 Inspiron 笔记本电脑 | Windows 11 主页 | 15.6 FHD 防眩光显示屏 | AMD 锐龙 3 3250U | AMD Radeon 显卡 | 32GB 内存 | 4TB 固态硬盘 |网络摄像头+麦克风 |数字键盘")</f>
        <v>戴尔 Inspiron 笔记本电脑 | Windows 11 主页 | 15.6 FHD 防眩光显示屏 | AMD 锐龙 3 3250U | AMD Radeon 显卡 | 32GB 内存 | 4TB 固态硬盘 |网络摄像头+麦克风 |数字键盘</v>
      </c>
      <c r="E311" s="1" t="str">
        <f>IFERROR(__xludf.DUMMYFUNCTION("CONCATENATE(GOOGLETRANSLATE(C311, ""en"", ""ko""))"),"Dell Inspiron 노트북 | 윈도우 11 홈 | 15.6 FHD 눈부심 방지 디스플레이 | AMD 라이젠 3 3250U | AMD 라데온 그래픽 | 32GB RAM | 4TB SSD | 웹캠+마이크 | 숫자 키패드")</f>
        <v>Dell Inspiron 노트북 | 윈도우 11 홈 | 15.6 FHD 눈부심 방지 디스플레이 | AMD 라이젠 3 3250U | AMD 라데온 그래픽 | 32GB RAM | 4TB SSD | 웹캠+마이크 | 숫자 키패드</v>
      </c>
      <c r="F311" s="1" t="str">
        <f>IFERROR(__xludf.DUMMYFUNCTION("CONCATENATE(GOOGLETRANSLATE(C311, ""en"", ""ja""))"),"デル Inspiron ノートパソコン | Windows 11 ホーム | 15.6 FHD アンチグレア ディスプレイ | AMD Ryzen 3 3250U | AMD Radeon グラフィックス | 32GB RAM | 4TB SSD |ウェブカメラ+マイク |テンキーパッド")</f>
        <v>デル Inspiron ノートパソコン | Windows 11 ホーム | 15.6 FHD アンチグレア ディスプレイ | AMD Ryzen 3 3250U | AMD Radeon グラフィックス | 32GB RAM | 4TB SSD |ウェブカメラ+マイク |テンキーパッド</v>
      </c>
    </row>
    <row r="312" ht="15.75" customHeight="1">
      <c r="A312" s="1">
        <v>8050.0</v>
      </c>
      <c r="B312" s="1" t="s">
        <v>6</v>
      </c>
      <c r="C312" s="1" t="s">
        <v>314</v>
      </c>
      <c r="D312" s="1" t="str">
        <f>IFERROR(__xludf.DUMMYFUNCTION("CONCATENATE(GOOGLETRANSLATE(C312, ""en"", ""zh-cn""))"),"戴尔 Inspiron 灵越 16 5640 2024 商务笔记本电脑 16 英寸 WQXGA IPS 10 核 Intel 7 150U 64GB DDR5 1TB SSD NVIDIA GeForce MX570A 2GB GDDR6 Wi-Fi 6E 背光键盘 指纹 Win11 Pro")</f>
        <v>戴尔 Inspiron 灵越 16 5640 2024 商务笔记本电脑 16 英寸 WQXGA IPS 10 核 Intel 7 150U 64GB DDR5 1TB SSD NVIDIA GeForce MX570A 2GB GDDR6 Wi-Fi 6E 背光键盘 指纹 Win11 Pro</v>
      </c>
      <c r="E312" s="1" t="str">
        <f>IFERROR(__xludf.DUMMYFUNCTION("CONCATENATE(GOOGLETRANSLATE(C312, ""en"", ""ko""))"),"Dell Inspiron 16 5640 2024 비즈니스 노트북 16인치 WQXGA IPS 10코어 인텔 7 150U 64GB DDR5 1TB SSD NVIDIA GeForce MX570A 2GB GDDR6 Wi-Fi 6E 백라이트 키보드 지문 인식 Win11 Pro")</f>
        <v>Dell Inspiron 16 5640 2024 비즈니스 노트북 16인치 WQXGA IPS 10코어 인텔 7 150U 64GB DDR5 1TB SSD NVIDIA GeForce MX570A 2GB GDDR6 Wi-Fi 6E 백라이트 키보드 지문 인식 Win11 Pro</v>
      </c>
      <c r="F312" s="1" t="str">
        <f>IFERROR(__xludf.DUMMYFUNCTION("CONCATENATE(GOOGLETRANSLATE(C312, ""en"", ""ja""))"),"Dell Inspiron 16 5640 2024 ビジネス ノートパソコン 16 インチ WQXGA IPS 10 コア Intel 7 150U 64GB DDR5 1TB SSD NVIDIA GeForce MX570A 2GB GDDR6 Wi-Fi 6E バックライト付きキーボード 指紋認証 Win11 Pro")</f>
        <v>Dell Inspiron 16 5640 2024 ビジネス ノートパソコン 16 インチ WQXGA IPS 10 コア Intel 7 150U 64GB DDR5 1TB SSD NVIDIA GeForce MX570A 2GB GDDR6 Wi-Fi 6E バックライト付きキーボード 指紋認証 Win11 Pro</v>
      </c>
    </row>
    <row r="313" ht="15.75" customHeight="1">
      <c r="A313" s="1">
        <v>8065.0</v>
      </c>
      <c r="B313" s="1" t="s">
        <v>6</v>
      </c>
      <c r="C313" s="1" t="s">
        <v>315</v>
      </c>
      <c r="D313" s="1" t="str">
        <f>IFERROR(__xludf.DUMMYFUNCTION("CONCATENATE(GOOGLETRANSLATE(C313, ""en"", ""zh-cn""))"),"戴尔 Precision M5520 工作站笔记本电脑 FHD 1080P XEON E3-1505M v6 32GB RAM 1TB SSD Quadro M1200 4GB Win 10 Professional（续订）")</f>
        <v>戴尔 Precision M5520 工作站笔记本电脑 FHD 1080P XEON E3-1505M v6 32GB RAM 1TB SSD Quadro M1200 4GB Win 10 Professional（续订）</v>
      </c>
      <c r="E313" s="1" t="str">
        <f>IFERROR(__xludf.DUMMYFUNCTION("CONCATENATE(GOOGLETRANSLATE(C313, ""en"", ""ko""))"),"DELL Precision M5520 워크스테이션 노트북 FHD 1080P XEON E3-1505M v6 32GB RAM 1TB SSD Quadro M1200 4GB Win 10 Professional(리뉴얼)")</f>
        <v>DELL Precision M5520 워크스테이션 노트북 FHD 1080P XEON E3-1505M v6 32GB RAM 1TB SSD Quadro M1200 4GB Win 10 Professional(리뉴얼)</v>
      </c>
      <c r="F313" s="1" t="str">
        <f>IFERROR(__xludf.DUMMYFUNCTION("CONCATENATE(GOOGLETRANSLATE(C313, ""en"", ""ja""))"),"DELL Precision M5520 ワークステーション ラップトップ FHD 1080P XEON E3-1505M v6 32GB RAM 1TB SSD Quadro M1200 4GB Win 10 Professional (リニューアル)")</f>
        <v>DELL Precision M5520 ワークステーション ラップトップ FHD 1080P XEON E3-1505M v6 32GB RAM 1TB SSD Quadro M1200 4GB Win 10 Professional (リニューアル)</v>
      </c>
    </row>
    <row r="314" ht="15.75" customHeight="1">
      <c r="A314" s="1">
        <v>8066.0</v>
      </c>
      <c r="B314" s="1" t="s">
        <v>6</v>
      </c>
      <c r="C314" s="1" t="s">
        <v>316</v>
      </c>
      <c r="D314" s="1" t="str">
        <f>IFERROR(__xludf.DUMMYFUNCTION("CONCATENATE(GOOGLETRANSLATE(C314, ""en"", ""zh-cn""))"),"戴尔 2023 款笔记本电脑 |灵越 | 14 英寸 2240 x 1400 LED 背光 | 英特尔酷睿 i7-12700H 14 核 | 16GB DDR5 | 1TB SSD | Windows 11 Pro | Wi-Fi 6E - 蓝牙 5.1 - 背光 KB - 1080p 全高清摄像头 - 深绿色")</f>
        <v>戴尔 2023 款笔记本电脑 |灵越 | 14 英寸 2240 x 1400 LED 背光 | 英特尔酷睿 i7-12700H 14 核 | 16GB DDR5 | 1TB SSD | Windows 11 Pro | Wi-Fi 6E - 蓝牙 5.1 - 背光 KB - 1080p 全高清摄像头 - 深绿色</v>
      </c>
      <c r="E314" s="1" t="str">
        <f>IFERROR(__xludf.DUMMYFUNCTION("CONCATENATE(GOOGLETRANSLATE(C314, ""en"", ""ko""))"),"Dell 2023 노트북 | 인스피론 | 14인치 2240 x 1400 LED 백라이트 | Intel Core i7-12700H 14코어 | 16GB DDR5 | 1TB SSD | Windows 11 Pro | Wi-Fi 6E - Bluetooth 5.1 - 백라이트 KB - 1080p FHD 카메라 - 진한 녹색")</f>
        <v>Dell 2023 노트북 | 인스피론 | 14인치 2240 x 1400 LED 백라이트 | Intel Core i7-12700H 14코어 | 16GB DDR5 | 1TB SSD | Windows 11 Pro | Wi-Fi 6E - Bluetooth 5.1 - 백라이트 KB - 1080p FHD 카메라 - 진한 녹색</v>
      </c>
      <c r="F314" s="1" t="str">
        <f>IFERROR(__xludf.DUMMYFUNCTION("CONCATENATE(GOOGLETRANSLATE(C314, ""en"", ""ja""))"),"デル 2023 ノートパソコン |インスピロン | 14 インチ 2240 x 1400 LED バックライト付き | Intel Core i7-12700H 14 コア | 16GB DDR5 | 1TB SSD | Windows 11 Pro | Wi-Fi 6E - Bluetooth 5.1 - バックライト付き KB - 1080p FHD カメラ - ダークグリーン")</f>
        <v>デル 2023 ノートパソコン |インスピロン | 14 インチ 2240 x 1400 LED バックライト付き | Intel Core i7-12700H 14 コア | 16GB DDR5 | 1TB SSD | Windows 11 Pro | Wi-Fi 6E - Bluetooth 5.1 - バックライト付き KB - 1080p FHD カメラ - ダークグリーン</v>
      </c>
    </row>
    <row r="315" ht="15.75" customHeight="1">
      <c r="A315" s="1">
        <v>8073.0</v>
      </c>
      <c r="B315" s="1" t="s">
        <v>6</v>
      </c>
      <c r="C315" s="1" t="s">
        <v>317</v>
      </c>
      <c r="D315" s="1" t="str">
        <f>IFERROR(__xludf.DUMMYFUNCTION("CONCATENATE(GOOGLETRANSLATE(C315, ""en"", ""zh-cn""))"),"华硕 Vivobook 15 F1504VAP 商务笔记本电脑 2024 年，15.6 英寸 FHD IPS，Intel 7 150U 10 核，英特尔显卡，16GB DDR4 1TB SSD，背光键盘，Wi-Fi 6，Win11 Home，COU 32GB USB")</f>
        <v>华硕 Vivobook 15 F1504VAP 商务笔记本电脑 2024 年，15.6 英寸 FHD IPS，Intel 7 150U 10 核，英特尔显卡，16GB DDR4 1TB SSD，背光键盘，Wi-Fi 6，Win11 Home，COU 32GB USB</v>
      </c>
      <c r="E315" s="1" t="str">
        <f>IFERROR(__xludf.DUMMYFUNCTION("CONCATENATE(GOOGLETRANSLATE(C315, ""en"", ""ko""))"),"ASUS Vivobook 15 F1504VAP 비즈니스 노트북 2024, 15.6인치 FHD IPS, Intel 7 150U 10코어, Intel 그래픽, 16GB DDR4 1TB SSD, 백라이트 키보드, Wi-Fi 6, Win11 Home, COU 32GB USB")</f>
        <v>ASUS Vivobook 15 F1504VAP 비즈니스 노트북 2024, 15.6인치 FHD IPS, Intel 7 150U 10코어, Intel 그래픽, 16GB DDR4 1TB SSD, 백라이트 키보드, Wi-Fi 6, Win11 Home, COU 32GB USB</v>
      </c>
      <c r="F315" s="1" t="str">
        <f>IFERROR(__xludf.DUMMYFUNCTION("CONCATENATE(GOOGLETRANSLATE(C315, ""en"", ""ja""))"),"ASUS Vivobook 15 F1504VAP ビジネス ラップトップ 2024、15.6 インチ FHD IPS、Intel 7 150U 10 コア、Intel グラフィックス、16GB DDR4 1TB SSD、バックライト付きキーボード、Wi-Fi 6、Win11 Home、COU 32GB USB")</f>
        <v>ASUS Vivobook 15 F1504VAP ビジネス ラップトップ 2024、15.6 インチ FHD IPS、Intel 7 150U 10 コア、Intel グラフィックス、16GB DDR4 1TB SSD、バックライト付きキーボード、Wi-Fi 6、Win11 Home、COU 32GB USB</v>
      </c>
    </row>
    <row r="316" ht="15.75" customHeight="1">
      <c r="A316" s="1">
        <v>8086.0</v>
      </c>
      <c r="B316" s="1" t="s">
        <v>6</v>
      </c>
      <c r="C316" s="1" t="s">
        <v>318</v>
      </c>
      <c r="D316" s="1" t="str">
        <f>IFERROR(__xludf.DUMMYFUNCTION("CONCATENATE(GOOGLETRANSLATE(C316, ""en"", ""zh-cn""))"),"华硕 TUF 16 英寸 165Hz WUXGA (1920x1200) IPS 游戏笔记本电脑 2024 新款 | AMD Ryzen 7 7735HS 8 核 | AMD Radeon RX 7700S | 背光键盘 | Wi-Fi 6 | 64GB DDR5 2TB SSD | Win10 主页")</f>
        <v>华硕 TUF 16 英寸 165Hz WUXGA (1920x1200) IPS 游戏笔记本电脑 2024 新款 | AMD Ryzen 7 7735HS 8 核 | AMD Radeon RX 7700S | 背光键盘 | Wi-Fi 6 | 64GB DDR5 2TB SSD | Win10 主页</v>
      </c>
      <c r="E316" s="1" t="str">
        <f>IFERROR(__xludf.DUMMYFUNCTION("CONCATENATE(GOOGLETRANSLATE(C316, ""en"", ""ko""))"),"ASUS TUF 16인치 165Hz WUXGA(1920x1200) IPS 게이밍 노트북 2024 신제품 | AMD Ryzen 7 7735HS 8코어 | AMD Radeon RX 7700S | 백라이트 키보드 | Wi-Fi 6 | 64GB DDR5 2TB SSD | Win10 홈")</f>
        <v>ASUS TUF 16인치 165Hz WUXGA(1920x1200) IPS 게이밍 노트북 2024 신제품 | AMD Ryzen 7 7735HS 8코어 | AMD Radeon RX 7700S | 백라이트 키보드 | Wi-Fi 6 | 64GB DDR5 2TB SSD | Win10 홈</v>
      </c>
      <c r="F316" s="1" t="str">
        <f>IFERROR(__xludf.DUMMYFUNCTION("CONCATENATE(GOOGLETRANSLATE(C316, ""en"", ""ja""))"),"ASUS TUF 16インチ 165Hz WUXGA (1920x1200) IPS ゲーミング ラップトップ 2024 New | AMD Ryzen 7 7735HS 8 コア | AMD Radeon RX 7700S | バックライト付きキーボード | Wi-Fi 6 | 64GB DDR5 2TB SSD | Win10 ホーム")</f>
        <v>ASUS TUF 16インチ 165Hz WUXGA (1920x1200) IPS ゲーミング ラップトップ 2024 New | AMD Ryzen 7 7735HS 8 コア | AMD Radeon RX 7700S | バックライト付きキーボード | Wi-Fi 6 | 64GB DDR5 2TB SSD | Win10 ホーム</v>
      </c>
    </row>
    <row r="317" ht="15.75" customHeight="1">
      <c r="A317" s="1">
        <v>8112.0</v>
      </c>
      <c r="B317" s="1" t="s">
        <v>6</v>
      </c>
      <c r="C317" s="1" t="s">
        <v>319</v>
      </c>
      <c r="D317" s="1" t="str">
        <f>IFERROR(__xludf.DUMMYFUNCTION("CONCATENATE(GOOGLETRANSLATE(C317, ""en"", ""zh-cn""))"),"Apple MacBook 12 英寸笔记本电脑，8 GB RAM，512 GB SSD，英特尔高清显卡 5300，灰色 (MJY42LL/A)")</f>
        <v>Apple MacBook 12 英寸笔记本电脑，8 GB RAM，512 GB SSD，英特尔高清显卡 5300，灰色 (MJY42LL/A)</v>
      </c>
      <c r="E317" s="1" t="str">
        <f>IFERROR(__xludf.DUMMYFUNCTION("CONCATENATE(GOOGLETRANSLATE(C317, ""en"", ""ko""))"),"Apple MacBook 12인치 노트북, 8GB RAM, 512GB SSD, Intel HD 그래픽 5300, 그레이 (MJY42LL/A)")</f>
        <v>Apple MacBook 12인치 노트북, 8GB RAM, 512GB SSD, Intel HD 그래픽 5300, 그레이 (MJY42LL/A)</v>
      </c>
      <c r="F317" s="1" t="str">
        <f>IFERROR(__xludf.DUMMYFUNCTION("CONCATENATE(GOOGLETRANSLATE(C317, ""en"", ""ja""))"),"Apple MacBook 12 インチ ノートブック、8 GB RAM、512 GB SSD、Intel HD グラフィックス 5300、グレー (MJY42LL/A)")</f>
        <v>Apple MacBook 12 インチ ノートブック、8 GB RAM、512 GB SSD、Intel HD グラフィックス 5300、グレー (MJY42LL/A)</v>
      </c>
    </row>
    <row r="318" ht="15.75" customHeight="1">
      <c r="A318" s="1">
        <v>8128.0</v>
      </c>
      <c r="B318" s="1" t="s">
        <v>6</v>
      </c>
      <c r="C318" s="1" t="s">
        <v>320</v>
      </c>
      <c r="D318" s="1" t="str">
        <f>IFERROR(__xludf.DUMMYFUNCTION("CONCATENATE(GOOGLETRANSLATE(C318, ""en"", ""zh-cn""))"),"采用 M2 芯片的 Apple 2022 MacBook Air 笔记本电脑：专为 Apple Intelligence 打造、13.6 英寸 Liquid Retina 显示屏、8GB RAM、256GB SSD 存储、背光键盘、1080p FaceTime 高清摄像头；银")</f>
        <v>采用 M2 芯片的 Apple 2022 MacBook Air 笔记本电脑：专为 Apple Intelligence 打造、13.6 英寸 Liquid Retina 显示屏、8GB RAM、256GB SSD 存储、背光键盘、1080p FaceTime 高清摄像头；银</v>
      </c>
      <c r="E318" s="1" t="str">
        <f>IFERROR(__xludf.DUMMYFUNCTION("CONCATENATE(GOOGLETRANSLATE(C318, ""en"", ""ko""))"),"M2 칩이 탑재된 Apple 2022 MacBook Air 노트북: Apple Intelligence용으로 제작, 13.6인치 Liquid Retina 디스플레이, 8GB RAM, 256GB SSD 스토리지, 백라이트 키보드, 1080p FaceTime HD 카메라; 은")</f>
        <v>M2 칩이 탑재된 Apple 2022 MacBook Air 노트북: Apple Intelligence용으로 제작, 13.6인치 Liquid Retina 디스플레이, 8GB RAM, 256GB SSD 스토리지, 백라이트 키보드, 1080p FaceTime HD 카메라; 은</v>
      </c>
      <c r="F318" s="1" t="str">
        <f>IFERROR(__xludf.DUMMYFUNCTION("CONCATENATE(GOOGLETRANSLATE(C318, ""en"", ""ja""))"),"M2 チップ搭載 Apple 2022 MacBook Air ラップトップ: Apple Intelligence 向けに構築、13.6 インチ Liquid Retina ディスプレイ、8GB RAM、256GB SSD ストレージ、バックライト付きキーボード、1080p FaceTime HD カメラ。銀")</f>
        <v>M2 チップ搭載 Apple 2022 MacBook Air ラップトップ: Apple Intelligence 向けに構築、13.6 インチ Liquid Retina ディスプレイ、8GB RAM、256GB SSD ストレージ、バックライト付きキーボード、1080p FaceTime HD カメラ。銀</v>
      </c>
    </row>
    <row r="319" ht="15.75" customHeight="1">
      <c r="A319" s="1">
        <v>7765.0</v>
      </c>
      <c r="B319" s="1" t="s">
        <v>6</v>
      </c>
      <c r="C319" s="1" t="s">
        <v>321</v>
      </c>
      <c r="D319" s="1" t="str">
        <f>IFERROR(__xludf.DUMMYFUNCTION("CONCATENATE(GOOGLETRANSLATE(C319, ""en"", ""zh-cn""))"),"佳能 PIXMA TR4720 一体式无线打印机，家用，带自动文档进纸器，移动打印和内置传真，黑色")</f>
        <v>佳能 PIXMA TR4720 一体式无线打印机，家用，带自动文档进纸器，移动打印和内置传真，黑色</v>
      </c>
      <c r="E319" s="1" t="str">
        <f>IFERROR(__xludf.DUMMYFUNCTION("CONCATENATE(GOOGLETRANSLATE(C319, ""en"", ""ko""))"),"Canon PIXMA TR4720 올인원 무선 프린터, 가정용 자동 문서 공급 장치, 모바일 인쇄 및 내장 팩스, 검정색")</f>
        <v>Canon PIXMA TR4720 올인원 무선 프린터, 가정용 자동 문서 공급 장치, 모바일 인쇄 및 내장 팩스, 검정색</v>
      </c>
      <c r="F319" s="1" t="str">
        <f>IFERROR(__xludf.DUMMYFUNCTION("CONCATENATE(GOOGLETRANSLATE(C319, ""en"", ""ja""))"),"Canon PIXUS TR4720 オールインワン ワイヤレス プリンター、家庭用、自動ドキュメント フィーダー、モバイル印刷、内蔵 FAX 付き、ブラック")</f>
        <v>Canon PIXUS TR4720 オールインワン ワイヤレス プリンター、家庭用、自動ドキュメント フィーダー、モバイル印刷、内蔵 FAX 付き、ブラック</v>
      </c>
    </row>
    <row r="320" ht="15.75" customHeight="1">
      <c r="A320" s="1">
        <v>7766.0</v>
      </c>
      <c r="B320" s="1" t="s">
        <v>6</v>
      </c>
      <c r="C320" s="1" t="s">
        <v>322</v>
      </c>
      <c r="D320" s="1" t="str">
        <f>IFERROR(__xludf.DUMMYFUNCTION("CONCATENATE(GOOGLETRANSLATE(C320, ""en"", ""zh-cn""))"),"佳能 PIXMA TR150 无线便携式打印机")</f>
        <v>佳能 PIXMA TR150 无线便携式打印机</v>
      </c>
      <c r="E320" s="1" t="str">
        <f>IFERROR(__xludf.DUMMYFUNCTION("CONCATENATE(GOOGLETRANSLATE(C320, ""en"", ""ko""))"),"Canon PIXMA TR150 무선 휴대용 프린터")</f>
        <v>Canon PIXMA TR150 무선 휴대용 프린터</v>
      </c>
      <c r="F320" s="1" t="str">
        <f>IFERROR(__xludf.DUMMYFUNCTION("CONCATENATE(GOOGLETRANSLATE(C320, ""en"", ""ja""))"),"Canon PIXUS TR150 ワイヤレスポータブルプリンター")</f>
        <v>Canon PIXUS TR150 ワイヤレスポータブルプリンター</v>
      </c>
    </row>
    <row r="321" ht="15.75" customHeight="1">
      <c r="A321" s="1">
        <v>7809.0</v>
      </c>
      <c r="B321" s="1" t="s">
        <v>6</v>
      </c>
      <c r="C321" s="1" t="s">
        <v>323</v>
      </c>
      <c r="D321" s="1" t="str">
        <f>IFERROR(__xludf.DUMMYFUNCTION("CONCATENATE(GOOGLETRANSLATE(C321, ""en"", ""zh-cn""))"),"原装 HP 962 青色、品红色、黄色/962XL 黑色墨盒（4 件装）|适用于 HP OfficeJet 9010 系列、HP OfficeJet Pro 9010、9020 系列")</f>
        <v>原装 HP 962 青色、品红色、黄色/962XL 黑色墨盒（4 件装）|适用于 HP OfficeJet 9010 系列、HP OfficeJet Pro 9010、9020 系列</v>
      </c>
      <c r="E321" s="1" t="str">
        <f>IFERROR(__xludf.DUMMYFUNCTION("CONCATENATE(GOOGLETRANSLATE(C321, ""en"", ""ko""))"),"정품 HP 962 시안, 마젠타, 노랑/962XL 검정 잉크 카트리지(4팩) | HP OfficeJet 9010 시리즈, HP OfficeJet Pro 9010, 9020 시리즈와 함께 작동")</f>
        <v>정품 HP 962 시안, 마젠타, 노랑/962XL 검정 잉크 카트리지(4팩) | HP OfficeJet 9010 시리즈, HP OfficeJet Pro 9010, 9020 시리즈와 함께 작동</v>
      </c>
      <c r="F321" s="1" t="str">
        <f>IFERROR(__xludf.DUMMYFUNCTION("CONCATENATE(GOOGLETRANSLATE(C321, ""en"", ""ja""))"),"オリジナル HP 962 シアン、マゼンタ、イエロー / 962XL ブラック インク カートリッジ (4 パック) | HP OfficeJet 9010 シリーズ、HP OfficeJet Pro 9010、9020 シリーズで動作")</f>
        <v>オリジナル HP 962 シアン、マゼンタ、イエロー / 962XL ブラック インク カートリッジ (4 パック) | HP OfficeJet 9010 シリーズ、HP OfficeJet Pro 9010、9020 シリーズで動作</v>
      </c>
    </row>
    <row r="322" ht="15.75" customHeight="1">
      <c r="A322" s="1">
        <v>7852.0</v>
      </c>
      <c r="B322" s="1" t="s">
        <v>6</v>
      </c>
      <c r="C322" s="1" t="s">
        <v>324</v>
      </c>
      <c r="D322" s="1" t="str">
        <f>IFERROR(__xludf.DUMMYFUNCTION("CONCATENATE(GOOGLETRANSLATE(C322, ""en"", ""zh-cn""))"),"Brother 正品标准容量碳粉盒四件装 TN223 4PK - 包括黑色、青色、品红色和黄色碳粉盒各一个，标准容量，型号：TN2234PK")</f>
        <v>Brother 正品标准容量碳粉盒四件装 TN223 4PK - 包括黑色、青色、品红色和黄色碳粉盒各一个，标准容量，型号：TN2234PK</v>
      </c>
      <c r="E322" s="1" t="str">
        <f>IFERROR(__xludf.DUMMYFUNCTION("CONCATENATE(GOOGLETRANSLATE(C322, ""en"", ""ko""))"),"브라더 정품 표준 용량 토너 카트리지 4팩 TN223 4PK - 검정색, 청록색, 마젠타색 및 노란색 토너 각 카트리지 1개 포함, 표준 용량, 모델: TN2234PK")</f>
        <v>브라더 정품 표준 용량 토너 카트리지 4팩 TN223 4PK - 검정색, 청록색, 마젠타색 및 노란색 토너 각 카트리지 1개 포함, 표준 용량, 모델: TN2234PK</v>
      </c>
      <c r="F322" s="1" t="str">
        <f>IFERROR(__xludf.DUMMYFUNCTION("CONCATENATE(GOOGLETRANSLATE(C322, ""en"", ""ja""))"),"Brother 純正標準収量トナー カートリッジ 4 個パック TN223 4PK - ブラック、シアン、マゼンタ、イエロー トナーの各 1 つのカートリッジが含まれます、標準収量、モデル: TN2234PK")</f>
        <v>Brother 純正標準収量トナー カートリッジ 4 個パック TN223 4PK - ブラック、シアン、マゼンタ、イエロー トナーの各 1 つのカートリッジが含まれます、標準収量、モデル: TN2234PK</v>
      </c>
    </row>
    <row r="323" ht="15.75" customHeight="1">
      <c r="A323" s="1">
        <v>7945.0</v>
      </c>
      <c r="B323" s="1" t="s">
        <v>6</v>
      </c>
      <c r="C323" s="1" t="s">
        <v>325</v>
      </c>
      <c r="D323" s="1" t="str">
        <f>IFERROR(__xludf.DUMMYFUNCTION("CONCATENATE(GOOGLETRANSLATE(C323, ""en"", ""zh-cn""))"),"微星 2023 游戏笔记本电脑 |剑-A12VE | Intel-10 酷睿 i7-12650H | NVIDIA GeForce RTX 4050 6GB | 显卡16GB DDR5 | 16GB DDR5 2TB 固态硬盘 | 15.6 英寸 1920 x 1080 144Hz | Win10 主页 - Wi-Fi 6 - 背光键盘 - 白色")</f>
        <v>微星 2023 游戏笔记本电脑 |剑-A12VE | Intel-10 酷睿 i7-12650H | NVIDIA GeForce RTX 4050 6GB | 显卡16GB DDR5 | 16GB DDR5 2TB 固态硬盘 | 15.6 英寸 1920 x 1080 144Hz | Win10 主页 - Wi-Fi 6 - 背光键盘 - 白色</v>
      </c>
      <c r="E323" s="1" t="str">
        <f>IFERROR(__xludf.DUMMYFUNCTION("CONCATENATE(GOOGLETRANSLATE(C323, ""en"", ""ko""))"),"MSI 2023 게이밍 노트북 | 검-A12VE | 인텔-10 코어 i7-12650H | 엔비디아 지포스 RTX 4050 6GB | 16GB DDR5 | 2TB SSD | 15.6인치 1920 x 1080 144Hz | Win10 Home - Wi-Fi 6 - 백라이트 키보드 - 화이트")</f>
        <v>MSI 2023 게이밍 노트북 | 검-A12VE | 인텔-10 코어 i7-12650H | 엔비디아 지포스 RTX 4050 6GB | 16GB DDR5 | 2TB SSD | 15.6인치 1920 x 1080 144Hz | Win10 Home - Wi-Fi 6 - 백라이트 키보드 - 화이트</v>
      </c>
      <c r="F323" s="1" t="str">
        <f>IFERROR(__xludf.DUMMYFUNCTION("CONCATENATE(GOOGLETRANSLATE(C323, ""en"", ""ja""))"),"MSI 2023 ゲーミング ノートパソコン |ソード-A12VE |インテル-10 コア i7-12650H | NVIDIA GeForce RTX 4050 6GB | 16GB DDR5 | 2TB SSD | 15.6 インチ 1920 x 1080 144Hz | Win10 Home - Wi-Fi 6 - バックライト付きキーボード - ホワイト")</f>
        <v>MSI 2023 ゲーミング ノートパソコン |ソード-A12VE |インテル-10 コア i7-12650H | NVIDIA GeForce RTX 4050 6GB | 16GB DDR5 | 2TB SSD | 15.6 インチ 1920 x 1080 144Hz | Win10 Home - Wi-Fi 6 - バックライト付きキーボード - ホワイト</v>
      </c>
    </row>
    <row r="324" ht="15.75" customHeight="1">
      <c r="A324" s="1">
        <v>7950.0</v>
      </c>
      <c r="B324" s="1" t="s">
        <v>6</v>
      </c>
      <c r="C324" s="1" t="s">
        <v>326</v>
      </c>
      <c r="D324" s="1" t="str">
        <f>IFERROR(__xludf.DUMMYFUNCTION("CONCATENATE(GOOGLETRANSLATE(C324, ""en"", ""zh-cn""))"),"微星 2023 游戏笔记本电脑薄型 GF63 12VE |英特尔酷睿 i7-12650H 10 核 | NVIDIA GeForce RTX 4050 6GB | 显卡48GB DDR4 | 48GB DDR4 1TB 固态硬盘 | 15.6 英寸 1920 x 1080 144 Hz | Win10 Pro - 背光键盘 - 黑色")</f>
        <v>微星 2023 游戏笔记本电脑薄型 GF63 12VE |英特尔酷睿 i7-12650H 10 核 | NVIDIA GeForce RTX 4050 6GB | 显卡48GB DDR4 | 48GB DDR4 1TB 固态硬盘 | 15.6 英寸 1920 x 1080 144 Hz | Win10 Pro - 背光键盘 - 黑色</v>
      </c>
      <c r="E324" s="1" t="str">
        <f>IFERROR(__xludf.DUMMYFUNCTION("CONCATENATE(GOOGLETRANSLATE(C324, ""en"", ""ko""))"),"MSI 2023 게이밍 노트북 Thin GF63 12VE | 인텔 코어 i7-12650H 10코어 | 엔비디아 지포스 RTX 4050 6GB | 48GB DDR4 | 1TB SSD | 15.6인치 1920 x 1080 144Hz | Win10 Pro - 백라이트 키보드 - 블랙")</f>
        <v>MSI 2023 게이밍 노트북 Thin GF63 12VE | 인텔 코어 i7-12650H 10코어 | 엔비디아 지포스 RTX 4050 6GB | 48GB DDR4 | 1TB SSD | 15.6인치 1920 x 1080 144Hz | Win10 Pro - 백라이트 키보드 - 블랙</v>
      </c>
      <c r="F324" s="1" t="str">
        <f>IFERROR(__xludf.DUMMYFUNCTION("CONCATENATE(GOOGLETRANSLATE(C324, ""en"", ""ja""))"),"MSI 2023 ゲーミング ノートパソコン 薄型 GF63 12VE |インテル Core i7-12650H 10 コア | NVIDIA GeForce RTX 4050 6GB | 48GB DDR4 | 1TB SSD | 15.6 インチ 1920 x 1080 144 Hz | Win10 Pro - バックライト付きキーボード - ブラック")</f>
        <v>MSI 2023 ゲーミング ノートパソコン 薄型 GF63 12VE |インテル Core i7-12650H 10 コア | NVIDIA GeForce RTX 4050 6GB | 48GB DDR4 | 1TB SSD | 15.6 インチ 1920 x 1080 144 Hz | Win10 Pro - バックライト付きキーボード - ブラック</v>
      </c>
    </row>
    <row r="325" ht="15.75" customHeight="1">
      <c r="A325" s="1">
        <v>7964.0</v>
      </c>
      <c r="B325" s="1" t="s">
        <v>6</v>
      </c>
      <c r="C325" s="1" t="s">
        <v>327</v>
      </c>
      <c r="D325" s="1" t="str">
        <f>IFERROR(__xludf.DUMMYFUNCTION("CONCATENATE(GOOGLETRANSLATE(C325, ""en"", ""zh-cn""))"),"Microsoft Surface 笔记本电脑 5 13.5 英寸，英特尔 i5，8GB RAM，512GB SSD - R1V-00005")</f>
        <v>Microsoft Surface 笔记本电脑 5 13.5 英寸，英特尔 i5，8GB RAM，512GB SSD - R1V-00005</v>
      </c>
      <c r="E325" s="1" t="str">
        <f>IFERROR(__xludf.DUMMYFUNCTION("CONCATENATE(GOOGLETRANSLATE(C325, ""en"", ""ko""))"),"마이크로소프트 서피스 랩탑 5 13.5인치, 인텔 i5, 8GB RAM, 512GB SSD - R1V-00005")</f>
        <v>마이크로소프트 서피스 랩탑 5 13.5인치, 인텔 i5, 8GB RAM, 512GB SSD - R1V-00005</v>
      </c>
      <c r="F325" s="1" t="str">
        <f>IFERROR(__xludf.DUMMYFUNCTION("CONCATENATE(GOOGLETRANSLATE(C325, ""en"", ""ja""))"),"Microsoft Surface Laptop 5 13.5 インチ、Intel i5、8GB RAM、512GB SSD - R1V-00005")</f>
        <v>Microsoft Surface Laptop 5 13.5 インチ、Intel i5、8GB RAM、512GB SSD - R1V-00005</v>
      </c>
    </row>
    <row r="326" ht="15.75" customHeight="1">
      <c r="A326" s="1">
        <v>7965.0</v>
      </c>
      <c r="B326" s="1" t="s">
        <v>6</v>
      </c>
      <c r="C326" s="1" t="s">
        <v>328</v>
      </c>
      <c r="D326" s="1" t="str">
        <f>IFERROR(__xludf.DUMMYFUNCTION("CONCATENATE(GOOGLETRANSLATE(C326, ""en"", ""zh-cn""))"),"微软 Surface 笔记本电脑 7 13 Copilot+ 3.4 GHz Snapdragon X Plus 16GB 512GB 全新")</f>
        <v>微软 Surface 笔记本电脑 7 13 Copilot+ 3.4 GHz Snapdragon X Plus 16GB 512GB 全新</v>
      </c>
      <c r="E326" s="1" t="str">
        <f>IFERROR(__xludf.DUMMYFUNCTION("CONCATENATE(GOOGLETRANSLATE(C326, ""en"", ""ko""))"),"마이크로소프트 서피스 노트북 7 13 코파일럿+ 3.4 GHz 스냅드래곤 X 플러스 16GB 512GB 새 상품")</f>
        <v>마이크로소프트 서피스 노트북 7 13 코파일럿+ 3.4 GHz 스냅드래곤 X 플러스 16GB 512GB 새 상품</v>
      </c>
      <c r="F326" s="1" t="str">
        <f>IFERROR(__xludf.DUMMYFUNCTION("CONCATENATE(GOOGLETRANSLATE(C326, ""en"", ""ja""))"),"Microsoft Surface Laptop 7 13 Copilot+ 3.4 GHz Snapdragon X Plus 16GB 512GB 新品")</f>
        <v>Microsoft Surface Laptop 7 13 Copilot+ 3.4 GHz Snapdragon X Plus 16GB 512GB 新品</v>
      </c>
    </row>
    <row r="327" ht="15.75" customHeight="1">
      <c r="A327" s="1">
        <v>7967.0</v>
      </c>
      <c r="B327" s="1" t="s">
        <v>6</v>
      </c>
      <c r="C327" s="1" t="s">
        <v>329</v>
      </c>
      <c r="D327" s="1" t="str">
        <f>IFERROR(__xludf.DUMMYFUNCTION("CONCATENATE(GOOGLETRANSLATE(C327, ""en"", ""zh-cn""))"),"微软 Surface 笔记本电脑 7 Copilot+ 15 英寸 2K 触控 Snapdragon X Elite 16GB 256GB")</f>
        <v>微软 Surface 笔记本电脑 7 Copilot+ 15 英寸 2K 触控 Snapdragon X Elite 16GB 256GB</v>
      </c>
      <c r="E327" s="1" t="str">
        <f>IFERROR(__xludf.DUMMYFUNCTION("CONCATENATE(GOOGLETRANSLATE(C327, ""en"", ""ko""))"),"마이크로소프트 서피스 노트북 7 코파일럿+ 15인치 2K 터치 스냅드래곤 X 엘리트 16GB 256GB")</f>
        <v>마이크로소프트 서피스 노트북 7 코파일럿+ 15인치 2K 터치 스냅드래곤 X 엘리트 16GB 256GB</v>
      </c>
      <c r="F327" s="1" t="str">
        <f>IFERROR(__xludf.DUMMYFUNCTION("CONCATENATE(GOOGLETRANSLATE(C327, ""en"", ""ja""))"),"Microsoft Surface Laptop 7 Copilot+ 15"" 2K TOUCH Snapdragon X Elite 16GB 256GB")</f>
        <v>Microsoft Surface Laptop 7 Copilot+ 15" 2K TOUCH Snapdragon X Elite 16GB 256GB</v>
      </c>
    </row>
    <row r="328" ht="15.75" customHeight="1">
      <c r="A328" s="1">
        <v>8000.0</v>
      </c>
      <c r="B328" s="1" t="s">
        <v>6</v>
      </c>
      <c r="C328" s="1" t="s">
        <v>188</v>
      </c>
      <c r="D328" s="1" t="str">
        <f>IFERROR(__xludf.DUMMYFUNCTION("CONCATENATE(GOOGLETRANSLATE(C328, ""en"", ""zh-cn""))"),"新上市")</f>
        <v>新上市</v>
      </c>
      <c r="E328" s="1" t="str">
        <f>IFERROR(__xludf.DUMMYFUNCTION("CONCATENATE(GOOGLETRANSLATE(C328, ""en"", ""ko""))"),"새 목록")</f>
        <v>새 목록</v>
      </c>
      <c r="F328" s="1" t="str">
        <f>IFERROR(__xludf.DUMMYFUNCTION("CONCATENATE(GOOGLETRANSLATE(C328, ""en"", ""ja""))"),"新規上場")</f>
        <v>新規上場</v>
      </c>
    </row>
    <row r="329" ht="15.75" customHeight="1">
      <c r="A329" s="1">
        <v>8011.0</v>
      </c>
      <c r="B329" s="1" t="s">
        <v>6</v>
      </c>
      <c r="C329" s="1" t="s">
        <v>330</v>
      </c>
      <c r="D329" s="1" t="str">
        <f>IFERROR(__xludf.DUMMYFUNCTION("CONCATENATE(GOOGLETRANSLATE(C329, ""en"", ""zh-cn""))"),"Lenovo V15 Gen 4（15.6 英寸 FHD 防眩光，第 13 个英特尔酷睿 i5-13420H（Beat i7-1255U），16GB RAM，512GB SSD）适用于商用、家用、军用级、以太网、网络摄像头、IST Hub、Win 11 Pro 带 AI Copilot，黑色")</f>
        <v>Lenovo V15 Gen 4（15.6 英寸 FHD 防眩光，第 13 个英特尔酷睿 i5-13420H（Beat i7-1255U），16GB RAM，512GB SSD）适用于商用、家用、军用级、以太网、网络摄像头、IST Hub、Win 11 Pro 带 AI Copilot，黑色</v>
      </c>
      <c r="E329" s="1" t="str">
        <f>IFERROR(__xludf.DUMMYFUNCTION("CONCATENATE(GOOGLETRANSLATE(C329, ""en"", ""ko""))"),"Lenovo V15 Gen 4(15.6인치 FHD 눈부심 방지, 13세대 Intel Core i5-13420H(Beat i7-1255U), 16GB RAM, 512GB SSD) 비즈니스, 홈, 군용 등급, 이더넷, 웹캠, IST 허브, Win 11 Pro(AI 부조종사 포함), 블랙")</f>
        <v>Lenovo V15 Gen 4(15.6인치 FHD 눈부심 방지, 13세대 Intel Core i5-13420H(Beat i7-1255U), 16GB RAM, 512GB SSD) 비즈니스, 홈, 군용 등급, 이더넷, 웹캠, IST 허브, Win 11 Pro(AI 부조종사 포함), 블랙</v>
      </c>
      <c r="F329" s="1" t="str">
        <f>IFERROR(__xludf.DUMMYFUNCTION("CONCATENATE(GOOGLETRANSLATE(C329, ""en"", ""ja""))"),"Lenovo V15 Gen 4 (15.6 インチ FHD アンチグレア、第 13 世代インテル Core i5-13420H (Beat i7-1255U)、16GB RAM、512GB SSD) ビジネス、ホーム、軍用グレード、イーサネット、ウェブカメラ、IST ハブ、Win 11 Pro w/AI Copilot、ブラック")</f>
        <v>Lenovo V15 Gen 4 (15.6 インチ FHD アンチグレア、第 13 世代インテル Core i5-13420H (Beat i7-1255U)、16GB RAM、512GB SSD) ビジネス、ホーム、軍用グレード、イーサネット、ウェブカメラ、IST ハブ、Win 11 Pro w/AI Copilot、ブラック</v>
      </c>
    </row>
    <row r="330" ht="15.75" customHeight="1">
      <c r="A330" s="1">
        <v>8017.0</v>
      </c>
      <c r="B330" s="1" t="s">
        <v>6</v>
      </c>
      <c r="C330" s="1" t="s">
        <v>331</v>
      </c>
      <c r="D330" s="1" t="str">
        <f>IFERROR(__xludf.DUMMYFUNCTION("CONCATENATE(GOOGLETRANSLATE(C330, ""en"", ""zh-cn""))"),"联想 V15 商务笔记本电脑，15.6 英寸 FHD 防眩光显示屏，英特尔赛扬 N4500 处理器，32GB RAM，512GB SSD，Wi-Fi，以太网，USB-C，HDMI，网络摄像头，Windows 11 Pro")</f>
        <v>联想 V15 商务笔记本电脑，15.6 英寸 FHD 防眩光显示屏，英特尔赛扬 N4500 处理器，32GB RAM，512GB SSD，Wi-Fi，以太网，USB-C，HDMI，网络摄像头，Windows 11 Pro</v>
      </c>
      <c r="E330" s="1" t="str">
        <f>IFERROR(__xludf.DUMMYFUNCTION("CONCATENATE(GOOGLETRANSLATE(C330, ""en"", ""ko""))"),"Lenovo V15 비즈니스 노트북, 15.6인치 FHD 눈부심 방지 디스플레이, Intel Celeron N4500 프로세서, 32GB RAM, 512GB SSD, Wi-Fi, 이더넷, USB-C, HDMI, 웹캠, Windows 11 Pro")</f>
        <v>Lenovo V15 비즈니스 노트북, 15.6인치 FHD 눈부심 방지 디스플레이, Intel Celeron N4500 프로세서, 32GB RAM, 512GB SSD, Wi-Fi, 이더넷, USB-C, HDMI, 웹캠, Windows 11 Pro</v>
      </c>
      <c r="F330" s="1" t="str">
        <f>IFERROR(__xludf.DUMMYFUNCTION("CONCATENATE(GOOGLETRANSLATE(C330, ""en"", ""ja""))"),"Lenovo V15 ビジネス ノートパソコン、15.6 インチ FHD アンチグレア ディスプレイ、Intel Celeron N4500 プロセッサー、32GB RAM、512GB SSD、Wi-Fi、イーサネット、USB-C、HDMI、ウェブカメラ、Windows 11 Pro")</f>
        <v>Lenovo V15 ビジネス ノートパソコン、15.6 インチ FHD アンチグレア ディスプレイ、Intel Celeron N4500 プロセッサー、32GB RAM、512GB SSD、Wi-Fi、イーサネット、USB-C、HDMI、ウェブカメラ、Windows 11 Pro</v>
      </c>
    </row>
    <row r="331" ht="15.75" customHeight="1">
      <c r="A331" s="1">
        <v>8023.0</v>
      </c>
      <c r="B331" s="1" t="s">
        <v>6</v>
      </c>
      <c r="C331" s="1" t="s">
        <v>332</v>
      </c>
      <c r="D331" s="1" t="str">
        <f>IFERROR(__xludf.DUMMYFUNCTION("CONCATENATE(GOOGLETRANSLATE(C331, ""en"", ""zh-cn""))"),"联想 V15 商务笔记本电脑，15.6 英寸 FHD 显示屏，英特尔双核 CPU，16GB DDR4 RAM，256GB PCIe SSD，WiFi 6，蓝牙 5.2，RJ-45，Type-C，HDMI，数字键盘，黑色，Windows 11 Pro，Tichang")</f>
        <v>联想 V15 商务笔记本电脑，15.6 英寸 FHD 显示屏，英特尔双核 CPU，16GB DDR4 RAM，256GB PCIe SSD，WiFi 6，蓝牙 5.2，RJ-45，Type-C，HDMI，数字键盘，黑色，Windows 11 Pro，Tichang</v>
      </c>
      <c r="E331" s="1" t="str">
        <f>IFERROR(__xludf.DUMMYFUNCTION("CONCATENATE(GOOGLETRANSLATE(C331, ""en"", ""ko""))"),"Lenovo V15 비즈니스 노트북 컴퓨터, 15.6인치 FHD 디스플레이, Intel 듀얼 코어 CPU, 16GB DDR4 RAM, 256GB PCIe SSD, WiFi 6, Bluetooth 5.2, RJ-45, Type-C, HDMI, 숫자 키패드, 블랙, Windows 11 Pro, Tichang")</f>
        <v>Lenovo V15 비즈니스 노트북 컴퓨터, 15.6인치 FHD 디스플레이, Intel 듀얼 코어 CPU, 16GB DDR4 RAM, 256GB PCIe SSD, WiFi 6, Bluetooth 5.2, RJ-45, Type-C, HDMI, 숫자 키패드, 블랙, Windows 11 Pro, Tichang</v>
      </c>
      <c r="F331" s="1" t="str">
        <f>IFERROR(__xludf.DUMMYFUNCTION("CONCATENATE(GOOGLETRANSLATE(C331, ""en"", ""ja""))"),"Lenovo V15 ビジネス ラップトップ コンピューター、15.6 インチ FHD ディスプレイ、Intel デュアルコア CPU、16GB DDR4 RAM、256GB PCIe SSD、WiFi 6、Bluetooth 5.2、RJ-45、Type-C、HDMI、テンキーパッド、ブラック、Windows 11 Pro、Tichang")</f>
        <v>Lenovo V15 ビジネス ラップトップ コンピューター、15.6 インチ FHD ディスプレイ、Intel デュアルコア CPU、16GB DDR4 RAM、256GB PCIe SSD、WiFi 6、Bluetooth 5.2、RJ-45、Type-C、HDMI、テンキーパッド、ブラック、Windows 11 Pro、Tichang</v>
      </c>
    </row>
    <row r="332" ht="15.75" customHeight="1">
      <c r="A332" s="1">
        <v>8024.0</v>
      </c>
      <c r="B332" s="1" t="s">
        <v>6</v>
      </c>
      <c r="C332" s="1" t="s">
        <v>333</v>
      </c>
      <c r="D332" s="1" t="str">
        <f>IFERROR(__xludf.DUMMYFUNCTION("CONCATENATE(GOOGLETRANSLATE(C332, ""en"", ""zh-cn""))"),"Lenovo Essential IdeaPad • 36GB RAM • 1.5TB 存储（512GB SSD 和 1TB 云存储） • 15.6 英寸全高清 • Intel 4 核 • 免费 1 年 Office 365 • Intel 4 核 • Wi-Fi 6 • Type-C • Windows 11 Home")</f>
        <v>Lenovo Essential IdeaPad • 36GB RAM • 1.5TB 存储（512GB SSD 和 1TB 云存储） • 15.6 英寸全高清 • Intel 4 核 • 免费 1 年 Office 365 • Intel 4 核 • Wi-Fi 6 • Type-C • Windows 11 Home</v>
      </c>
      <c r="E332" s="1" t="str">
        <f>IFERROR(__xludf.DUMMYFUNCTION("CONCATENATE(GOOGLETRANSLATE(C332, ""en"", ""ko""))"),"Lenovo Essential IdeaPad • 36GB RAM • 1.5TB 스토리지(512GB SSD 및 1TB 클라우드 스토리지) • 15.6인치 풀 HD • Intel 4코어 • 무료 1년 Office 365 • Intel 4코어 • Wi-Fi 6 • Type-C • Windows 11 Home")</f>
        <v>Lenovo Essential IdeaPad • 36GB RAM • 1.5TB 스토리지(512GB SSD 및 1TB 클라우드 스토리지) • 15.6인치 풀 HD • Intel 4코어 • 무료 1년 Office 365 • Intel 4코어 • Wi-Fi 6 • Type-C • Windows 11 Home</v>
      </c>
      <c r="F332" s="1" t="str">
        <f>IFERROR(__xludf.DUMMYFUNCTION("CONCATENATE(GOOGLETRANSLATE(C332, ""en"", ""ja""))"),"Lenovo Essential IdeaPad • 36GB RAM • 1.5TB ストレージ (512GB SSD および 1TB クラウド ストレージ) • 15.6 インチ フル HD • Intel 4 コア • 1 年間無料 Office 365 • Intel 4 コア • Wi-Fi 6 • Type-C • Windows 11 Home")</f>
        <v>Lenovo Essential IdeaPad • 36GB RAM • 1.5TB ストレージ (512GB SSD および 1TB クラウド ストレージ) • 15.6 インチ フル HD • Intel 4 コア • 1 年間無料 Office 365 • Intel 4 コア • Wi-Fi 6 • Type-C • Windows 11 Home</v>
      </c>
    </row>
    <row r="333" ht="15.75" customHeight="1">
      <c r="A333" s="1">
        <v>8037.0</v>
      </c>
      <c r="B333" s="1" t="s">
        <v>6</v>
      </c>
      <c r="C333" s="1" t="s">
        <v>334</v>
      </c>
      <c r="D333" s="1" t="str">
        <f>IFERROR(__xludf.DUMMYFUNCTION("CONCATENATE(GOOGLETRANSLATE(C333, ""en"", ""zh-cn""))"),"戴尔 Inspiron 灵越触摸屏笔记本电脑，15.6 英寸商用和学生笔记本电脑，Windows 11 Pro 笔记本电脑，32GB RAM 1TB SSD，英特尔 i5-1155G7 处理器，全高清 IPS 显示屏，数字键盘，HDMI，炭黑")</f>
        <v>戴尔 Inspiron 灵越触摸屏笔记本电脑，15.6 英寸商用和学生笔记本电脑，Windows 11 Pro 笔记本电脑，32GB RAM 1TB SSD，英特尔 i5-1155G7 处理器，全高清 IPS 显示屏，数字键盘，HDMI，炭黑</v>
      </c>
      <c r="E333" s="1" t="str">
        <f>IFERROR(__xludf.DUMMYFUNCTION("CONCATENATE(GOOGLETRANSLATE(C333, ""en"", ""ko""))"),"Dell Inspiron 터치스크린 노트북, 15.6인치 비즈니스 및 학생용 노트북 컴퓨터, Windows 11 Pro 노트북 32GB RAM 1TB SSD, Intel i5-1155G7 프로세서, 풀 HD IPS 디스플레이, 숫자 키패드, HDMI, 카본 블랙")</f>
        <v>Dell Inspiron 터치스크린 노트북, 15.6인치 비즈니스 및 학생용 노트북 컴퓨터, Windows 11 Pro 노트북 32GB RAM 1TB SSD, Intel i5-1155G7 프로세서, 풀 HD IPS 디스플레이, 숫자 키패드, HDMI, 카본 블랙</v>
      </c>
      <c r="F333" s="1" t="str">
        <f>IFERROR(__xludf.DUMMYFUNCTION("CONCATENATE(GOOGLETRANSLATE(C333, ""en"", ""ja""))"),"Dell Inspiron タッチスクリーン ノートパソコン、15.6 インチ ビジネスおよび学生ノートパソコン、Windows 11 Pro ノートパソコン 32GB RAM 1TB SSD、Intel i5-1155G7 プロセッサー、フル HD IPS ディスプレイ、テンキーパッド、HDMI、カーボン ブラック")</f>
        <v>Dell Inspiron タッチスクリーン ノートパソコン、15.6 インチ ビジネスおよび学生ノートパソコン、Windows 11 Pro ノートパソコン 32GB RAM 1TB SSD、Intel i5-1155G7 プロセッサー、フル HD IPS ディスプレイ、テンキーパッド、HDMI、カーボン ブラック</v>
      </c>
    </row>
    <row r="334" ht="15.75" customHeight="1">
      <c r="A334" s="1">
        <v>8077.0</v>
      </c>
      <c r="B334" s="1" t="s">
        <v>6</v>
      </c>
      <c r="C334" s="1" t="s">
        <v>335</v>
      </c>
      <c r="D334" s="1" t="str">
        <f>IFERROR(__xludf.DUMMYFUNCTION("CONCATENATE(GOOGLETRANSLATE(C334, ""en"", ""zh-cn""))"),"华硕 2024 游戏笔记本电脑 | ROG Strix G17 | ROG Strix G17 | ROG Strix G17 AMD 16 核锐龙 9 7940HX | NVIDIA GeForce RTX 4050 | NVIDIA GeForce RTX 4050 64GB DDR5 | 8TB 固态硬盘 | 17.3"" 1920 x 1080 144Hz | Win11 Home - Wi-Fi 6E - BT5.3 - RGB 背光 KB - 灰色")</f>
        <v>华硕 2024 游戏笔记本电脑 | ROG Strix G17 | ROG Strix G17 | ROG Strix G17 AMD 16 核锐龙 9 7940HX | NVIDIA GeForce RTX 4050 | NVIDIA GeForce RTX 4050 64GB DDR5 | 8TB 固态硬盘 | 17.3" 1920 x 1080 144Hz | Win11 Home - Wi-Fi 6E - BT5.3 - RGB 背光 KB - 灰色</v>
      </c>
      <c r="E334" s="1" t="str">
        <f>IFERROR(__xludf.DUMMYFUNCTION("CONCATENATE(GOOGLETRANSLATE(C334, ""en"", ""ko""))"),"ASUS 2024 게이밍 노트북 | ROG 스트릭스 G17 | AMD 16코어 Ryzen 9 7940HX | 엔비디아 지포스 RTX 4050 | 64GB DDR5 | 8TB SSD | 17.3인치 1920 x 1080 144Hz | Win11 Home - Wi-Fi 6E - BT5.3 - RGB 백라이트 KB - 회색")</f>
        <v>ASUS 2024 게이밍 노트북 | ROG 스트릭스 G17 | AMD 16코어 Ryzen 9 7940HX | 엔비디아 지포스 RTX 4050 | 64GB DDR5 | 8TB SSD | 17.3인치 1920 x 1080 144Hz | Win11 Home - Wi-Fi 6E - BT5.3 - RGB 백라이트 KB - 회색</v>
      </c>
      <c r="F334" s="1" t="str">
        <f>IFERROR(__xludf.DUMMYFUNCTION("CONCATENATE(GOOGLETRANSLATE(C334, ""en"", ""ja""))"),"ASUS 2024 ゲーミング ノートパソコン | ROG Strix G17 | AMD 16 コア Ryzen 9 7940HX | NVIDIA GeForce RTX 4050 | 64GB DDR5 | 8TB SSD | 17.3 インチ 1920 x 1080 144Hz | Win11 Home - Wi-Fi 6E - BT5.3 - RGB バックライト付き KB - グレー")</f>
        <v>ASUS 2024 ゲーミング ノートパソコン | ROG Strix G17 | AMD 16 コア Ryzen 9 7940HX | NVIDIA GeForce RTX 4050 | 64GB DDR5 | 8TB SSD | 17.3 インチ 1920 x 1080 144Hz | Win11 Home - Wi-Fi 6E - BT5.3 - RGB バックライト付き KB - グレー</v>
      </c>
    </row>
    <row r="335" ht="15.75" customHeight="1">
      <c r="A335" s="1">
        <v>8079.0</v>
      </c>
      <c r="B335" s="1" t="s">
        <v>6</v>
      </c>
      <c r="C335" s="1" t="s">
        <v>336</v>
      </c>
      <c r="D335" s="1" t="str">
        <f>IFERROR(__xludf.DUMMYFUNCTION("CONCATENATE(GOOGLETRANSLATE(C335, ""en"", ""zh-cn""))"),"华硕 2023 笔记本电脑 | Vivobook S 16 翻盖 | 16 英寸 1920 x 1200 触摸屏 | Intel-14 Core i9-13900H | 24GB DDR4 | 1TB SSD | Windows 11 主页 | Wi-Fi 6E - 蓝牙 5.3 - 背光 KB - 1080p 摄像头 - 黑色")</f>
        <v>华硕 2023 笔记本电脑 | Vivobook S 16 翻盖 | 16 英寸 1920 x 1200 触摸屏 | Intel-14 Core i9-13900H | 24GB DDR4 | 1TB SSD | Windows 11 主页 | Wi-Fi 6E - 蓝牙 5.3 - 背光 KB - 1080p 摄像头 - 黑色</v>
      </c>
      <c r="E335" s="1" t="str">
        <f>IFERROR(__xludf.DUMMYFUNCTION("CONCATENATE(GOOGLETRANSLATE(C335, ""en"", ""ko""))"),"ASUS 2023 노트북 | Vivobook S 16 플립 | 16인치 1920 x 1200 터치 | Intel-14 코어 i9-13900H | 24GB DDR4 | 1TB SSD | Windows 11 Home | Wi-Fi 6E - Bluetooth 5.3 - 백라이트 KB - 1080p 카메라 - 블랙")</f>
        <v>ASUS 2023 노트북 | Vivobook S 16 플립 | 16인치 1920 x 1200 터치 | Intel-14 코어 i9-13900H | 24GB DDR4 | 1TB SSD | Windows 11 Home | Wi-Fi 6E - Bluetooth 5.3 - 백라이트 KB - 1080p 카메라 - 블랙</v>
      </c>
      <c r="F335" s="1" t="str">
        <f>IFERROR(__xludf.DUMMYFUNCTION("CONCATENATE(GOOGLETRANSLATE(C335, ""en"", ""ja""))"),"ASUS 2023 ノートパソコン | Vivobook S 16 フリップ | 16 インチ 1920 x 1200 タッチ | Intel-14 Core i9-13900H | 24GB DDR4 | 1TB SSD | Windows 11 Home | Wi-Fi 6E - Bluetooth 5.3 - バックライト付き KB - 1080p カメラ - ブラック")</f>
        <v>ASUS 2023 ノートパソコン | Vivobook S 16 フリップ | 16 インチ 1920 x 1200 タッチ | Intel-14 Core i9-13900H | 24GB DDR4 | 1TB SSD | Windows 11 Home | Wi-Fi 6E - Bluetooth 5.3 - バックライト付き KB - 1080p カメラ - ブラック</v>
      </c>
    </row>
    <row r="336" ht="15.75" customHeight="1">
      <c r="A336" s="1">
        <v>8100.0</v>
      </c>
      <c r="B336" s="1" t="s">
        <v>6</v>
      </c>
      <c r="C336" s="1" t="s">
        <v>337</v>
      </c>
      <c r="D336" s="1" t="str">
        <f>IFERROR(__xludf.DUMMYFUNCTION("CONCATENATE(GOOGLETRANSLATE(C336, ""en"", ""zh-cn""))"),"华硕 ROG Zephyrus GA503 2023 游戏笔记本电脑 15.6 英寸 165Hz WQHD 显示屏 AMD Ryzen 9 6900HS 8 核 32GB DDR5 1TB SSD NVIDIA GeForce RTX 3060 6GB WiFi 6E RGB 背光键盘 RJ45 Win 10 带 ONT 32GB USB")</f>
        <v>华硕 ROG Zephyrus GA503 2023 游戏笔记本电脑 15.6 英寸 165Hz WQHD 显示屏 AMD Ryzen 9 6900HS 8 核 32GB DDR5 1TB SSD NVIDIA GeForce RTX 3060 6GB WiFi 6E RGB 背光键盘 RJ45 Win 10 带 ONT 32GB USB</v>
      </c>
      <c r="E336" s="1" t="str">
        <f>IFERROR(__xludf.DUMMYFUNCTION("CONCATENATE(GOOGLETRANSLATE(C336, ""en"", ""ko""))"),"ASUS ROG Zephyrus GA503 2023 게이밍 노트북 15.6인치 165Hz WQHD 디스플레이 AMD Ryzen 9 6900HS 8코어 32GB DDR5 1TB SSD NVIDIA GeForce RTX 3060 6GB WiFi 6E RGB 백라이트 키보드 RJ45 Win 10 ONT 32GB USB 포함")</f>
        <v>ASUS ROG Zephyrus GA503 2023 게이밍 노트북 15.6인치 165Hz WQHD 디스플레이 AMD Ryzen 9 6900HS 8코어 32GB DDR5 1TB SSD NVIDIA GeForce RTX 3060 6GB WiFi 6E RGB 백라이트 키보드 RJ45 Win 10 ONT 32GB USB 포함</v>
      </c>
      <c r="F336" s="1" t="str">
        <f>IFERROR(__xludf.DUMMYFUNCTION("CONCATENATE(GOOGLETRANSLATE(C336, ""en"", ""ja""))"),"ASUS ROG Zephyrus GA503 2023 ゲーミングノートパソコン 15.6 インチ 165Hz WQHD ディスプレイ AMD Ryzen 9 6900HS 8 コア 32GB DDR5 1TB SSD NVIDIA GeForce RTX 3060 6GB WiFi 6E RGB バックライト付きキーボード RJ45 Win 10 w/ONT 32GB USB")</f>
        <v>ASUS ROG Zephyrus GA503 2023 ゲーミングノートパソコン 15.6 インチ 165Hz WQHD ディスプレイ AMD Ryzen 9 6900HS 8 コア 32GB DDR5 1TB SSD NVIDIA GeForce RTX 3060 6GB WiFi 6E RGB バックライト付きキーボード RJ45 Win 10 w/ONT 32GB USB</v>
      </c>
    </row>
    <row r="337" ht="15.75" customHeight="1">
      <c r="A337" s="1">
        <v>8122.0</v>
      </c>
      <c r="B337" s="1" t="s">
        <v>6</v>
      </c>
      <c r="C337" s="1" t="s">
        <v>338</v>
      </c>
      <c r="D337" s="1" t="str">
        <f>IFERROR(__xludf.DUMMYFUNCTION("CONCATENATE(GOOGLETRANSLATE(C337, ""en"", ""zh-cn""))"),"2019 年底 Apple MacBook Pro，配备 2.6GHz Intel Core i7（16 英寸，32GB RAM，512GB SSD）深空灰色（续订）")</f>
        <v>2019 年底 Apple MacBook Pro，配备 2.6GHz Intel Core i7（16 英寸，32GB RAM，512GB SSD）深空灰色（续订）</v>
      </c>
      <c r="E337" s="1" t="str">
        <f>IFERROR(__xludf.DUMMYFUNCTION("CONCATENATE(GOOGLETRANSLATE(C337, ""en"", ""ko""))"),"2019년 후반 Apple MacBook Pro 2.6GHz Intel Core i7(16인치, 32GB RAM, 512GB SSD) 스페이스 그레이(리뉴얼)")</f>
        <v>2019년 후반 Apple MacBook Pro 2.6GHz Intel Core i7(16인치, 32GB RAM, 512GB SSD) 스페이스 그레이(리뉴얼)</v>
      </c>
      <c r="F337" s="1" t="str">
        <f>IFERROR(__xludf.DUMMYFUNCTION("CONCATENATE(GOOGLETRANSLATE(C337, ""en"", ""ja""))"),"2019 年後期 Apple MacBook Pro 2.6GHz Intel Core i7 搭載 (16 インチ、32GB RAM、512GB SSD) スペースグレイ (リニューアル)")</f>
        <v>2019 年後期 Apple MacBook Pro 2.6GHz Intel Core i7 搭載 (16 インチ、32GB RAM、512GB SSD) スペースグレイ (リニューアル)</v>
      </c>
    </row>
    <row r="338" ht="15.75" customHeight="1">
      <c r="A338" s="1">
        <v>8126.0</v>
      </c>
      <c r="B338" s="1" t="s">
        <v>6</v>
      </c>
      <c r="C338" s="1" t="s">
        <v>339</v>
      </c>
      <c r="D338" s="1" t="str">
        <f>IFERROR(__xludf.DUMMYFUNCTION("CONCATENATE(GOOGLETRANSLATE(C338, ""en"", ""zh-cn""))"),"Apple MacBook Air MJVE2LL/A 13 英寸笔记本电脑（1.6GHz Core i5、8GB RAM、128GB SSD）（更新）")</f>
        <v>Apple MacBook Air MJVE2LL/A 13 英寸笔记本电脑（1.6GHz Core i5、8GB RAM、128GB SSD）（更新）</v>
      </c>
      <c r="E338" s="1" t="str">
        <f>IFERROR(__xludf.DUMMYFUNCTION("CONCATENATE(GOOGLETRANSLATE(C338, ""en"", ""ko""))"),"Apple MacBook Air MJVE2LL/A 13인치 노트북(1.6GHz Core i5,8GB RAM,128GB SSD)(리뉴얼)")</f>
        <v>Apple MacBook Air MJVE2LL/A 13인치 노트북(1.6GHz Core i5,8GB RAM,128GB SSD)(리뉴얼)</v>
      </c>
      <c r="F338" s="1" t="str">
        <f>IFERROR(__xludf.DUMMYFUNCTION("CONCATENATE(GOOGLETRANSLATE(C338, ""en"", ""ja""))"),"Apple MacBook Air MJVE2LL/A 13 インチ ラップトップ (1.6GHz Core i5、8GB RAM、128GB SSD) (新品)")</f>
        <v>Apple MacBook Air MJVE2LL/A 13 インチ ラップトップ (1.6GHz Core i5、8GB RAM、128GB SSD) (新品)</v>
      </c>
    </row>
    <row r="339" ht="15.75" customHeight="1">
      <c r="A339" s="1">
        <v>8141.0</v>
      </c>
      <c r="B339" s="1" t="s">
        <v>6</v>
      </c>
      <c r="C339" s="1" t="s">
        <v>340</v>
      </c>
      <c r="D339" s="1" t="str">
        <f>IFERROR(__xludf.DUMMYFUNCTION("CONCATENATE(GOOGLETRANSLATE(C339, ""en"", ""zh-cn""))"),"Apple 2023 MacBook Air M2 芯片（15 英寸，8GB RAM，512GB SSD 存储）（QWERTY 英文）Starlight（续订高级版）")</f>
        <v>Apple 2023 MacBook Air M2 芯片（15 英寸，8GB RAM，512GB SSD 存储）（QWERTY 英文）Starlight（续订高级版）</v>
      </c>
      <c r="E339" s="1" t="str">
        <f>IFERROR(__xludf.DUMMYFUNCTION("CONCATENATE(GOOGLETRANSLATE(C339, ""en"", ""ko""))"),"Apple 2023 MacBook Air M2 칩 (15인치, 8GB RAM, 512GB SSD 스토리지)(QWERTY 영어) Starlight(리뉴얼 프리미엄)")</f>
        <v>Apple 2023 MacBook Air M2 칩 (15인치, 8GB RAM, 512GB SSD 스토리지)(QWERTY 영어) Starlight(리뉴얼 프리미엄)</v>
      </c>
      <c r="F339" s="1" t="str">
        <f>IFERROR(__xludf.DUMMYFUNCTION("CONCATENATE(GOOGLETRANSLATE(C339, ""en"", ""ja""))"),"Apple 2023 MacBook Air M2 チップ (15 インチ、8GB RAM、512GB SSD ストレージ)(QWERTY 英語) Starlight (リニューアルプレミアム)")</f>
        <v>Apple 2023 MacBook Air M2 チップ (15 インチ、8GB RAM、512GB SSD ストレージ)(QWERTY 英語) Starlight (リニューアルプレミアム)</v>
      </c>
    </row>
    <row r="340" ht="15.75" customHeight="1">
      <c r="A340" s="1">
        <v>7795.0</v>
      </c>
      <c r="B340" s="1" t="s">
        <v>6</v>
      </c>
      <c r="C340" s="1" t="s">
        <v>341</v>
      </c>
      <c r="D340" s="1" t="str">
        <f>IFERROR(__xludf.DUMMYFUNCTION("CONCATENATE(GOOGLETRANSLATE(C340, ""en"", ""zh-cn""))"),"佳能 CLI-281 黑色、青色、品红色和黄色 4 种墨水包，兼容 TR8520、TR8620 系列、TS9120 和 TS6210 打印机")</f>
        <v>佳能 CLI-281 黑色、青色、品红色和黄色 4 种墨水包，兼容 TR8520、TR8620 系列、TS9120 和 TS6210 打印机</v>
      </c>
      <c r="E340" s="1" t="str">
        <f>IFERROR(__xludf.DUMMYFUNCTION("CONCATENATE(GOOGLETRANSLATE(C340, ""en"", ""ko""))"),"Canon CLI-281 검정색, 청록색, 자홍색 및 노란색 4 잉크 팩, TR8520, TR8620 시리즈, TS9120 및 TS6210 프린터와 호환 가능")</f>
        <v>Canon CLI-281 검정색, 청록색, 자홍색 및 노란색 4 잉크 팩, TR8520, TR8620 시리즈, TS9120 및 TS6210 프린터와 호환 가능</v>
      </c>
      <c r="F340" s="1" t="str">
        <f>IFERROR(__xludf.DUMMYFUNCTION("CONCATENATE(GOOGLETRANSLATE(C340, ""en"", ""ja""))"),"Canon CLI-281 ブラック、シアン、マゼンタ、イエロー 4 インクパック、TR8520、TR8620 シリーズ、TS9120、および TS6210 プリンターと互換性あり")</f>
        <v>Canon CLI-281 ブラック、シアン、マゼンタ、イエロー 4 インクパック、TR8520、TR8620 シリーズ、TS9120、および TS6210 プリンターと互換性あり</v>
      </c>
    </row>
    <row r="341" ht="15.75" customHeight="1">
      <c r="A341" s="1">
        <v>7799.0</v>
      </c>
      <c r="B341" s="1" t="s">
        <v>6</v>
      </c>
      <c r="C341" s="1" t="s">
        <v>342</v>
      </c>
      <c r="D341" s="1" t="str">
        <f>IFERROR(__xludf.DUMMYFUNCTION("CONCATENATE(GOOGLETRANSLATE(C341, ""en"", ""zh-cn""))"),"HP 65 黑色/三色墨盒（2 件装）|适用于 HP AMP 100 系列、HP DeskJet 2600、3700 系列、HP ENVY 5000 系列 |符合 Instant Ink 条件 | T0A36AN")</f>
        <v>HP 65 黑色/三色墨盒（2 件装）|适用于 HP AMP 100 系列、HP DeskJet 2600、3700 系列、HP ENVY 5000 系列 |符合 Instant Ink 条件 | T0A36AN</v>
      </c>
      <c r="E341" s="1" t="str">
        <f>IFERROR(__xludf.DUMMYFUNCTION("CONCATENATE(GOOGLETRANSLATE(C341, ""en"", ""ko""))"),"HP 65 검정/3색 잉크 카트리지(2팩) | HP AMP 100 시리즈, HP DeskJet 2600, 3700 시리즈, HP ENVY 5000 시리즈와 함께 작동 | 인스턴트 잉크 사용 가능 | T0A36AN")</f>
        <v>HP 65 검정/3색 잉크 카트리지(2팩) | HP AMP 100 시리즈, HP DeskJet 2600, 3700 시리즈, HP ENVY 5000 시리즈와 함께 작동 | 인스턴트 잉크 사용 가능 | T0A36AN</v>
      </c>
      <c r="F341" s="1" t="str">
        <f>IFERROR(__xludf.DUMMYFUNCTION("CONCATENATE(GOOGLETRANSLATE(C341, ""en"", ""ja""))"),"HP 65 ブラック/トリカラー インク カートリッジ (2 パック) | HP AMP 100 シリーズ、HP DeskJet 2600、3700 シリーズ、HP ENVY 5000 シリーズで動作 | Instant Ink の対象 | T0A36AN")</f>
        <v>HP 65 ブラック/トリカラー インク カートリッジ (2 パック) | HP AMP 100 シリーズ、HP DeskJet 2600、3700 シリーズ、HP ENVY 5000 シリーズで動作 | Instant Ink の対象 | T0A36AN</v>
      </c>
    </row>
    <row r="342" ht="15.75" customHeight="1">
      <c r="A342" s="1">
        <v>7802.0</v>
      </c>
      <c r="B342" s="1" t="s">
        <v>6</v>
      </c>
      <c r="C342" s="1" t="s">
        <v>343</v>
      </c>
      <c r="D342" s="1" t="str">
        <f>IFERROR(__xludf.DUMMYFUNCTION("CONCATENATE(GOOGLETRANSLATE(C342, ""en"", ""zh-cn""))"),"HP 952XL 黑色高印量墨盒 |适用于 HP OfficeJet 8702、HP OfficeJet Pro 7720、7740、8210、8710、8720、8730、8740 系列 |符合 Instant Ink 条件 | F6U19AN")</f>
        <v>HP 952XL 黑色高印量墨盒 |适用于 HP OfficeJet 8702、HP OfficeJet Pro 7720、7740、8210、8710、8720、8730、8740 系列 |符合 Instant Ink 条件 | F6U19AN</v>
      </c>
      <c r="E342" s="1" t="str">
        <f>IFERROR(__xludf.DUMMYFUNCTION("CONCATENATE(GOOGLETRANSLATE(C342, ""en"", ""ko""))"),"HP 952XL 검정 대용량 잉크 카트리지 | HP OfficeJet 8702, HP OfficeJet Pro 7720, 7740, 8210, 8710, 8720, 8730, 8740 시리즈와 함께 작동 | 인스턴트 잉크 사용 가능 | F6U19AN")</f>
        <v>HP 952XL 검정 대용량 잉크 카트리지 | HP OfficeJet 8702, HP OfficeJet Pro 7720, 7740, 8210, 8710, 8720, 8730, 8740 시리즈와 함께 작동 | 인스턴트 잉크 사용 가능 | F6U19AN</v>
      </c>
      <c r="F342" s="1" t="str">
        <f>IFERROR(__xludf.DUMMYFUNCTION("CONCATENATE(GOOGLETRANSLATE(C342, ""en"", ""ja""))"),"HP 952XL ブラック高収量インク カートリッジ | HP OfficeJet 8702、HP OfficeJet Pro 7720、7740、8210、8710、8720、8730、8740 シリーズで動作 | Instant Ink の対象 | F6U19AN")</f>
        <v>HP 952XL ブラック高収量インク カートリッジ | HP OfficeJet 8702、HP OfficeJet Pro 7720、7740、8210、8710、8720、8730、8740 シリーズで動作 | Instant Ink の対象 | F6U19AN</v>
      </c>
    </row>
    <row r="343" ht="15.75" customHeight="1">
      <c r="A343" s="1">
        <v>7803.0</v>
      </c>
      <c r="B343" s="1" t="s">
        <v>6</v>
      </c>
      <c r="C343" s="1" t="s">
        <v>344</v>
      </c>
      <c r="D343" s="1" t="str">
        <f>IFERROR(__xludf.DUMMYFUNCTION("CONCATENATE(GOOGLETRANSLATE(C343, ""en"", ""zh-cn""))"),"HP 64XL 黑色高印量墨盒 |与 HP ENVY Inspire 7950e 配合使用； ENVY 照片 6200、7100、7800；探戈系列|符合 Instant Ink 条件 | N9J92AN")</f>
        <v>HP 64XL 黑色高印量墨盒 |与 HP ENVY Inspire 7950e 配合使用； ENVY 照片 6200、7100、7800；探戈系列|符合 Instant Ink 条件 | N9J92AN</v>
      </c>
      <c r="E343" s="1" t="str">
        <f>IFERROR(__xludf.DUMMYFUNCTION("CONCATENATE(GOOGLETRANSLATE(C343, ""en"", ""ko""))"),"HP 64XL 검정 대용량 잉크 카트리지 | HP ENVY Inspire 7950e와 함께 작동합니다. ENVY 사진 6200, 7100, 7800; 탱고 시리즈 | 인스턴트 잉크 사용 가능 | N9J92AN")</f>
        <v>HP 64XL 검정 대용량 잉크 카트리지 | HP ENVY Inspire 7950e와 함께 작동합니다. ENVY 사진 6200, 7100, 7800; 탱고 시리즈 | 인스턴트 잉크 사용 가능 | N9J92AN</v>
      </c>
      <c r="F343" s="1" t="str">
        <f>IFERROR(__xludf.DUMMYFUNCTION("CONCATENATE(GOOGLETRANSLATE(C343, ""en"", ""ja""))"),"HP 64XL ブラック高収量インク カートリッジ | HP ENVY Inspire 7950e で動作します。羨望の写真 6200、7100、7800;タンゴシリーズ | Instant Ink の対象 | N9J92AN")</f>
        <v>HP 64XL ブラック高収量インク カートリッジ | HP ENVY Inspire 7950e で動作します。羨望の写真 6200、7100、7800;タンゴシリーズ | Instant Ink の対象 | N9J92AN</v>
      </c>
    </row>
    <row r="344" ht="15.75" customHeight="1">
      <c r="A344" s="1">
        <v>7806.0</v>
      </c>
      <c r="B344" s="1" t="s">
        <v>6</v>
      </c>
      <c r="C344" s="1" t="s">
        <v>345</v>
      </c>
      <c r="D344" s="1" t="str">
        <f>IFERROR(__xludf.DUMMYFUNCTION("CONCATENATE(GOOGLETRANSLATE(C344, ""en"", ""zh-cn""))"),"HP 63XL 黑色高印量墨盒 |适用于 HP DeskJet 1112、2130、3630 系列；惠普 ENVY 4510、4520 系列； HP OfficeJet 3830、4650、5200 系列 |符合 Instant Ink 条件 | F6U64AN")</f>
        <v>HP 63XL 黑色高印量墨盒 |适用于 HP DeskJet 1112、2130、3630 系列；惠普 ENVY 4510、4520 系列； HP OfficeJet 3830、4650、5200 系列 |符合 Instant Ink 条件 | F6U64AN</v>
      </c>
      <c r="E344" s="1" t="str">
        <f>IFERROR(__xludf.DUMMYFUNCTION("CONCATENATE(GOOGLETRANSLATE(C344, ""en"", ""ko""))"),"HP 63XL 검정 대용량 잉크 카트리지 | HP DeskJet 1112, 2130, 3630 시리즈와 함께 작동합니다. HP ENVY 4510, 4520 시리즈; HP 오피스젯 3830, 4650, 5200 시리즈 | 인스턴트 잉크 사용 가능 | F6U64AN")</f>
        <v>HP 63XL 검정 대용량 잉크 카트리지 | HP DeskJet 1112, 2130, 3630 시리즈와 함께 작동합니다. HP ENVY 4510, 4520 시리즈; HP 오피스젯 3830, 4650, 5200 시리즈 | 인스턴트 잉크 사용 가능 | F6U64AN</v>
      </c>
      <c r="F344" s="1" t="str">
        <f>IFERROR(__xludf.DUMMYFUNCTION("CONCATENATE(GOOGLETRANSLATE(C344, ""en"", ""ja""))"),"HP 63XL ブラック高収量インク カートリッジ | HP DeskJet 1112、2130、3630 シリーズで動作します。 HP ENVY 4510、4520 シリーズ; HP OfficeJet 3830、4650、5200 シリーズ | Instant Ink の対象 | F6U64AN")</f>
        <v>HP 63XL ブラック高収量インク カートリッジ | HP DeskJet 1112、2130、3630 シリーズで動作します。 HP ENVY 4510、4520 シリーズ; HP OfficeJet 3830、4650、5200 シリーズ | Instant Ink の対象 | F6U64AN</v>
      </c>
    </row>
    <row r="345" ht="15.75" customHeight="1">
      <c r="A345" s="1">
        <v>7820.0</v>
      </c>
      <c r="B345" s="1" t="s">
        <v>6</v>
      </c>
      <c r="C345" s="1" t="s">
        <v>346</v>
      </c>
      <c r="D345" s="1" t="str">
        <f>IFERROR(__xludf.DUMMYFUNCTION("CONCATENATE(GOOGLETRANSLATE(C345, ""en"", ""zh-cn""))"),"HP 67 黑色/三色标准容量墨盒，2 个/包 (3YP29AN#140)，采用零售包装")</f>
        <v>HP 67 黑色/三色标准容量墨盒，2 个/包 (3YP29AN#140)，采用零售包装</v>
      </c>
      <c r="E345" s="1" t="str">
        <f>IFERROR(__xludf.DUMMYFUNCTION("CONCATENATE(GOOGLETRANSLATE(C345, ""en"", ""ko""))"),"HP 67 검정/3색 표준 출력 잉크 카트리지, 2/팩(3YP29AN#140) 소매 포장")</f>
        <v>HP 67 검정/3색 표준 출력 잉크 카트리지, 2/팩(3YP29AN#140) 소매 포장</v>
      </c>
      <c r="F345" s="1" t="str">
        <f>IFERROR(__xludf.DUMMYFUNCTION("CONCATENATE(GOOGLETRANSLATE(C345, ""en"", ""ja""))"),"HP 67 ブラック/トリカラー標準インク カートリッジ、2 個/パック (3YP29AN#140) 小売パッケージ入り")</f>
        <v>HP 67 ブラック/トリカラー標準インク カートリッジ、2 個/パック (3YP29AN#140) 小売パッケージ入り</v>
      </c>
    </row>
    <row r="346" ht="15.75" customHeight="1">
      <c r="A346" s="1">
        <v>7825.0</v>
      </c>
      <c r="B346" s="1" t="s">
        <v>6</v>
      </c>
      <c r="C346" s="1" t="s">
        <v>347</v>
      </c>
      <c r="D346" s="1" t="str">
        <f>IFERROR(__xludf.DUMMYFUNCTION("CONCATENATE(GOOGLETRANSLATE(C346, ""en"", ""zh-cn""))"),"HP 923 黑色、青色、品红色、黄色墨盒（4 件装）|适用于 OfficeJet 8120 系列、OfficeJet Pro 8130 系列 |符合 Instant Ink 条件 | 6C3Y6LN")</f>
        <v>HP 923 黑色、青色、品红色、黄色墨盒（4 件装）|适用于 OfficeJet 8120 系列、OfficeJet Pro 8130 系列 |符合 Instant Ink 条件 | 6C3Y6LN</v>
      </c>
      <c r="E346" s="1" t="str">
        <f>IFERROR(__xludf.DUMMYFUNCTION("CONCATENATE(GOOGLETRANSLATE(C346, ""en"", ""ko""))"),"HP 923 검정, 시안, 마젠타, 노랑 잉크 카트리지(4팩) | 작동 OfficeJet 8120 시리즈, OfficeJet Pro 8130 시리즈 | 인스턴트 잉크 사용 가능 | 6C3Y6LN")</f>
        <v>HP 923 검정, 시안, 마젠타, 노랑 잉크 카트리지(4팩) | 작동 OfficeJet 8120 시리즈, OfficeJet Pro 8130 시리즈 | 인스턴트 잉크 사용 가능 | 6C3Y6LN</v>
      </c>
      <c r="F346" s="1" t="str">
        <f>IFERROR(__xludf.DUMMYFUNCTION("CONCATENATE(GOOGLETRANSLATE(C346, ""en"", ""ja""))"),"HP 923 ブラック、シアン、マゼンタ、イエロー インク カートリッジ (4 パック) |動作 OfficeJet 8120 シリーズ、OfficeJet Pro 8130 シリーズ | Instant Ink の対象 | 6C3Y6LN")</f>
        <v>HP 923 ブラック、シアン、マゼンタ、イエロー インク カートリッジ (4 パック) |動作 OfficeJet 8120 シリーズ、OfficeJet Pro 8130 シリーズ | Instant Ink の対象 | 6C3Y6LN</v>
      </c>
    </row>
    <row r="347" ht="15.75" customHeight="1">
      <c r="A347" s="1">
        <v>7874.0</v>
      </c>
      <c r="B347" s="1" t="s">
        <v>6</v>
      </c>
      <c r="C347" s="1" t="s">
        <v>348</v>
      </c>
      <c r="D347" s="1" t="str">
        <f>IFERROR(__xludf.DUMMYFUNCTION("CONCATENATE(GOOGLETRANSLATE(C347, ""en"", ""zh-cn""))"),"Scotch 热覆膜袋，100 个，透明，500 万个，层压名片、横幅和散文，理想的办公或学校用品，适合信纸尺寸的纸张（8.9 英寸 × 11.4 英寸）")</f>
        <v>Scotch 热覆膜袋，100 个，透明，500 万个，层压名片、横幅和散文，理想的办公或学校用品，适合信纸尺寸的纸张（8.9 英寸 × 11.4 英寸）</v>
      </c>
      <c r="E347" s="1" t="str">
        <f>IFERROR(__xludf.DUMMYFUNCTION("CONCATENATE(GOOGLETRANSLATE(C347, ""en"", ""ko""))"),"스카치 열 라미네이팅 파우치, 100개, 투명, 500만개, 라미네이트 명함, 배너 및 에세이, 이상적인 사무실 또는 학교 용품, Letter 크기 용지에 적합(8.9인치 × 11.4인치)")</f>
        <v>스카치 열 라미네이팅 파우치, 100개, 투명, 500만개, 라미네이트 명함, 배너 및 에세이, 이상적인 사무실 또는 학교 용품, Letter 크기 용지에 적합(8.9인치 × 11.4인치)</v>
      </c>
      <c r="F347" s="1" t="str">
        <f>IFERROR(__xludf.DUMMYFUNCTION("CONCATENATE(GOOGLETRANSLATE(C347, ""en"", ""ja""))"),"Scotch サーマルラミネートポーチ、100枚、クリア、5ミル、ラミネート名刺、バナー、エッセイ、オフィスや学校用品に最適、レターサイズの用紙に適合 (8.9インチ×11.4インチ)")</f>
        <v>Scotch サーマルラミネートポーチ、100枚、クリア、5ミル、ラミネート名刺、バナー、エッセイ、オフィスや学校用品に最適、レターサイズの用紙に適合 (8.9インチ×11.4インチ)</v>
      </c>
    </row>
    <row r="348" ht="15.75" customHeight="1">
      <c r="A348" s="1">
        <v>7910.0</v>
      </c>
      <c r="B348" s="1" t="s">
        <v>6</v>
      </c>
      <c r="C348" s="1" t="s">
        <v>349</v>
      </c>
      <c r="D348" s="1" t="str">
        <f>IFERROR(__xludf.DUMMYFUNCTION("CONCATENATE(GOOGLETRANSLATE(C348, ""en"", ""zh-cn""))"),"Scotch 热层压袋 – 5 百万英寸，7 x 5 英寸，照片尺寸，20 件装 – 透明、耐用、防照片层压板，适合家庭、办公室或学校使用 – 20 张")</f>
        <v>Scotch 热层压袋 – 5 百万英寸，7 x 5 英寸，照片尺寸，20 件装 – 透明、耐用、防照片层压板，适合家庭、办公室或学校使用 – 20 张</v>
      </c>
      <c r="E348" s="1" t="str">
        <f>IFERROR(__xludf.DUMMYFUNCTION("CONCATENATE(GOOGLETRANSLATE(C348, ""en"", ""ko""))"),"스카치 열 라미네이팅 파우치 - 5밀, 7 x 5인치, 사진 크기, 20팩 - 가정, 사무실 또는 학교용 투명하고 내구성이 있으며 사진에 안전한 라미네이팅 시트 - 20개")</f>
        <v>스카치 열 라미네이팅 파우치 - 5밀, 7 x 5인치, 사진 크기, 20팩 - 가정, 사무실 또는 학교용 투명하고 내구성이 있으며 사진에 안전한 라미네이팅 시트 - 20개</v>
      </c>
      <c r="F348" s="1" t="str">
        <f>IFERROR(__xludf.DUMMYFUNCTION("CONCATENATE(GOOGLETRANSLATE(C348, ""en"", ""ja""))"),"Scotch サーマルラミネートポーチ – 5 ミル、7 x 5 インチ、写真サイズ、20 個パック – 透明、耐久性、写真に安全なラミネートシート、家庭、オフィス、学校での使用 – 20 枚")</f>
        <v>Scotch サーマルラミネートポーチ – 5 ミル、7 x 5 インチ、写真サイズ、20 個パック – 透明、耐久性、写真に安全なラミネートシート、家庭、オフィス、学校での使用 – 20 枚</v>
      </c>
    </row>
    <row r="349" ht="15.75" customHeight="1">
      <c r="A349" s="1">
        <v>7939.0</v>
      </c>
      <c r="B349" s="1" t="s">
        <v>6</v>
      </c>
      <c r="C349" s="1" t="s">
        <v>350</v>
      </c>
      <c r="D349" s="1" t="str">
        <f>IFERROR(__xludf.DUMMYFUNCTION("CONCATENATE(GOOGLETRANSLATE(C349, ""en"", ""zh-cn""))"),"MSI Cyborg 游戏笔记本电脑，英特尔 i7-13620H，64 GB DDR5 RAM，4 TB PCle SSD，15.6 英寸 FHD (1920x1080) 144Hz 显示屏，Nvidia G-Force RTX 4050，背光键盘，W11 Pro，Office 2021，黑色")</f>
        <v>MSI Cyborg 游戏笔记本电脑，英特尔 i7-13620H，64 GB DDR5 RAM，4 TB PCle SSD，15.6 英寸 FHD (1920x1080) 144Hz 显示屏，Nvidia G-Force RTX 4050，背光键盘，W11 Pro，Office 2021，黑色</v>
      </c>
      <c r="E349" s="1" t="str">
        <f>IFERROR(__xludf.DUMMYFUNCTION("CONCATENATE(GOOGLETRANSLATE(C349, ""en"", ""ko""))"),"MSI Cyborg 게이밍 노트북, Intel i7-13620H, 64GB DDR5 RAM, 4TB PCle SSD, 15.6인치 FHD(1920x1080) 144Hz 디스플레이, Nvidia G-Force RTX 4050, 백라이트 키보드, W11 Pro, Office 2021, 블랙")</f>
        <v>MSI Cyborg 게이밍 노트북, Intel i7-13620H, 64GB DDR5 RAM, 4TB PCle SSD, 15.6인치 FHD(1920x1080) 144Hz 디스플레이, Nvidia G-Force RTX 4050, 백라이트 키보드, W11 Pro, Office 2021, 블랙</v>
      </c>
      <c r="F349" s="1" t="str">
        <f>IFERROR(__xludf.DUMMYFUNCTION("CONCATENATE(GOOGLETRANSLATE(C349, ""en"", ""ja""))"),"MSI Cyborg ゲーミング ラップトップ、Intel i7-13620H、64 GB DDR5 RAM、4 TB PCle SSD、15.6 インチ FHD (1920x1080) 144Hz ディスプレイ、Nvidia G-Force RTX 4050、バックライト付きキーボード、W11 Pro、Office 2021、ブラック")</f>
        <v>MSI Cyborg ゲーミング ラップトップ、Intel i7-13620H、64 GB DDR5 RAM、4 TB PCle SSD、15.6 インチ FHD (1920x1080) 144Hz ディスプレイ、Nvidia G-Force RTX 4050、バックライト付きキーボード、W11 Pro、Office 2021、ブラック</v>
      </c>
    </row>
    <row r="350" ht="15.75" customHeight="1">
      <c r="A350" s="1">
        <v>7952.0</v>
      </c>
      <c r="B350" s="1" t="s">
        <v>6</v>
      </c>
      <c r="C350" s="1" t="s">
        <v>351</v>
      </c>
      <c r="D350" s="1" t="str">
        <f>IFERROR(__xludf.DUMMYFUNCTION("CONCATENATE(GOOGLETRANSLATE(C350, ""en"", ""zh-cn""))"),"Microsoft Surface Laptop Go 3 12.4 英寸触摸笔记本电脑（英特尔 i5-1235U/8GB/256GB）")</f>
        <v>Microsoft Surface Laptop Go 3 12.4 英寸触摸笔记本电脑（英特尔 i5-1235U/8GB/256GB）</v>
      </c>
      <c r="E350" s="1" t="str">
        <f>IFERROR(__xludf.DUMMYFUNCTION("CONCATENATE(GOOGLETRANSLATE(C350, ""en"", ""ko""))"),"마이크로소프트 서피스 노트북 고 3 12.4인치 터치 노트북 (인텔 i5-1235U/8GB/256GB)")</f>
        <v>마이크로소프트 서피스 노트북 고 3 12.4인치 터치 노트북 (인텔 i5-1235U/8GB/256GB)</v>
      </c>
      <c r="F350" s="1" t="str">
        <f>IFERROR(__xludf.DUMMYFUNCTION("CONCATENATE(GOOGLETRANSLATE(C350, ""en"", ""ja""))"),"Microsoft Surface Laptop Go 3 12.4 インチ タッチ ラップトップ (Intel i5-1235U/8GB/256GB)")</f>
        <v>Microsoft Surface Laptop Go 3 12.4 インチ タッチ ラップトップ (Intel i5-1235U/8GB/256GB)</v>
      </c>
    </row>
    <row r="351" ht="15.75" customHeight="1">
      <c r="A351" s="1">
        <v>7961.0</v>
      </c>
      <c r="B351" s="1" t="s">
        <v>6</v>
      </c>
      <c r="C351" s="1" t="s">
        <v>188</v>
      </c>
      <c r="D351" s="1" t="str">
        <f>IFERROR(__xludf.DUMMYFUNCTION("CONCATENATE(GOOGLETRANSLATE(C351, ""en"", ""zh-cn""))"),"新上市")</f>
        <v>新上市</v>
      </c>
      <c r="E351" s="1" t="str">
        <f>IFERROR(__xludf.DUMMYFUNCTION("CONCATENATE(GOOGLETRANSLATE(C351, ""en"", ""ko""))"),"새 목록")</f>
        <v>새 목록</v>
      </c>
      <c r="F351" s="1" t="str">
        <f>IFERROR(__xludf.DUMMYFUNCTION("CONCATENATE(GOOGLETRANSLATE(C351, ""en"", ""ja""))"),"新規上場")</f>
        <v>新規上場</v>
      </c>
    </row>
    <row r="352" ht="15.75" customHeight="1">
      <c r="A352" s="1">
        <v>7974.0</v>
      </c>
      <c r="B352" s="1" t="s">
        <v>6</v>
      </c>
      <c r="C352" s="1" t="s">
        <v>188</v>
      </c>
      <c r="D352" s="1" t="str">
        <f>IFERROR(__xludf.DUMMYFUNCTION("CONCATENATE(GOOGLETRANSLATE(C352, ""en"", ""zh-cn""))"),"新上市")</f>
        <v>新上市</v>
      </c>
      <c r="E352" s="1" t="str">
        <f>IFERROR(__xludf.DUMMYFUNCTION("CONCATENATE(GOOGLETRANSLATE(C352, ""en"", ""ko""))"),"새 목록")</f>
        <v>새 목록</v>
      </c>
      <c r="F352" s="1" t="str">
        <f>IFERROR(__xludf.DUMMYFUNCTION("CONCATENATE(GOOGLETRANSLATE(C352, ""en"", ""ja""))"),"新規上場")</f>
        <v>新規上場</v>
      </c>
    </row>
    <row r="353" ht="15.75" customHeight="1">
      <c r="A353" s="1">
        <v>8003.0</v>
      </c>
      <c r="B353" s="1" t="s">
        <v>6</v>
      </c>
      <c r="C353" s="1" t="s">
        <v>352</v>
      </c>
      <c r="D353" s="1" t="str">
        <f>IFERROR(__xludf.DUMMYFUNCTION("CONCATENATE(GOOGLETRANSLATE(C353, ""en"", ""zh-cn""))"),"Microsoft Surface 笔记本电脑 5，13.5 英寸 QHD 触摸屏，i5-1235U，8GB，256GB SSD，白金版")</f>
        <v>Microsoft Surface 笔记本电脑 5，13.5 英寸 QHD 触摸屏，i5-1235U，8GB，256GB SSD，白金版</v>
      </c>
      <c r="E353" s="1" t="str">
        <f>IFERROR(__xludf.DUMMYFUNCTION("CONCATENATE(GOOGLETRANSLATE(C353, ""en"", ""ko""))"),"마이크로소프트 서피스 랩톱 5, 13.5인치 QHD 터치, i5-1235U, 8GB, 256GB SSD, 플래티넘")</f>
        <v>마이크로소프트 서피스 랩톱 5, 13.5인치 QHD 터치, i5-1235U, 8GB, 256GB SSD, 플래티넘</v>
      </c>
      <c r="F353" s="1" t="str">
        <f>IFERROR(__xludf.DUMMYFUNCTION("CONCATENATE(GOOGLETRANSLATE(C353, ""en"", ""ja""))"),"Microsoft Surface Laptop 5、13.5 インチ QHD タッチ、i5-1235U、8GB、256GB SSD、プラチナ")</f>
        <v>Microsoft Surface Laptop 5、13.5 インチ QHD タッチ、i5-1235U、8GB、256GB SSD、プラチナ</v>
      </c>
    </row>
    <row r="354" ht="15.75" customHeight="1">
      <c r="A354" s="1">
        <v>8013.0</v>
      </c>
      <c r="B354" s="1" t="s">
        <v>6</v>
      </c>
      <c r="C354" s="1" t="s">
        <v>353</v>
      </c>
      <c r="D354" s="1" t="str">
        <f>IFERROR(__xludf.DUMMYFUNCTION("CONCATENATE(GOOGLETRANSLATE(C354, ""en"", ""zh-cn""))"),"Lenovo Legion Pro 5i 16"""" WQXGA (2560 x 1600) 游戏笔记本电脑 - i9-13900HX（24 核）处理器 -GeForce RTX 4060 (TGP 140W)，Win 11 Home，带鼠标垫（64GB RAM | 1TB PCIe SSD），黑色")</f>
        <v>Lenovo Legion Pro 5i 16"" WQXGA (2560 x 1600) 游戏笔记本电脑 - i9-13900HX（24 核）处理器 -GeForce RTX 4060 (TGP 140W)，Win 11 Home，带鼠标垫（64GB RAM | 1TB PCIe SSD），黑色</v>
      </c>
      <c r="E354" s="1" t="str">
        <f>IFERROR(__xludf.DUMMYFUNCTION("CONCATENATE(GOOGLETRANSLATE(C354, ""en"", ""ko""))"),"Lenovo Legion Pro 5i 16"""" WQXGA(2560 x 1600) 게이밍 노트북 - i9-13900HX(24코어) 프로세서-GeForce RTX 4060(TGP 140W), Win 11 Home, 마우스 패드 포함(64GB RAM | 1TB PCIe SSD), 블랙")</f>
        <v>Lenovo Legion Pro 5i 16"" WQXGA(2560 x 1600) 게이밍 노트북 - i9-13900HX(24코어) 프로세서-GeForce RTX 4060(TGP 140W), Win 11 Home, 마우스 패드 포함(64GB RAM | 1TB PCIe SSD), 블랙</v>
      </c>
      <c r="F354" s="1" t="str">
        <f>IFERROR(__xludf.DUMMYFUNCTION("CONCATENATE(GOOGLETRANSLATE(C354, ""en"", ""ja""))"),"Lenovo Legion Pro 5i 16"""" WQXGA (2560 x 1600) ゲーミング ラップトップ - i9-13900HX (24 コア) プロセッサー - GeForce RTX 4060 (TGP 140W)、Win 11 Home、マウスパッド付き (64GB RAM | 1TB PCIe SSD)、ブラック")</f>
        <v>Lenovo Legion Pro 5i 16"" WQXGA (2560 x 1600) ゲーミング ラップトップ - i9-13900HX (24 コア) プロセッサー - GeForce RTX 4060 (TGP 140W)、Win 11 Home、マウスパッド付き (64GB RAM | 1TB PCIe SSD)、ブラック</v>
      </c>
    </row>
    <row r="355" ht="15.75" customHeight="1">
      <c r="A355" s="1">
        <v>8018.0</v>
      </c>
      <c r="B355" s="1" t="s">
        <v>6</v>
      </c>
      <c r="C355" s="1" t="s">
        <v>354</v>
      </c>
      <c r="D355" s="1" t="str">
        <f>IFERROR(__xludf.DUMMYFUNCTION("CONCATENATE(GOOGLETRANSLATE(C355, ""en"", ""zh-cn""))"),"联想 IdeaPad 1 学生笔记本电脑，15.6 英寸 FHD 显示屏，英特尔双核处理器，32GB DDR4 RAM，1TB PCIe SSD，WiFi 6，蓝牙 5.2，Type-C，云灰，Windows 11 Pro，Tichang")</f>
        <v>联想 IdeaPad 1 学生笔记本电脑，15.6 英寸 FHD 显示屏，英特尔双核处理器，32GB DDR4 RAM，1TB PCIe SSD，WiFi 6，蓝牙 5.2，Type-C，云灰，Windows 11 Pro，Tichang</v>
      </c>
      <c r="E355" s="1" t="str">
        <f>IFERROR(__xludf.DUMMYFUNCTION("CONCATENATE(GOOGLETRANSLATE(C355, ""en"", ""ko""))"),"Lenovo IdeaPad 학생용 노트북 컴퓨터 1대, 15.6인치 FHD 디스플레이, Intel 듀얼 코어 프로세서, 32GB DDR4 RAM, 1TB PCIe SSD, WiFi 6, Bluetooth 5.2, Type-C, 클라우드 그레이, Windows 11 Pro, Tichang")</f>
        <v>Lenovo IdeaPad 학생용 노트북 컴퓨터 1대, 15.6인치 FHD 디스플레이, Intel 듀얼 코어 프로세서, 32GB DDR4 RAM, 1TB PCIe SSD, WiFi 6, Bluetooth 5.2, Type-C, 클라우드 그레이, Windows 11 Pro, Tichang</v>
      </c>
      <c r="F355" s="1" t="str">
        <f>IFERROR(__xludf.DUMMYFUNCTION("CONCATENATE(GOOGLETRANSLATE(C355, ""en"", ""ja""))"),"Lenovo IdeaPad 1 学生用ラップトップ コンピューター、15.6 インチ FHD ディスプレイ、インテル デュアル コア プロセッサー、32GB DDR4 RAM、1TB PCIe SSD、WiFi 6、Bluetooth 5.2、Type-C、クラウド グレー、Windows 11 Pro、Tichang")</f>
        <v>Lenovo IdeaPad 1 学生用ラップトップ コンピューター、15.6 インチ FHD ディスプレイ、インテル デュアル コア プロセッサー、32GB DDR4 RAM、1TB PCIe SSD、WiFi 6、Bluetooth 5.2、Type-C、クラウド グレー、Windows 11 Pro、Tichang</v>
      </c>
    </row>
    <row r="356" ht="15.75" customHeight="1">
      <c r="A356" s="1">
        <v>8059.0</v>
      </c>
      <c r="B356" s="1" t="s">
        <v>6</v>
      </c>
      <c r="C356" s="1" t="s">
        <v>355</v>
      </c>
      <c r="D356" s="1" t="str">
        <f>IFERROR(__xludf.DUMMYFUNCTION("CONCATENATE(GOOGLETRANSLATE(C356, ""en"", ""zh-cn""))"),"戴尔 Inspiron 笔记本电脑，15.6 英寸全高清触摸屏，英特尔酷睿 i7 1355U 处理器（高达 5GHz，10 核），16GB RAM，1TB 固态硬盘，英特尔 Iris Xe 显卡，Wi-Fi 6，蓝牙，Windows 11 家庭版")</f>
        <v>戴尔 Inspiron 笔记本电脑，15.6 英寸全高清触摸屏，英特尔酷睿 i7 1355U 处理器（高达 5GHz，10 核），16GB RAM，1TB 固态硬盘，英特尔 Iris Xe 显卡，Wi-Fi 6，蓝牙，Windows 11 家庭版</v>
      </c>
      <c r="E356" s="1" t="str">
        <f>IFERROR(__xludf.DUMMYFUNCTION("CONCATENATE(GOOGLETRANSLATE(C356, ""en"", ""ko""))"),"Dell Inspiron 노트북, 15.6인치 FHD 터치스크린, Intel-Core i7 1355U 프로세서(최대 5GHz, 10코어), 16GB RAM, 1TB SSD, Intel Iris Xe 그래픽, Wi-Fi 6, Bluetooth, Windows 11 Home")</f>
        <v>Dell Inspiron 노트북, 15.6인치 FHD 터치스크린, Intel-Core i7 1355U 프로세서(최대 5GHz, 10코어), 16GB RAM, 1TB SSD, Intel Iris Xe 그래픽, Wi-Fi 6, Bluetooth, Windows 11 Home</v>
      </c>
      <c r="F356" s="1" t="str">
        <f>IFERROR(__xludf.DUMMYFUNCTION("CONCATENATE(GOOGLETRANSLATE(C356, ""en"", ""ja""))"),"Dell Inspiron ノートパソコン、15.6 インチ FHD タッチスクリーン、Intel-Core i7 1355U プロセッサー (最大 5GHz、10 コア)、16GB RAM、1TB SSD、Intel Iris Xe グラフィックス、Wi-Fi 6、Bluetooth、Windows 11 Home")</f>
        <v>Dell Inspiron ノートパソコン、15.6 インチ FHD タッチスクリーン、Intel-Core i7 1355U プロセッサー (最大 5GHz、10 コア)、16GB RAM、1TB SSD、Intel Iris Xe グラフィックス、Wi-Fi 6、Bluetooth、Windows 11 Home</v>
      </c>
    </row>
    <row r="357" ht="15.75" customHeight="1">
      <c r="A357" s="1">
        <v>8107.0</v>
      </c>
      <c r="B357" s="1" t="s">
        <v>6</v>
      </c>
      <c r="C357" s="1" t="s">
        <v>356</v>
      </c>
      <c r="D357" s="1" t="str">
        <f>IFERROR(__xludf.DUMMYFUNCTION("CONCATENATE(GOOGLETRANSLATE(C357, ""en"", ""zh-cn""))"),"Apple MacBook Air 13 英寸笔记本电脑（1.6GHz Core i5、4GB RAM、128GB SSD，2015 年初）")</f>
        <v>Apple MacBook Air 13 英寸笔记本电脑（1.6GHz Core i5、4GB RAM、128GB SSD，2015 年初）</v>
      </c>
      <c r="E357" s="1" t="str">
        <f>IFERROR(__xludf.DUMMYFUNCTION("CONCATENATE(GOOGLETRANSLATE(C357, ""en"", ""ko""))"),"Apple MacBook Air 13인치 노트북(1.6GHz Core i5,4GB RAM,128GB SSD, 2015년 초)")</f>
        <v>Apple MacBook Air 13인치 노트북(1.6GHz Core i5,4GB RAM,128GB SSD, 2015년 초)</v>
      </c>
      <c r="F357" s="1" t="str">
        <f>IFERROR(__xludf.DUMMYFUNCTION("CONCATENATE(GOOGLETRANSLATE(C357, ""en"", ""ja""))"),"Apple MacBook Air 13 インチ ラップトップ (1.6GHz Core i5、4GB RAM、128GB SSD、2015 年初頭)")</f>
        <v>Apple MacBook Air 13 インチ ラップトップ (1.6GHz Core i5、4GB RAM、128GB SSD、2015 年初頭)</v>
      </c>
    </row>
    <row r="358" ht="15.75" customHeight="1">
      <c r="A358" s="1">
        <v>8111.0</v>
      </c>
      <c r="B358" s="1" t="s">
        <v>6</v>
      </c>
      <c r="C358" s="1" t="s">
        <v>357</v>
      </c>
      <c r="D358" s="1" t="str">
        <f>IFERROR(__xludf.DUMMYFUNCTION("CONCATENATE(GOOGLETRANSLATE(C358, ""en"", ""zh-cn""))"),"2019 年 Apple MacBook Pro，配备 2.3GHz Intel Core i9（16 英寸，16GB RAM，1TB 存储）深空灰色（更新版）")</f>
        <v>2019 年 Apple MacBook Pro，配备 2.3GHz Intel Core i9（16 英寸，16GB RAM，1TB 存储）深空灰色（更新版）</v>
      </c>
      <c r="E358" s="1" t="str">
        <f>IFERROR(__xludf.DUMMYFUNCTION("CONCATENATE(GOOGLETRANSLATE(C358, ""en"", ""ko""))"),"2019 Apple MacBook Pro with 2.3GHz Intel Core i9(16인치, 16GB RAM, 1TB 스토리지) 스페이스 그레이(리뉴얼)")</f>
        <v>2019 Apple MacBook Pro with 2.3GHz Intel Core i9(16인치, 16GB RAM, 1TB 스토리지) 스페이스 그레이(리뉴얼)</v>
      </c>
      <c r="F358" s="1" t="str">
        <f>IFERROR(__xludf.DUMMYFUNCTION("CONCATENATE(GOOGLETRANSLATE(C358, ""en"", ""ja""))"),"2019 Apple MacBook Pro 2.3GHz Intel Core i9 (16インチ、16GB RAM、1TB ストレージ) スペースグレイ (リニューアル)")</f>
        <v>2019 Apple MacBook Pro 2.3GHz Intel Core i9 (16インチ、16GB RAM、1TB ストレージ) スペースグレイ (リニューアル)</v>
      </c>
    </row>
    <row r="359" ht="15.75" customHeight="1">
      <c r="A359" s="1">
        <v>8119.0</v>
      </c>
      <c r="B359" s="1" t="s">
        <v>6</v>
      </c>
      <c r="C359" s="1" t="s">
        <v>358</v>
      </c>
      <c r="D359" s="1" t="str">
        <f>IFERROR(__xludf.DUMMYFUNCTION("CONCATENATE(GOOGLETRANSLATE(C359, ""en"", ""zh-cn""))"),"2019 年底 Apple MacBook Pro，配备 2.3GHz Intel Core i9（16 英寸，32GB RAM，1TB）深空灰色（续订）")</f>
        <v>2019 年底 Apple MacBook Pro，配备 2.3GHz Intel Core i9（16 英寸，32GB RAM，1TB）深空灰色（续订）</v>
      </c>
      <c r="E359" s="1" t="str">
        <f>IFERROR(__xludf.DUMMYFUNCTION("CONCATENATE(GOOGLETRANSLATE(C359, ""en"", ""ko""))"),"2019년 말 Apple MacBook Pro 2.3GHz Intel Core i9(16인치, 32GB RAM, 1TB) 스페이스 그레이(리뉴얼)")</f>
        <v>2019년 말 Apple MacBook Pro 2.3GHz Intel Core i9(16인치, 32GB RAM, 1TB) 스페이스 그레이(리뉴얼)</v>
      </c>
      <c r="F359" s="1" t="str">
        <f>IFERROR(__xludf.DUMMYFUNCTION("CONCATENATE(GOOGLETRANSLATE(C359, ""en"", ""ja""))"),"Late 2019 Apple MacBook Pro 2.3GHz Intel Core i9 搭載 (16 インチ、32GB RAM、1TB) スペースグレイ (リニューアル)")</f>
        <v>Late 2019 Apple MacBook Pro 2.3GHz Intel Core i9 搭載 (16 インチ、32GB RAM、1TB) スペースグレイ (リニューアル)</v>
      </c>
    </row>
    <row r="360" ht="15.75" customHeight="1">
      <c r="A360" s="1">
        <v>8132.0</v>
      </c>
      <c r="B360" s="1" t="s">
        <v>6</v>
      </c>
      <c r="C360" s="1" t="s">
        <v>359</v>
      </c>
      <c r="D360" s="1" t="str">
        <f>IFERROR(__xludf.DUMMYFUNCTION("CONCATENATE(GOOGLETRANSLATE(C360, ""en"", ""zh-cn""))"),"Apple 2024 MacBook Air 13 英寸笔记本电脑，配备 M3 芯片：专为 Apple Intelligence 打造，13.6 英寸 Liquid Retina 显示屏，24GB 统一内存，512GB SSD 存储，背光键盘，Touch ID；午夜")</f>
        <v>Apple 2024 MacBook Air 13 英寸笔记本电脑，配备 M3 芯片：专为 Apple Intelligence 打造，13.6 英寸 Liquid Retina 显示屏，24GB 统一内存，512GB SSD 存储，背光键盘，Touch ID；午夜</v>
      </c>
      <c r="E360" s="1" t="str">
        <f>IFERROR(__xludf.DUMMYFUNCTION("CONCATENATE(GOOGLETRANSLATE(C360, ""en"", ""ko""))"),"M3 칩이 탑재된 Apple 2024 MacBook Air 13인치 노트북: Apple Intelligence용으로 제작, 13.6인치 Liquid Retina 디스플레이, 24GB 통합 메모리, 512GB SSD 스토리지, 백라이트 키보드, Touch ID; 자정")</f>
        <v>M3 칩이 탑재된 Apple 2024 MacBook Air 13인치 노트북: Apple Intelligence용으로 제작, 13.6인치 Liquid Retina 디스플레이, 24GB 통합 메모리, 512GB SSD 스토리지, 백라이트 키보드, Touch ID; 자정</v>
      </c>
      <c r="F360" s="1" t="str">
        <f>IFERROR(__xludf.DUMMYFUNCTION("CONCATENATE(GOOGLETRANSLATE(C360, ""en"", ""ja""))"),"M3 チップ搭載 Apple 2024 MacBook Air 13 インチ ラップトップ: Apple インテリジェンス向けに構築、13.6 インチ Liquid Retina ディスプレイ、24GB ユニファイド メモリ、512GB SSD ストレージ、バックライト付きキーボード、Touch ID。夜中")</f>
        <v>M3 チップ搭載 Apple 2024 MacBook Air 13 インチ ラップトップ: Apple インテリジェンス向けに構築、13.6 インチ Liquid Retina ディスプレイ、24GB ユニファイド メモリ、512GB SSD ストレージ、バックライト付きキーボード、Touch ID。夜中</v>
      </c>
    </row>
    <row r="361" ht="15.75" customHeight="1">
      <c r="A361" s="1">
        <v>7800.0</v>
      </c>
      <c r="B361" s="1" t="s">
        <v>6</v>
      </c>
      <c r="C361" s="1" t="s">
        <v>360</v>
      </c>
      <c r="D361" s="1" t="str">
        <f>IFERROR(__xludf.DUMMYFUNCTION("CONCATENATE(GOOGLETRANSLATE(C361, ""en"", ""zh-cn""))"),"惠普 58A 黑色碳粉盒 |适用于 HP LaserJet Enterprise M406 系列、HP LaserJet Enterprise MFP M430 系列、HP LaserJet Pro M404 系列、HP LaserJet Pro MFP M428 系列 | CF258A")</f>
        <v>惠普 58A 黑色碳粉盒 |适用于 HP LaserJet Enterprise M406 系列、HP LaserJet Enterprise MFP M430 系列、HP LaserJet Pro M404 系列、HP LaserJet Pro MFP M428 系列 | CF258A</v>
      </c>
      <c r="E361" s="1" t="str">
        <f>IFERROR(__xludf.DUMMYFUNCTION("CONCATENATE(GOOGLETRANSLATE(C361, ""en"", ""ko""))"),"HP 58A 검정 토너 카트리지 | HP LaserJet Enterprise M406 시리즈, HP LaserJet Enterprise MFP M430 시리즈, HP LaserJet Pro M404 시리즈, HP LaserJet Pro MFP M428 시리즈와 함께 작동 | CF258A")</f>
        <v>HP 58A 검정 토너 카트리지 | HP LaserJet Enterprise M406 시리즈, HP LaserJet Enterprise MFP M430 시리즈, HP LaserJet Pro M404 시리즈, HP LaserJet Pro MFP M428 시리즈와 함께 작동 | CF258A</v>
      </c>
      <c r="F361" s="1" t="str">
        <f>IFERROR(__xludf.DUMMYFUNCTION("CONCATENATE(GOOGLETRANSLATE(C361, ""en"", ""ja""))"),"HP 58A ブラック トナー カートリッジ | HP LaserJet Enterprise M406 シリーズ、HP LaserJet Enterprise MFP M430 シリーズ、HP LaserJet Pro M404 シリーズ、HP LaserJet Pro MFP M428 シリーズで動作 | CF258A")</f>
        <v>HP 58A ブラック トナー カートリッジ | HP LaserJet Enterprise M406 シリーズ、HP LaserJet Enterprise MFP M430 シリーズ、HP LaserJet Pro M404 シリーズ、HP LaserJet Pro MFP M428 シリーズで動作 | CF258A</v>
      </c>
    </row>
    <row r="362" ht="15.75" customHeight="1">
      <c r="A362" s="1">
        <v>7812.0</v>
      </c>
      <c r="B362" s="1" t="s">
        <v>6</v>
      </c>
      <c r="C362" s="1" t="s">
        <v>361</v>
      </c>
      <c r="D362" s="1" t="str">
        <f>IFERROR(__xludf.DUMMYFUNCTION("CONCATENATE(GOOGLETRANSLATE(C362, ""en"", ""zh-cn""))"),"HP 63 黑色墨盒 |适用于 HP DeskJet 1112、2130、3630 系列；惠普 ENVY 4510、4520 系列； HP OfficeJet 3830、4650、5200 系列 |符合 Instant Ink 条件 | F6U62AN")</f>
        <v>HP 63 黑色墨盒 |适用于 HP DeskJet 1112、2130、3630 系列；惠普 ENVY 4510、4520 系列； HP OfficeJet 3830、4650、5200 系列 |符合 Instant Ink 条件 | F6U62AN</v>
      </c>
      <c r="E362" s="1" t="str">
        <f>IFERROR(__xludf.DUMMYFUNCTION("CONCATENATE(GOOGLETRANSLATE(C362, ""en"", ""ko""))"),"HP 63 검정 잉크 카트리지 | HP DeskJet 1112, 2130, 3630 시리즈와 함께 작동합니다. HP ENVY 4510, 4520 시리즈; HP 오피스젯 3830, 4650, 5200 시리즈 | 인스턴트 잉크 사용 가능 | F6U62AN")</f>
        <v>HP 63 검정 잉크 카트리지 | HP DeskJet 1112, 2130, 3630 시리즈와 함께 작동합니다. HP ENVY 4510, 4520 시리즈; HP 오피스젯 3830, 4650, 5200 시리즈 | 인스턴트 잉크 사용 가능 | F6U62AN</v>
      </c>
      <c r="F362" s="1" t="str">
        <f>IFERROR(__xludf.DUMMYFUNCTION("CONCATENATE(GOOGLETRANSLATE(C362, ""en"", ""ja""))"),"HP 63 ブラック インク カートリッジ | HP DeskJet 1112、2130、3630 シリーズで動作します。 HP ENVY 4510、4520 シリーズ; HP OfficeJet 3830、4650、5200 シリーズ | Instant Ink の対象 | F6U62AN")</f>
        <v>HP 63 ブラック インク カートリッジ | HP DeskJet 1112、2130、3630 シリーズで動作します。 HP ENVY 4510、4520 シリーズ; HP OfficeJet 3830、4650、5200 シリーズ | Instant Ink の対象 | F6U62AN</v>
      </c>
    </row>
    <row r="363" ht="15.75" customHeight="1">
      <c r="A363" s="1">
        <v>7843.0</v>
      </c>
      <c r="B363" s="1" t="s">
        <v>6</v>
      </c>
      <c r="C363" s="1" t="s">
        <v>362</v>
      </c>
      <c r="D363" s="1" t="str">
        <f>IFERROR(__xludf.DUMMYFUNCTION("CONCATENATE(GOOGLETRANSLATE(C363, ""en"", ""zh-cn""))"),"Brother 正品标准打印碳粉盒，TN630，替换黑色碳粉，页打印量高达 1,200 页，Amazon Dash 补充碳粉盒")</f>
        <v>Brother 正品标准打印碳粉盒，TN630，替换黑色碳粉，页打印量高达 1,200 页，Amazon Dash 补充碳粉盒</v>
      </c>
      <c r="E363" s="1" t="str">
        <f>IFERROR(__xludf.DUMMYFUNCTION("CONCATENATE(GOOGLETRANSLATE(C363, ""en"", ""ko""))"),"브라더 정품 표준 출력 토너 카트리지, TN630, 교체용 검정색 토너, 페이지 출력량 최대 1,200페이지, 아마존 대시 보충 카트리지")</f>
        <v>브라더 정품 표준 출력 토너 카트리지, TN630, 교체용 검정색 토너, 페이지 출력량 최대 1,200페이지, 아마존 대시 보충 카트리지</v>
      </c>
      <c r="F363" s="1" t="str">
        <f>IFERROR(__xludf.DUMMYFUNCTION("CONCATENATE(GOOGLETRANSLATE(C363, ""en"", ""ja""))"),"Brother 純正標準収量トナーカートリッジ、TN630、交換用ブラックトナー、最大 1,200 ページの印刷可能量、Amazon ダッシュ補充カートリッジ")</f>
        <v>Brother 純正標準収量トナーカートリッジ、TN630、交換用ブラックトナー、最大 1,200 ページの印刷可能量、Amazon ダッシュ補充カートリッジ</v>
      </c>
    </row>
    <row r="364" ht="15.75" customHeight="1">
      <c r="A364" s="1">
        <v>7854.0</v>
      </c>
      <c r="B364" s="1" t="s">
        <v>6</v>
      </c>
      <c r="C364" s="1" t="s">
        <v>363</v>
      </c>
      <c r="D364" s="1" t="str">
        <f>IFERROR(__xludf.DUMMYFUNCTION("CONCATENATE(GOOGLETRANSLATE(C364, ""en"", ""zh-cn""))"),"Brother 正品高印量碳粉盒，TN660，替换黑色碳粉，页打印量高达 2,600 页，亚马逊 Dash 补充碳粉盒，黑色，1 包")</f>
        <v>Brother 正品高印量碳粉盒，TN660，替换黑色碳粉，页打印量高达 2,600 页，亚马逊 Dash 补充碳粉盒，黑色，1 包</v>
      </c>
      <c r="E364" s="1" t="str">
        <f>IFERROR(__xludf.DUMMYFUNCTION("CONCATENATE(GOOGLETRANSLATE(C364, ""en"", ""ko""))"),"브라더 정품 대용량 토너 카트리지, TN660, 교체용 블랙 토너, 페이지 출력량 최대 2,600페이지, 아마존 대시 보충 카트리지, 블랙, 1팩")</f>
        <v>브라더 정품 대용량 토너 카트리지, TN660, 교체용 블랙 토너, 페이지 출력량 최대 2,600페이지, 아마존 대시 보충 카트리지, 블랙, 1팩</v>
      </c>
      <c r="F364" s="1" t="str">
        <f>IFERROR(__xludf.DUMMYFUNCTION("CONCATENATE(GOOGLETRANSLATE(C364, ""en"", ""ja""))"),"Brother 純正高収量トナーカートリッジ、TN660、交換用ブラックトナー、最大 2,600 ページの印刷可能枚数、Amazon ダッシュ補充カートリッジ、ブラック、1 パック")</f>
        <v>Brother 純正高収量トナーカートリッジ、TN660、交換用ブラックトナー、最大 2,600 ページの印刷可能枚数、Amazon ダッシュ補充カートリッジ、ブラック、1 パック</v>
      </c>
    </row>
    <row r="365" ht="15.75" customHeight="1">
      <c r="A365" s="1">
        <v>7856.0</v>
      </c>
      <c r="B365" s="1" t="s">
        <v>6</v>
      </c>
      <c r="C365" s="1" t="s">
        <v>364</v>
      </c>
      <c r="D365" s="1" t="str">
        <f>IFERROR(__xludf.DUMMYFUNCTION("CONCATENATE(GOOGLETRANSLATE(C365, ""en"", ""zh-cn""))"),"Brother DCP-L2640DW 无线紧凑型单色多功能激光打印机，带复印和扫描、双面、移动、黑白 |包括刷新订阅试用版 (1)、Amazon Dash 补充就绪")</f>
        <v>Brother DCP-L2640DW 无线紧凑型单色多功能激光打印机，带复印和扫描、双面、移动、黑白 |包括刷新订阅试用版 (1)、Amazon Dash 补充就绪</v>
      </c>
      <c r="E365" s="1" t="str">
        <f>IFERROR(__xludf.DUMMYFUNCTION("CONCATENATE(GOOGLETRANSLATE(C365, ""en"", ""ko""))"),"Brother DCP-L2640DW 복사 및 스캔, 양면, 모바일, 흑백 기능을 갖춘 무선 소형 흑백 다기능 레이저 프린터 | 새로 고침 구독 평가판(1), Amazon Dash 보충 준비 포함")</f>
        <v>Brother DCP-L2640DW 복사 및 스캔, 양면, 모바일, 흑백 기능을 갖춘 무선 소형 흑백 다기능 레이저 프린터 | 새로 고침 구독 평가판(1), Amazon Dash 보충 준비 포함</v>
      </c>
      <c r="F365" s="1" t="str">
        <f>IFERROR(__xludf.DUMMYFUNCTION("CONCATENATE(GOOGLETRANSLATE(C365, ""en"", ""ja""))"),"Brother DCP-L2640DW ワイヤレスコンパクトモノクロ多機能レーザープリンター、コピーとスキャン、両面印刷、モバイル、白黒 |リフレッシュ サブスクリプション トライアル (1) が含まれており、Amazon Dash Replenishment 対応")</f>
        <v>Brother DCP-L2640DW ワイヤレスコンパクトモノクロ多機能レーザープリンター、コピーとスキャン、両面印刷、モバイル、白黒 |リフレッシュ サブスクリプション トライアル (1) が含まれており、Amazon Dash Replenishment 対応</v>
      </c>
    </row>
    <row r="366" ht="15.75" customHeight="1">
      <c r="A366" s="1">
        <v>7858.0</v>
      </c>
      <c r="B366" s="1" t="s">
        <v>6</v>
      </c>
      <c r="C366" s="1" t="s">
        <v>365</v>
      </c>
      <c r="D366" s="1" t="str">
        <f>IFERROR(__xludf.DUMMYFUNCTION("CONCATENATE(GOOGLETRANSLATE(C366, ""en"", ""zh-cn""))"),"Brother MFC-L2900DW 无线紧凑型单色一体激光打印机，具有双面复印和扫描、传真、黑白功能 |包括刷新订阅试用版 (1)、Amazon Dash 补充就绪")</f>
        <v>Brother MFC-L2900DW 无线紧凑型单色一体激光打印机，具有双面复印和扫描、传真、黑白功能 |包括刷新订阅试用版 (1)、Amazon Dash 补充就绪</v>
      </c>
      <c r="E366" s="1" t="str">
        <f>IFERROR(__xludf.DUMMYFUNCTION("CONCATENATE(GOOGLETRANSLATE(C366, ""en"", ""ko""))"),"Brother MFC-L2900DW 양면 복사 및 스캔, 팩스, 흑백 기능을 갖춘 무선 컴팩트 흑백 올인원 레이저 프린터 | 새로 고침 구독 평가판(1), Amazon Dash 보충 준비 포함")</f>
        <v>Brother MFC-L2900DW 양면 복사 및 스캔, 팩스, 흑백 기능을 갖춘 무선 컴팩트 흑백 올인원 레이저 프린터 | 새로 고침 구독 평가판(1), Amazon Dash 보충 준비 포함</v>
      </c>
      <c r="F366" s="1" t="str">
        <f>IFERROR(__xludf.DUMMYFUNCTION("CONCATENATE(GOOGLETRANSLATE(C366, ""en"", ""ja""))"),"Brother MFC-L2900DW ワイヤレス コンパクト モノクロ オールインワン レーザー プリンター (両面コピー &amp; スキャン、FAX、白黒対応) |リフレッシュ サブスクリプション トライアル (1) が含まれており、Amazon Dash Replenishment 対応")</f>
        <v>Brother MFC-L2900DW ワイヤレス コンパクト モノクロ オールインワン レーザー プリンター (両面コピー &amp; スキャン、FAX、白黒対応) |リフレッシュ サブスクリプション トライアル (1) が含まれており、Amazon Dash Replenishment 対応</v>
      </c>
    </row>
    <row r="367" ht="15.75" customHeight="1">
      <c r="A367" s="1">
        <v>7862.0</v>
      </c>
      <c r="B367" s="1" t="s">
        <v>6</v>
      </c>
      <c r="C367" s="1" t="s">
        <v>366</v>
      </c>
      <c r="D367" s="1" t="str">
        <f>IFERROR(__xludf.DUMMYFUNCTION("CONCATENATE(GOOGLETRANSLATE(C367, ""en"", ""zh-cn""))"),"Brother 正品高印量彩色墨盒，LC2033PKS，替换彩色墨水三件装，青色、品红色和黄色各 1 个墨盒，页印量高达 550 页，亚马逊 Dash 补充 ")</f>
        <v>Brother 正品高印量彩色墨盒，LC2033PKS，替换彩色墨水三件装，青色、品红色和黄色各 1 个墨盒，页印量高达 550 页，亚马逊 Dash 补充 </v>
      </c>
      <c r="E367" s="1" t="str">
        <f>IFERROR(__xludf.DUMMYFUNCTION("CONCATENATE(GOOGLETRANSLATE(C367, ""en"", ""ko""))"),"브라더 정품 대용량 컬러 잉크 카트리지, LC2033PKS, 교체용 컬러 잉크 3개 팩, 시안, 마젠타 및 노랑 각 카트리지 1개 포함, 페이지 출력량 최대 550페이지, 아마존 대시 보충 ")</f>
        <v>브라더 정품 대용량 컬러 잉크 카트리지, LC2033PKS, 교체용 컬러 잉크 3개 팩, 시안, 마젠타 및 노랑 각 카트리지 1개 포함, 페이지 출력량 최대 550페이지, 아마존 대시 보충 </v>
      </c>
      <c r="F367" s="1" t="str">
        <f>IFERROR(__xludf.DUMMYFUNCTION("CONCATENATE(GOOGLETRANSLATE(C367, ""en"", ""ja""))"),"Brother 純正高収量カラーインクカートリッジ、LC2033PKS、交換用カラーインク 3 パック、シアン、マゼンタ、イエローの各 1 カートリッジが含まれ、最大 550 ページの印刷可能ページ、Amazon Dash Replenishment ")</f>
        <v>Brother 純正高収量カラーインクカートリッジ、LC2033PKS、交換用カラーインク 3 パック、シアン、マゼンタ、イエローの各 1 カートリッジが含まれ、最大 550 ページの印刷可能ページ、Amazon Dash Replenishment </v>
      </c>
    </row>
    <row r="368" ht="15.75" customHeight="1">
      <c r="A368" s="1">
        <v>7900.0</v>
      </c>
      <c r="B368" s="1" t="s">
        <v>6</v>
      </c>
      <c r="C368" s="1" t="s">
        <v>367</v>
      </c>
      <c r="D368" s="1" t="str">
        <f>IFERROR(__xludf.DUMMYFUNCTION("CONCATENATE(GOOGLETRANSLATE(C368, ""en"", ""zh-cn""))"),"Scotch 自封层压板，单面，16 英寸 x 10 英尺卷 (LS854SS-ROLL)")</f>
        <v>Scotch 自封层压板，单面，16 英寸 x 10 英尺卷 (LS854SS-ROLL)</v>
      </c>
      <c r="E368" s="1" t="str">
        <f>IFERROR(__xludf.DUMMYFUNCTION("CONCATENATE(GOOGLETRANSLATE(C368, ""en"", ""ko""))"),"스카치 자체 밀봉 라미네이팅 시트, 단면, 16인치 x 10피트 롤(LS854SS-ROLL)")</f>
        <v>스카치 자체 밀봉 라미네이팅 시트, 단면, 16인치 x 10피트 롤(LS854SS-ROLL)</v>
      </c>
      <c r="F368" s="1" t="str">
        <f>IFERROR(__xludf.DUMMYFUNCTION("CONCATENATE(GOOGLETRANSLATE(C368, ""en"", ""ja""))"),"Scotch セルフシール ラミネート シート、片面、16 インチ x 10 フィート ロール (LS854SS-ROLL)")</f>
        <v>Scotch セルフシール ラミネート シート、片面、16 インチ x 10 フィート ロール (LS854SS-ROLL)</v>
      </c>
    </row>
    <row r="369" ht="15.75" customHeight="1">
      <c r="A369" s="1">
        <v>7913.0</v>
      </c>
      <c r="B369" s="1" t="s">
        <v>6</v>
      </c>
      <c r="C369" s="1" t="s">
        <v>368</v>
      </c>
      <c r="D369" s="1" t="str">
        <f>IFERROR(__xludf.DUMMYFUNCTION("CONCATENATE(GOOGLETRANSLATE(C369, ""en"", ""zh-cn""))"),"MSI Stealth 14 AI Studio 14 英寸 120Hz 2.8K OLED 游戏笔记本电脑：Intel Core Ultra 9-185H、NVIDIA Geforce RTX 4070、64GB DDR5、1TB NVMe SSD、Thunderbolt 4、Win 11 Pro：星蓝 A1VGG-089US")</f>
        <v>MSI Stealth 14 AI Studio 14 英寸 120Hz 2.8K OLED 游戏笔记本电脑：Intel Core Ultra 9-185H、NVIDIA Geforce RTX 4070、64GB DDR5、1TB NVMe SSD、Thunderbolt 4、Win 11 Pro：星蓝 A1VGG-089US</v>
      </c>
      <c r="E369" s="1" t="str">
        <f>IFERROR(__xludf.DUMMYFUNCTION("CONCATENATE(GOOGLETRANSLATE(C369, ""en"", ""ko""))"),"MSI Stealth 14 AI Studio 14인치 120Hz 2.8K OLED 게이밍 노트북: Intel Core Ultra 9-185H, NVIDIA Geforce RTX 4070, 64GB DDR5, 1TB NVMe SSD, Thunderbolt 4, Win 11 Pro: Star Blue A1VGG-089US")</f>
        <v>MSI Stealth 14 AI Studio 14인치 120Hz 2.8K OLED 게이밍 노트북: Intel Core Ultra 9-185H, NVIDIA Geforce RTX 4070, 64GB DDR5, 1TB NVMe SSD, Thunderbolt 4, Win 11 Pro: Star Blue A1VGG-089US</v>
      </c>
      <c r="F369" s="1" t="str">
        <f>IFERROR(__xludf.DUMMYFUNCTION("CONCATENATE(GOOGLETRANSLATE(C369, ""en"", ""ja""))"),"MSI Stealth 14 AI Studio 14 インチ 120Hz 2.8K OLED ゲーミング ノートパソコン: Intel Core Ultra 9-185H、NVIDIA Geforce RTX 4070、64GB DDR5、1TB NVMe SSD、Thunderbolt 4、Win 11 Pro: スター ブルー A1VGG-089US")</f>
        <v>MSI Stealth 14 AI Studio 14 インチ 120Hz 2.8K OLED ゲーミング ノートパソコン: Intel Core Ultra 9-185H、NVIDIA Geforce RTX 4070、64GB DDR5、1TB NVMe SSD、Thunderbolt 4、Win 11 Pro: スター ブルー A1VGG-089US</v>
      </c>
    </row>
    <row r="370" ht="15.75" customHeight="1">
      <c r="A370" s="1">
        <v>7920.0</v>
      </c>
      <c r="B370" s="1" t="s">
        <v>6</v>
      </c>
      <c r="C370" s="1" t="s">
        <v>369</v>
      </c>
      <c r="D370" s="1" t="str">
        <f>IFERROR(__xludf.DUMMYFUNCTION("CONCATENATE(GOOGLETRANSLATE(C370, ""en"", ""zh-cn""))"),"MSI Raider 18 HX 游戏笔记本电脑 18 英寸 120Hz Mini LED 4K 显示屏（Intel i9-14900HX、GeForce RTX 4090 16GB、64GB DDR5、2x2TB SSD R1 (2TB)、Win 11 Pro）带 MS 365 Personal、DKZ USB 端口扩展器")</f>
        <v>MSI Raider 18 HX 游戏笔记本电脑 18 英寸 120Hz Mini LED 4K 显示屏（Intel i9-14900HX、GeForce RTX 4090 16GB、64GB DDR5、2x2TB SSD R1 (2TB)、Win 11 Pro）带 MS 365 Personal、DKZ USB 端口扩展器</v>
      </c>
      <c r="E370" s="1" t="str">
        <f>IFERROR(__xludf.DUMMYFUNCTION("CONCATENATE(GOOGLETRANSLATE(C370, ""en"", ""ko""))"),"MSI Raider 18 HX 게이밍 노트북 18인치 120Hz 미니 LED 4K 디스플레이(Intel i9-14900HX, GeForce RTX 4090 16GB, 64GB DDR5, 2x2TB SSD R1(2TB), Win 11 Pro) MS 365 개인용, DKZ USB 포트 확장기 포함")</f>
        <v>MSI Raider 18 HX 게이밍 노트북 18인치 120Hz 미니 LED 4K 디스플레이(Intel i9-14900HX, GeForce RTX 4090 16GB, 64GB DDR5, 2x2TB SSD R1(2TB), Win 11 Pro) MS 365 개인용, DKZ USB 포트 확장기 포함</v>
      </c>
      <c r="F370" s="1" t="str">
        <f>IFERROR(__xludf.DUMMYFUNCTION("CONCATENATE(GOOGLETRANSLATE(C370, ""en"", ""ja""))"),"MSI Raider 18 HX ゲーミング ノートパソコン 18 インチ 120Hz ミニ LED 4K ディスプレイ (Intel i9-14900HX、GeForce RTX 4090 16GB、64GB DDR5、2x2TB SSD R1 (2TB)、Win 11 Pro) MS 365 Personal、DKZ USB ポート エキスパンダ付き")</f>
        <v>MSI Raider 18 HX ゲーミング ノートパソコン 18 インチ 120Hz ミニ LED 4K ディスプレイ (Intel i9-14900HX、GeForce RTX 4090 16GB、64GB DDR5、2x2TB SSD R1 (2TB)、Win 11 Pro) MS 365 Personal、DKZ USB ポート エキスパンダ付き</v>
      </c>
    </row>
    <row r="371" ht="15.75" customHeight="1">
      <c r="A371" s="1">
        <v>7931.0</v>
      </c>
      <c r="B371" s="1" t="s">
        <v>6</v>
      </c>
      <c r="C371" s="1" t="s">
        <v>370</v>
      </c>
      <c r="D371" s="1" t="str">
        <f>IFERROR(__xludf.DUMMYFUNCTION("CONCATENATE(GOOGLETRANSLATE(C371, ""en"", ""zh-cn""))"),"MSI 2023 Prestige 笔记本电脑 14 英寸 FHD 1920 x 1080 LED 背光第 12 代英特尔酷睿 i7-1280P 14 核 32GB LPDDR4 2TB SSD Wi-Fi 6E Windows 11 家用蓝牙 5.2 背光键盘 720p 高清摄像头")</f>
        <v>MSI 2023 Prestige 笔记本电脑 14 英寸 FHD 1920 x 1080 LED 背光第 12 代英特尔酷睿 i7-1280P 14 核 32GB LPDDR4 2TB SSD Wi-Fi 6E Windows 11 家用蓝牙 5.2 背光键盘 720p 高清摄像头</v>
      </c>
      <c r="E371" s="1" t="str">
        <f>IFERROR(__xludf.DUMMYFUNCTION("CONCATENATE(GOOGLETRANSLATE(C371, ""en"", ""ko""))"),"MSI 2023 프레스티지 노트북 14인치 FHD 1920 x 1080 LED 백라이트 12세대 인텔 코어 i7-1280P 14코어 32GB LPDDR4 2TB SSD Wi-Fi 6E Windows 11 홈 블루투스 5.2 백라이트 키보드 720p HD 카메라")</f>
        <v>MSI 2023 프레스티지 노트북 14인치 FHD 1920 x 1080 LED 백라이트 12세대 인텔 코어 i7-1280P 14코어 32GB LPDDR4 2TB SSD Wi-Fi 6E Windows 11 홈 블루투스 5.2 백라이트 키보드 720p HD 카메라</v>
      </c>
      <c r="F371" s="1" t="str">
        <f>IFERROR(__xludf.DUMMYFUNCTION("CONCATENATE(GOOGLETRANSLATE(C371, ""en"", ""ja""))"),"MSI 2023 プレステージ ノートパソコン 14 インチ FHD 1920 x 1080 LED バックライト付き第 12 世代インテル Core i7-1280P 14 コア 32GB LPDDR4 2TB SSD Wi-Fi 6E Windows 11 Home Bluetooth 5.2 バックライト付きキーボード 720p HD カメラ")</f>
        <v>MSI 2023 プレステージ ノートパソコン 14 インチ FHD 1920 x 1080 LED バックライト付き第 12 世代インテル Core i7-1280P 14 コア 32GB LPDDR4 2TB SSD Wi-Fi 6E Windows 11 Home Bluetooth 5.2 バックライト付きキーボード 720p HD カメラ</v>
      </c>
    </row>
    <row r="372" ht="15.75" customHeight="1">
      <c r="A372" s="1">
        <v>7934.0</v>
      </c>
      <c r="B372" s="1" t="s">
        <v>6</v>
      </c>
      <c r="C372" s="1" t="s">
        <v>371</v>
      </c>
      <c r="D372" s="1" t="str">
        <f>IFERROR(__xludf.DUMMYFUNCTION("CONCATENATE(GOOGLETRANSLATE(C372, ""en"", ""zh-cn""))"),"MSI 2024 现代 15.6 英寸 FHD IPS 触摸屏笔记本电脑 16 核 Intel Core Ultra 9 185H ARC 显卡 32GB DDR5 2TB NVMe SSD USB-C 带 DP WiFi AX BT 网络摄像头 HDMI2.1 背光 KB Windows 11 Pro 带 RE USB")</f>
        <v>MSI 2024 现代 15.6 英寸 FHD IPS 触摸屏笔记本电脑 16 核 Intel Core Ultra 9 185H ARC 显卡 32GB DDR5 2TB NVMe SSD USB-C 带 DP WiFi AX BT 网络摄像头 HDMI2.1 背光 KB Windows 11 Pro 带 RE USB</v>
      </c>
      <c r="E372" s="1" t="str">
        <f>IFERROR(__xludf.DUMMYFUNCTION("CONCATENATE(GOOGLETRANSLATE(C372, ""en"", ""ko""))"),"MSI 2024 최신 15.6인치 FHD IPS 터치스크린 노트북 16코어 Intel Core Ultra 9 185H ARC 그래픽 32GB DDR5 2TB NVMe SSD USB-C DP WiFi AX BT 웹캠 HDMI2.1 백라이트 KB Windows 11 Pro RE USB 포함")</f>
        <v>MSI 2024 최신 15.6인치 FHD IPS 터치스크린 노트북 16코어 Intel Core Ultra 9 185H ARC 그래픽 32GB DDR5 2TB NVMe SSD USB-C DP WiFi AX BT 웹캠 HDMI2.1 백라이트 KB Windows 11 Pro RE USB 포함</v>
      </c>
      <c r="F372" s="1" t="str">
        <f>IFERROR(__xludf.DUMMYFUNCTION("CONCATENATE(GOOGLETRANSLATE(C372, ""en"", ""ja""))"),"MSI 2024 最新 15.6 インチ FHD IPS タッチスクリーン ラップトップ 16 コア Intel Core Ultra 9 185H ARC グラフィックス 32GB DDR5 2TB NVMe SSD USB-C (DP 付き) WiFi AX BT ウェブカメラ HDMI2.1 バックライト付き KB Windows 11 Pro (RE USB 付き)")</f>
        <v>MSI 2024 最新 15.6 インチ FHD IPS タッチスクリーン ラップトップ 16 コア Intel Core Ultra 9 185H ARC グラフィックス 32GB DDR5 2TB NVMe SSD USB-C (DP 付き) WiFi AX BT ウェブカメラ HDMI2.1 バックライト付き KB Windows 11 Pro (RE USB 付き)</v>
      </c>
    </row>
    <row r="373" ht="15.75" customHeight="1">
      <c r="A373" s="1">
        <v>7953.0</v>
      </c>
      <c r="B373" s="1" t="s">
        <v>6</v>
      </c>
      <c r="C373" s="1" t="s">
        <v>188</v>
      </c>
      <c r="D373" s="1" t="str">
        <f>IFERROR(__xludf.DUMMYFUNCTION("CONCATENATE(GOOGLETRANSLATE(C373, ""en"", ""zh-cn""))"),"新上市")</f>
        <v>新上市</v>
      </c>
      <c r="E373" s="1" t="str">
        <f>IFERROR(__xludf.DUMMYFUNCTION("CONCATENATE(GOOGLETRANSLATE(C373, ""en"", ""ko""))"),"새 목록")</f>
        <v>새 목록</v>
      </c>
      <c r="F373" s="1" t="str">
        <f>IFERROR(__xludf.DUMMYFUNCTION("CONCATENATE(GOOGLETRANSLATE(C373, ""en"", ""ja""))"),"新規上場")</f>
        <v>新規上場</v>
      </c>
    </row>
    <row r="374" ht="15.75" customHeight="1">
      <c r="A374" s="1">
        <v>8015.0</v>
      </c>
      <c r="B374" s="1" t="s">
        <v>6</v>
      </c>
      <c r="C374" s="1" t="s">
        <v>372</v>
      </c>
      <c r="D374" s="1" t="str">
        <f>IFERROR(__xludf.DUMMYFUNCTION("CONCATENATE(GOOGLETRANSLATE(C374, ""en"", ""zh-cn""))"),"联想 Premium 系列 15 笔记本电脑 | 36GB 内存 | 1.1TB 存储（640GB SSD 和 500GB HP P500 便携式 SSD 红色）| 1 年 Office 365（带 1TB 云存储）|英特尔酷睿 | 15.6 英寸 | Win 11 专业版")</f>
        <v>联想 Premium 系列 15 笔记本电脑 | 36GB 内存 | 1.1TB 存储（640GB SSD 和 500GB HP P500 便携式 SSD 红色）| 1 年 Office 365（带 1TB 云存储）|英特尔酷睿 | 15.6 英寸 | Win 11 专业版</v>
      </c>
      <c r="E374" s="1" t="str">
        <f>IFERROR(__xludf.DUMMYFUNCTION("CONCATENATE(GOOGLETRANSLATE(C374, ""en"", ""ko""))"),"Lenovo 프리미엄 시리즈 15 노트북 | 36GB RAM | 1.1TB 스토리지(640GB SSD 및 500GB HP P500 휴대용 SSD 레드) | 1년 Office 365(1TB 클라우드 스토리지 포함) | 인텔 코어 | 15.6"" | 윈도우 11 프로")</f>
        <v>Lenovo 프리미엄 시리즈 15 노트북 | 36GB RAM | 1.1TB 스토리지(640GB SSD 및 500GB HP P500 휴대용 SSD 레드) | 1년 Office 365(1TB 클라우드 스토리지 포함) | 인텔 코어 | 15.6" | 윈도우 11 프로</v>
      </c>
      <c r="F374" s="1" t="str">
        <f>IFERROR(__xludf.DUMMYFUNCTION("CONCATENATE(GOOGLETRANSLATE(C374, ""en"", ""ja""))"),"Lenovo プレミアム シリーズ 15 ラップトップ | 36GB RAM | 1.1TB ストレージ (640GB SSD &amp; 500GB HP P500 ポータブル SSD レッド) | 1 年間の Office 365 (1TB クラウド ストレージ付き) |インテルコア | 15.6 インチ | Win 11 プロ")</f>
        <v>Lenovo プレミアム シリーズ 15 ラップトップ | 36GB RAM | 1.1TB ストレージ (640GB SSD &amp; 500GB HP P500 ポータブル SSD レッド) | 1 年間の Office 365 (1TB クラウド ストレージ付き) |インテルコア | 15.6 インチ | Win 11 プロ</v>
      </c>
    </row>
    <row r="375" ht="15.75" customHeight="1">
      <c r="A375" s="1">
        <v>8021.0</v>
      </c>
      <c r="B375" s="1" t="s">
        <v>6</v>
      </c>
      <c r="C375" s="1" t="s">
        <v>373</v>
      </c>
      <c r="D375" s="1" t="str">
        <f>IFERROR(__xludf.DUMMYFUNCTION("CONCATENATE(GOOGLETRANSLATE(C375, ""en"", ""zh-cn""))"),"Lenovo ThinkPad P16s（16 英寸 4K OLED、AMD Ryzen 7 PRO 7840U、64GB LPDDR5-6400 MHz、4TB SSD、Radeon 780M）移动工作站和商用笔记本电脑、dTPM、指纹、5MP 网络摄像头、IST Hub、Win 11 Pro，黑色")</f>
        <v>Lenovo ThinkPad P16s（16 英寸 4K OLED、AMD Ryzen 7 PRO 7840U、64GB LPDDR5-6400 MHz、4TB SSD、Radeon 780M）移动工作站和商用笔记本电脑、dTPM、指纹、5MP 网络摄像头、IST Hub、Win 11 Pro，黑色</v>
      </c>
      <c r="E375" s="1" t="str">
        <f>IFERROR(__xludf.DUMMYFUNCTION("CONCATENATE(GOOGLETRANSLATE(C375, ""en"", ""ko""))"),"Lenovo ThinkPad P16s(16인치 4K OLED, AMD Ryzen 7 PRO 7840U, 64GB LPDDR5-6400MHz, 4TB SSD, Radeon 780M) 모바일 워크스테이션 및 비즈니스 노트북, dTPM, 지문인식, 5MP 웹캠, IST 허브, Win 11 Pro, 블랙")</f>
        <v>Lenovo ThinkPad P16s(16인치 4K OLED, AMD Ryzen 7 PRO 7840U, 64GB LPDDR5-6400MHz, 4TB SSD, Radeon 780M) 모바일 워크스테이션 및 비즈니스 노트북, dTPM, 지문인식, 5MP 웹캠, IST 허브, Win 11 Pro, 블랙</v>
      </c>
      <c r="F375" s="1" t="str">
        <f>IFERROR(__xludf.DUMMYFUNCTION("CONCATENATE(GOOGLETRANSLATE(C375, ""en"", ""ja""))"),"Lenovo ThinkPad P16s (16 インチ 4K OLED、AMD Ryzen 7 PRO 7840U、64GB LPDDR5-6400 MHz、4TB SSD、Radeon 780M) モバイル ワークステーション &amp; ビジネス ラップトップ、dTPM、指紋認証、5MP Web カメラ、IST ハブ、Win 11 Pro、ブラック")</f>
        <v>Lenovo ThinkPad P16s (16 インチ 4K OLED、AMD Ryzen 7 PRO 7840U、64GB LPDDR5-6400 MHz、4TB SSD、Radeon 780M) モバイル ワークステーション &amp; ビジネス ラップトップ、dTPM、指紋認証、5MP Web カメラ、IST ハブ、Win 11 Pro、ブラック</v>
      </c>
    </row>
    <row r="376" ht="15.75" customHeight="1">
      <c r="A376" s="1">
        <v>8027.0</v>
      </c>
      <c r="B376" s="1" t="s">
        <v>6</v>
      </c>
      <c r="C376" s="1" t="s">
        <v>374</v>
      </c>
      <c r="D376" s="1" t="str">
        <f>IFERROR(__xludf.DUMMYFUNCTION("CONCATENATE(GOOGLETRANSLATE(C376, ""en"", ""zh-cn""))"),"戴尔游戏笔记本电脑| G15 5520 |英特尔酷睿 i7-12700H 14 核 | NVIDIA GeForce RTX 3060 6GB | 16GB DDR5 | 16GB DDR5 1TB 固态硬盘 | 15.6 英寸 1920 x 1080 120 Hz | Win11 Pro - 背光键盘 - 深影灰色")</f>
        <v>戴尔游戏笔记本电脑| G15 5520 |英特尔酷睿 i7-12700H 14 核 | NVIDIA GeForce RTX 3060 6GB | 16GB DDR5 | 16GB DDR5 1TB 固态硬盘 | 15.6 英寸 1920 x 1080 120 Hz | Win11 Pro - 背光键盘 - 深影灰色</v>
      </c>
      <c r="E376" s="1" t="str">
        <f>IFERROR(__xludf.DUMMYFUNCTION("CONCATENATE(GOOGLETRANSLATE(C376, ""en"", ""ko""))"),"Dell 게이밍 노트북 | G15 5520 | 인텔 코어 i7-12700H 14코어 | 엔비디아 지포스 RTX 3060 6GB | 16GB DDR5 | 1TB SSD | 15.6인치 1920 x 1080 120Hz | Win11 Pro - 백라이트 키보드 - 어두운 그림자 회색")</f>
        <v>Dell 게이밍 노트북 | G15 5520 | 인텔 코어 i7-12700H 14코어 | 엔비디아 지포스 RTX 3060 6GB | 16GB DDR5 | 1TB SSD | 15.6인치 1920 x 1080 120Hz | Win11 Pro - 백라이트 키보드 - 어두운 그림자 회색</v>
      </c>
      <c r="F376" s="1" t="str">
        <f>IFERROR(__xludf.DUMMYFUNCTION("CONCATENATE(GOOGLETRANSLATE(C376, ""en"", ""ja""))"),"デルのゲーミング ノートパソコン | G15 5520 |インテル Core i7-12700H 14 コア | NVIDIA GeForce RTX 3060 6GB | 16GB DDR5 | 1TB SSD | 15.6 インチ 1920 x 1080 120 Hz | Win11 Pro - バックライト付きキーボード - ダーク シャドウ グレー")</f>
        <v>デルのゲーミング ノートパソコン | G15 5520 |インテル Core i7-12700H 14 コア | NVIDIA GeForce RTX 3060 6GB | 16GB DDR5 | 1TB SSD | 15.6 インチ 1920 x 1080 120 Hz | Win11 Pro - バックライト付きキーボード - ダーク シャドウ グレー</v>
      </c>
    </row>
    <row r="377" ht="15.75" customHeight="1">
      <c r="A377" s="1">
        <v>8029.0</v>
      </c>
      <c r="B377" s="1" t="s">
        <v>6</v>
      </c>
      <c r="C377" s="1" t="s">
        <v>375</v>
      </c>
      <c r="D377" s="1" t="str">
        <f>IFERROR(__xludf.DUMMYFUNCTION("CONCATENATE(GOOGLETRANSLATE(C377, ""en"", ""zh-cn""))"),"戴尔 G3 15 15.6 英寸游戏笔记本电脑英特尔酷睿 i5 8GB RAM 1TB HHD 黑色 - 第 8 代 i5-8300H 四核 - NVIDIA GeForce GTX 1050 4GB - 2.30 GHz 处理器速度 - 平面内切换技术 - Windows")</f>
        <v>戴尔 G3 15 15.6 英寸游戏笔记本电脑英特尔酷睿 i5 8GB RAM 1TB HHD 黑色 - 第 8 代 i5-8300H 四核 - NVIDIA GeForce GTX 1050 4GB - 2.30 GHz 处理器速度 - 平面内切换技术 - Windows</v>
      </c>
      <c r="E377" s="1" t="str">
        <f>IFERROR(__xludf.DUMMYFUNCTION("CONCATENATE(GOOGLETRANSLATE(C377, ""en"", ""ko""))"),"델 G3 15 15.6인치 게이밍 노트북 인텔 코어 i5 8GB RAM 1TB HHD 블랙 - 8세대 i5-8300H 쿼드코어 - 엔비디아 지포스 GTX 1050 4GB - 2.30 GHz 프로세서 속도 - 평면 내 스위칭 기술 - 윈도우")</f>
        <v>델 G3 15 15.6인치 게이밍 노트북 인텔 코어 i5 8GB RAM 1TB HHD 블랙 - 8세대 i5-8300H 쿼드코어 - 엔비디아 지포스 GTX 1050 4GB - 2.30 GHz 프로세서 속도 - 평면 내 스위칭 기술 - 윈도우</v>
      </c>
      <c r="F377" s="1" t="str">
        <f>IFERROR(__xludf.DUMMYFUNCTION("CONCATENATE(GOOGLETRANSLATE(C377, ""en"", ""ja""))"),"Dell G3 15 15.6 インチ ゲーミング ラップトップ Intel Core i5 8GB RAM 1TB HHD ブラック - 第 8 世代 i5-8300H クアッドコア - NVIDIA GeForce GTX 1050 4GB - 2.30 GHz プロセッサ速度 - インプレーン スイッチング テクノロジ - Windows")</f>
        <v>Dell G3 15 15.6 インチ ゲーミング ラップトップ Intel Core i5 8GB RAM 1TB HHD ブラック - 第 8 世代 i5-8300H クアッドコア - NVIDIA GeForce GTX 1050 4GB - 2.30 GHz プロセッサ速度 - インプレーン スイッチング テクノロジ - Windows</v>
      </c>
    </row>
    <row r="378" ht="15.75" customHeight="1">
      <c r="A378" s="1">
        <v>8036.0</v>
      </c>
      <c r="B378" s="1" t="s">
        <v>6</v>
      </c>
      <c r="C378" s="1" t="s">
        <v>376</v>
      </c>
      <c r="D378" s="1" t="str">
        <f>IFERROR(__xludf.DUMMYFUNCTION("CONCATENATE(GOOGLETRANSLATE(C378, ""en"", ""zh-cn""))"),"Alienware m15 R5 15.6 英寸 360Hz 1ms FHD 游戏笔记本电脑，AMD Ryzen 9 5900HX（8 核），GeForce RTX 3070，64GB RAM，2TB PCIe SSD，HDMI，WiFi 6，RGB 键盘，Win 11 Home，月之暗面")</f>
        <v>Alienware m15 R5 15.6 英寸 360Hz 1ms FHD 游戏笔记本电脑，AMD Ryzen 9 5900HX（8 核），GeForce RTX 3070，64GB RAM，2TB PCIe SSD，HDMI，WiFi 6，RGB 键盘，Win 11 Home，月之暗面</v>
      </c>
      <c r="E378" s="1" t="str">
        <f>IFERROR(__xludf.DUMMYFUNCTION("CONCATENATE(GOOGLETRANSLATE(C378, ""en"", ""ko""))"),"Alienware m15 R5 15.6인치 360Hz 1ms FHD 게이밍 노트북, AMD Ryzen 9 5900HX(8코어), GeForce RTX 3070, 64GB RAM, 2TB PCIe SSD, HDMI, WiFi 6, RGB 키보드, Win 11 Home, Dark Side of The Moon")</f>
        <v>Alienware m15 R5 15.6인치 360Hz 1ms FHD 게이밍 노트북, AMD Ryzen 9 5900HX(8코어), GeForce RTX 3070, 64GB RAM, 2TB PCIe SSD, HDMI, WiFi 6, RGB 키보드, Win 11 Home, Dark Side of The Moon</v>
      </c>
      <c r="F378" s="1" t="str">
        <f>IFERROR(__xludf.DUMMYFUNCTION("CONCATENATE(GOOGLETRANSLATE(C378, ""en"", ""ja""))"),"Alienware m15 R5 15.6 インチ 360Hz 1ms FHD ゲーミング ラップトップ、AMD Ryzen 9 5900HX (8 コア)、GeForce RTX 3070、64GB RAM、2TB PCIe SSD、HDMI、WiFi 6、RGB キーボード、Win 11 Home、Dark Side of The Moon")</f>
        <v>Alienware m15 R5 15.6 インチ 360Hz 1ms FHD ゲーミング ラップトップ、AMD Ryzen 9 5900HX (8 コア)、GeForce RTX 3070、64GB RAM、2TB PCIe SSD、HDMI、WiFi 6、RGB キーボード、Win 11 Home、Dark Side of The Moon</v>
      </c>
    </row>
    <row r="379" ht="15.75" customHeight="1">
      <c r="A379" s="1">
        <v>8057.0</v>
      </c>
      <c r="B379" s="1" t="s">
        <v>6</v>
      </c>
      <c r="C379" s="1" t="s">
        <v>377</v>
      </c>
      <c r="D379" s="1" t="str">
        <f>IFERROR(__xludf.DUMMYFUNCTION("CONCATENATE(GOOGLETRANSLATE(C379, ""en"", ""zh-cn""))"),"戴尔 Inspiron 灵越 15.6 英寸全高清笔记本电脑，英特尔酷睿 i5-1135G7（击败英特尔 i7-1065G7），16GB RAM，1TB PCIe SSD，背光键盘，Windows 11 Home，网络摄像头，SD 卡读卡器，Wi-Fi，带 WOWPC 捆绑包")</f>
        <v>戴尔 Inspiron 灵越 15.6 英寸全高清笔记本电脑，英特尔酷睿 i5-1135G7（击败英特尔 i7-1065G7），16GB RAM，1TB PCIe SSD，背光键盘，Windows 11 Home，网络摄像头，SD 卡读卡器，Wi-Fi，带 WOWPC 捆绑包</v>
      </c>
      <c r="E379" s="1" t="str">
        <f>IFERROR(__xludf.DUMMYFUNCTION("CONCATENATE(GOOGLETRANSLATE(C379, ""en"", ""ko""))"),"Dell Inspiron 15.6인치 FHD 노트북, Intel Core i5-1135G7(Intel i7-1065G7 능가), 16GB RAM, 1TB PCIe SSD, 백라이트 키보드, Windows 11 Home, 웹캠, SD 카드 리더기, Wi-Fi, WOWPC 번들 포함")</f>
        <v>Dell Inspiron 15.6인치 FHD 노트북, Intel Core i5-1135G7(Intel i7-1065G7 능가), 16GB RAM, 1TB PCIe SSD, 백라이트 키보드, Windows 11 Home, 웹캠, SD 카드 리더기, Wi-Fi, WOWPC 번들 포함</v>
      </c>
      <c r="F379" s="1" t="str">
        <f>IFERROR(__xludf.DUMMYFUNCTION("CONCATENATE(GOOGLETRANSLATE(C379, ""en"", ""ja""))"),"Dell Inspiron 15.6 インチ FHD ラップトップ、Intel Core i5-1135G7 (Beats Intel i7-1065G7)、16GB RAM、1TB PCIe SSD、バックライト付きキーボード、Windows 11 Home、Web カメラ、SD カード リーダー、Wi-Fi、WO​​WPC バンドル付き")</f>
        <v>Dell Inspiron 15.6 インチ FHD ラップトップ、Intel Core i5-1135G7 (Beats Intel i7-1065G7)、16GB RAM、1TB PCIe SSD、バックライト付きキーボード、Windows 11 Home、Web カメラ、SD カード リーダー、Wi-Fi、WO​​WPC バンドル付き</v>
      </c>
    </row>
    <row r="380" ht="15.75" customHeight="1">
      <c r="A380" s="1">
        <v>8072.0</v>
      </c>
      <c r="B380" s="1" t="s">
        <v>6</v>
      </c>
      <c r="C380" s="1" t="s">
        <v>378</v>
      </c>
      <c r="D380" s="1" t="str">
        <f>IFERROR(__xludf.DUMMYFUNCTION("CONCATENATE(GOOGLETRANSLATE(C380, ""en"", ""zh-cn""))"),"华硕 2023 笔记本电脑 | Vivobook S 16 翻盖 | 16 英寸 1920 x 1200 触摸屏 | Intel-14 Core i9-13900H | 16GB DDR4 | 1TB SSD | Windows 10 主页 | Wi-Fi 6E - 蓝牙 5.3 - 背光 KB - 1080p 摄像头 - 黑色")</f>
        <v>华硕 2023 笔记本电脑 | Vivobook S 16 翻盖 | 16 英寸 1920 x 1200 触摸屏 | Intel-14 Core i9-13900H | 16GB DDR4 | 1TB SSD | Windows 10 主页 | Wi-Fi 6E - 蓝牙 5.3 - 背光 KB - 1080p 摄像头 - 黑色</v>
      </c>
      <c r="E380" s="1" t="str">
        <f>IFERROR(__xludf.DUMMYFUNCTION("CONCATENATE(GOOGLETRANSLATE(C380, ""en"", ""ko""))"),"ASUS 2023 노트북 | Vivobook S 16 플립 | 16인치 1920 x 1200 터치 | Intel-14 코어 i9-13900H | 16GB DDR4 | 1TB SSD | Windows 10 Home | Wi-Fi 6E - Bluetooth 5.3 - 백라이트 KB - 1080p 카메라 - 블랙")</f>
        <v>ASUS 2023 노트북 | Vivobook S 16 플립 | 16인치 1920 x 1200 터치 | Intel-14 코어 i9-13900H | 16GB DDR4 | 1TB SSD | Windows 10 Home | Wi-Fi 6E - Bluetooth 5.3 - 백라이트 KB - 1080p 카메라 - 블랙</v>
      </c>
      <c r="F380" s="1" t="str">
        <f>IFERROR(__xludf.DUMMYFUNCTION("CONCATENATE(GOOGLETRANSLATE(C380, ""en"", ""ja""))"),"ASUS 2023 ノートパソコン | Vivobook S 16 フリップ | 16 インチ 1920 x 1200 タッチ | Intel-14 Core i9-13900H | 16GB DDR4 | 1TB SSD | Windows 10 Home | Wi-Fi 6E - Bluetooth 5.3 - バックライト付き KB - 1080p カメラ - ブラック")</f>
        <v>ASUS 2023 ノートパソコン | Vivobook S 16 フリップ | 16 インチ 1920 x 1200 タッチ | Intel-14 Core i9-13900H | 16GB DDR4 | 1TB SSD | Windows 10 Home | Wi-Fi 6E - Bluetooth 5.3 - バックライト付き KB - 1080p カメラ - ブラック</v>
      </c>
    </row>
    <row r="381" ht="15.75" customHeight="1">
      <c r="A381" s="1">
        <v>8097.0</v>
      </c>
      <c r="B381" s="1" t="s">
        <v>6</v>
      </c>
      <c r="C381" s="1" t="s">
        <v>379</v>
      </c>
      <c r="D381" s="1" t="str">
        <f>IFERROR(__xludf.DUMMYFUNCTION("CONCATENATE(GOOGLETRANSLATE(C381, ""en"", ""zh-cn""))"),"华硕 TUF Dash F15 游戏笔记本电脑 2022 年，15.6 英寸 144Hz FHD 显示屏，第 12 个英特尔 i7-12650H 10 核，32GB DDR5 1TB SSD，NVIDIA GeForce RTX 3070 8GB GDDR6，Thunderbolt，背光 KB，RJ45，Win 11 Pro，COU USB")</f>
        <v>华硕 TUF Dash F15 游戏笔记本电脑 2022 年，15.6 英寸 144Hz FHD 显示屏，第 12 个英特尔 i7-12650H 10 核，32GB DDR5 1TB SSD，NVIDIA GeForce RTX 3070 8GB GDDR6，Thunderbolt，背光 KB，RJ45，Win 11 Pro，COU USB</v>
      </c>
      <c r="E381" s="1" t="str">
        <f>IFERROR(__xludf.DUMMYFUNCTION("CONCATENATE(GOOGLETRANSLATE(C381, ""en"", ""ko""))"),"ASUS TUF Dash F15 게이밍 노트북 2022, 15.6인치 144Hz FHD 디스플레이, 12세대 Intel i7-12650H 10코어, 32GB DDR5 1TB SSD, NVIDIA GeForce RTX 3070 8GB GDDR6, Thunderbolt, 백라이트 KB, RJ45, Win 11 Pro, COU USB")</f>
        <v>ASUS TUF Dash F15 게이밍 노트북 2022, 15.6인치 144Hz FHD 디스플레이, 12세대 Intel i7-12650H 10코어, 32GB DDR5 1TB SSD, NVIDIA GeForce RTX 3070 8GB GDDR6, Thunderbolt, 백라이트 KB, RJ45, Win 11 Pro, COU USB</v>
      </c>
      <c r="F381" s="1" t="str">
        <f>IFERROR(__xludf.DUMMYFUNCTION("CONCATENATE(GOOGLETRANSLATE(C381, ""en"", ""ja""))"),"ASUS TUF Dash F15 ゲーミング ラップトップ 2022、15.6 インチ 144Hz FHD ディスプレイ、12th Intel i7-12650H 10 コア、32GB DDR5 1TB SSD、NVIDIA GeForce RTX 3070 8GB GDDR6、Thunderbolt、バックライト付き KB、RJ45、Win 11 Pro、COU USB")</f>
        <v>ASUS TUF Dash F15 ゲーミング ラップトップ 2022、15.6 インチ 144Hz FHD ディスプレイ、12th Intel i7-12650H 10 コア、32GB DDR5 1TB SSD、NVIDIA GeForce RTX 3070 8GB GDDR6、Thunderbolt、バックライト付き KB、RJ45、Win 11 Pro、COU USB</v>
      </c>
    </row>
    <row r="382" ht="15.75" customHeight="1">
      <c r="A382" s="1">
        <v>8101.0</v>
      </c>
      <c r="B382" s="1" t="s">
        <v>6</v>
      </c>
      <c r="C382" s="1" t="s">
        <v>380</v>
      </c>
      <c r="D382" s="1" t="str">
        <f>IFERROR(__xludf.DUMMYFUNCTION("CONCATENATE(GOOGLETRANSLATE(C382, ""en"", ""zh-cn""))"),"华硕 15.6 英寸 Vivobook Go 超薄笔记本电脑，英特尔双核 N4500，4GB RAM，128GB SSD，Windows 11，星光黑，L510KA-ES04")</f>
        <v>华硕 15.6 英寸 Vivobook Go 超薄笔记本电脑，英特尔双核 N4500，4GB RAM，128GB SSD，Windows 11，星光黑，L510KA-ES04</v>
      </c>
      <c r="E382" s="1" t="str">
        <f>IFERROR(__xludf.DUMMYFUNCTION("CONCATENATE(GOOGLETRANSLATE(C382, ""en"", ""ko""))"),"ASUS 15.6인치 Vivobook Go 슬림 노트북, 인텔 듀얼 코어 N4500, 4GB RAM, 128GB SSD, Windows 11, 스타 블랙, L510KA-ES04")</f>
        <v>ASUS 15.6인치 Vivobook Go 슬림 노트북, 인텔 듀얼 코어 N4500, 4GB RAM, 128GB SSD, Windows 11, 스타 블랙, L510KA-ES04</v>
      </c>
      <c r="F382" s="1" t="str">
        <f>IFERROR(__xludf.DUMMYFUNCTION("CONCATENATE(GOOGLETRANSLATE(C382, ""en"", ""ja""))"),"ASUS 15.6 インチ Vivobook Go スリム ラップトップ、インテル デュアルコア N4500、4GB RAM、128GB SSD、Windows 11、スター ブラック、L510KA-ES04")</f>
        <v>ASUS 15.6 インチ Vivobook Go スリム ラップトップ、インテル デュアルコア N4500、4GB RAM、128GB SSD、Windows 11、スター ブラック、L510KA-ES04</v>
      </c>
    </row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