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Stage-RH\Cahier de charges\données\"/>
    </mc:Choice>
  </mc:AlternateContent>
  <xr:revisionPtr revIDLastSave="0" documentId="13_ncr:1_{5462A60D-A647-47A9-9299-014B302B0C6F}" xr6:coauthVersionLast="47" xr6:coauthVersionMax="47" xr10:uidLastSave="{00000000-0000-0000-0000-000000000000}"/>
  <bookViews>
    <workbookView xWindow="-120" yWindow="-120" windowWidth="29040" windowHeight="15840" tabRatio="770" activeTab="2" xr2:uid="{489A0E58-266F-4076-A308-81BB83005070}"/>
  </bookViews>
  <sheets>
    <sheet name="Sanctions" sheetId="21" r:id="rId1"/>
    <sheet name="Hospitalisation et maladie" sheetId="18" r:id="rId2"/>
    <sheet name="Récapitulatif" sheetId="17" r:id="rId3"/>
    <sheet name="CODIR 2024-2025" sheetId="2" r:id="rId4"/>
    <sheet name="KPI RECRUTEMENT" sheetId="3" r:id="rId5"/>
    <sheet name="OBJ OPERATIONNELS" sheetId="4" r:id="rId6"/>
    <sheet name="SUIVI COUT FORMATION " sheetId="5" r:id="rId7"/>
    <sheet name="SUIVI FOND FMFP " sheetId="6" r:id="rId8"/>
    <sheet name="BILAN SOCIAL" sheetId="7" r:id="rId9"/>
    <sheet name="Départs" sheetId="8" r:id="rId10"/>
    <sheet name="Effectifs" sheetId="9" r:id="rId11"/>
    <sheet name="MOUVEMENTS" sheetId="10" r:id="rId12"/>
    <sheet name="Effectif Split" sheetId="11" r:id="rId13"/>
    <sheet name="REPARTION PAR CITOYENNETE" sheetId="12" r:id="rId14"/>
    <sheet name="DRH headcount" sheetId="14" r:id="rId15"/>
    <sheet name="DRH turnover" sheetId="15" r:id="rId16"/>
    <sheet name="DRH overtimes" sheetId="16" r:id="rId17"/>
    <sheet name="Permissions exceptionnelles" sheetId="19" r:id="rId18"/>
    <sheet name="Stagiaires" sheetId="20" r:id="rId19"/>
    <sheet name="Mutation_Changement de poste" sheetId="23" r:id="rId20"/>
    <sheet name="Promotion" sheetId="22" r:id="rId21"/>
    <sheet name="Feuil13" sheetId="13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3" hidden="1">'CODIR 2024-2025'!$A$1:$F$2</definedName>
    <definedName name="_xlnm._FilterDatabase" localSheetId="1" hidden="1">'Hospitalisation et maladie'!$B$4:$F$551</definedName>
    <definedName name="_xlnm._FilterDatabase" localSheetId="19" hidden="1">'Mutation_Changement de poste'!$B$6:$K$6</definedName>
    <definedName name="_xlnm._FilterDatabase" localSheetId="5" hidden="1">'OBJ OPERATIONNELS'!$A$4:$F$27</definedName>
    <definedName name="_xlnm._FilterDatabase" localSheetId="17" hidden="1">'Permissions exceptionnelles'!$B$4:$E$49</definedName>
    <definedName name="_xlnm._FilterDatabase" localSheetId="20" hidden="1">Promotion!$C$4:$J$4</definedName>
    <definedName name="_xlnm._FilterDatabase" localSheetId="18" hidden="1">Stagiaires!$B$6:$G$12</definedName>
    <definedName name="_xlnm._FilterDatabase" localSheetId="6" hidden="1">'SUIVI COUT FORMATION '!$B$9:$P$139</definedName>
    <definedName name="_xlnm._FilterDatabase" localSheetId="7" hidden="1">'SUIVI FOND FMFP '!$A$16:$AH$45</definedName>
    <definedName name="An">#REF!</definedName>
    <definedName name="annuel_garanti">'[1]DATE(ANNEE();MOIS();JOUR())'!#REF!</definedName>
    <definedName name="annuel_invalidite">'[1]DATE(ANNEE();MOIS();JOUR())'!#REF!</definedName>
    <definedName name="annuel_normal">'[1]DATE(ANNEE();MOIS();JOUR())'!#REF!</definedName>
    <definedName name="annuites">'[1]DATE(ANNEE();MOIS();JOUR())'!#REF!</definedName>
    <definedName name="base_annuelle">'[1]DATE(ANNEE();MOIS();JOUR())'!#REF!</definedName>
    <definedName name="base_invalidite">'[1]DATE(ANNEE();MOIS();JOUR())'!#REF!</definedName>
    <definedName name="BD_PAYE">OFFSET(#REF!,,,COUNTA(#REF!),COUNTA(#REF!))</definedName>
    <definedName name="campagnes">'[1]DATE(ANNEE();MOIS();JOUR())'!#REF!</definedName>
    <definedName name="cash_unit_1">[2]Hyp!$F$14</definedName>
    <definedName name="droits">'[1]DATE(ANNEE();MOIS();JOUR())'!#REF!</definedName>
    <definedName name="enfants">'[1]DATE(ANNEE();MOIS();JOUR())'!#REF!</definedName>
    <definedName name="etudes">'[1]DATE(ANNEE();MOIS();JOUR())'!#REF!</definedName>
    <definedName name="fer">[3]Fériés!$C$2:$C$14</definedName>
    <definedName name="indice">'[1]DATE(ANNEE();MOIS();JOUR())'!#REF!</definedName>
    <definedName name="indice_garanti">'[1]DATE(ANNEE();MOIS();JOUR())'!#REF!</definedName>
    <definedName name="invalidite">'[1]DATE(ANNEE();MOIS();JOUR())'!#REF!</definedName>
    <definedName name="invalidite_service">'[1]DATE(ANNEE();MOIS();JOUR())'!#REF!</definedName>
    <definedName name="JF2ANS">#REF!</definedName>
    <definedName name="JMFEMME">#REF!</definedName>
    <definedName name="maj_enfants">'[1]DATE(ANNEE();MOIS();JOUR())'!#REF!</definedName>
    <definedName name="mensuel_garanti">'[1]DATE(ANNEE();MOIS();JOUR())'!#REF!</definedName>
    <definedName name="mensuel_invalidite">'[1]DATE(ANNEE();MOIS();JOUR())'!#REF!</definedName>
    <definedName name="mensuel_normal">'[1]DATE(ANNEE();MOIS();JOUR())'!#REF!</definedName>
    <definedName name="naissance">'[1]DATE(ANNEE();MOIS();JOUR())'!#REF!</definedName>
    <definedName name="nbi">'[1]DATE(ANNEE();MOIS();JOUR())'!#REF!</definedName>
    <definedName name="net">'[1]DATE(ANNEE();MOIS();JOUR())'!#REF!</definedName>
    <definedName name="onja" localSheetId="4">#REF!</definedName>
    <definedName name="onja" localSheetId="7">#REF!</definedName>
    <definedName name="onja">#REF!</definedName>
    <definedName name="plafond_mensuel">'[1]DATE(ANNEE();MOIS();JOUR())'!#REF!</definedName>
    <definedName name="rente">'[1]DATE(ANNEE();MOIS();JOUR())'!#REF!</definedName>
    <definedName name="serv_national">'[1]DATE(ANNEE();MOIS();JOUR())'!#REF!</definedName>
    <definedName name="summary_currency">#REF!</definedName>
    <definedName name="valeur_du_point">'[1]DATE(ANNEE();MOIS();JOUR())'!#REF!</definedName>
    <definedName name="Z_14DF4828_32B3_4353_B9EA_4A29B31F01CD_.wvu.FilterData" localSheetId="7" hidden="1">'SUIVI FOND FMFP '!$E$16:$AH$48</definedName>
    <definedName name="Z_14DF4828_32B3_4353_B9EA_4A29B31F01CD_.wvu.Rows" localSheetId="4" hidden="1">'KPI RECRUTEMENT'!$10:$16</definedName>
    <definedName name="Z_1A0F5084_446A_49FC_A107_FB9E64DAB87C_.wvu.FilterData" localSheetId="7" hidden="1">'SUIVI FOND FMFP '!$E$16:$AH$48</definedName>
    <definedName name="Z_1A0F5084_446A_49FC_A107_FB9E64DAB87C_.wvu.Rows" localSheetId="4" hidden="1">'KPI RECRUTEMENT'!$10:$16</definedName>
    <definedName name="Z_585160DA_859A_468C_AB48_0A3C1376E924_.wvu.FilterData" localSheetId="7" hidden="1">'SUIVI FOND FMFP '!$E$16:$AH$48</definedName>
    <definedName name="Z_585160DA_859A_468C_AB48_0A3C1376E924_.wvu.Rows" localSheetId="4" hidden="1">'KPI RECRUTEMENT'!$10:$16</definedName>
    <definedName name="Z_C41C5EFD_3443_470F_85CB_F21D6E84F4C7_.wvu.FilterData" localSheetId="7" hidden="1">'SUIVI FOND FMFP '!$E$16:$AH$48</definedName>
    <definedName name="Z_C41C5EFD_3443_470F_85CB_F21D6E84F4C7_.wvu.Rows" localSheetId="4" hidden="1">'KPI RECRUTEMENT'!$10:$16</definedName>
    <definedName name="Z_CA543CBE_8B64_494D_896D_CCED50EBBE93_.wvu.FilterData" localSheetId="7" hidden="1">'SUIVI FOND FMFP '!$E$16:$AH$48</definedName>
    <definedName name="Z_CA543CBE_8B64_494D_896D_CCED50EBBE93_.wvu.Rows" localSheetId="4" hidden="1">'KPI RECRUTEMENT'!$10:$16</definedName>
    <definedName name="_xlnm.Print_Area" localSheetId="9">Départs!$B$3:$F$6</definedName>
    <definedName name="_xlnm.Print_Area" localSheetId="20">Promotion!$E$3:$J$31</definedName>
    <definedName name="_xlnm.Print_Area" localSheetId="0">Sanctions!$B$5:$G$6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1" i="4" l="1"/>
  <c r="AQ10" i="4"/>
  <c r="B96" i="23" l="1"/>
  <c r="C96" i="23" s="1"/>
  <c r="C95" i="23"/>
  <c r="F82" i="23"/>
  <c r="E82" i="23"/>
  <c r="I2" i="23"/>
  <c r="C120" i="22"/>
  <c r="C119" i="22"/>
  <c r="C118" i="22"/>
  <c r="C117" i="22"/>
  <c r="C116" i="22"/>
  <c r="C115" i="22"/>
  <c r="C114" i="22"/>
  <c r="C113" i="22"/>
  <c r="C112" i="22"/>
  <c r="B111" i="22"/>
  <c r="C111" i="22" s="1"/>
  <c r="C110" i="22"/>
  <c r="C109" i="22"/>
  <c r="I2" i="22"/>
  <c r="G2" i="21"/>
  <c r="B4" i="20"/>
  <c r="F2" i="20"/>
  <c r="I2" i="19"/>
  <c r="I2" i="18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K2" i="17"/>
  <c r="B97" i="23" l="1"/>
  <c r="B98" i="23" l="1"/>
  <c r="C97" i="23"/>
  <c r="B99" i="23" l="1"/>
  <c r="C98" i="23"/>
  <c r="B100" i="23" l="1"/>
  <c r="C99" i="23"/>
  <c r="C100" i="23" l="1"/>
  <c r="B101" i="23"/>
  <c r="B102" i="23" l="1"/>
  <c r="C101" i="23"/>
  <c r="C102" i="23" l="1"/>
  <c r="B103" i="23"/>
  <c r="B104" i="23" l="1"/>
  <c r="C103" i="23"/>
  <c r="C104" i="23" l="1"/>
  <c r="B105" i="23"/>
  <c r="B106" i="23" l="1"/>
  <c r="C106" i="23" s="1"/>
  <c r="C105" i="23"/>
  <c r="AD7" i="15" l="1"/>
  <c r="AC7" i="15"/>
  <c r="AB7" i="15"/>
  <c r="AA7" i="15"/>
  <c r="Z7" i="15"/>
  <c r="Y7" i="15"/>
  <c r="X7" i="15"/>
  <c r="W7" i="15"/>
  <c r="R7" i="15"/>
  <c r="Q7" i="15"/>
  <c r="P7" i="15"/>
  <c r="O7" i="15"/>
  <c r="N7" i="15"/>
  <c r="M7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AH5" i="15"/>
  <c r="AH7" i="15" s="1"/>
  <c r="AG5" i="15"/>
  <c r="AG7" i="15" s="1"/>
  <c r="AF5" i="15"/>
  <c r="AF7" i="15" s="1"/>
  <c r="AE5" i="15"/>
  <c r="AE7" i="15" s="1"/>
  <c r="AD5" i="15"/>
  <c r="AC5" i="15"/>
  <c r="AB5" i="15"/>
  <c r="AA5" i="15"/>
  <c r="Z5" i="15"/>
  <c r="Y5" i="15"/>
  <c r="X5" i="15"/>
  <c r="W5" i="15"/>
  <c r="V5" i="15"/>
  <c r="V7" i="15" s="1"/>
  <c r="U5" i="15"/>
  <c r="U7" i="15" s="1"/>
  <c r="T5" i="15"/>
  <c r="T7" i="15" s="1"/>
  <c r="S5" i="15"/>
  <c r="S7" i="15" s="1"/>
  <c r="R5" i="15"/>
  <c r="Q5" i="15"/>
  <c r="P5" i="15"/>
  <c r="O5" i="15"/>
  <c r="N5" i="15"/>
  <c r="M5" i="15"/>
  <c r="D60" i="9" l="1"/>
  <c r="C60" i="9"/>
  <c r="O58" i="9"/>
  <c r="N51" i="9"/>
  <c r="N60" i="9" s="1"/>
  <c r="M51" i="9"/>
  <c r="M60" i="9" s="1"/>
  <c r="L51" i="9"/>
  <c r="L60" i="9" s="1"/>
  <c r="K51" i="9"/>
  <c r="K60" i="9" s="1"/>
  <c r="J51" i="9"/>
  <c r="J60" i="9" s="1"/>
  <c r="I51" i="9"/>
  <c r="I60" i="9" s="1"/>
  <c r="H51" i="9"/>
  <c r="H60" i="9" s="1"/>
  <c r="G51" i="9"/>
  <c r="G60" i="9" s="1"/>
  <c r="F51" i="9"/>
  <c r="F60" i="9" s="1"/>
  <c r="E51" i="9"/>
  <c r="E60" i="9" s="1"/>
  <c r="D51" i="9"/>
  <c r="C51" i="9"/>
  <c r="O51" i="9" s="1"/>
  <c r="L37" i="9"/>
  <c r="K37" i="9"/>
  <c r="J37" i="9"/>
  <c r="H37" i="9"/>
  <c r="G37" i="9"/>
  <c r="F37" i="9"/>
  <c r="E37" i="9"/>
  <c r="D37" i="9"/>
  <c r="C37" i="9"/>
  <c r="M35" i="9"/>
  <c r="K35" i="9"/>
  <c r="J35" i="9"/>
  <c r="I35" i="9"/>
  <c r="H35" i="9"/>
  <c r="N9" i="9"/>
  <c r="M9" i="9"/>
  <c r="L9" i="9"/>
  <c r="K9" i="9"/>
  <c r="J9" i="9"/>
  <c r="I9" i="9"/>
  <c r="H9" i="9"/>
  <c r="G9" i="9"/>
  <c r="F9" i="9"/>
  <c r="E9" i="9"/>
  <c r="D9" i="9"/>
  <c r="C9" i="9"/>
  <c r="F2" i="8"/>
  <c r="H93" i="7"/>
  <c r="K91" i="7"/>
  <c r="G91" i="7"/>
  <c r="O87" i="7"/>
  <c r="K87" i="7"/>
  <c r="O48" i="6"/>
  <c r="J48" i="6"/>
  <c r="I48" i="6"/>
  <c r="H48" i="6"/>
  <c r="M47" i="6"/>
  <c r="N47" i="6" s="1"/>
  <c r="M46" i="6"/>
  <c r="N46" i="6" s="1"/>
  <c r="N45" i="6"/>
  <c r="N44" i="6"/>
  <c r="L48" i="6"/>
  <c r="N17" i="6"/>
  <c r="K13" i="6"/>
  <c r="K10" i="6"/>
  <c r="I9" i="6"/>
  <c r="K9" i="6" s="1"/>
  <c r="K11" i="6" s="1"/>
  <c r="K12" i="6" s="1"/>
  <c r="K14" i="6" s="1"/>
  <c r="K8" i="6"/>
  <c r="K7" i="6"/>
  <c r="K6" i="6"/>
  <c r="M6" i="6" s="1"/>
  <c r="K5" i="6"/>
  <c r="K4" i="6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3" i="5"/>
  <c r="I3" i="5" s="1"/>
  <c r="H10" i="5"/>
  <c r="R8" i="5"/>
  <c r="H6" i="5"/>
  <c r="I6" i="5" s="1"/>
  <c r="G6" i="5"/>
  <c r="F6" i="5"/>
  <c r="S5" i="5"/>
  <c r="F1" i="5" s="1"/>
  <c r="G5" i="5"/>
  <c r="F5" i="5"/>
  <c r="G4" i="5"/>
  <c r="F4" i="5"/>
  <c r="G3" i="5"/>
  <c r="F3" i="5"/>
  <c r="G2" i="5"/>
  <c r="F2" i="5"/>
  <c r="AQ24" i="4"/>
  <c r="AO24" i="4"/>
  <c r="AN24" i="4"/>
  <c r="AM24" i="4"/>
  <c r="AL24" i="4"/>
  <c r="AK24" i="4"/>
  <c r="AE24" i="4"/>
  <c r="Y24" i="4"/>
  <c r="S24" i="4"/>
  <c r="M24" i="4"/>
  <c r="G24" i="4"/>
  <c r="AQ23" i="4"/>
  <c r="AP23" i="4"/>
  <c r="AO23" i="4"/>
  <c r="AK23" i="4"/>
  <c r="AE23" i="4"/>
  <c r="Y23" i="4"/>
  <c r="M23" i="4"/>
  <c r="G23" i="4"/>
  <c r="AQ22" i="4"/>
  <c r="AE22" i="4"/>
  <c r="S22" i="4"/>
  <c r="G22" i="4"/>
  <c r="S21" i="4"/>
  <c r="G21" i="4"/>
  <c r="AE20" i="4"/>
  <c r="Y20" i="4"/>
  <c r="S20" i="4"/>
  <c r="M20" i="4"/>
  <c r="G20" i="4"/>
  <c r="M19" i="4"/>
  <c r="M18" i="4"/>
  <c r="AQ17" i="4"/>
  <c r="AE17" i="4"/>
  <c r="S17" i="4"/>
  <c r="G17" i="4"/>
  <c r="AQ16" i="4"/>
  <c r="AQ15" i="4"/>
  <c r="AQ14" i="4"/>
  <c r="AQ13" i="4"/>
  <c r="S13" i="4"/>
  <c r="G13" i="4"/>
  <c r="G12" i="4"/>
  <c r="G11" i="4"/>
  <c r="G10" i="4"/>
  <c r="Q9" i="4"/>
  <c r="P9" i="4"/>
  <c r="AQ7" i="4"/>
  <c r="G7" i="4"/>
  <c r="M6" i="4"/>
  <c r="G6" i="4"/>
  <c r="R5" i="4"/>
  <c r="Q5" i="4"/>
  <c r="P5" i="4"/>
  <c r="O5" i="4"/>
  <c r="N5" i="4"/>
  <c r="M5" i="4"/>
  <c r="L5" i="4"/>
  <c r="K5" i="4"/>
  <c r="J5" i="4"/>
  <c r="I5" i="4"/>
  <c r="H5" i="4"/>
  <c r="G5" i="4"/>
  <c r="AL33" i="3"/>
  <c r="AL31" i="3"/>
  <c r="AD31" i="3"/>
  <c r="Q31" i="3"/>
  <c r="K30" i="3"/>
  <c r="BQ29" i="3"/>
  <c r="BO29" i="3"/>
  <c r="BL29" i="3"/>
  <c r="BI29" i="3"/>
  <c r="AZ29" i="3"/>
  <c r="AU29" i="3"/>
  <c r="CC28" i="3"/>
  <c r="BZ28" i="3"/>
  <c r="BV28" i="3"/>
  <c r="BV25" i="3"/>
  <c r="H25" i="3"/>
  <c r="G25" i="3"/>
  <c r="CH24" i="3"/>
  <c r="CG24" i="3"/>
  <c r="CF24" i="3"/>
  <c r="CE24" i="3"/>
  <c r="CD24" i="3"/>
  <c r="CC24" i="3"/>
  <c r="CB24" i="3"/>
  <c r="CA24" i="3"/>
  <c r="CH25" i="3" s="1"/>
  <c r="BZ24" i="3"/>
  <c r="CB25" i="3" s="1"/>
  <c r="BY24" i="3"/>
  <c r="BX24" i="3"/>
  <c r="BW24" i="3"/>
  <c r="BV24" i="3"/>
  <c r="BU24" i="3"/>
  <c r="BT24" i="3"/>
  <c r="BS24" i="3"/>
  <c r="BR24" i="3"/>
  <c r="CF25" i="3" s="1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BQ25" i="3" s="1"/>
  <c r="AX24" i="3"/>
  <c r="AW24" i="3"/>
  <c r="AV24" i="3"/>
  <c r="AU24" i="3"/>
  <c r="AT24" i="3"/>
  <c r="AS24" i="3"/>
  <c r="AR24" i="3"/>
  <c r="AQ24" i="3"/>
  <c r="AP24" i="3"/>
  <c r="BL25" i="3" s="1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F25" i="3" s="1"/>
  <c r="D24" i="3"/>
  <c r="D25" i="3" s="1"/>
  <c r="C24" i="3"/>
  <c r="AR22" i="3"/>
  <c r="AQ22" i="3"/>
  <c r="I22" i="3"/>
  <c r="D22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BD22" i="3" s="1"/>
  <c r="AU21" i="3"/>
  <c r="AT21" i="3"/>
  <c r="AS21" i="3"/>
  <c r="AR21" i="3"/>
  <c r="AQ21" i="3"/>
  <c r="AP21" i="3"/>
  <c r="BJ22" i="3" s="1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AB22" i="3" s="1"/>
  <c r="J21" i="3"/>
  <c r="I21" i="3"/>
  <c r="H21" i="3"/>
  <c r="G21" i="3"/>
  <c r="AJ22" i="3" s="1"/>
  <c r="F21" i="3"/>
  <c r="E21" i="3"/>
  <c r="AH22" i="3" s="1"/>
  <c r="D21" i="3"/>
  <c r="C21" i="3"/>
  <c r="X22" i="3" s="1"/>
  <c r="BQ11" i="3"/>
  <c r="C8" i="3"/>
  <c r="A1" i="3"/>
  <c r="J8" i="3" s="1"/>
  <c r="N155" i="2"/>
  <c r="I155" i="2"/>
  <c r="H155" i="2"/>
  <c r="J155" i="2" s="1"/>
  <c r="P154" i="2"/>
  <c r="N154" i="2"/>
  <c r="I154" i="2"/>
  <c r="H154" i="2"/>
  <c r="J154" i="2" s="1"/>
  <c r="P153" i="2"/>
  <c r="N153" i="2"/>
  <c r="I153" i="2"/>
  <c r="H153" i="2"/>
  <c r="P152" i="2"/>
  <c r="N152" i="2"/>
  <c r="I152" i="2"/>
  <c r="H152" i="2"/>
  <c r="J152" i="2" s="1"/>
  <c r="K152" i="2" s="1"/>
  <c r="L152" i="2" s="1"/>
  <c r="P151" i="2"/>
  <c r="N151" i="2"/>
  <c r="I151" i="2"/>
  <c r="H151" i="2"/>
  <c r="J151" i="2" s="1"/>
  <c r="P150" i="2"/>
  <c r="N150" i="2"/>
  <c r="I150" i="2"/>
  <c r="H150" i="2"/>
  <c r="J150" i="2" s="1"/>
  <c r="K150" i="2" s="1"/>
  <c r="L150" i="2" s="1"/>
  <c r="P149" i="2"/>
  <c r="N149" i="2"/>
  <c r="I149" i="2"/>
  <c r="H149" i="2"/>
  <c r="J149" i="2" s="1"/>
  <c r="K149" i="2" s="1"/>
  <c r="L149" i="2" s="1"/>
  <c r="P148" i="2"/>
  <c r="N148" i="2"/>
  <c r="I148" i="2"/>
  <c r="H148" i="2"/>
  <c r="J148" i="2" s="1"/>
  <c r="P147" i="2"/>
  <c r="N147" i="2"/>
  <c r="O154" i="2" s="1"/>
  <c r="J147" i="2"/>
  <c r="K147" i="2" s="1"/>
  <c r="L147" i="2" s="1"/>
  <c r="I147" i="2"/>
  <c r="H147" i="2"/>
  <c r="P146" i="2"/>
  <c r="N146" i="2"/>
  <c r="I146" i="2"/>
  <c r="H146" i="2"/>
  <c r="J146" i="2" s="1"/>
  <c r="K146" i="2" s="1"/>
  <c r="L146" i="2" s="1"/>
  <c r="P145" i="2"/>
  <c r="N145" i="2"/>
  <c r="I145" i="2"/>
  <c r="H145" i="2"/>
  <c r="J145" i="2" s="1"/>
  <c r="P144" i="2"/>
  <c r="N144" i="2"/>
  <c r="I144" i="2"/>
  <c r="H144" i="2"/>
  <c r="J144" i="2" s="1"/>
  <c r="P143" i="2"/>
  <c r="N143" i="2"/>
  <c r="I143" i="2"/>
  <c r="H143" i="2"/>
  <c r="J143" i="2" s="1"/>
  <c r="K143" i="2" s="1"/>
  <c r="L143" i="2" s="1"/>
  <c r="P142" i="2"/>
  <c r="N142" i="2"/>
  <c r="I142" i="2"/>
  <c r="H142" i="2"/>
  <c r="J142" i="2" s="1"/>
  <c r="K142" i="2" s="1"/>
  <c r="L142" i="2" s="1"/>
  <c r="E142" i="2"/>
  <c r="J153" i="2" s="1"/>
  <c r="K153" i="2" s="1"/>
  <c r="L153" i="2" s="1"/>
  <c r="P141" i="2"/>
  <c r="N141" i="2"/>
  <c r="I141" i="2"/>
  <c r="H141" i="2"/>
  <c r="J141" i="2" s="1"/>
  <c r="E141" i="2"/>
  <c r="P140" i="2"/>
  <c r="Q140" i="2" s="1"/>
  <c r="O140" i="2"/>
  <c r="I140" i="2"/>
  <c r="J140" i="2" s="1"/>
  <c r="K140" i="2" s="1"/>
  <c r="L140" i="2" s="1"/>
  <c r="H140" i="2"/>
  <c r="E140" i="2"/>
  <c r="P139" i="2"/>
  <c r="N139" i="2"/>
  <c r="J139" i="2"/>
  <c r="K139" i="2" s="1"/>
  <c r="L139" i="2" s="1"/>
  <c r="I139" i="2"/>
  <c r="H139" i="2"/>
  <c r="P138" i="2"/>
  <c r="N138" i="2"/>
  <c r="I138" i="2"/>
  <c r="H138" i="2"/>
  <c r="J138" i="2" s="1"/>
  <c r="K138" i="2" s="1"/>
  <c r="L138" i="2" s="1"/>
  <c r="P137" i="2"/>
  <c r="N137" i="2"/>
  <c r="I137" i="2"/>
  <c r="H137" i="2"/>
  <c r="J137" i="2" s="1"/>
  <c r="K137" i="2" s="1"/>
  <c r="L137" i="2" s="1"/>
  <c r="P136" i="2"/>
  <c r="N136" i="2"/>
  <c r="I136" i="2"/>
  <c r="H136" i="2"/>
  <c r="J136" i="2" s="1"/>
  <c r="P135" i="2"/>
  <c r="N135" i="2"/>
  <c r="O146" i="2" s="1"/>
  <c r="I135" i="2"/>
  <c r="H135" i="2"/>
  <c r="J135" i="2" s="1"/>
  <c r="K135" i="2" s="1"/>
  <c r="L135" i="2" s="1"/>
  <c r="P134" i="2"/>
  <c r="N134" i="2"/>
  <c r="J134" i="2"/>
  <c r="I134" i="2"/>
  <c r="H134" i="2"/>
  <c r="P133" i="2"/>
  <c r="N133" i="2"/>
  <c r="I133" i="2"/>
  <c r="H133" i="2"/>
  <c r="J133" i="2" s="1"/>
  <c r="K133" i="2" s="1"/>
  <c r="L133" i="2" s="1"/>
  <c r="P132" i="2"/>
  <c r="O132" i="2"/>
  <c r="N132" i="2"/>
  <c r="O143" i="2" s="1"/>
  <c r="I132" i="2"/>
  <c r="H132" i="2"/>
  <c r="J132" i="2" s="1"/>
  <c r="P131" i="2"/>
  <c r="N131" i="2"/>
  <c r="I131" i="2"/>
  <c r="H131" i="2"/>
  <c r="J131" i="2" s="1"/>
  <c r="K131" i="2" s="1"/>
  <c r="L131" i="2" s="1"/>
  <c r="P130" i="2"/>
  <c r="N130" i="2"/>
  <c r="I130" i="2"/>
  <c r="H130" i="2"/>
  <c r="J130" i="2" s="1"/>
  <c r="K130" i="2" s="1"/>
  <c r="L130" i="2" s="1"/>
  <c r="P129" i="2"/>
  <c r="N129" i="2"/>
  <c r="I129" i="2"/>
  <c r="H129" i="2"/>
  <c r="J129" i="2" s="1"/>
  <c r="K129" i="2" s="1"/>
  <c r="L129" i="2" s="1"/>
  <c r="P128" i="2"/>
  <c r="N128" i="2"/>
  <c r="O139" i="2" s="1"/>
  <c r="J128" i="2"/>
  <c r="I128" i="2"/>
  <c r="H128" i="2"/>
  <c r="P127" i="2"/>
  <c r="N127" i="2"/>
  <c r="I127" i="2"/>
  <c r="J127" i="2" s="1"/>
  <c r="H127" i="2"/>
  <c r="N126" i="2"/>
  <c r="O108" i="2"/>
  <c r="L108" i="2"/>
  <c r="P107" i="2"/>
  <c r="P108" i="2" s="1"/>
  <c r="O107" i="2"/>
  <c r="J107" i="2"/>
  <c r="J108" i="2" s="1"/>
  <c r="I107" i="2"/>
  <c r="I108" i="2" s="1"/>
  <c r="U106" i="2"/>
  <c r="U107" i="2" s="1"/>
  <c r="U108" i="2" s="1"/>
  <c r="T106" i="2"/>
  <c r="T107" i="2" s="1"/>
  <c r="T108" i="2" s="1"/>
  <c r="S106" i="2"/>
  <c r="S107" i="2" s="1"/>
  <c r="S108" i="2" s="1"/>
  <c r="R106" i="2"/>
  <c r="Q106" i="2"/>
  <c r="P106" i="2"/>
  <c r="O106" i="2"/>
  <c r="N106" i="2"/>
  <c r="M106" i="2"/>
  <c r="N107" i="2" s="1"/>
  <c r="N108" i="2" s="1"/>
  <c r="L106" i="2"/>
  <c r="L107" i="2" s="1"/>
  <c r="K106" i="2"/>
  <c r="J106" i="2"/>
  <c r="I106" i="2"/>
  <c r="H106" i="2"/>
  <c r="H107" i="2" s="1"/>
  <c r="H108" i="2" s="1"/>
  <c r="G106" i="2"/>
  <c r="G107" i="2" s="1"/>
  <c r="P101" i="2"/>
  <c r="O101" i="2"/>
  <c r="P100" i="2"/>
  <c r="O100" i="2"/>
  <c r="N100" i="2"/>
  <c r="N101" i="2" s="1"/>
  <c r="M100" i="2"/>
  <c r="M101" i="2" s="1"/>
  <c r="K100" i="2"/>
  <c r="K101" i="2" s="1"/>
  <c r="U99" i="2"/>
  <c r="S99" i="2"/>
  <c r="R99" i="2"/>
  <c r="R100" i="2" s="1"/>
  <c r="R101" i="2" s="1"/>
  <c r="P99" i="2"/>
  <c r="O99" i="2"/>
  <c r="N99" i="2"/>
  <c r="M99" i="2"/>
  <c r="L99" i="2"/>
  <c r="L100" i="2" s="1"/>
  <c r="L101" i="2" s="1"/>
  <c r="K99" i="2"/>
  <c r="J99" i="2"/>
  <c r="I99" i="2"/>
  <c r="J100" i="2" s="1"/>
  <c r="J101" i="2" s="1"/>
  <c r="H99" i="2"/>
  <c r="G99" i="2"/>
  <c r="F99" i="2"/>
  <c r="T98" i="2"/>
  <c r="T99" i="2" s="1"/>
  <c r="S98" i="2"/>
  <c r="R98" i="2"/>
  <c r="Q98" i="2"/>
  <c r="Q99" i="2" s="1"/>
  <c r="Q100" i="2" s="1"/>
  <c r="Q101" i="2" s="1"/>
  <c r="P98" i="2"/>
  <c r="O98" i="2"/>
  <c r="N9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Q54" i="2"/>
  <c r="P54" i="2"/>
  <c r="O54" i="2"/>
  <c r="N54" i="2"/>
  <c r="M54" i="2"/>
  <c r="L54" i="2"/>
  <c r="K54" i="2"/>
  <c r="J54" i="2"/>
  <c r="I54" i="2"/>
  <c r="H54" i="2"/>
  <c r="G54" i="2"/>
  <c r="F54" i="2"/>
  <c r="Q52" i="2"/>
  <c r="P52" i="2"/>
  <c r="O52" i="2"/>
  <c r="N52" i="2"/>
  <c r="M52" i="2"/>
  <c r="L52" i="2"/>
  <c r="K52" i="2"/>
  <c r="J52" i="2"/>
  <c r="I52" i="2"/>
  <c r="H52" i="2"/>
  <c r="G52" i="2"/>
  <c r="F52" i="2"/>
  <c r="M46" i="2"/>
  <c r="L46" i="2"/>
  <c r="K46" i="2"/>
  <c r="J46" i="2"/>
  <c r="F46" i="2"/>
  <c r="O45" i="2"/>
  <c r="N45" i="2"/>
  <c r="M45" i="2"/>
  <c r="L45" i="2"/>
  <c r="I45" i="2"/>
  <c r="E45" i="2"/>
  <c r="R44" i="2"/>
  <c r="R45" i="2" s="1"/>
  <c r="Q44" i="2"/>
  <c r="Q45" i="2" s="1"/>
  <c r="M44" i="2"/>
  <c r="L44" i="2"/>
  <c r="K44" i="2"/>
  <c r="K45" i="2" s="1"/>
  <c r="J44" i="2"/>
  <c r="J45" i="2" s="1"/>
  <c r="I44" i="2"/>
  <c r="G44" i="2"/>
  <c r="G45" i="2" s="1"/>
  <c r="F44" i="2"/>
  <c r="F45" i="2" s="1"/>
  <c r="O42" i="2"/>
  <c r="O46" i="2" s="1"/>
  <c r="N42" i="2"/>
  <c r="N46" i="2" s="1"/>
  <c r="M42" i="2"/>
  <c r="L42" i="2"/>
  <c r="K42" i="2"/>
  <c r="J42" i="2"/>
  <c r="G42" i="2"/>
  <c r="G46" i="2" s="1"/>
  <c r="F42" i="2"/>
  <c r="E42" i="2"/>
  <c r="T41" i="2"/>
  <c r="S41" i="2"/>
  <c r="S44" i="2" s="1"/>
  <c r="S45" i="2" s="1"/>
  <c r="R41" i="2"/>
  <c r="Q41" i="2"/>
  <c r="P41" i="2"/>
  <c r="P44" i="2" s="1"/>
  <c r="P45" i="2" s="1"/>
  <c r="O41" i="2"/>
  <c r="O44" i="2" s="1"/>
  <c r="N41" i="2"/>
  <c r="N44" i="2" s="1"/>
  <c r="M41" i="2"/>
  <c r="L41" i="2"/>
  <c r="K41" i="2"/>
  <c r="J41" i="2"/>
  <c r="I41" i="2"/>
  <c r="H41" i="2"/>
  <c r="T32" i="2"/>
  <c r="S32" i="2"/>
  <c r="R32" i="2"/>
  <c r="Q32" i="2"/>
  <c r="I32" i="2"/>
  <c r="H32" i="2"/>
  <c r="G32" i="2"/>
  <c r="F32" i="2"/>
  <c r="T31" i="2"/>
  <c r="S31" i="2"/>
  <c r="M31" i="2"/>
  <c r="M32" i="2" s="1"/>
  <c r="L31" i="2"/>
  <c r="L32" i="2" s="1"/>
  <c r="K31" i="2"/>
  <c r="K32" i="2" s="1"/>
  <c r="J31" i="2"/>
  <c r="J32" i="2" s="1"/>
  <c r="I31" i="2"/>
  <c r="H31" i="2"/>
  <c r="G31" i="2"/>
  <c r="F31" i="2"/>
  <c r="S29" i="2"/>
  <c r="S33" i="2" s="1"/>
  <c r="M29" i="2"/>
  <c r="M33" i="2" s="1"/>
  <c r="G29" i="2"/>
  <c r="G33" i="2" s="1"/>
  <c r="F29" i="2"/>
  <c r="F33" i="2" s="1"/>
  <c r="E29" i="2"/>
  <c r="E32" i="2" s="1"/>
  <c r="T28" i="2"/>
  <c r="S28" i="2"/>
  <c r="R28" i="2"/>
  <c r="R31" i="2" s="1"/>
  <c r="Q28" i="2"/>
  <c r="Q31" i="2" s="1"/>
  <c r="P28" i="2"/>
  <c r="P31" i="2" s="1"/>
  <c r="P32" i="2" s="1"/>
  <c r="O28" i="2"/>
  <c r="N28" i="2"/>
  <c r="M28" i="2"/>
  <c r="L28" i="2"/>
  <c r="K28" i="2"/>
  <c r="L29" i="2" s="1"/>
  <c r="L33" i="2" s="1"/>
  <c r="J28" i="2"/>
  <c r="J29" i="2" s="1"/>
  <c r="J33" i="2" s="1"/>
  <c r="I28" i="2"/>
  <c r="I29" i="2" s="1"/>
  <c r="I33" i="2" s="1"/>
  <c r="H28" i="2"/>
  <c r="G28" i="2"/>
  <c r="M22" i="2"/>
  <c r="E21" i="2"/>
  <c r="F20" i="2"/>
  <c r="F21" i="2" s="1"/>
  <c r="S18" i="2"/>
  <c r="S22" i="2" s="1"/>
  <c r="R18" i="2"/>
  <c r="R22" i="2" s="1"/>
  <c r="Q18" i="2"/>
  <c r="Q22" i="2" s="1"/>
  <c r="F18" i="2"/>
  <c r="F22" i="2" s="1"/>
  <c r="S17" i="2"/>
  <c r="S20" i="2" s="1"/>
  <c r="S21" i="2" s="1"/>
  <c r="R17" i="2"/>
  <c r="R20" i="2" s="1"/>
  <c r="R21" i="2" s="1"/>
  <c r="Q17" i="2"/>
  <c r="Q20" i="2" s="1"/>
  <c r="Q21" i="2" s="1"/>
  <c r="N17" i="2"/>
  <c r="N18" i="2" s="1"/>
  <c r="N22" i="2" s="1"/>
  <c r="M17" i="2"/>
  <c r="M18" i="2" s="1"/>
  <c r="G17" i="2"/>
  <c r="T16" i="2"/>
  <c r="T17" i="2" s="1"/>
  <c r="S16" i="2"/>
  <c r="R16" i="2"/>
  <c r="Q16" i="2"/>
  <c r="P16" i="2"/>
  <c r="P17" i="2" s="1"/>
  <c r="P18" i="2" s="1"/>
  <c r="P22" i="2" s="1"/>
  <c r="O16" i="2"/>
  <c r="O17" i="2" s="1"/>
  <c r="O18" i="2" s="1"/>
  <c r="O22" i="2" s="1"/>
  <c r="N16" i="2"/>
  <c r="M16" i="2"/>
  <c r="L16" i="2"/>
  <c r="L17" i="2" s="1"/>
  <c r="K16" i="2"/>
  <c r="K17" i="2" s="1"/>
  <c r="J16" i="2"/>
  <c r="J17" i="2" s="1"/>
  <c r="I16" i="2"/>
  <c r="I17" i="2" s="1"/>
  <c r="H16" i="2"/>
  <c r="H17" i="2" s="1"/>
  <c r="G16" i="2"/>
  <c r="F16" i="2"/>
  <c r="E16" i="2"/>
  <c r="G10" i="2"/>
  <c r="F10" i="2"/>
  <c r="I9" i="2"/>
  <c r="H9" i="2"/>
  <c r="F9" i="2"/>
  <c r="N8" i="2"/>
  <c r="N9" i="2" s="1"/>
  <c r="M8" i="2"/>
  <c r="M9" i="2" s="1"/>
  <c r="L8" i="2"/>
  <c r="L9" i="2" s="1"/>
  <c r="K8" i="2"/>
  <c r="K9" i="2" s="1"/>
  <c r="J8" i="2"/>
  <c r="J9" i="2" s="1"/>
  <c r="I8" i="2"/>
  <c r="H8" i="2"/>
  <c r="F8" i="2"/>
  <c r="L6" i="2"/>
  <c r="L10" i="2" s="1"/>
  <c r="K6" i="2"/>
  <c r="K10" i="2" s="1"/>
  <c r="J6" i="2"/>
  <c r="J10" i="2" s="1"/>
  <c r="I6" i="2"/>
  <c r="I10" i="2" s="1"/>
  <c r="F6" i="2"/>
  <c r="E6" i="2"/>
  <c r="E9" i="2" s="1"/>
  <c r="T5" i="2"/>
  <c r="S5" i="2"/>
  <c r="R5" i="2"/>
  <c r="R8" i="2" s="1"/>
  <c r="R9" i="2" s="1"/>
  <c r="Q5" i="2"/>
  <c r="P5" i="2"/>
  <c r="O5" i="2"/>
  <c r="O8" i="2" s="1"/>
  <c r="O9" i="2" s="1"/>
  <c r="N5" i="2"/>
  <c r="N6" i="2" s="1"/>
  <c r="N10" i="2" s="1"/>
  <c r="M5" i="2"/>
  <c r="M6" i="2" s="1"/>
  <c r="M10" i="2" s="1"/>
  <c r="L5" i="2"/>
  <c r="K5" i="2"/>
  <c r="J5" i="2"/>
  <c r="I5" i="2"/>
  <c r="H5" i="2"/>
  <c r="G5" i="2"/>
  <c r="G6" i="2" s="1"/>
  <c r="M48" i="6" l="1"/>
  <c r="N48" i="6"/>
  <c r="K48" i="6"/>
  <c r="H2" i="5"/>
  <c r="H1" i="5" s="1"/>
  <c r="H4" i="5"/>
  <c r="I4" i="5" s="1"/>
  <c r="K10" i="5"/>
  <c r="H5" i="5"/>
  <c r="I5" i="5" s="1"/>
  <c r="AK22" i="3"/>
  <c r="BK22" i="3"/>
  <c r="AZ22" i="3"/>
  <c r="BA22" i="3"/>
  <c r="BB22" i="3"/>
  <c r="K25" i="3"/>
  <c r="BO22" i="3"/>
  <c r="M25" i="3"/>
  <c r="AD22" i="3"/>
  <c r="BP22" i="3"/>
  <c r="AE22" i="3"/>
  <c r="BQ22" i="3"/>
  <c r="S25" i="3"/>
  <c r="BF22" i="3"/>
  <c r="BG22" i="3"/>
  <c r="BU22" i="3"/>
  <c r="Y22" i="3"/>
  <c r="AL22" i="3"/>
  <c r="BL22" i="3"/>
  <c r="AM22" i="3"/>
  <c r="I25" i="3"/>
  <c r="AN22" i="3"/>
  <c r="BN22" i="3"/>
  <c r="K22" i="3"/>
  <c r="AC22" i="3"/>
  <c r="BC22" i="3"/>
  <c r="CC25" i="3"/>
  <c r="CD25" i="3"/>
  <c r="Q22" i="3"/>
  <c r="BE22" i="3"/>
  <c r="CE25" i="3"/>
  <c r="AF22" i="3"/>
  <c r="AT22" i="3"/>
  <c r="BR22" i="3"/>
  <c r="V25" i="3"/>
  <c r="U22" i="3"/>
  <c r="AU22" i="3"/>
  <c r="BS22" i="3"/>
  <c r="CG25" i="3"/>
  <c r="V22" i="3"/>
  <c r="E25" i="3"/>
  <c r="BO25" i="3"/>
  <c r="AY22" i="3"/>
  <c r="Z22" i="3"/>
  <c r="BZ25" i="3"/>
  <c r="AA22" i="3"/>
  <c r="BM22" i="3"/>
  <c r="CA25" i="3"/>
  <c r="N22" i="3"/>
  <c r="P25" i="3"/>
  <c r="AS22" i="3"/>
  <c r="S22" i="3"/>
  <c r="AG22" i="3"/>
  <c r="BI25" i="3"/>
  <c r="AV22" i="3"/>
  <c r="BH22" i="3"/>
  <c r="W22" i="3"/>
  <c r="AI22" i="3"/>
  <c r="AW22" i="3"/>
  <c r="BI22" i="3"/>
  <c r="BV22" i="3"/>
  <c r="AX22" i="3"/>
  <c r="Q136" i="2"/>
  <c r="K151" i="2"/>
  <c r="L151" i="2" s="1"/>
  <c r="K132" i="2"/>
  <c r="L132" i="2" s="1"/>
  <c r="S140" i="2"/>
  <c r="K127" i="2"/>
  <c r="L127" i="2" s="1"/>
  <c r="K128" i="2"/>
  <c r="L128" i="2" s="1"/>
  <c r="T20" i="2"/>
  <c r="T21" i="2" s="1"/>
  <c r="T18" i="2"/>
  <c r="T22" i="2" s="1"/>
  <c r="G18" i="2"/>
  <c r="G22" i="2" s="1"/>
  <c r="G20" i="2"/>
  <c r="G21" i="2" s="1"/>
  <c r="S100" i="2"/>
  <c r="S101" i="2" s="1"/>
  <c r="O137" i="2"/>
  <c r="Q137" i="2" s="1"/>
  <c r="S137" i="2" s="1"/>
  <c r="O131" i="2"/>
  <c r="Q131" i="2" s="1"/>
  <c r="O133" i="2"/>
  <c r="Q133" i="2" s="1"/>
  <c r="S133" i="2" s="1"/>
  <c r="O129" i="2"/>
  <c r="Q129" i="2" s="1"/>
  <c r="S129" i="2" s="1"/>
  <c r="O138" i="2"/>
  <c r="Q138" i="2" s="1"/>
  <c r="S138" i="2" s="1"/>
  <c r="O134" i="2"/>
  <c r="Q134" i="2" s="1"/>
  <c r="S134" i="2" s="1"/>
  <c r="O130" i="2"/>
  <c r="Q132" i="2"/>
  <c r="S132" i="2" s="1"/>
  <c r="O147" i="2"/>
  <c r="Q147" i="2" s="1"/>
  <c r="S147" i="2" s="1"/>
  <c r="P42" i="2"/>
  <c r="P46" i="2" s="1"/>
  <c r="H100" i="2"/>
  <c r="H101" i="2" s="1"/>
  <c r="O127" i="2"/>
  <c r="Q153" i="2"/>
  <c r="K18" i="2"/>
  <c r="K22" i="2" s="1"/>
  <c r="K20" i="2"/>
  <c r="K21" i="2" s="1"/>
  <c r="Q151" i="2"/>
  <c r="S151" i="2" s="1"/>
  <c r="L18" i="2"/>
  <c r="L22" i="2" s="1"/>
  <c r="L20" i="2"/>
  <c r="L21" i="2" s="1"/>
  <c r="H42" i="2"/>
  <c r="H46" i="2" s="1"/>
  <c r="H44" i="2"/>
  <c r="H45" i="2" s="1"/>
  <c r="I42" i="2"/>
  <c r="I46" i="2" s="1"/>
  <c r="H18" i="2"/>
  <c r="H22" i="2" s="1"/>
  <c r="H20" i="2"/>
  <c r="H21" i="2" s="1"/>
  <c r="Q143" i="2"/>
  <c r="I20" i="2"/>
  <c r="I21" i="2" s="1"/>
  <c r="I18" i="2"/>
  <c r="I22" i="2" s="1"/>
  <c r="Q42" i="2"/>
  <c r="Q46" i="2" s="1"/>
  <c r="G100" i="2"/>
  <c r="O149" i="2"/>
  <c r="K144" i="2"/>
  <c r="L144" i="2" s="1"/>
  <c r="Q149" i="2"/>
  <c r="J20" i="2"/>
  <c r="J21" i="2" s="1"/>
  <c r="J18" i="2"/>
  <c r="J22" i="2" s="1"/>
  <c r="R42" i="2"/>
  <c r="R46" i="2" s="1"/>
  <c r="Q107" i="2"/>
  <c r="Q108" i="2" s="1"/>
  <c r="O151" i="2"/>
  <c r="S42" i="2"/>
  <c r="S46" i="2" s="1"/>
  <c r="R107" i="2"/>
  <c r="R108" i="2" s="1"/>
  <c r="Q127" i="2"/>
  <c r="S127" i="2" s="1"/>
  <c r="K154" i="2"/>
  <c r="L154" i="2" s="1"/>
  <c r="T44" i="2"/>
  <c r="T45" i="2" s="1"/>
  <c r="T42" i="2"/>
  <c r="T46" i="2" s="1"/>
  <c r="M20" i="2"/>
  <c r="M21" i="2" s="1"/>
  <c r="O141" i="2"/>
  <c r="Q141" i="2" s="1"/>
  <c r="S141" i="2" s="1"/>
  <c r="O142" i="2"/>
  <c r="O153" i="2"/>
  <c r="N20" i="2"/>
  <c r="N21" i="2" s="1"/>
  <c r="O135" i="2"/>
  <c r="Q142" i="2"/>
  <c r="S142" i="2" s="1"/>
  <c r="Q146" i="2"/>
  <c r="O148" i="2"/>
  <c r="Q148" i="2" s="1"/>
  <c r="P8" i="2"/>
  <c r="P9" i="2" s="1"/>
  <c r="P6" i="2"/>
  <c r="P10" i="2" s="1"/>
  <c r="O20" i="2"/>
  <c r="O21" i="2" s="1"/>
  <c r="Q135" i="2"/>
  <c r="Q8" i="2"/>
  <c r="Q9" i="2" s="1"/>
  <c r="Q6" i="2"/>
  <c r="Q10" i="2" s="1"/>
  <c r="O6" i="2"/>
  <c r="O10" i="2" s="1"/>
  <c r="P20" i="2"/>
  <c r="P21" i="2" s="1"/>
  <c r="K136" i="2"/>
  <c r="L136" i="2" s="1"/>
  <c r="O150" i="2"/>
  <c r="Q150" i="2" s="1"/>
  <c r="K141" i="2"/>
  <c r="L141" i="2" s="1"/>
  <c r="K145" i="2"/>
  <c r="L145" i="2" s="1"/>
  <c r="Q154" i="2"/>
  <c r="S154" i="2" s="1"/>
  <c r="K29" i="2"/>
  <c r="K33" i="2" s="1"/>
  <c r="M107" i="2"/>
  <c r="M108" i="2" s="1"/>
  <c r="K155" i="2"/>
  <c r="L155" i="2" s="1"/>
  <c r="N31" i="2"/>
  <c r="N32" i="2" s="1"/>
  <c r="N29" i="2"/>
  <c r="N33" i="2" s="1"/>
  <c r="O128" i="2"/>
  <c r="Q128" i="2" s="1"/>
  <c r="K134" i="2"/>
  <c r="L134" i="2" s="1"/>
  <c r="Q139" i="2"/>
  <c r="O152" i="2"/>
  <c r="Q152" i="2" s="1"/>
  <c r="S152" i="2" s="1"/>
  <c r="O29" i="2"/>
  <c r="O33" i="2" s="1"/>
  <c r="O31" i="2"/>
  <c r="O32" i="2" s="1"/>
  <c r="T100" i="2"/>
  <c r="T101" i="2" s="1"/>
  <c r="U100" i="2"/>
  <c r="U101" i="2" s="1"/>
  <c r="Q130" i="2"/>
  <c r="O145" i="2"/>
  <c r="Q145" i="2" s="1"/>
  <c r="S145" i="2" s="1"/>
  <c r="O136" i="2"/>
  <c r="I100" i="2"/>
  <c r="I101" i="2" s="1"/>
  <c r="H6" i="2"/>
  <c r="H10" i="2" s="1"/>
  <c r="R6" i="2"/>
  <c r="R10" i="2" s="1"/>
  <c r="P29" i="2"/>
  <c r="P33" i="2" s="1"/>
  <c r="Q29" i="2"/>
  <c r="Q33" i="2" s="1"/>
  <c r="O144" i="2"/>
  <c r="Q144" i="2" s="1"/>
  <c r="S144" i="2" s="1"/>
  <c r="S6" i="2"/>
  <c r="S10" i="2" s="1"/>
  <c r="K148" i="2"/>
  <c r="L148" i="2" s="1"/>
  <c r="T6" i="2"/>
  <c r="T10" i="2" s="1"/>
  <c r="S8" i="2"/>
  <c r="S9" i="2" s="1"/>
  <c r="T8" i="2"/>
  <c r="T9" i="2" s="1"/>
  <c r="G8" i="2"/>
  <c r="G9" i="2" s="1"/>
  <c r="H29" i="2"/>
  <c r="H33" i="2" s="1"/>
  <c r="T29" i="2"/>
  <c r="T33" i="2" s="1"/>
  <c r="R29" i="2"/>
  <c r="R33" i="2" s="1"/>
  <c r="K107" i="2"/>
  <c r="K108" i="2" s="1"/>
  <c r="J2" i="5" l="1"/>
  <c r="K11" i="5"/>
  <c r="L10" i="5"/>
  <c r="S148" i="2"/>
  <c r="S135" i="2"/>
  <c r="S149" i="2"/>
  <c r="S130" i="2"/>
  <c r="S146" i="2"/>
  <c r="S150" i="2"/>
  <c r="S139" i="2"/>
  <c r="S131" i="2"/>
  <c r="S143" i="2"/>
  <c r="S153" i="2"/>
  <c r="S128" i="2"/>
  <c r="S136" i="2"/>
  <c r="L11" i="5" l="1"/>
  <c r="K12" i="5"/>
  <c r="K13" i="5" l="1"/>
  <c r="L12" i="5"/>
  <c r="L13" i="5" l="1"/>
  <c r="K14" i="5"/>
  <c r="K15" i="5" l="1"/>
  <c r="L14" i="5"/>
  <c r="L15" i="5" l="1"/>
  <c r="K16" i="5"/>
  <c r="L16" i="5" l="1"/>
  <c r="K17" i="5"/>
  <c r="K18" i="5" l="1"/>
  <c r="L17" i="5"/>
  <c r="L18" i="5" l="1"/>
  <c r="K19" i="5"/>
  <c r="L19" i="5" l="1"/>
  <c r="K20" i="5"/>
  <c r="L20" i="5" l="1"/>
  <c r="K21" i="5"/>
  <c r="L21" i="5" l="1"/>
  <c r="K22" i="5"/>
  <c r="K23" i="5" l="1"/>
  <c r="L22" i="5"/>
  <c r="L23" i="5" l="1"/>
  <c r="K24" i="5"/>
  <c r="K25" i="5" l="1"/>
  <c r="L24" i="5"/>
  <c r="K26" i="5" l="1"/>
  <c r="L25" i="5"/>
  <c r="K27" i="5" l="1"/>
  <c r="L26" i="5"/>
  <c r="L27" i="5" l="1"/>
  <c r="K28" i="5"/>
  <c r="L28" i="5" l="1"/>
  <c r="K29" i="5"/>
  <c r="L29" i="5" l="1"/>
  <c r="K30" i="5"/>
  <c r="K31" i="5" l="1"/>
  <c r="L30" i="5"/>
  <c r="L31" i="5" l="1"/>
  <c r="K32" i="5"/>
  <c r="L32" i="5" l="1"/>
  <c r="K33" i="5"/>
  <c r="K34" i="5" l="1"/>
  <c r="L33" i="5"/>
  <c r="L34" i="5" l="1"/>
  <c r="K35" i="5"/>
  <c r="L35" i="5" l="1"/>
  <c r="K36" i="5"/>
  <c r="L36" i="5" l="1"/>
  <c r="K37" i="5"/>
  <c r="L37" i="5" l="1"/>
  <c r="K38" i="5"/>
  <c r="K39" i="5" l="1"/>
  <c r="L38" i="5"/>
  <c r="L39" i="5" l="1"/>
  <c r="K40" i="5"/>
  <c r="L40" i="5" l="1"/>
  <c r="K41" i="5"/>
  <c r="K42" i="5" l="1"/>
  <c r="L41" i="5"/>
  <c r="K43" i="5" l="1"/>
  <c r="L42" i="5"/>
  <c r="L43" i="5" l="1"/>
  <c r="K44" i="5"/>
  <c r="K45" i="5" l="1"/>
  <c r="L44" i="5"/>
  <c r="L45" i="5" l="1"/>
  <c r="K46" i="5"/>
  <c r="L46" i="5" l="1"/>
  <c r="K47" i="5"/>
  <c r="L47" i="5" l="1"/>
  <c r="K48" i="5"/>
  <c r="K49" i="5" l="1"/>
  <c r="L48" i="5"/>
  <c r="K50" i="5" l="1"/>
  <c r="L49" i="5"/>
  <c r="K51" i="5" l="1"/>
  <c r="L50" i="5"/>
  <c r="L51" i="5" l="1"/>
  <c r="K52" i="5"/>
  <c r="L52" i="5" l="1"/>
  <c r="K53" i="5"/>
  <c r="L53" i="5" l="1"/>
  <c r="K54" i="5"/>
  <c r="L54" i="5" l="1"/>
  <c r="K55" i="5"/>
  <c r="L55" i="5" l="1"/>
  <c r="K56" i="5"/>
  <c r="L56" i="5" l="1"/>
  <c r="K57" i="5"/>
  <c r="K58" i="5" l="1"/>
  <c r="L57" i="5"/>
  <c r="K59" i="5" l="1"/>
  <c r="L58" i="5"/>
  <c r="L59" i="5" l="1"/>
  <c r="K60" i="5"/>
  <c r="K61" i="5" l="1"/>
  <c r="L60" i="5"/>
  <c r="L61" i="5" l="1"/>
  <c r="K62" i="5"/>
  <c r="L62" i="5" l="1"/>
  <c r="K63" i="5"/>
  <c r="L63" i="5" l="1"/>
  <c r="K64" i="5"/>
  <c r="K65" i="5" l="1"/>
  <c r="L64" i="5"/>
  <c r="K66" i="5" l="1"/>
  <c r="L65" i="5"/>
  <c r="K67" i="5" l="1"/>
  <c r="L66" i="5"/>
  <c r="L67" i="5" l="1"/>
  <c r="K68" i="5"/>
  <c r="L68" i="5" l="1"/>
  <c r="K69" i="5"/>
  <c r="K70" i="5" l="1"/>
  <c r="L69" i="5"/>
  <c r="L70" i="5" l="1"/>
  <c r="K71" i="5"/>
  <c r="L71" i="5" l="1"/>
  <c r="K72" i="5"/>
  <c r="K73" i="5" l="1"/>
  <c r="L72" i="5"/>
  <c r="K74" i="5" l="1"/>
  <c r="L73" i="5"/>
  <c r="K75" i="5" l="1"/>
  <c r="L74" i="5"/>
  <c r="L75" i="5" l="1"/>
  <c r="K76" i="5"/>
  <c r="K77" i="5" l="1"/>
  <c r="L76" i="5"/>
  <c r="L77" i="5" l="1"/>
  <c r="K78" i="5"/>
  <c r="L78" i="5" l="1"/>
  <c r="K79" i="5"/>
  <c r="L79" i="5" l="1"/>
  <c r="K80" i="5"/>
  <c r="K81" i="5" l="1"/>
  <c r="L80" i="5"/>
  <c r="K82" i="5" l="1"/>
  <c r="L81" i="5"/>
  <c r="K83" i="5" l="1"/>
  <c r="L82" i="5"/>
  <c r="L83" i="5" l="1"/>
  <c r="K84" i="5"/>
  <c r="L84" i="5" l="1"/>
  <c r="K85" i="5"/>
  <c r="K86" i="5" l="1"/>
  <c r="L85" i="5"/>
  <c r="L86" i="5" l="1"/>
  <c r="K87" i="5"/>
  <c r="L87" i="5" l="1"/>
  <c r="K88" i="5"/>
  <c r="L88" i="5" l="1"/>
  <c r="K89" i="5"/>
  <c r="K90" i="5" l="1"/>
  <c r="L89" i="5"/>
  <c r="K91" i="5" l="1"/>
  <c r="L90" i="5"/>
  <c r="L91" i="5" l="1"/>
  <c r="K92" i="5"/>
  <c r="K93" i="5" l="1"/>
  <c r="L92" i="5"/>
  <c r="K94" i="5" l="1"/>
  <c r="L93" i="5"/>
  <c r="L94" i="5" l="1"/>
  <c r="K95" i="5"/>
  <c r="L95" i="5" l="1"/>
  <c r="K96" i="5"/>
  <c r="K97" i="5" l="1"/>
  <c r="L96" i="5"/>
  <c r="K98" i="5" l="1"/>
  <c r="L97" i="5"/>
  <c r="K99" i="5" l="1"/>
  <c r="L98" i="5"/>
  <c r="L99" i="5" l="1"/>
  <c r="K100" i="5"/>
  <c r="L100" i="5" l="1"/>
  <c r="K101" i="5"/>
  <c r="K102" i="5" l="1"/>
  <c r="L101" i="5"/>
  <c r="L102" i="5" l="1"/>
  <c r="K103" i="5"/>
  <c r="L103" i="5" l="1"/>
  <c r="K104" i="5"/>
  <c r="L104" i="5" l="1"/>
  <c r="K105" i="5"/>
  <c r="K106" i="5" l="1"/>
  <c r="L105" i="5"/>
  <c r="K107" i="5" l="1"/>
  <c r="L106" i="5"/>
  <c r="L107" i="5" l="1"/>
  <c r="K108" i="5"/>
  <c r="K109" i="5" l="1"/>
  <c r="L108" i="5"/>
  <c r="K110" i="5" l="1"/>
  <c r="L109" i="5"/>
  <c r="L110" i="5" l="1"/>
  <c r="K111" i="5"/>
  <c r="L111" i="5" l="1"/>
  <c r="K112" i="5"/>
  <c r="L112" i="5" l="1"/>
  <c r="K113" i="5"/>
  <c r="K114" i="5" l="1"/>
  <c r="L113" i="5"/>
  <c r="K115" i="5" l="1"/>
  <c r="L114" i="5"/>
  <c r="L115" i="5" l="1"/>
  <c r="K116" i="5"/>
  <c r="L116" i="5" l="1"/>
  <c r="K117" i="5"/>
  <c r="K118" i="5" l="1"/>
  <c r="L117" i="5"/>
  <c r="L118" i="5" l="1"/>
  <c r="K119" i="5"/>
  <c r="L119" i="5" l="1"/>
  <c r="K120" i="5"/>
  <c r="K121" i="5" l="1"/>
  <c r="L120" i="5"/>
  <c r="K122" i="5" l="1"/>
  <c r="L121" i="5"/>
  <c r="K123" i="5" l="1"/>
  <c r="L122" i="5"/>
  <c r="L123" i="5" l="1"/>
  <c r="K124" i="5"/>
  <c r="K125" i="5" l="1"/>
  <c r="L124" i="5"/>
  <c r="K126" i="5" l="1"/>
  <c r="L125" i="5"/>
  <c r="L126" i="5" l="1"/>
  <c r="K127" i="5"/>
  <c r="L127" i="5" l="1"/>
  <c r="K128" i="5"/>
  <c r="L128" i="5" l="1"/>
  <c r="K129" i="5"/>
  <c r="L129" i="5" l="1"/>
  <c r="K130" i="5"/>
  <c r="L130" i="5" l="1"/>
  <c r="K131" i="5"/>
  <c r="L131" i="5" l="1"/>
  <c r="K132" i="5"/>
  <c r="K133" i="5" l="1"/>
  <c r="L132" i="5"/>
  <c r="K134" i="5" l="1"/>
  <c r="L133" i="5"/>
  <c r="K135" i="5" l="1"/>
  <c r="L134" i="5"/>
  <c r="L135" i="5" l="1"/>
  <c r="K136" i="5"/>
  <c r="K137" i="5" l="1"/>
  <c r="L136" i="5"/>
  <c r="K138" i="5" l="1"/>
  <c r="L137" i="5"/>
  <c r="L138" i="5" l="1"/>
  <c r="K139" i="5"/>
  <c r="L1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 (DRH)</author>
    <author>00358</author>
    <author>tc={C50AB233-3040-415A-89AE-EBA9D94FCC48}</author>
    <author>tc={17A63247-B067-4EBE-B922-15A8D95D4288}</author>
    <author>tc={04AC0072-8FC5-46C8-8DF3-789F80E0F796}</author>
    <author>tc={66501E6E-286B-422B-B4D3-8C48827A28BF}</author>
    <author>tc={9971D579-BCA7-485F-979F-A04A33A453E0}</author>
    <author>tc={95DB445E-748C-4EE9-84CB-277062754453}</author>
  </authors>
  <commentList>
    <comment ref="E140" authorId="0" shapeId="0" xr:uid="{B44096CF-9A1C-4A54-B405-72CD51694C0C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début = paie fév - embuaches fév</t>
        </r>
      </text>
    </comment>
    <comment ref="G140" authorId="0" shapeId="0" xr:uid="{A7BF6ABC-E021-4E2A-9B19-651F99A3AD18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Andry et Ando comptabilisés 2023 ne plus mettre date de départ mais date démission</t>
        </r>
      </text>
    </comment>
    <comment ref="E141" authorId="0" shapeId="0" xr:uid="{BE922841-0ED4-47C9-96D9-8AB0F635997D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début mars = paie fév -3départs</t>
        </r>
      </text>
    </comment>
    <comment ref="F141" authorId="0" shapeId="0" xr:uid="{8E6FD43E-68DA-47C2-A9BD-CC79AC0EBB80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Damien et Vaniala</t>
        </r>
      </text>
    </comment>
    <comment ref="E142" authorId="0" shapeId="0" xr:uid="{96C635C1-4B92-4BE4-AEB8-4272D573217C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paie mars + 419 + 420</t>
        </r>
      </text>
    </comment>
    <comment ref="F142" authorId="1" shapeId="0" xr:uid="{603E0EC0-A96B-43E1-8E73-E674C41AF4F6}">
      <text>
        <r>
          <rPr>
            <b/>
            <sz val="9"/>
            <color indexed="81"/>
            <rFont val="Tahoma"/>
            <family val="2"/>
          </rPr>
          <t>00358:</t>
        </r>
        <r>
          <rPr>
            <sz val="9"/>
            <color indexed="81"/>
            <rFont val="Tahoma"/>
            <family val="2"/>
          </rPr>
          <t xml:space="preserve">
Elsy + Henri</t>
        </r>
      </text>
    </comment>
    <comment ref="G142" authorId="1" shapeId="0" xr:uid="{9A1695BC-1797-4284-BA0B-A071153F99A0}">
      <text>
        <r>
          <rPr>
            <b/>
            <sz val="9"/>
            <color indexed="81"/>
            <rFont val="Tahoma"/>
            <family val="2"/>
          </rPr>
          <t>00358:</t>
        </r>
        <r>
          <rPr>
            <sz val="9"/>
            <color indexed="81"/>
            <rFont val="Tahoma"/>
            <family val="2"/>
          </rPr>
          <t xml:space="preserve">
+Jovial (Fin CDD)
+ Rondro (Décès)
</t>
        </r>
      </text>
    </comment>
    <comment ref="M142" authorId="0" shapeId="0" xr:uid="{892C6F15-5DBB-436C-9C06-C94B7C21AAF8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Tojo</t>
        </r>
      </text>
    </comment>
    <comment ref="G143" authorId="0" shapeId="0" xr:uid="{E8A8DAD2-69C4-4B5F-B19D-7DE4D8C1ECCB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+1 CDD Stacy</t>
        </r>
      </text>
    </comment>
    <comment ref="M143" authorId="0" shapeId="0" xr:uid="{CB2A37A3-5241-49BE-BA6D-C388F2988161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assistante Zoe</t>
        </r>
      </text>
    </comment>
    <comment ref="G144" authorId="2" shapeId="0" xr:uid="{C50AB233-3040-415A-89AE-EBA9D94FCC4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Helena , les retraités non inclus</t>
      </text>
    </comment>
    <comment ref="F146" authorId="3" shapeId="0" xr:uid="{17A63247-B067-4EBE-B922-15A8D95D42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Mana, (2) électromeca </t>
      </text>
    </comment>
    <comment ref="G146" authorId="4" shapeId="0" xr:uid="{04AC0072-8FC5-46C8-8DF3-789F80E0F7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Jason</t>
      </text>
    </comment>
    <comment ref="G148" authorId="5" shapeId="0" xr:uid="{66501E6E-286B-422B-B4D3-8C48827A28B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Henintsoa elec</t>
      </text>
    </comment>
    <comment ref="G150" authorId="6" shapeId="0" xr:uid="{9971D579-BCA7-485F-979F-A04A33A453E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Judickael, HajaMinohery, Walter</t>
      </text>
    </comment>
    <comment ref="G154" authorId="7" shapeId="0" xr:uid="{95DB445E-748C-4EE9-84CB-27706275445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Haja Magasinier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 (DRH)</author>
    <author>Tantely Haingosoa BENAMAHARO (DRH)</author>
    <author>tc={DA55D655-0BED-4C1A-8AF8-8E05DE387201}</author>
  </authors>
  <commentList>
    <comment ref="M4" authorId="0" shapeId="0" xr:uid="{D37055E5-0F73-41DB-B8DB-FFDB7D65E6A3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DEMANDE DE RECRUTEMENT EN COURS DE REGUL
</t>
        </r>
      </text>
    </comment>
    <comment ref="BC4" authorId="1" shapeId="0" xr:uid="{5BF78B70-AF65-4ED5-9FEC-D4F9E23011F0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Annonce en interne le 24/04/2024
Annonce en externe de 02/05/2024</t>
        </r>
      </text>
    </comment>
    <comment ref="BE4" authorId="2" shapeId="0" xr:uid="{DA55D655-0BED-4C1A-8AF8-8E05DE38720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NOUVEAU COMPTEUR APRES REPROFILAGE AVEC LUC</t>
      </text>
    </comment>
    <comment ref="W18" authorId="1" shapeId="0" xr:uid="{0F9ED8A3-E939-4489-B0F6-5AC1A0171483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12 juillet - 25 juillet
</t>
        </r>
      </text>
    </comment>
    <comment ref="AB18" authorId="1" shapeId="0" xr:uid="{ED510EBC-D4FA-44B0-8D5E-DE5B9C0A0DF6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DEBUT des entretien RCP faits par DHR/CDRHR</t>
        </r>
      </text>
    </comment>
    <comment ref="AL18" authorId="1" shapeId="0" xr:uid="{15B795E8-2152-43BA-B7FC-FB857569BFB4}">
      <text>
        <r>
          <rPr>
            <b/>
            <sz val="9"/>
            <color indexed="81"/>
            <rFont val="Tahoma"/>
            <family val="2"/>
          </rPr>
          <t xml:space="preserve">
PHASE  TEST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M18" authorId="1" shapeId="0" xr:uid="{74B0BCE0-E045-4EEF-9605-0BCF4ACAEFC0}">
      <text>
        <r>
          <rPr>
            <b/>
            <sz val="10"/>
            <color indexed="81"/>
            <rFont val="Tahoma"/>
            <family val="2"/>
          </rPr>
          <t>PHASE DE TEST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3" authorId="1" shapeId="0" xr:uid="{8D504062-D8FA-426F-B88B-FF7EB7B9778B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Offre réfusée</t>
        </r>
      </text>
    </comment>
    <comment ref="AN33" authorId="1" shapeId="0" xr:uid="{AB6F6269-5AE5-4BF4-953C-A0FC34A489D0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Offre refusée</t>
        </r>
      </text>
    </comment>
    <comment ref="AI46" authorId="1" shapeId="0" xr:uid="{43B5612E-2A94-4164-8E15-4D38A1AC1446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traitement en cours depuis toujours</t>
        </r>
      </text>
    </comment>
    <comment ref="AM46" authorId="1" shapeId="0" xr:uid="{BB1381B5-D0C7-4824-8DA3-452EC4C6293C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DEBUT des entretien RCP faits par DHR/CDRHR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tc={B6B56DBF-BA4E-4F25-8F3A-EA694C867C22}</author>
    <author>Dealilalaina Sedera RASOLOMANANA (DRH)</author>
    <author>Vatosoa Maminiaina RAJAOFERA (DRH)</author>
    <author>tc={25C33029-BDDC-49CF-BA66-B707131C6906}</author>
    <author>tc={5DDC5353-E299-48AA-83DF-9D9AB26A1E73}</author>
    <author>tc={695BC5B6-D61D-4436-A0AB-B5B12D941C61}</author>
    <author>tc={571F5FCF-9D32-4B7B-A6F0-B482C9C53196}</author>
    <author>tc={843CBAB7-C51B-4EDF-98AC-517D14D1E8AD}</author>
    <author>tc={0AF1B133-94A6-4DD3-8A05-D0017A5EDDD0}</author>
  </authors>
  <commentList>
    <comment ref="D6" authorId="0" shapeId="0" xr:uid="{B6B56DBF-BA4E-4F25-8F3A-EA694C867C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Nombre de poste pourvu (-56 jours)/nb de poste trim pourvu= (%)</t>
      </text>
    </comment>
    <comment ref="P6" authorId="1" shapeId="0" xr:uid="{51ECCB77-1303-4CBF-80EE-593CEF212A2D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pas de recrutement lancé</t>
        </r>
      </text>
    </comment>
    <comment ref="S6" authorId="1" shapeId="0" xr:uid="{0D5E3970-6DFF-45FF-AF57-5A386BEF6350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cloturés au 04/04/2022</t>
        </r>
      </text>
    </comment>
    <comment ref="AE7" authorId="2" shapeId="0" xr:uid="{55B52DF8-ED82-486D-AE3F-879A48B263AF}">
      <text>
        <r>
          <rPr>
            <b/>
            <sz val="9"/>
            <color indexed="81"/>
            <rFont val="Tahoma"/>
            <family val="2"/>
          </rPr>
          <t>Vatosoa Maminiaina RAJAOFERA (DRH):</t>
        </r>
        <r>
          <rPr>
            <sz val="9"/>
            <color indexed="81"/>
            <rFont val="Tahoma"/>
            <family val="2"/>
          </rPr>
          <t xml:space="preserve">
en tenant compte des sensibilisations</t>
        </r>
      </text>
    </comment>
    <comment ref="AQ7" authorId="2" shapeId="0" xr:uid="{DE7BE081-219A-4B66-9D35-1ED9AE755E9C}">
      <text>
        <r>
          <rPr>
            <b/>
            <sz val="9"/>
            <color indexed="81"/>
            <rFont val="Tahoma"/>
            <family val="2"/>
          </rPr>
          <t>Vatosoa Maminiaina RAJAOFERA (DRH):</t>
        </r>
        <r>
          <rPr>
            <sz val="9"/>
            <color indexed="81"/>
            <rFont val="Tahoma"/>
            <family val="2"/>
          </rPr>
          <t xml:space="preserve">
en tenant compte des formations règlementaires</t>
        </r>
      </text>
    </comment>
    <comment ref="BC7" authorId="2" shapeId="0" xr:uid="{E1CD9AEC-6317-4506-8E28-9FCDBD061A90}">
      <text>
        <r>
          <rPr>
            <b/>
            <sz val="9"/>
            <color indexed="81"/>
            <rFont val="Tahoma"/>
            <family val="2"/>
          </rPr>
          <t>Vatosoa Maminiaina RAJAOFERA (DRH):</t>
        </r>
        <r>
          <rPr>
            <sz val="9"/>
            <color indexed="81"/>
            <rFont val="Tahoma"/>
            <family val="2"/>
          </rPr>
          <t xml:space="preserve">
en tenant compte des formations règlementaires</t>
        </r>
      </text>
    </comment>
    <comment ref="G8" authorId="1" shapeId="0" xr:uid="{C3B261E4-8AF2-41F7-B944-44FAC7C3EBFD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début de suivi en  octobre 2021</t>
        </r>
      </text>
    </comment>
    <comment ref="G9" authorId="1" shapeId="0" xr:uid="{8EC43082-A58A-48F4-8EFF-3C8DD7EBC483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début de suivi en octobre 2021</t>
        </r>
      </text>
    </comment>
    <comment ref="AE10" authorId="3" shapeId="0" xr:uid="{25C33029-BDDC-49CF-BA66-B707131C69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Sensibilisations inclues</t>
      </text>
    </comment>
    <comment ref="AQ10" authorId="4" shapeId="0" xr:uid="{5DDC5353-E299-48AA-83DF-9D9AB26A1E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Formations obligatoires inclues</t>
      </text>
    </comment>
    <comment ref="BC10" authorId="5" shapeId="0" xr:uid="{695BC5B6-D61D-4436-A0AB-B5B12D941C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Formations obligatoires inclues</t>
      </text>
    </comment>
    <comment ref="AE11" authorId="6" shapeId="0" xr:uid="{571F5FCF-9D32-4B7B-A6F0-B482C9C53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Sensibilisations inclues</t>
      </text>
    </comment>
    <comment ref="AQ11" authorId="7" shapeId="0" xr:uid="{843CBAB7-C51B-4EDF-98AC-517D14D1E8A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Formations obligatoires inclues</t>
      </text>
    </comment>
    <comment ref="BC11" authorId="8" shapeId="0" xr:uid="{0AF1B133-94A6-4DD3-8A05-D0017A5EDD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Formations obligatoires inclues</t>
      </text>
    </comment>
    <comment ref="G12" authorId="1" shapeId="0" xr:uid="{64A6A040-52FC-42C5-84D3-EEDDE7B331B2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Effet Covid 19</t>
        </r>
      </text>
    </comment>
    <comment ref="G18" authorId="1" shapeId="0" xr:uid="{718EE0AB-A7CE-4E7D-896F-7CB513943597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Suivi à compter du 2nd semestre 2021</t>
        </r>
      </text>
    </comment>
    <comment ref="S23" authorId="1" shapeId="0" xr:uid="{A795B831-9D90-41AD-995F-065733B7CEDB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cadres : 63et non cadres 184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 (DRH)</author>
  </authors>
  <commentList>
    <comment ref="M25" authorId="0" shapeId="0" xr:uid="{54475977-FC3C-457E-9108-B48B6AB5CB38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fmfp  a payé la totalité de la notifictaion au lieu de la facture définitive</t>
        </r>
      </text>
    </comment>
    <comment ref="L35" authorId="0" shapeId="0" xr:uid="{5552C6D8-E3F2-4C94-B34E-1E462DD9E3A5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16/06/2022
</t>
        </r>
      </text>
    </comment>
    <comment ref="M35" authorId="0" shapeId="0" xr:uid="{2379590F-EEF4-4A95-9056-29C1012E75C5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PAIMEENT 15/06/2022</t>
        </r>
      </text>
    </comment>
    <comment ref="L37" authorId="0" shapeId="0" xr:uid="{DF39D3E5-DB7E-40D2-82AE-85B9DB677755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16/06/2022</t>
        </r>
      </text>
    </comment>
    <comment ref="M37" authorId="0" shapeId="0" xr:uid="{719A4560-AD47-47D7-8CE2-92E538FF69FE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PAIEMENT 15/06/2022</t>
        </r>
      </text>
    </comment>
    <comment ref="L38" authorId="0" shapeId="0" xr:uid="{1AC43AD1-BECD-4407-8DCA-5ABEAAF63C8B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16/06/2022</t>
        </r>
      </text>
    </comment>
    <comment ref="M38" authorId="0" shapeId="0" xr:uid="{A539B078-4AD9-4DB0-8E81-85BF5C27C3D6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PAIMEENT 15/06/2022</t>
        </r>
      </text>
    </comment>
    <comment ref="M39" authorId="0" shapeId="0" xr:uid="{AA9D9D0B-4307-45A6-9F03-661C54233500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PAIEMENT 15/06/2022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</author>
  </authors>
  <commentList>
    <comment ref="O12" authorId="0" shapeId="0" xr:uid="{D5FE795C-D1C6-4D88-8497-C576FD37EF61}">
      <text>
        <r>
          <rPr>
            <b/>
            <sz val="9"/>
            <color indexed="81"/>
            <rFont val="Tahoma"/>
            <family val="2"/>
          </rPr>
          <t>Dealilalaina Sedera RASOLOMANANA:</t>
        </r>
        <r>
          <rPr>
            <sz val="9"/>
            <color indexed="81"/>
            <rFont val="Tahoma"/>
            <family val="2"/>
          </rPr>
          <t xml:space="preserve">
un employé mis en sommeil pour abandon de poste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</author>
  </authors>
  <commentList>
    <comment ref="I6" authorId="0" shapeId="0" xr:uid="{693D9C75-CE5E-4ABB-A8BB-6D76EEA1C409}">
      <text>
        <r>
          <rPr>
            <b/>
            <sz val="9"/>
            <color indexed="81"/>
            <rFont val="Tahoma"/>
            <family val="2"/>
          </rPr>
          <t>Dealilalaina Sedera RASOLOMANANA:</t>
        </r>
        <r>
          <rPr>
            <sz val="9"/>
            <color indexed="81"/>
            <rFont val="Tahoma"/>
            <family val="2"/>
          </rPr>
          <t xml:space="preserve">
Felana - Zoé - Carolie - Edith</t>
        </r>
      </text>
    </comment>
    <comment ref="I7" authorId="0" shapeId="0" xr:uid="{57C809C4-26A6-4143-BD37-C68D43757C54}">
      <text>
        <r>
          <rPr>
            <b/>
            <sz val="9"/>
            <color indexed="81"/>
            <rFont val="Tahoma"/>
            <family val="2"/>
          </rPr>
          <t>Dealilalaina Sedera RASOLOMANANA:</t>
        </r>
        <r>
          <rPr>
            <sz val="9"/>
            <color indexed="81"/>
            <rFont val="Tahoma"/>
            <family val="2"/>
          </rPr>
          <t xml:space="preserve">
BR - Christian - VSM - PC - CL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tc={A2D11055-895C-475B-B2E0-A9B2FF532AF0}</author>
    <author>tc={56891E7B-9160-465C-8F1A-74DF55E44815}</author>
  </authors>
  <commentList>
    <comment ref="A9" authorId="0" shapeId="0" xr:uid="{A2D11055-895C-475B-B2E0-A9B2FF532AF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Hors CDD</t>
      </text>
    </comment>
    <comment ref="A10" authorId="1" shapeId="0" xr:uid="{56891E7B-9160-465C-8F1A-74DF55E4481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(hors CDD, Décès et Retraite)</t>
      </text>
    </comment>
  </commentList>
</comments>
</file>

<file path=xl/sharedStrings.xml><?xml version="1.0" encoding="utf-8"?>
<sst xmlns="http://schemas.openxmlformats.org/spreadsheetml/2006/main" count="2535" uniqueCount="1263">
  <si>
    <t>1 - INDICATEURS DEMOGRAPHIQUES (François)</t>
  </si>
  <si>
    <t>Indicateur</t>
  </si>
  <si>
    <t>Mode de calcul</t>
  </si>
  <si>
    <t>Fréquence</t>
  </si>
  <si>
    <t>Ratio femme</t>
  </si>
  <si>
    <t xml:space="preserve">(nombre de femmes / effectif total)*100 </t>
  </si>
  <si>
    <t>mensuelle</t>
  </si>
  <si>
    <t>FEMME</t>
  </si>
  <si>
    <t>TOTAL</t>
  </si>
  <si>
    <t>Ratio femme 2025</t>
  </si>
  <si>
    <t>M moins M-1</t>
  </si>
  <si>
    <t>Variation 2025</t>
  </si>
  <si>
    <t>Ratio femme 2024</t>
  </si>
  <si>
    <t>N moins N-1 du même mois</t>
  </si>
  <si>
    <t>Variation 2024</t>
  </si>
  <si>
    <t>BPS 2024</t>
  </si>
  <si>
    <t>BPS 2025</t>
  </si>
  <si>
    <t>2 - INDICATEURS DE TEMPS DE TRAVAIL (François)</t>
  </si>
  <si>
    <t>Taux d'absentéisme (ne pas considérer les congés)</t>
  </si>
  <si>
    <t>nombre total d'heures d'absences / heures totales devant être travaillées</t>
  </si>
  <si>
    <t>heures d'absences</t>
  </si>
  <si>
    <t>heures totales travaillées</t>
  </si>
  <si>
    <t>Ratio absentéisme 2025</t>
  </si>
  <si>
    <t>Ratio absentéisme 2024</t>
  </si>
  <si>
    <t xml:space="preserve">Temps supplémentaires en % des coûts de la main d'œuvre </t>
  </si>
  <si>
    <t>une vision en % d'heures sup par rapport au total des heures travaillées ne serait-il pas plus facile à lire? Ou alors en nombre d'heures sup moyen par employés pouvant avoir des heures sup (non cadres?)</t>
  </si>
  <si>
    <t>heures supplémentaires</t>
  </si>
  <si>
    <t xml:space="preserve">Effecfit non cadres </t>
  </si>
  <si>
    <t>Ration HS 2025</t>
  </si>
  <si>
    <t>Variation</t>
  </si>
  <si>
    <t>Ratio HS 2024</t>
  </si>
  <si>
    <t>3 - INDICATEURS DE RECRUTEMENT (Heri)</t>
  </si>
  <si>
    <t>Taux d'acceptation des offres</t>
  </si>
  <si>
    <r>
      <rPr>
        <sz val="11"/>
        <color rgb="FF0070C0"/>
        <rFont val="Century Gothic"/>
        <family val="2"/>
      </rPr>
      <t xml:space="preserve">cumul </t>
    </r>
    <r>
      <rPr>
        <sz val="11"/>
        <color rgb="FF000000"/>
        <rFont val="Century Gothic"/>
        <family val="2"/>
      </rPr>
      <t>nombre d'offres refusées /</t>
    </r>
    <r>
      <rPr>
        <sz val="11"/>
        <color rgb="FF0070C0"/>
        <rFont val="Century Gothic"/>
        <family val="2"/>
      </rPr>
      <t xml:space="preserve">cumul </t>
    </r>
    <r>
      <rPr>
        <sz val="11"/>
        <color rgb="FF000000"/>
        <rFont val="Century Gothic"/>
        <family val="2"/>
      </rPr>
      <t xml:space="preserve"> nombre d'offres totales </t>
    </r>
  </si>
  <si>
    <t>mensuelle (cumulé)</t>
  </si>
  <si>
    <t>compétitivité sur le marché</t>
  </si>
  <si>
    <t>Offres refusées</t>
  </si>
  <si>
    <t>Offres totales</t>
  </si>
  <si>
    <t>Taux acceptation offre 2025</t>
  </si>
  <si>
    <t>Taux acceptation offre 2024</t>
  </si>
  <si>
    <t>Delai de recrutement
(CODIR)</t>
  </si>
  <si>
    <t>moyenne temps écoulé entre demande effectuée par le service et date de choix de la direction demanderesse</t>
  </si>
  <si>
    <t>effectif stable</t>
  </si>
  <si>
    <t>Délai de recrutement 2024</t>
  </si>
  <si>
    <t>Délai de recrutement 2023</t>
  </si>
  <si>
    <t>Variation 2023</t>
  </si>
  <si>
    <t>Delai de recrutement (Tableau de bord ISO)</t>
  </si>
  <si>
    <t>Nombre de poste ayant respecté le délai de recrutement de 56 j versus nombre de poste total cloturé</t>
  </si>
  <si>
    <t>Taux respect délai de recrutement 2025</t>
  </si>
  <si>
    <t>Taux respect délai de recrutement 2024</t>
  </si>
  <si>
    <t>Nombre de jours vacants des postes clés</t>
  </si>
  <si>
    <t>moyenne temps écoulé entre demande effectuée par le service et date de choix de la direction demanderesse (uniquement poste clé)</t>
  </si>
  <si>
    <t>par dossier</t>
  </si>
  <si>
    <t>stabilité opérationnelle / sécurité</t>
  </si>
  <si>
    <t>Moyenne nombre jours vacance de poste</t>
  </si>
  <si>
    <t>4 - INDICATEURS DE MOBILITE OU CLIMAT SOCIAL (François)</t>
  </si>
  <si>
    <t>Turn Over</t>
  </si>
  <si>
    <t>(nombre d'entrées + nombre de départs) /2/effectif début de l'année*100 == à faire en 12 mois glissant comme pour le reporting au Conseil d'administration</t>
  </si>
  <si>
    <t>mensuelle (cumulée)</t>
  </si>
  <si>
    <t xml:space="preserve">fidélité </t>
  </si>
  <si>
    <t>Départ cumulé 12 derniers mois</t>
  </si>
  <si>
    <t>Arrivée cumulée 12 derniers mois</t>
  </si>
  <si>
    <t xml:space="preserve">Effectif début du 1er mois  </t>
  </si>
  <si>
    <t>Turn over</t>
  </si>
  <si>
    <t>Taux de démission</t>
  </si>
  <si>
    <t>total de démission / total de départ == 12 mois glissant</t>
  </si>
  <si>
    <t xml:space="preserve">Nb Démission </t>
  </si>
  <si>
    <t xml:space="preserve">Nb Départs </t>
  </si>
  <si>
    <t>Effectif de démission</t>
  </si>
  <si>
    <t>5 - INDICATEURS DE FORMATION ET DEVELOPPEMENT (Vatosoa)</t>
  </si>
  <si>
    <t>Taux de participation à la formation</t>
  </si>
  <si>
    <t>nombre d'employés formés / effectifs totaux === mais seulement indiquer le nb formés sans donner de ratio</t>
  </si>
  <si>
    <t>non discrimination</t>
  </si>
  <si>
    <t>Effectif formés</t>
  </si>
  <si>
    <t>Effectif total</t>
  </si>
  <si>
    <t>Taux de participation</t>
  </si>
  <si>
    <t>PTS</t>
  </si>
  <si>
    <t>Réalisation budget</t>
  </si>
  <si>
    <t>budget réalisé / budget prévu == et ajouter aussi les heures réalisées  sur heures budgétées</t>
  </si>
  <si>
    <t>engagement au développement</t>
  </si>
  <si>
    <t>Budget réalisé</t>
  </si>
  <si>
    <t>Budget total</t>
  </si>
  <si>
    <t>Taux réalisation budget formation</t>
  </si>
  <si>
    <t>Effectif début du mois</t>
  </si>
  <si>
    <t>Embauche du mois hors CDD</t>
  </si>
  <si>
    <t>Départ du mois (hors CDD/Décès et retraite)</t>
  </si>
  <si>
    <t>Licenciement - démission</t>
  </si>
  <si>
    <t>Démission</t>
  </si>
  <si>
    <t>Départ du mois</t>
  </si>
  <si>
    <t>ECART</t>
  </si>
  <si>
    <t>Bps</t>
  </si>
  <si>
    <t>Points</t>
  </si>
  <si>
    <t>Ajouter KPI plan de succession*</t>
  </si>
  <si>
    <t>KPI ISO</t>
  </si>
  <si>
    <t>Liste des documents à préparer pour audit</t>
  </si>
  <si>
    <t>LTA</t>
  </si>
  <si>
    <t>Meridiam</t>
  </si>
  <si>
    <t>PWC</t>
  </si>
  <si>
    <t>Cabinet</t>
  </si>
  <si>
    <t>Agent(e) d'accueil</t>
  </si>
  <si>
    <t>Responsable projets aéronautiques</t>
  </si>
  <si>
    <t>Auditeur Controleur qualité et interne</t>
  </si>
  <si>
    <t>Responsable SST CDD</t>
  </si>
  <si>
    <t>Coordinateur Terminal AOCC</t>
  </si>
  <si>
    <t>Caissier interne
Nofy</t>
  </si>
  <si>
    <t>Directeur des Systèmes d'Information</t>
  </si>
  <si>
    <t xml:space="preserve">Responsable Administration RH et Recrutement </t>
  </si>
  <si>
    <t>Caissier (externe)
Noella</t>
  </si>
  <si>
    <t>Chef de Département Relations sociales et QVT</t>
  </si>
  <si>
    <t>Technicien GMAO</t>
  </si>
  <si>
    <t>Analyste Financier</t>
  </si>
  <si>
    <t>Agent Slot polyvalent</t>
  </si>
  <si>
    <t xml:space="preserve">Responsable Commercial et Marketing </t>
  </si>
  <si>
    <t>RSSI</t>
  </si>
  <si>
    <t>Hotesse d'accueil</t>
  </si>
  <si>
    <t>Facturière Extra Aéronautique</t>
  </si>
  <si>
    <t>Superviseur Maintenance AOCC</t>
  </si>
  <si>
    <t>Chargé de Projet</t>
  </si>
  <si>
    <t>Chef de departement Immobilier</t>
  </si>
  <si>
    <t>Responsable Data</t>
  </si>
  <si>
    <t>Responsable Qualité et Gestiopn des Risques</t>
  </si>
  <si>
    <t xml:space="preserve">Assistant en Communication et Relations Publiques </t>
  </si>
  <si>
    <t>Chef de Departement Finance et Comptabilité</t>
  </si>
  <si>
    <t>Coordinateur Terminale AOCC</t>
  </si>
  <si>
    <t>Responsable Compétence et Performances</t>
  </si>
  <si>
    <t>Chef de Service Achats</t>
  </si>
  <si>
    <t>Assistant Comercial et Marketing</t>
  </si>
  <si>
    <t>Chargé SGS</t>
  </si>
  <si>
    <t>Techncien de surface (NOS)</t>
  </si>
  <si>
    <t>Chargé de projet (CDI)</t>
  </si>
  <si>
    <t>Controleur Fret</t>
  </si>
  <si>
    <t>Caissier
(CDD)</t>
  </si>
  <si>
    <t>Comptable Fournisseur</t>
  </si>
  <si>
    <t>Assistant Ressources Humaines</t>
  </si>
  <si>
    <t>Chef Comptable</t>
  </si>
  <si>
    <t>Chef de Departement Ingenieurie et Contrôle Financier</t>
  </si>
  <si>
    <t>Chargé de Documentation SGS</t>
  </si>
  <si>
    <t>Chef de Departement Transformation Digitale</t>
  </si>
  <si>
    <t>Controleur Interne</t>
  </si>
  <si>
    <t>Assistant Immobilier</t>
  </si>
  <si>
    <t>Comptable Client</t>
  </si>
  <si>
    <t>Chef de services Factuartion et Statistiques</t>
  </si>
  <si>
    <t>Plombier</t>
  </si>
  <si>
    <t>Assistant Commercial et Marketing</t>
  </si>
  <si>
    <t>Assistant Commercial et Marketing
CDD DE 6 MOIS</t>
  </si>
  <si>
    <t>Assistant Achat et Gestion ded Stock</t>
  </si>
  <si>
    <t>Chef de Projet SI</t>
  </si>
  <si>
    <t>Comptable Immobilisations et Taxes</t>
  </si>
  <si>
    <t xml:space="preserve">Chauffeur Tracteur </t>
  </si>
  <si>
    <t>Agent de Piste</t>
  </si>
  <si>
    <t>Technicien de curage</t>
  </si>
  <si>
    <t>Electromecanicien</t>
  </si>
  <si>
    <t>Chargé d'Administration et Qualité IT</t>
  </si>
  <si>
    <t>Assistant Executif</t>
  </si>
  <si>
    <t>Responsable Communication Corporate et Marque Employeur</t>
  </si>
  <si>
    <t>Agent d'entretien
NOS</t>
  </si>
  <si>
    <t>Responsable Communication Digitale</t>
  </si>
  <si>
    <t>Assistant Administratif et Commercial</t>
  </si>
  <si>
    <t>Agent d'entretien
 TNR</t>
  </si>
  <si>
    <t>Responsable SST- CDD</t>
  </si>
  <si>
    <t>Technicien Electricité</t>
  </si>
  <si>
    <t>Technicien Plombier</t>
  </si>
  <si>
    <t xml:space="preserve">Comptable Immobilisation et Taxes- Junior 
Responsable Fiscalités </t>
  </si>
  <si>
    <r>
      <t xml:space="preserve">Responsable Travaux 20/12/2023
 </t>
    </r>
    <r>
      <rPr>
        <b/>
        <sz val="11"/>
        <color theme="1"/>
        <rFont val="Century Gothic"/>
        <family val="2"/>
      </rPr>
      <t xml:space="preserve"> ---Changé en --</t>
    </r>
    <r>
      <rPr>
        <b/>
        <sz val="11"/>
        <color rgb="FFFF0000"/>
        <rFont val="Century Gothic"/>
        <family val="2"/>
      </rPr>
      <t xml:space="preserve">
Ingenieur Travaux et Amelioration Continue (Avril 2024)</t>
    </r>
  </si>
  <si>
    <t>Technicien Plyvalent - NOS</t>
  </si>
  <si>
    <t xml:space="preserve">Technicien IT / AOS 
NOS </t>
  </si>
  <si>
    <t xml:space="preserve">Chef de Projet SI </t>
  </si>
  <si>
    <t xml:space="preserve">Agent de piste NOS </t>
  </si>
  <si>
    <t xml:space="preserve">Responsable Environnement </t>
  </si>
  <si>
    <t>Technicien IT / AOS 
TNR</t>
  </si>
  <si>
    <t>Project Manager Officer</t>
  </si>
  <si>
    <t>Technicien data</t>
  </si>
  <si>
    <t>Assistante Administrative et Commerciale</t>
  </si>
  <si>
    <t>Chargé de communication corporate et marque employeur</t>
  </si>
  <si>
    <t>Chargé de communication digitale</t>
  </si>
  <si>
    <t>Assistant Administratif et chargé de GED</t>
  </si>
  <si>
    <t>Responsable qualité et gestion de risque</t>
  </si>
  <si>
    <t>Responsable Pole Aviation</t>
  </si>
  <si>
    <t>Agent Plomberie</t>
  </si>
  <si>
    <r>
      <t xml:space="preserve">Chauffeur Tracteur 
</t>
    </r>
    <r>
      <rPr>
        <b/>
        <sz val="16"/>
        <color rgb="FFFF0000"/>
        <rFont val="Century Gothic"/>
        <family val="2"/>
      </rPr>
      <t>(Annulé)</t>
    </r>
  </si>
  <si>
    <t>Assistant Achat</t>
  </si>
  <si>
    <t>Agent de maintenance et infrastructure</t>
  </si>
  <si>
    <t>RPA</t>
  </si>
  <si>
    <t>CAQI</t>
  </si>
  <si>
    <t>RAR</t>
  </si>
  <si>
    <t>DOP</t>
  </si>
  <si>
    <t>CDRSS</t>
  </si>
  <si>
    <t>DSI</t>
  </si>
  <si>
    <t>DAF</t>
  </si>
  <si>
    <t>DCM</t>
  </si>
  <si>
    <t>DT</t>
  </si>
  <si>
    <t>DQRSE</t>
  </si>
  <si>
    <t>DGE/COM</t>
  </si>
  <si>
    <t>DRH</t>
  </si>
  <si>
    <t>Date de la demande</t>
  </si>
  <si>
    <t xml:space="preserve"> 04/05/2023</t>
  </si>
  <si>
    <t>Date de validation du choix</t>
  </si>
  <si>
    <t>Promotion/Mutation</t>
  </si>
  <si>
    <t>non</t>
  </si>
  <si>
    <t>OUI</t>
  </si>
  <si>
    <t>NON</t>
  </si>
  <si>
    <t>Promotion</t>
  </si>
  <si>
    <t>Poste clé</t>
  </si>
  <si>
    <t>Délai de vacance poste clé (jours)</t>
  </si>
  <si>
    <t>Départ titulaire du poste clé</t>
  </si>
  <si>
    <t>NA</t>
  </si>
  <si>
    <t>Candidats examinés 
(entretiens et/ou tests)</t>
  </si>
  <si>
    <t>Candidats retenus</t>
  </si>
  <si>
    <t>Séléctivité</t>
  </si>
  <si>
    <t>Refus d'offre salariale</t>
  </si>
  <si>
    <t>Délai en jours</t>
  </si>
  <si>
    <t>Moyenne</t>
  </si>
  <si>
    <t xml:space="preserve">Cible </t>
  </si>
  <si>
    <t>Date de prise de service</t>
  </si>
  <si>
    <t>Entretien RH</t>
  </si>
  <si>
    <t>Date CR RH</t>
  </si>
  <si>
    <t>Délai de traitement RH</t>
  </si>
  <si>
    <t xml:space="preserve">Moyenne Traitement RH </t>
  </si>
  <si>
    <t>Délai de recrutement</t>
  </si>
  <si>
    <t xml:space="preserve">Moyenne traitement recrutement </t>
  </si>
  <si>
    <t>MOINS DE 70 JOURS</t>
  </si>
  <si>
    <t>RHS-ENR-071</t>
  </si>
  <si>
    <t xml:space="preserve">Date de mise à jour : </t>
  </si>
  <si>
    <t>4. développement des compétences et satisfaction des employés</t>
  </si>
  <si>
    <t xml:space="preserve">Respecter le taux maximum de 5% de turn-over pour prouver l’effort de fidélisation des collaborateurs </t>
  </si>
  <si>
    <t>Alimenter Bilan social par François</t>
  </si>
  <si>
    <t>turn-over annuel</t>
  </si>
  <si>
    <t>≤ 5% </t>
  </si>
  <si>
    <t xml:space="preserve">Réduire le délai de traitement à 08 semaines </t>
  </si>
  <si>
    <t>Tantely dans indicateur RH</t>
  </si>
  <si>
    <t>Pourcentage de processus ayant respecté le délai de 08 semaines</t>
  </si>
  <si>
    <t>100%</t>
  </si>
  <si>
    <t>trimestrielle</t>
  </si>
  <si>
    <t>Faire honneur à l’engagement de la société en formant tous les collaborateurs</t>
  </si>
  <si>
    <t>Suivi formation Vatosoa</t>
  </si>
  <si>
    <t>Pourcentage de salariés n’ayant bénéficié d’aucune formation pendant deux ans</t>
  </si>
  <si>
    <t>0%</t>
  </si>
  <si>
    <t>annuelle</t>
  </si>
  <si>
    <t>5. protection de l’environnement et mise en place de la responsabilité sociétale de l’entreprise</t>
  </si>
  <si>
    <t xml:space="preserve">Réduction de la consommation et de l’utilisation de papier </t>
  </si>
  <si>
    <t>Murielle ne reçoit plus de candidature physique</t>
  </si>
  <si>
    <t>Nombre de candidatures physiques reçues</t>
  </si>
  <si>
    <t>0</t>
  </si>
  <si>
    <t>Réduire le nombre de bouteilles d’eau utilisées lors des formations</t>
  </si>
  <si>
    <t>Plus de bouteille d'eau vive ou de verre à jeter pendant les formations</t>
  </si>
  <si>
    <t xml:space="preserve">Pourcentage du nombre de formation ayant utilisé des bouteilles d’eau </t>
  </si>
  <si>
    <t>Favoriser le développement des collaborateurs</t>
  </si>
  <si>
    <t>Nombre moyen d’heure de formation par an par salarié</t>
  </si>
  <si>
    <t>16 heures</t>
  </si>
  <si>
    <t xml:space="preserve">22,35
</t>
  </si>
  <si>
    <t>Taux d’accès à la formation</t>
  </si>
  <si>
    <t>&gt;90%</t>
  </si>
  <si>
    <t xml:space="preserve">99,61%
</t>
  </si>
  <si>
    <t>Suivi budget Heri pour alimenter indicateur RH avec Vatosoa</t>
  </si>
  <si>
    <t>Effort financier de formation : (Taux de budget réalisé / Budget prévu)</t>
  </si>
  <si>
    <t>Suivi budget Heri + données masse salariale Heri</t>
  </si>
  <si>
    <t>Effort financier de formation : (Taux budget formation / masse salariale)</t>
  </si>
  <si>
    <t>&gt;3%</t>
  </si>
  <si>
    <t>Heures de formation réalisées/ Heures de formation prévues</t>
  </si>
  <si>
    <t>absence de données / pas d'estimation d'heures prévues en 2022 - amélioration faite en 2023</t>
  </si>
  <si>
    <t>Suivi formation Vatosoa + finaliser plan de formation 2023</t>
  </si>
  <si>
    <t>Heures de formations obligatoires réalisées / heures de formations obligatoires prévues</t>
  </si>
  <si>
    <t>Heures de formations de développement / heures de formations de développement prévues</t>
  </si>
  <si>
    <t xml:space="preserve">Veiller à un recrutement de qualité </t>
  </si>
  <si>
    <t>Heri (démissions de l'année + liste des effectifs)</t>
  </si>
  <si>
    <t>Taux de démission des recrues (effectif des démissions sur  effectif embauchés sur l'année)</t>
  </si>
  <si>
    <t>&lt;5%</t>
  </si>
  <si>
    <t>Veiller à un recrutement de qualité</t>
  </si>
  <si>
    <t xml:space="preserve">Durée moyen de traitement au niveau RH </t>
  </si>
  <si>
    <t>&lt; 05 semaines (35 jours)</t>
  </si>
  <si>
    <t>42 JOURS</t>
  </si>
  <si>
    <t>60 JOURS</t>
  </si>
  <si>
    <t xml:space="preserve">Veiller à l’écoute et à la résolution des doléances des collaborateurs afin de préserver la satisfaction des collaborateurs et la sérénité du climat social </t>
  </si>
  <si>
    <t>Toavina</t>
  </si>
  <si>
    <t>Pourcentages de doléances traitées (nombre de doléances traitées / nombre de doléances déposées)</t>
  </si>
  <si>
    <t>semestrielle</t>
  </si>
  <si>
    <t>Respecter l’équité interne par rapport à la Politique en termes de diversité homme femme en milieu professionnel</t>
  </si>
  <si>
    <t>Effectif femme/homme</t>
  </si>
  <si>
    <t>Vatosoa</t>
  </si>
  <si>
    <t>Moyenne Heure formation femme/homme</t>
  </si>
  <si>
    <t>Heri</t>
  </si>
  <si>
    <t>Rémunération : Moyenne Salaire brut femme/homme</t>
  </si>
  <si>
    <t xml:space="preserve">Connaître la structure de la Société afin d’avoir une vue à moyen et long terme </t>
  </si>
  <si>
    <t>Taux d’encadrement</t>
  </si>
  <si>
    <t>Taux d’emplois permanents</t>
  </si>
  <si>
    <t>Age moyen</t>
  </si>
  <si>
    <t>Ancienneté</t>
  </si>
  <si>
    <t>Pyramide des âges</t>
  </si>
  <si>
    <t>toavina</t>
  </si>
  <si>
    <t>BUDGET FORMATION 2025</t>
  </si>
  <si>
    <t>sans accomodations</t>
  </si>
  <si>
    <t>Budget cout pédagogique</t>
  </si>
  <si>
    <t>TNR</t>
  </si>
  <si>
    <t>1er Trimestre</t>
  </si>
  <si>
    <t>NOS</t>
  </si>
  <si>
    <t>2ème Trimestre</t>
  </si>
  <si>
    <t>Etranger</t>
  </si>
  <si>
    <t>3ème Trimestre</t>
  </si>
  <si>
    <t>Total</t>
  </si>
  <si>
    <t>4ème Trimestre</t>
  </si>
  <si>
    <t>Montant</t>
  </si>
  <si>
    <t>Mois</t>
  </si>
  <si>
    <t>Thème</t>
  </si>
  <si>
    <t>Formateur</t>
  </si>
  <si>
    <t>N°DA</t>
  </si>
  <si>
    <t>Formation</t>
  </si>
  <si>
    <t>Accomodation</t>
  </si>
  <si>
    <t>Remarques</t>
  </si>
  <si>
    <t>lang</t>
  </si>
  <si>
    <t>Principales mesures fiscales LFR25 et LFI25</t>
  </si>
  <si>
    <t>LEXEL</t>
  </si>
  <si>
    <t>25TNR02DA000272</t>
  </si>
  <si>
    <t>PLAN DE FORMATION FMFP</t>
  </si>
  <si>
    <t>T1</t>
  </si>
  <si>
    <t>T2</t>
  </si>
  <si>
    <t>T3</t>
  </si>
  <si>
    <t>T4</t>
  </si>
  <si>
    <t>Droit de tirage mobilisé</t>
  </si>
  <si>
    <t>Reliquat après notification de financement</t>
  </si>
  <si>
    <t>Année</t>
  </si>
  <si>
    <t>Période</t>
  </si>
  <si>
    <t>Numéro notification</t>
  </si>
  <si>
    <t>N° convention</t>
  </si>
  <si>
    <t>Année/T de demande + Numéro notification</t>
  </si>
  <si>
    <t xml:space="preserve">Type </t>
  </si>
  <si>
    <t>Intitulé de la formation</t>
  </si>
  <si>
    <t>Montant de financement demandé à la FMFP</t>
  </si>
  <si>
    <t>Coût Total 
notifié par FMFP</t>
  </si>
  <si>
    <t>Montant réelle facture</t>
  </si>
  <si>
    <t>Montant versé par FMFP 1er versement</t>
  </si>
  <si>
    <t>Montant versé par FMFP 2ème versement</t>
  </si>
  <si>
    <t>Total montant versé par FMFP</t>
  </si>
  <si>
    <t xml:space="preserve">Situation </t>
  </si>
  <si>
    <t>Observations</t>
  </si>
  <si>
    <t>Gestion de trésorerie</t>
  </si>
  <si>
    <t>Formation annulée</t>
  </si>
  <si>
    <t>RI</t>
  </si>
  <si>
    <t>annulé</t>
  </si>
  <si>
    <t>montant retourné 819,000</t>
  </si>
  <si>
    <t>montant retourné 756,000</t>
  </si>
  <si>
    <t>Attente et annulation</t>
  </si>
  <si>
    <t>PAYE 15/06/2022 810.900 AR</t>
  </si>
  <si>
    <t>Payé 08.07.2022</t>
  </si>
  <si>
    <t>Payé en totalité même date 1er tranche</t>
  </si>
  <si>
    <t>Attente paiement</t>
  </si>
  <si>
    <t>Rapport final envoyé</t>
  </si>
  <si>
    <t>AP10_PIS_MULTI_TRANSPORT_2023_02_MADAGASCAR GROUND HANDLING</t>
  </si>
  <si>
    <t>AP</t>
  </si>
  <si>
    <t>Technique d'accueil</t>
  </si>
  <si>
    <t>Projet porté par MGH</t>
  </si>
  <si>
    <t>B1</t>
  </si>
  <si>
    <t>REI23_MULTI_TRANSPORT_2024_B1_01_RAVINALA
AIRPORTS.</t>
  </si>
  <si>
    <t>REI23_MULTI_TRANSPORT_2024_B1_01_RAVINALA
AIRPORTS</t>
  </si>
  <si>
    <t>2024 B1 RIE 23</t>
  </si>
  <si>
    <t>CBTA H.6.3.A – MARCHANDISES
DANGEREUSES</t>
  </si>
  <si>
    <t>Tout payé</t>
  </si>
  <si>
    <t>requête urgente</t>
  </si>
  <si>
    <t>B3</t>
  </si>
  <si>
    <t>RIE25_MULTI_TRANSPORT_2024_B3_5_RAVINALA_AIRPORTS</t>
  </si>
  <si>
    <t>2024 B3 RIE 25</t>
  </si>
  <si>
    <t>MANAGER 3.0</t>
  </si>
  <si>
    <t>AP15_PII_2024_135_RAVINALA AIRPORTS</t>
  </si>
  <si>
    <t>Maitrise du pilotage organisationnel</t>
  </si>
  <si>
    <t>en attente 2ème groupe GAR</t>
  </si>
  <si>
    <t>ITEMS</t>
  </si>
  <si>
    <t>DETAILS</t>
  </si>
  <si>
    <t>Congés effectivements pris</t>
  </si>
  <si>
    <t>Nombre de jours pris</t>
  </si>
  <si>
    <t>Permissions Exceptionnelles</t>
  </si>
  <si>
    <t>Repos médicaux</t>
  </si>
  <si>
    <t>Hospitalisation</t>
  </si>
  <si>
    <t>Assistance maternelle</t>
  </si>
  <si>
    <t>Maternités</t>
  </si>
  <si>
    <t>Effectifs en congé de maternité</t>
  </si>
  <si>
    <t>Accidents de travail</t>
  </si>
  <si>
    <t>Effectifs accidentés</t>
  </si>
  <si>
    <t>Effectifs de la Société</t>
  </si>
  <si>
    <t>Nationaux et expatriés</t>
  </si>
  <si>
    <t>Licenciement - essai non concluant</t>
  </si>
  <si>
    <t>Effectifs licenciés</t>
  </si>
  <si>
    <t>Licenciement</t>
  </si>
  <si>
    <t>Effectif démissionnaires</t>
  </si>
  <si>
    <t>Départ à l'amiable</t>
  </si>
  <si>
    <t>Effectifs partis à l'amiable</t>
  </si>
  <si>
    <t>Stagiaires</t>
  </si>
  <si>
    <t>Nombre de stagiaires</t>
  </si>
  <si>
    <t>Repos médicaux/convalescence</t>
  </si>
  <si>
    <t>Mise à la retraite</t>
  </si>
  <si>
    <t>Effectif mis à la retraite</t>
  </si>
  <si>
    <t>Retraite anticipée</t>
  </si>
  <si>
    <t>Effectifs mis à la retraite anticipée</t>
  </si>
  <si>
    <t>Mutation-changement de poste</t>
  </si>
  <si>
    <t>Effectifs mutation et/ou changement de poste</t>
  </si>
  <si>
    <t>Effectifs des employés promus</t>
  </si>
  <si>
    <t>Fin contrat CDD</t>
  </si>
  <si>
    <t>Effectifs fin contrat</t>
  </si>
  <si>
    <t>Congés effectivement pris</t>
  </si>
  <si>
    <t>période de confinement</t>
  </si>
  <si>
    <t>Fin contrat</t>
  </si>
  <si>
    <t>Décès</t>
  </si>
  <si>
    <t>(entrée+Départ)/2/effectif au 31 décembre 2021/100.</t>
  </si>
  <si>
    <t>Matricule</t>
  </si>
  <si>
    <t>Nom et prénoms</t>
  </si>
  <si>
    <t>Fonction</t>
  </si>
  <si>
    <t>Date de départ</t>
  </si>
  <si>
    <t>Motif</t>
  </si>
  <si>
    <t>RAKOTOARIVONY Felana Haingotiana</t>
  </si>
  <si>
    <t>Comptable Trésorerie</t>
  </si>
  <si>
    <t>Essai non concluant</t>
  </si>
  <si>
    <t>RAVAOARISOA Colette</t>
  </si>
  <si>
    <t>Femme de toilettes</t>
  </si>
  <si>
    <t>RASAMIZANANY Hanta Vololona</t>
  </si>
  <si>
    <t>Chef du dept Finances comptabi</t>
  </si>
  <si>
    <t>HARIVELO Rindra Ny Avo</t>
  </si>
  <si>
    <t>Gestionnaire de Parking</t>
  </si>
  <si>
    <t>ANDRIANARIVONY Mampionotsoa</t>
  </si>
  <si>
    <t>Agent de Bureau</t>
  </si>
  <si>
    <t>RATSIMANDRESY Mira Zo</t>
  </si>
  <si>
    <t>Responsable Developpement et M</t>
  </si>
  <si>
    <t>RANDRIAMAHANDRY Rado</t>
  </si>
  <si>
    <t>Responsable Informatique</t>
  </si>
  <si>
    <t>MASTROLEON Annie Josia</t>
  </si>
  <si>
    <t>Hôtesse d'accueil</t>
  </si>
  <si>
    <t>MAMININDRIANA Riva R. Stéphane</t>
  </si>
  <si>
    <t>Assistant Commandant</t>
  </si>
  <si>
    <t>ANDRIAMAMONJY Valisoa Mendrika</t>
  </si>
  <si>
    <t>Agent polyvalent</t>
  </si>
  <si>
    <t>ANDRIATSARAFARA Toavinjo</t>
  </si>
  <si>
    <t>Chef de service achats</t>
  </si>
  <si>
    <t>ANDRIANTSEHENO Tefimanjato</t>
  </si>
  <si>
    <t>Chauffeur de liaison</t>
  </si>
  <si>
    <t>RAZAFIMAHEFA Johnny</t>
  </si>
  <si>
    <t>Caissier Paking</t>
  </si>
  <si>
    <t xml:space="preserve">Licenciement </t>
  </si>
  <si>
    <t>RASOLOSON Mamy</t>
  </si>
  <si>
    <t>Chef de Service Facturation</t>
  </si>
  <si>
    <t>Rupture à l'amiable</t>
  </si>
  <si>
    <t>RAHARISON Désiré</t>
  </si>
  <si>
    <t>Agent d'entretien</t>
  </si>
  <si>
    <t>MOUSSA Houssen</t>
  </si>
  <si>
    <t>RAFAMANTANATSOA Michaël</t>
  </si>
  <si>
    <t>Contrôleur de Crédit et Facturation</t>
  </si>
  <si>
    <t>RAJAONARIVONY Tantely</t>
  </si>
  <si>
    <t xml:space="preserve">Assistante Rédactrice QHSSSE </t>
  </si>
  <si>
    <t>DEVAUCHELLE Vincent</t>
  </si>
  <si>
    <t>Directeur Général</t>
  </si>
  <si>
    <t>Affectation ADP</t>
  </si>
  <si>
    <t>RATIARINIAINA Fandrindrasoa Tiphanie</t>
  </si>
  <si>
    <t>Assistante redactrice QHSSSE</t>
  </si>
  <si>
    <t>RAMAROMANDA Haribenja Solovelo</t>
  </si>
  <si>
    <t>Responsable IT</t>
  </si>
  <si>
    <t>MAMPISANJY Irène Michèle</t>
  </si>
  <si>
    <t>Hôtesse d'acceuil</t>
  </si>
  <si>
    <t>MEYTS Jean Luc</t>
  </si>
  <si>
    <t>Directeur Exploitation et Maintenance</t>
  </si>
  <si>
    <t>RAJAOMBININTSOA Farahanta</t>
  </si>
  <si>
    <t>RAVELOMANANTSOA</t>
  </si>
  <si>
    <t>Norbert</t>
  </si>
  <si>
    <t>RANJALAHY RASOLOFOMANANA Bonia</t>
  </si>
  <si>
    <t>RANDRIAMPARANY Famenontsoa</t>
  </si>
  <si>
    <t>Responsable Qualité de Service et Envirennement</t>
  </si>
  <si>
    <t>MANAHADRAY Freeman</t>
  </si>
  <si>
    <t>Chargé de Gestion des Routes Aériennes</t>
  </si>
  <si>
    <t>RASOANINDRINA</t>
  </si>
  <si>
    <t>Voahangy Pauline</t>
  </si>
  <si>
    <t>Retraite</t>
  </si>
  <si>
    <t>RASOLOMAMONJY Lala Nambinintsoa</t>
  </si>
  <si>
    <t>Assistante Communication et RP</t>
  </si>
  <si>
    <t>RAVELOTANANA Jacharie Delphin</t>
  </si>
  <si>
    <t>Coordinateur IT</t>
  </si>
  <si>
    <t>RASAMISON Rojonavalona</t>
  </si>
  <si>
    <t>Contrôleur Financier Junior</t>
  </si>
  <si>
    <t>BENOIT Wishaupt</t>
  </si>
  <si>
    <t>RASOLOFONDRAMAKA Tovohasina Vahinarivo</t>
  </si>
  <si>
    <t>Licenciement pour non reprise de poste après une maladie de longue durée</t>
  </si>
  <si>
    <t>RAJAONASON Johary Andrianina</t>
  </si>
  <si>
    <t>Administrateur réseaux</t>
  </si>
  <si>
    <t>RAHAJAMALALA Voahiranirina</t>
  </si>
  <si>
    <t>Caissière FRET</t>
  </si>
  <si>
    <t>Départ à la retraite</t>
  </si>
  <si>
    <t>RASOARIMALALA Juliette</t>
  </si>
  <si>
    <t>Technicienne de Surface</t>
  </si>
  <si>
    <t>FAU MAKELE Cecile Audrey</t>
  </si>
  <si>
    <t>Coordinatrice eu suivi social</t>
  </si>
  <si>
    <t>fin contrat</t>
  </si>
  <si>
    <t>RAKOTOBE Michael</t>
  </si>
  <si>
    <t>Commandant Aéroport de Nosy Be</t>
  </si>
  <si>
    <t>NADINE BERE MARIASY</t>
  </si>
  <si>
    <t>RASOLONJATOVO Hanta Corine</t>
  </si>
  <si>
    <t>Coordinnatrice IT</t>
  </si>
  <si>
    <t>ANDRIAMPENOTANJONA Fiononana Bienvenu</t>
  </si>
  <si>
    <t>Assistant Rédacteur QHSSSE</t>
  </si>
  <si>
    <t>RAJAONARISON Andrimalala Lovatiana</t>
  </si>
  <si>
    <t>Chef de Service Bâtiment et Génie Civil</t>
  </si>
  <si>
    <t>RANDRIANARISOA Iantso Fanomezana</t>
  </si>
  <si>
    <t>Technicien à l'incinérateur</t>
  </si>
  <si>
    <t>MASILAZA Lurice</t>
  </si>
  <si>
    <t>RAKOTOMANGA Emmanuel</t>
  </si>
  <si>
    <t>RANDRIAMANDROSO Richard</t>
  </si>
  <si>
    <t>Jardinier</t>
  </si>
  <si>
    <t>ANDRIANOMENJANAHARY Lucien Stanislas</t>
  </si>
  <si>
    <t>Contrôleur Technique</t>
  </si>
  <si>
    <t>RANAVOSON Mamitiana</t>
  </si>
  <si>
    <t>Assistant QHSSSEMR</t>
  </si>
  <si>
    <t>RAVOAVY Andriamora Toky</t>
  </si>
  <si>
    <t>Coordonnateur Social</t>
  </si>
  <si>
    <t>Fin CDD</t>
  </si>
  <si>
    <t>RAKOTOMALALA Heriniaina Stalino</t>
  </si>
  <si>
    <t>Cureur</t>
  </si>
  <si>
    <t xml:space="preserve">BEZAFY Albert </t>
  </si>
  <si>
    <t>RAKOTONDRATSARAHOBY Andry Abela</t>
  </si>
  <si>
    <t>Superviseur Travaux</t>
  </si>
  <si>
    <t>RANDRIAMALALA Harivola Ny Aina</t>
  </si>
  <si>
    <t>Agent de consigne</t>
  </si>
  <si>
    <t>RANDRIANAIMALAZA Zoharimamonjy Tsilavina</t>
  </si>
  <si>
    <t>RAKOTOVAO Jacquelin</t>
  </si>
  <si>
    <t>Ouvrier Polyvalent</t>
  </si>
  <si>
    <t>LAWRENCE Flore</t>
  </si>
  <si>
    <t>Responsable Maîtrise d'Œuvre</t>
  </si>
  <si>
    <t>BALIZET Perrine</t>
  </si>
  <si>
    <t>Responsable Commercial</t>
  </si>
  <si>
    <t>Autres</t>
  </si>
  <si>
    <t>VINCENT Perrot</t>
  </si>
  <si>
    <t>Directeur de projet ORAT</t>
  </si>
  <si>
    <t>ANDRIAMAMPIANINTSOA</t>
  </si>
  <si>
    <t>Menuisier</t>
  </si>
  <si>
    <t>RAKOTOZANAKA Noeliarisoa</t>
  </si>
  <si>
    <t>Maçon</t>
  </si>
  <si>
    <t>RAKOTOVAO Ernest</t>
  </si>
  <si>
    <t>Superviseur</t>
  </si>
  <si>
    <t>TSIRISAMBATRA Andrianantenaina Angelico</t>
  </si>
  <si>
    <t>Coordonnatrice Sociale</t>
  </si>
  <si>
    <t>RANAIVO Charles Randriamanantena</t>
  </si>
  <si>
    <t>Agent de piste</t>
  </si>
  <si>
    <t>RAVONJISON Mihaja</t>
  </si>
  <si>
    <t>Contrôleur Financier</t>
  </si>
  <si>
    <t>RALAMBOSOANIRINA Aina Rolland Fidèle</t>
  </si>
  <si>
    <t>Responsable Sûreté</t>
  </si>
  <si>
    <t>RAMANAMISATA Solofoson</t>
  </si>
  <si>
    <t>Retraite officielle</t>
  </si>
  <si>
    <t>RAZAFIMBELO Ny Aiko Tsihoarana</t>
  </si>
  <si>
    <t>Assistant Commercial et Immobilier</t>
  </si>
  <si>
    <t>MARNET André</t>
  </si>
  <si>
    <t>RATAIZANDRAINY Simon</t>
  </si>
  <si>
    <t>Agent de bureau</t>
  </si>
  <si>
    <t>RAVELOMANANA Vololomampianina</t>
  </si>
  <si>
    <t>Assistante Contrôle de Gestion</t>
  </si>
  <si>
    <t>DAMENA Felina Josephine</t>
  </si>
  <si>
    <t>Assistante Reporting</t>
  </si>
  <si>
    <t>RANDRIANASOLO Rado Fanamperantsoa</t>
  </si>
  <si>
    <t>Assistante de Direction</t>
  </si>
  <si>
    <t>démission</t>
  </si>
  <si>
    <t>RANDRIANTSARAFARA Charles</t>
  </si>
  <si>
    <t>Chef de Département Energie et Fluides</t>
  </si>
  <si>
    <t>départ à la retraite anticipée</t>
  </si>
  <si>
    <t>RAHANTARIVOLA Hafaliana</t>
  </si>
  <si>
    <t>Responsable Applicatif</t>
  </si>
  <si>
    <t>ANDRIANALISON Oméga</t>
  </si>
  <si>
    <t>Régulateur SLOT</t>
  </si>
  <si>
    <t>RAKOTO Bernard Andriamirado</t>
  </si>
  <si>
    <t>Comptable</t>
  </si>
  <si>
    <t>RANDRIANASOLO Frédéric</t>
  </si>
  <si>
    <t>BEN AMMAR Saïf Allah</t>
  </si>
  <si>
    <t>Directeur Maintenance</t>
  </si>
  <si>
    <t>rétour à ADP</t>
  </si>
  <si>
    <t xml:space="preserve">RAKOTONARIVO Avotiana Sambatra </t>
  </si>
  <si>
    <t>Planificateur</t>
  </si>
  <si>
    <t>négociation à l'amiable</t>
  </si>
  <si>
    <t>Responsable Relations Communautaires</t>
  </si>
  <si>
    <t>fin de contrat CDD</t>
  </si>
  <si>
    <t>Licenciement avec préavis</t>
  </si>
  <si>
    <t>RABELISOA Voahangy</t>
  </si>
  <si>
    <t>Assistante administrative et financière</t>
  </si>
  <si>
    <t>RAZAFIMANANTSOA Hajarivony Rindra</t>
  </si>
  <si>
    <t>Responsable Commercial - Foncier, Immobilier, Aviation Générale, Publicité et Fret</t>
  </si>
  <si>
    <t>KOTRA MBOTIFENO Saholy Rita</t>
  </si>
  <si>
    <t>Technicienne IT</t>
  </si>
  <si>
    <t>LAVALLEE Christophe</t>
  </si>
  <si>
    <t>Directeur Administratif et Financier</t>
  </si>
  <si>
    <t>COLLARD Patrick</t>
  </si>
  <si>
    <t>Directeur général</t>
  </si>
  <si>
    <t>Fin d’engagement contractuel</t>
  </si>
  <si>
    <t>ANDRIAMAMPIANINA Arinjaka Fanirisoa</t>
  </si>
  <si>
    <t>Hotêsse d'Accueil</t>
  </si>
  <si>
    <t>RANDRIAMBOLOLONA Herizo</t>
  </si>
  <si>
    <t>Chef de projets</t>
  </si>
  <si>
    <t>ZAFINDRAZANAKY Nandigny Rosmina Holedah</t>
  </si>
  <si>
    <t>Assistante com et RP</t>
  </si>
  <si>
    <t>Fin de contrat CDD</t>
  </si>
  <si>
    <t>RANIVO Bruno</t>
  </si>
  <si>
    <t>Directeur des Ressources Humaines</t>
  </si>
  <si>
    <t>RAZAFIMAHAFALY Alfred</t>
  </si>
  <si>
    <t>Caissier Parking</t>
  </si>
  <si>
    <t>RAMANANJATOVO</t>
  </si>
  <si>
    <t>Kantonirina Nomenjanahary</t>
  </si>
  <si>
    <t>RAJAONARISAONA</t>
  </si>
  <si>
    <t>Andry</t>
  </si>
  <si>
    <t xml:space="preserve">RANDRIANARIVO </t>
  </si>
  <si>
    <t>Santatry Ny Aina Fifaliana</t>
  </si>
  <si>
    <t>RAZANAMPIAVOTANA</t>
  </si>
  <si>
    <t>Yanny Céléstin</t>
  </si>
  <si>
    <t>RANDRIAMIKATRA</t>
  </si>
  <si>
    <t>Mirellà</t>
  </si>
  <si>
    <t>RAFIDIARIZAKA</t>
  </si>
  <si>
    <t>Volaniaina Stéphanie</t>
  </si>
  <si>
    <t>RASAMIMANANA</t>
  </si>
  <si>
    <t>Andoniaina Valérie</t>
  </si>
  <si>
    <t>FALIZO</t>
  </si>
  <si>
    <t>Joanne</t>
  </si>
  <si>
    <t>BONVARLET</t>
  </si>
  <si>
    <t xml:space="preserve"> Louis Alexandre Dominique</t>
  </si>
  <si>
    <t>RATSIRAHONANA</t>
  </si>
  <si>
    <t>Hanitrinirina</t>
  </si>
  <si>
    <t>ANDRIANTSARALAHATRA</t>
  </si>
  <si>
    <t>Rina</t>
  </si>
  <si>
    <t>RAJARISON</t>
  </si>
  <si>
    <t>Mahandry</t>
  </si>
  <si>
    <t>RASOLOARISATA</t>
  </si>
  <si>
    <t>Liantsoa Ramiara</t>
  </si>
  <si>
    <t>RAJOELINJATOVO</t>
  </si>
  <si>
    <t>Feno Herintsoa</t>
  </si>
  <si>
    <t>RAFALIVOLOLONA</t>
  </si>
  <si>
    <t>Rianasoa</t>
  </si>
  <si>
    <t>RAZANOELINA</t>
  </si>
  <si>
    <t>Mamisoa Prisca</t>
  </si>
  <si>
    <t>RAKOTOARISON</t>
  </si>
  <si>
    <t>Bakonavalona Elysée</t>
  </si>
  <si>
    <t>RAFIDINANAHARY</t>
  </si>
  <si>
    <t>Landy</t>
  </si>
  <si>
    <t>RAHARISON</t>
  </si>
  <si>
    <t>Fanjatiana Nadia</t>
  </si>
  <si>
    <t xml:space="preserve">RANDRIANIRINAMIFIDIMANANTSOA </t>
  </si>
  <si>
    <t xml:space="preserve">Jean Dieudonné </t>
  </si>
  <si>
    <t>RATEFINJANAHARY</t>
  </si>
  <si>
    <t>Haingo</t>
  </si>
  <si>
    <t>RANDRIAMANANA</t>
  </si>
  <si>
    <t>Mieja Ranto</t>
  </si>
  <si>
    <t>BARRAUD</t>
  </si>
  <si>
    <t>Edith</t>
  </si>
  <si>
    <t>ANDRIANJAFIMASY</t>
  </si>
  <si>
    <t>Tsiory Emmanuel</t>
  </si>
  <si>
    <t>RANDRIAMBOLOLONA</t>
  </si>
  <si>
    <t>Miradoniaina Hezekia</t>
  </si>
  <si>
    <t>ROBISON</t>
  </si>
  <si>
    <t>Faly Mandrindra</t>
  </si>
  <si>
    <t>RAZAFINDRAMARO RAVALONANDRASANA</t>
  </si>
  <si>
    <t>Oniniaina</t>
  </si>
  <si>
    <t>RAKOTONDRANAIVO</t>
  </si>
  <si>
    <t>Sylvain Jean Baptiste</t>
  </si>
  <si>
    <t>ANDRIAMAMISOA</t>
  </si>
  <si>
    <t>Rabeantoandro</t>
  </si>
  <si>
    <t>RAKOTOARIMANANA</t>
  </si>
  <si>
    <t>Yvon Claude S.</t>
  </si>
  <si>
    <t>RANDRIANARISON</t>
  </si>
  <si>
    <t>Noelison Jean Claude</t>
  </si>
  <si>
    <t>RAZAFINDRABE Tianarivelo Onjaniaina</t>
  </si>
  <si>
    <t>Chef de Service Rémunération et Avantages Sociaux</t>
  </si>
  <si>
    <t>RAJAONARISON Alice Corine</t>
  </si>
  <si>
    <t>RAVALIARISON Tiana Havana</t>
  </si>
  <si>
    <t>RANDRIANASOLO Anjanala Rovanandrianina</t>
  </si>
  <si>
    <t>Responsable des Projets Aéronautiques</t>
  </si>
  <si>
    <t>RAJAONARY Christian</t>
  </si>
  <si>
    <t>Rupture conventionnelle</t>
  </si>
  <si>
    <t>RASOLONIRINA Jean Jovial</t>
  </si>
  <si>
    <t>Technicien de Surface</t>
  </si>
  <si>
    <t>RANDRIAMANANTENA Ina Johannick</t>
  </si>
  <si>
    <t>Responsable Sécurité des Systèmes d'Information</t>
  </si>
  <si>
    <t>ANDRIAMASY Philippe</t>
  </si>
  <si>
    <t>ALLIVENJA Hobilalao Barison</t>
  </si>
  <si>
    <t>Caissier</t>
  </si>
  <si>
    <t>RABEZANAHARY Mampionona Stéphanie</t>
  </si>
  <si>
    <t>Responsable Santé et Sécurité au Travail</t>
  </si>
  <si>
    <t>RANDRIAMASY Rila Herizo</t>
  </si>
  <si>
    <t>RAZAFIMANANTSOA-RANTO Mialy Ny Aina</t>
  </si>
  <si>
    <t>Responsable Compétences et Performance</t>
  </si>
  <si>
    <t>RAJAONARIVO Andolalaina Tantely</t>
  </si>
  <si>
    <t>Superviseur Maintenance</t>
  </si>
  <si>
    <t>RAKOTONDRANAIVO Olivier</t>
  </si>
  <si>
    <t>RASOAMAROMAKA Danah</t>
  </si>
  <si>
    <t>Cheffe de Département Finances et Comptabilité</t>
  </si>
  <si>
    <t xml:space="preserve">RAKOTONJANAHARY Betty Hantamalala </t>
  </si>
  <si>
    <t>Hôtesse d'Accueil</t>
  </si>
  <si>
    <t>RASOAMAROMAKA Faratiana</t>
  </si>
  <si>
    <t>Agent Services Généraux</t>
  </si>
  <si>
    <t>RAVOLAHARIMANGA harivony Fleura</t>
  </si>
  <si>
    <t>Acheteuse</t>
  </si>
  <si>
    <t>ANDRIANDAFATRA Elintsoa Valentino</t>
  </si>
  <si>
    <t>Facturier Extra Aéroportuaire</t>
  </si>
  <si>
    <t>RANDRIAMANALINA Ignace Nirina Samsoa</t>
  </si>
  <si>
    <t>RAOELISON Jérôme</t>
  </si>
  <si>
    <t>Chef de Section Service</t>
  </si>
  <si>
    <t>RAZANADRAKOTO Jean Marie</t>
  </si>
  <si>
    <t>Contrôleur fret</t>
  </si>
  <si>
    <t>RANDRIAMANANTENASOA Andry</t>
  </si>
  <si>
    <t>Responsable des Applications IT</t>
  </si>
  <si>
    <t>ANDRIAMBOLOLONA Dewa Maherilanja</t>
  </si>
  <si>
    <t>Assistant Communication et Relations Publiques</t>
  </si>
  <si>
    <t>RAZATOVOMBAHOAKA Ando</t>
  </si>
  <si>
    <t>Cheffe de Département des Activités Non aéronautiques</t>
  </si>
  <si>
    <t>RASAMOELINA Hasina Manjakarivelo</t>
  </si>
  <si>
    <t>Responsable Qualité et Gestion des Risques</t>
  </si>
  <si>
    <t>MAHERISOA Annick Navale</t>
  </si>
  <si>
    <t>Assistante Commerciale et Marketing</t>
  </si>
  <si>
    <t>RASOLONIRINA Jean Joviale</t>
  </si>
  <si>
    <t>RANAIVOJAONA Rondro</t>
  </si>
  <si>
    <t>Correspondante QHSE</t>
  </si>
  <si>
    <t>ANDRIAMIFIDY Tojonirina Vahiantso</t>
  </si>
  <si>
    <t>RANAIVO GAILLARD Stacy Christel Peggy</t>
  </si>
  <si>
    <t>RAHOLIMIHAMINA Tojo Manitriniony Mariah Sylvie</t>
  </si>
  <si>
    <t>Valentin Mutinelli SZIMANSKI</t>
  </si>
  <si>
    <t>ANDRIAMBOAVONJY Nanja Hélèna</t>
  </si>
  <si>
    <t>Chargée d'Administration &amp; QA</t>
  </si>
  <si>
    <t>RANDRIAMANDIMBY Dordine</t>
  </si>
  <si>
    <t>Chauffeur de Tracteur</t>
  </si>
  <si>
    <t>RAKOTONDRATIANA Rene</t>
  </si>
  <si>
    <t>RAHARIJAONA Hans</t>
  </si>
  <si>
    <t>VELONKASINA Christophe</t>
  </si>
  <si>
    <t>Contrôleur de Fonctionnement des Installations</t>
  </si>
  <si>
    <t>ANDRIANIRINAHAJAMANANA Herinomena Vahaniala Fandresy</t>
  </si>
  <si>
    <t>Caissière</t>
  </si>
  <si>
    <t>RABENIARY Herivola Jason</t>
  </si>
  <si>
    <t>Chargé de Communication Digitale</t>
  </si>
  <si>
    <t>COFFINIER Julien Pierre</t>
  </si>
  <si>
    <t>RALAIARISON Henintsoa Tahiana</t>
  </si>
  <si>
    <t>RAHARISON Mana Ny Riana</t>
  </si>
  <si>
    <t>Chargée d'Administration et Qualité IT</t>
  </si>
  <si>
    <t>Essai non conluant</t>
  </si>
  <si>
    <t>RABEARISON Hoby</t>
  </si>
  <si>
    <t>Chef de Projet Système d'information</t>
  </si>
  <si>
    <t>RAKOTOARIVAO Mahandrisoa Béatrice</t>
  </si>
  <si>
    <t>Comptable Clients</t>
  </si>
  <si>
    <t>RASAMISON Haja Minohery</t>
  </si>
  <si>
    <t>Technicien AOS/IT</t>
  </si>
  <si>
    <t>RAKOTOARIMANANA Judi Kaël</t>
  </si>
  <si>
    <t>Superviseur parking</t>
  </si>
  <si>
    <t>DIMBIMAMY Marie Lamia</t>
  </si>
  <si>
    <t>ANNA Miha Odette</t>
  </si>
  <si>
    <t>Responsable de Communication Corporate et Marque Employeur</t>
  </si>
  <si>
    <t>Rupture à l'amiable CDD</t>
  </si>
  <si>
    <t>VERIZA Walter Hélène Aimé</t>
  </si>
  <si>
    <t>RANDRIANIRINAMIFIDIMANANTSOA</t>
  </si>
  <si>
    <t>Conseiller de la Direction Générale - Relations Institutionnelles, Sécurité et Sûreté</t>
  </si>
  <si>
    <t>SETRANIAINA Toky</t>
  </si>
  <si>
    <t>Licenciement sans préavis</t>
  </si>
  <si>
    <t>EFFECTIF MENSUEL</t>
  </si>
  <si>
    <t>29/02/2017</t>
  </si>
  <si>
    <t>EX-ADEMA</t>
  </si>
  <si>
    <t>NOUVELLES RECRUES</t>
  </si>
  <si>
    <t>EXPATRIES</t>
  </si>
  <si>
    <t>TOTAL 2019</t>
  </si>
  <si>
    <t>Nombre total de femmes employées dans l'entreprise</t>
  </si>
  <si>
    <t>Nombre total d'hommes employés dans l'entreprise</t>
  </si>
  <si>
    <t>Nombre total de femmes occupant des postes de direction</t>
  </si>
  <si>
    <t>Nombre total d'hommes occupant des postes de direction</t>
  </si>
  <si>
    <t>Nombre total de femmes recrutées</t>
  </si>
  <si>
    <t>Nombre total d'homme recrutés</t>
  </si>
  <si>
    <t>Nombre total de femmes recrutées à des postes de direction</t>
  </si>
  <si>
    <t>Nombre total d'homme recrutés à des postes de direction</t>
  </si>
  <si>
    <t>REPARTITION PAR CITOYENNETE, GENRE, SITE ET TYPE DE CONTRAT</t>
  </si>
  <si>
    <t>Femme</t>
  </si>
  <si>
    <t>Homme</t>
  </si>
  <si>
    <t>Malagasy</t>
  </si>
  <si>
    <t>Riverain</t>
  </si>
  <si>
    <t>Expatriés</t>
  </si>
  <si>
    <t>Nationaux</t>
  </si>
  <si>
    <t>Cadre</t>
  </si>
  <si>
    <t>Féminin</t>
  </si>
  <si>
    <t>Masculin</t>
  </si>
  <si>
    <t>Non-Cadre</t>
  </si>
  <si>
    <t>CDI</t>
  </si>
  <si>
    <t>CDD</t>
  </si>
  <si>
    <t>HOMME</t>
  </si>
  <si>
    <t>NATIONAUX</t>
  </si>
  <si>
    <t>Nombre d’entrée</t>
  </si>
  <si>
    <t>Nombre de départ</t>
  </si>
  <si>
    <t>4 employés en suspension Contrat</t>
  </si>
  <si>
    <t>Turn-Over glissant (12mois)</t>
  </si>
  <si>
    <t>Effectif au 01/05/2025</t>
  </si>
  <si>
    <t>Effectif au 31/05/2025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</si>
  <si>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</si>
  <si>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</si>
  <si>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</si>
  <si>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</si>
  <si>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</si>
  <si>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</si>
  <si>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</si>
  <si>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</si>
  <si>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</si>
  <si>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</si>
  <si>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</si>
  <si>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</si>
  <si>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headcount</t>
  </si>
  <si>
    <t>Effectif Début mois</t>
  </si>
  <si>
    <t>Embauche du mois (hors CDD)</t>
  </si>
  <si>
    <t>Cumul 12 derniers mois Embauche (hors CDD)</t>
  </si>
  <si>
    <t>Cumul 12 derniers mois Départ (hors CDD/Décès, Retraite)</t>
  </si>
  <si>
    <t>Turnover glissant sur 12 mois (Formule)</t>
  </si>
  <si>
    <t>Turnover glissant sur 12 mois</t>
  </si>
  <si>
    <t>Nombre total Entrées</t>
  </si>
  <si>
    <t>Nombre total Sorties</t>
  </si>
  <si>
    <t xml:space="preserve"> </t>
  </si>
  <si>
    <t>Heures supplémentaires</t>
  </si>
  <si>
    <t>BILAN SOCIAL - RECAPITULATIF</t>
  </si>
  <si>
    <t>RHS-ENR-062</t>
  </si>
  <si>
    <t>Date de mis-à-jour:</t>
  </si>
  <si>
    <t>Repos médicaux/convalescence/Assistance maternelle</t>
  </si>
  <si>
    <t>BILAN SOCIAL - ABSENCES MALADIES</t>
  </si>
  <si>
    <t>Nom</t>
  </si>
  <si>
    <t>Prénom(s)</t>
  </si>
  <si>
    <t>Date de début</t>
  </si>
  <si>
    <t>Date de fin</t>
  </si>
  <si>
    <t>Durée en jours</t>
  </si>
  <si>
    <t>0006</t>
  </si>
  <si>
    <t>RAKOTOZAFY</t>
  </si>
  <si>
    <t>Mamy Lala</t>
  </si>
  <si>
    <t>Hospitalisation et Convalescen</t>
  </si>
  <si>
    <t>0099</t>
  </si>
  <si>
    <t>RASOANANTENAINA</t>
  </si>
  <si>
    <t>LYDIA LUCKY</t>
  </si>
  <si>
    <t>0102</t>
  </si>
  <si>
    <t>RAKOTOZANDRY</t>
  </si>
  <si>
    <t>VIRGINIE</t>
  </si>
  <si>
    <t>Repos médical/Ass maternelle</t>
  </si>
  <si>
    <t>0110</t>
  </si>
  <si>
    <t>MAMPIONONA</t>
  </si>
  <si>
    <t>N. TAHIRINIAINA</t>
  </si>
  <si>
    <t>0197</t>
  </si>
  <si>
    <t>NAMELANATOANDRO</t>
  </si>
  <si>
    <t>Fetrarinosy Aurélia</t>
  </si>
  <si>
    <t>0244</t>
  </si>
  <si>
    <t>RAVELOJAON</t>
  </si>
  <si>
    <t>Soanomena Elizah</t>
  </si>
  <si>
    <t>0291</t>
  </si>
  <si>
    <t>Andriaparatiana H.</t>
  </si>
  <si>
    <t>0324</t>
  </si>
  <si>
    <t>ANDRIANOMENJANAHARY</t>
  </si>
  <si>
    <t>Nantenaina Mielle</t>
  </si>
  <si>
    <t>0436</t>
  </si>
  <si>
    <t>RABE</t>
  </si>
  <si>
    <t>Irintsoa Mirindra</t>
  </si>
  <si>
    <t>0057</t>
  </si>
  <si>
    <t>ANDRIANJANAHARY</t>
  </si>
  <si>
    <t>HONORE JULES</t>
  </si>
  <si>
    <t>0256</t>
  </si>
  <si>
    <t>RAHAJATAFITASOA</t>
  </si>
  <si>
    <t>Laingo</t>
  </si>
  <si>
    <t>RANDRIAMAMORY</t>
  </si>
  <si>
    <t>Henri</t>
  </si>
  <si>
    <t>RAMAHANDRISOA</t>
  </si>
  <si>
    <t>Maminiaina Pasca</t>
  </si>
  <si>
    <t>RAKOTONDRAMANANA</t>
  </si>
  <si>
    <t>Felana Tatamosoa</t>
  </si>
  <si>
    <t>RANDRIANANTENAINA</t>
  </si>
  <si>
    <t>Mamy</t>
  </si>
  <si>
    <t>RAKOTOFIRINGA</t>
  </si>
  <si>
    <t>Famenontsoa Sandra</t>
  </si>
  <si>
    <t>RAHARIVELO</t>
  </si>
  <si>
    <t>Mialy</t>
  </si>
  <si>
    <t>RAZAFINDRAKOTO</t>
  </si>
  <si>
    <t>Maminiaina Elysé</t>
  </si>
  <si>
    <t>RAMIANDRISOA</t>
  </si>
  <si>
    <t>Toky Hasina Lucas</t>
  </si>
  <si>
    <t>RAKOTOARIVONY</t>
  </si>
  <si>
    <t>Vaniala</t>
  </si>
  <si>
    <t>0023</t>
  </si>
  <si>
    <t>RAZAFIMALALA</t>
  </si>
  <si>
    <t>MARIE JEANNE J.</t>
  </si>
  <si>
    <t>0070</t>
  </si>
  <si>
    <t>GERMAIN DIEUDONNE</t>
  </si>
  <si>
    <t>0095</t>
  </si>
  <si>
    <t>RAZAKAMANANTSOA</t>
  </si>
  <si>
    <t>MAMINIAINA</t>
  </si>
  <si>
    <t>0101</t>
  </si>
  <si>
    <t>RAZANAMAHEFA</t>
  </si>
  <si>
    <t>HANITRA IRENE</t>
  </si>
  <si>
    <t>0104</t>
  </si>
  <si>
    <t>ANDRIAMIALISOA ELISA</t>
  </si>
  <si>
    <t>0127</t>
  </si>
  <si>
    <t>RAKOTOARISOA</t>
  </si>
  <si>
    <t>SOLONIAINA VERO</t>
  </si>
  <si>
    <t>0165</t>
  </si>
  <si>
    <t>ANDRIANOMENY</t>
  </si>
  <si>
    <t>Johary Zo</t>
  </si>
  <si>
    <t>0174</t>
  </si>
  <si>
    <t>RAJERISON RASAONA</t>
  </si>
  <si>
    <t>Andry Lova Tiana</t>
  </si>
  <si>
    <t>0177</t>
  </si>
  <si>
    <t>RAHANTAMALALA</t>
  </si>
  <si>
    <t>Seheno Sandrine</t>
  </si>
  <si>
    <t>0208</t>
  </si>
  <si>
    <t>RAFANILONIAINA</t>
  </si>
  <si>
    <t>Fanjanirina</t>
  </si>
  <si>
    <t>0252</t>
  </si>
  <si>
    <t>RANDRIAMANANTENA</t>
  </si>
  <si>
    <t>Herisoa Josianne</t>
  </si>
  <si>
    <t>0326</t>
  </si>
  <si>
    <t>SAHALASOA</t>
  </si>
  <si>
    <t>Rahantamahatsangy</t>
  </si>
  <si>
    <t>0358</t>
  </si>
  <si>
    <t>RASOLOFONDRAMANAMBE</t>
  </si>
  <si>
    <t>Heri Sedera</t>
  </si>
  <si>
    <t>0395</t>
  </si>
  <si>
    <t>RANIVO ANDRIAMANANA</t>
  </si>
  <si>
    <t>Soalandy Maholy</t>
  </si>
  <si>
    <t>0410</t>
  </si>
  <si>
    <t>FALIA</t>
  </si>
  <si>
    <t>Tiavina Princia</t>
  </si>
  <si>
    <t>0005</t>
  </si>
  <si>
    <t>ANDRIAMPARANY</t>
  </si>
  <si>
    <t>Fenitra Nomena</t>
  </si>
  <si>
    <t>0010</t>
  </si>
  <si>
    <t>RAZANAKOLONA</t>
  </si>
  <si>
    <t>Nadya Mamitiana</t>
  </si>
  <si>
    <t>0092</t>
  </si>
  <si>
    <t>MAMINIAINA PASCA</t>
  </si>
  <si>
    <t>0234</t>
  </si>
  <si>
    <t>ANDRIANTOLOTIANA RAVONIRINA</t>
  </si>
  <si>
    <t>Herimboahary Dinaris</t>
  </si>
  <si>
    <t>0275</t>
  </si>
  <si>
    <t>0322</t>
  </si>
  <si>
    <t>ANDRIANIAINA</t>
  </si>
  <si>
    <t>Fandresena Vatosoa</t>
  </si>
  <si>
    <t>0328</t>
  </si>
  <si>
    <t>MEVA SOLO</t>
  </si>
  <si>
    <t>Toany</t>
  </si>
  <si>
    <t>0388</t>
  </si>
  <si>
    <t>0389</t>
  </si>
  <si>
    <t>RIVONIRINA</t>
  </si>
  <si>
    <t>Tanjona</t>
  </si>
  <si>
    <t>0416</t>
  </si>
  <si>
    <t>RAFANOMEZANTSOA</t>
  </si>
  <si>
    <t>Rado Milanto</t>
  </si>
  <si>
    <t>0420</t>
  </si>
  <si>
    <t>0451</t>
  </si>
  <si>
    <t>ANDRIATIANA</t>
  </si>
  <si>
    <t>T. Jackies Johannot</t>
  </si>
  <si>
    <t>0016</t>
  </si>
  <si>
    <t>RAHARIMANANTSOA</t>
  </si>
  <si>
    <t>Cathia Vololomanana</t>
  </si>
  <si>
    <t>0018</t>
  </si>
  <si>
    <t>RABIAZAMAHOLY</t>
  </si>
  <si>
    <t>Fanja Lalaina</t>
  </si>
  <si>
    <t>0090</t>
  </si>
  <si>
    <t>ANDRIANANTOANDRO</t>
  </si>
  <si>
    <t>HANTANIRINA DYNA</t>
  </si>
  <si>
    <t>0112</t>
  </si>
  <si>
    <t>RAMAHANDRIMBOLATIANA</t>
  </si>
  <si>
    <t>OLIVIER</t>
  </si>
  <si>
    <t>0155</t>
  </si>
  <si>
    <t>MARIARISOA</t>
  </si>
  <si>
    <t>MAMIE</t>
  </si>
  <si>
    <t>0285</t>
  </si>
  <si>
    <t>RALAIARIMALALA</t>
  </si>
  <si>
    <t>Nathalie Doriane</t>
  </si>
  <si>
    <t>0415</t>
  </si>
  <si>
    <t>RANDRIANASOLO</t>
  </si>
  <si>
    <t>Narindrasoa Ruth</t>
  </si>
  <si>
    <t>BILAN SOCIAL - PERMISSIONS EXCEPTIONNELLES</t>
  </si>
  <si>
    <t>MATRICULE</t>
  </si>
  <si>
    <t>NOM</t>
  </si>
  <si>
    <t>MOTIFS</t>
  </si>
  <si>
    <t>Date fin</t>
  </si>
  <si>
    <t>0024</t>
  </si>
  <si>
    <t>BAKOMALALA</t>
  </si>
  <si>
    <t>HANITRINIAINA RAJAO.</t>
  </si>
  <si>
    <t>Permission exceptionnelle</t>
  </si>
  <si>
    <t>0080</t>
  </si>
  <si>
    <t>RANDRIAMIHAJASON</t>
  </si>
  <si>
    <t>FIDY HERINJAK</t>
  </si>
  <si>
    <t>0300</t>
  </si>
  <si>
    <t>RATSIMBAZAFY</t>
  </si>
  <si>
    <t>Mbonitahina</t>
  </si>
  <si>
    <t>0314</t>
  </si>
  <si>
    <t>RABEHANTA</t>
  </si>
  <si>
    <t>Hajatiana</t>
  </si>
  <si>
    <t>0339</t>
  </si>
  <si>
    <t>RANDRIANIRINA</t>
  </si>
  <si>
    <t>François Manantsoa</t>
  </si>
  <si>
    <t>0356</t>
  </si>
  <si>
    <t>0414</t>
  </si>
  <si>
    <t>RAKOTOVAO</t>
  </si>
  <si>
    <t>Faranirina Aromanda</t>
  </si>
  <si>
    <t>Hanitriniaina Rajao.</t>
  </si>
  <si>
    <t>RAKOTOMAMONJY</t>
  </si>
  <si>
    <t>Fanomezana Mampionona</t>
  </si>
  <si>
    <t>RABENARISON</t>
  </si>
  <si>
    <t>Rotsy Fanaja</t>
  </si>
  <si>
    <t>0196</t>
  </si>
  <si>
    <t>RATELOSON</t>
  </si>
  <si>
    <t>Aina Sandy</t>
  </si>
  <si>
    <t>0298</t>
  </si>
  <si>
    <t>RAKOTONDRAJOA</t>
  </si>
  <si>
    <t>Safidy</t>
  </si>
  <si>
    <t>0454</t>
  </si>
  <si>
    <t>RABEARIFETRA ANDRIANIRINA</t>
  </si>
  <si>
    <t>Remby</t>
  </si>
  <si>
    <t>BILAN SOCIAL - STAGIAIRES</t>
  </si>
  <si>
    <t>PRENOM</t>
  </si>
  <si>
    <t>PROVENANCE</t>
  </si>
  <si>
    <t>DATE DE DEBUT DE STAGE</t>
  </si>
  <si>
    <t>DATE DE FIN DE STAGE</t>
  </si>
  <si>
    <t>RAZAFINDRAGOLO RAKOTOMANGA</t>
  </si>
  <si>
    <t>Mibaliaka Mahaliana</t>
  </si>
  <si>
    <t xml:space="preserve">Lot B28 Andranonahoatra </t>
  </si>
  <si>
    <t>Andranonahoatra</t>
  </si>
  <si>
    <t xml:space="preserve">RAFALIMANANA </t>
  </si>
  <si>
    <t>Rianala</t>
  </si>
  <si>
    <t xml:space="preserve">Lot II P 166F Avaradoha </t>
  </si>
  <si>
    <t xml:space="preserve">Avaradoha </t>
  </si>
  <si>
    <t xml:space="preserve">MASY </t>
  </si>
  <si>
    <t xml:space="preserve">Alida Paul </t>
  </si>
  <si>
    <t xml:space="preserve">Lot 065 Ter Mamory </t>
  </si>
  <si>
    <t xml:space="preserve">Ivato </t>
  </si>
  <si>
    <t>RASON</t>
  </si>
  <si>
    <t xml:space="preserve">Aina Loïc </t>
  </si>
  <si>
    <t>Lot 143 F Talamaty</t>
  </si>
  <si>
    <t>Talatamaty</t>
  </si>
  <si>
    <t xml:space="preserve">RABENDRINA </t>
  </si>
  <si>
    <t xml:space="preserve">Hanitriniaina Sarah Michelle </t>
  </si>
  <si>
    <t xml:space="preserve">Lot III J 62 Soanierana </t>
  </si>
  <si>
    <t>Soanierana</t>
  </si>
  <si>
    <t>RAKOTOARIMALALA</t>
  </si>
  <si>
    <t>Nirina Carole</t>
  </si>
  <si>
    <t>Lot SOA 88 Bis Soavinarivo</t>
  </si>
  <si>
    <t>Soavinarivo</t>
  </si>
  <si>
    <t>ANDRIANIRINA</t>
  </si>
  <si>
    <t xml:space="preserve">Annie Fionah </t>
  </si>
  <si>
    <t xml:space="preserve">Lot III I 91 Soanierana </t>
  </si>
  <si>
    <t xml:space="preserve">Soanierana </t>
  </si>
  <si>
    <t>SOLOFOMAMPIANDRA</t>
  </si>
  <si>
    <t xml:space="preserve">Fiononana </t>
  </si>
  <si>
    <t xml:space="preserve">Lot IT J 13 Ter Ambolotara Itaosy </t>
  </si>
  <si>
    <t>Itaosy</t>
  </si>
  <si>
    <t xml:space="preserve">FARAHARINIRY NY AINA </t>
  </si>
  <si>
    <t>Nomena Alban</t>
  </si>
  <si>
    <t xml:space="preserve">Lot K5 104C Ivato </t>
  </si>
  <si>
    <t>Ivato</t>
  </si>
  <si>
    <t xml:space="preserve">RANDRIAMAMPIANINA </t>
  </si>
  <si>
    <t>Kanto Miharintsoa</t>
  </si>
  <si>
    <t>Lot II G23RVL Ambatomaro Antsobolo</t>
  </si>
  <si>
    <t xml:space="preserve">Antananarivo </t>
  </si>
  <si>
    <t xml:space="preserve">RATSIRANTO </t>
  </si>
  <si>
    <t>Domoinaniaina Ratsilefitra</t>
  </si>
  <si>
    <t>Lot 120 Cité Ampefiloha</t>
  </si>
  <si>
    <t xml:space="preserve"> RAVELOMANANTSOA</t>
  </si>
  <si>
    <t xml:space="preserve"> Hardy Christel</t>
  </si>
  <si>
    <t>Lot IIN 76K Analamahitsy Tanàna.</t>
  </si>
  <si>
    <t>Analamahitsy</t>
  </si>
  <si>
    <t>RAZAFINDRAIBE</t>
  </si>
  <si>
    <t xml:space="preserve">Victoria Mioratiana </t>
  </si>
  <si>
    <t>RAHANETRA RAINIMBELO</t>
  </si>
  <si>
    <t xml:space="preserve">Lucien Paul </t>
  </si>
  <si>
    <t xml:space="preserve">Lot SIAG 03 Ambondrona Ambodifilao </t>
  </si>
  <si>
    <t xml:space="preserve">Ambondrona </t>
  </si>
  <si>
    <t>Finaritra Amy</t>
  </si>
  <si>
    <t xml:space="preserve">Lot 100-O Ambohijanahary Antehiroka </t>
  </si>
  <si>
    <t>Ambohijanahary</t>
  </si>
  <si>
    <t xml:space="preserve">RANDRIANIRINA  </t>
  </si>
  <si>
    <t>Larry Joann</t>
  </si>
  <si>
    <t xml:space="preserve">Lot IAV 364 Iavoloha </t>
  </si>
  <si>
    <t xml:space="preserve">Iavoloha </t>
  </si>
  <si>
    <t>BILAN SOCIAL - SANCTIONS</t>
  </si>
  <si>
    <t>Prénoms</t>
  </si>
  <si>
    <t>Type de sanction</t>
  </si>
  <si>
    <t>Date</t>
  </si>
  <si>
    <t>RAMARIJAONA</t>
  </si>
  <si>
    <t>Rabary Jachaziel</t>
  </si>
  <si>
    <t>Mis à pied disciplinaire</t>
  </si>
  <si>
    <t>8 jours</t>
  </si>
  <si>
    <t>BILAN SOCIAL - PROMOTION</t>
  </si>
  <si>
    <t>Nombre</t>
  </si>
  <si>
    <t>NOM et Prénom(s)</t>
  </si>
  <si>
    <t>Ancien poste</t>
  </si>
  <si>
    <t>Ancienne CP</t>
  </si>
  <si>
    <t xml:space="preserve">Nouveau poste </t>
  </si>
  <si>
    <t>Nouvelle CP</t>
  </si>
  <si>
    <t>Date d'effet</t>
  </si>
  <si>
    <t>RAFIDIARISOA Bodomalala</t>
  </si>
  <si>
    <t>Juriste Junior</t>
  </si>
  <si>
    <t>RALAIARIMANANA Haingotiana</t>
  </si>
  <si>
    <t>Attachée de Direction</t>
  </si>
  <si>
    <t>RAHARIMANANTSOA Cathia Vololomanana</t>
  </si>
  <si>
    <t>Comptable Fournisseurs</t>
  </si>
  <si>
    <t>RAZAFIMALALA MARIE JEANNE J.</t>
  </si>
  <si>
    <t>RANDRIAMBOAVONJY JEAN RICHARD</t>
  </si>
  <si>
    <t>ANDRIATIANA ABEL</t>
  </si>
  <si>
    <t>RAKOTONDRABE DESIRE</t>
  </si>
  <si>
    <t>Conducteur de balayeuse</t>
  </si>
  <si>
    <t>RAKOTOVELO Charles</t>
  </si>
  <si>
    <t>RAKOTOARISOA  EARILALA F. HARIZO</t>
  </si>
  <si>
    <t>ANDRIANJANAHARY HONORE JULES</t>
  </si>
  <si>
    <t>Superviseur Qualité</t>
  </si>
  <si>
    <t>RAHARINAIVO ALAIN</t>
  </si>
  <si>
    <t>RANDRIANARISON GERMAIN DIEUDONNE</t>
  </si>
  <si>
    <t>RAZANABOLA CLARISSE</t>
  </si>
  <si>
    <t>RANDRIANARIFIDY Jean Bruno</t>
  </si>
  <si>
    <t>Agent de Maintenance Infrastructure</t>
  </si>
  <si>
    <t>RAZAFINDRALAMBO Prinsy Andriamparany</t>
  </si>
  <si>
    <t>RAKOTOARIMANANA VONJINIAINA A</t>
  </si>
  <si>
    <t>TONGAZARA THEOGENE</t>
  </si>
  <si>
    <t>RAHARISON ANDRIAMIALISOA ELISA</t>
  </si>
  <si>
    <t>Agent d'Accueil</t>
  </si>
  <si>
    <t>RAJAONARIVONY HINA SOANIAINA</t>
  </si>
  <si>
    <t>RANDRIANARIVO SOLO HERINAVALON</t>
  </si>
  <si>
    <t>RASOLOARISON PASCAL</t>
  </si>
  <si>
    <t>MAMPIONONA N. TAHIRINIAINA</t>
  </si>
  <si>
    <t>Assistante  Saisie Statistiques et Facturation</t>
  </si>
  <si>
    <t>LI SUO TSAN RAZANAMALALA MURIE</t>
  </si>
  <si>
    <t>Secrétaire</t>
  </si>
  <si>
    <t>ANDRIANALIVOLA NORO HERIMANITRA R.</t>
  </si>
  <si>
    <t>Responsable Landside et Accès</t>
  </si>
  <si>
    <t>ANDOLALA Armand</t>
  </si>
  <si>
    <t>ZARATOMBO FRANCOIS</t>
  </si>
  <si>
    <t>TOMBOSOA FLORIA</t>
  </si>
  <si>
    <t>MARIARISOA MAMIE</t>
  </si>
  <si>
    <t>Conductrice de Passerelle</t>
  </si>
  <si>
    <t>RAKOTOARISOA Sambatra</t>
  </si>
  <si>
    <t>Responsable Planification et SGS</t>
  </si>
  <si>
    <t>RAJAONARIVELO Tony Johary</t>
  </si>
  <si>
    <t>Responsable Programmes et Ressources</t>
  </si>
  <si>
    <t>ANDRIANOMENY Johary Zo</t>
  </si>
  <si>
    <t>Assistante aux Usagers</t>
  </si>
  <si>
    <t>RANDRIANANDRAINA Andriantsoa Rianando</t>
  </si>
  <si>
    <t>RAHANTAMALALA Seheno Sandrine</t>
  </si>
  <si>
    <t>Cheffe de Département Communication et Relations Publiques</t>
  </si>
  <si>
    <t>RAVOLOLONIRINA Johanna Marie</t>
  </si>
  <si>
    <t>Assistante Administrative et Financière</t>
  </si>
  <si>
    <t>RABESON Josie</t>
  </si>
  <si>
    <t>Cheffe de Département Juridique et Compliance</t>
  </si>
  <si>
    <t>RASOLOMANANA Dealilalaina Sedera</t>
  </si>
  <si>
    <t>Directrice des Ressources Humaines</t>
  </si>
  <si>
    <t>RAMAROLAHY Andrianantenaina</t>
  </si>
  <si>
    <t>Chef de Département Comptabilité et Facturation</t>
  </si>
  <si>
    <t>ANDRIAMIHANTARISOA Tahiry Harinjaka</t>
  </si>
  <si>
    <t>RAKOTONDRAMAZAVA Voahirana Michou</t>
  </si>
  <si>
    <t>Contrôleuse de Crédit et Facturation</t>
  </si>
  <si>
    <t>RATELOSON Aina Sandy</t>
  </si>
  <si>
    <t>Assistant Saisie Statistiques et Facturation</t>
  </si>
  <si>
    <t>ANDRIANARISON Natacha Hariniaina</t>
  </si>
  <si>
    <t>Responsable d'Exploitation de Permanence</t>
  </si>
  <si>
    <t>ANDRIANJAFINIRINA Mahandry Joël</t>
  </si>
  <si>
    <t>Responsable d'Exploitation</t>
  </si>
  <si>
    <t>RABETOKOTANY Ianjanirina</t>
  </si>
  <si>
    <t>Chargée en Système de Gestion de la Sécurité</t>
  </si>
  <si>
    <t>RATSIMBAZAFY Felaniaina Onivololo</t>
  </si>
  <si>
    <t>Directrice QRSE</t>
  </si>
  <si>
    <t>RAZAFIMAHATRATRA Nirina Marius</t>
  </si>
  <si>
    <t>Chef de Département Airside</t>
  </si>
  <si>
    <t>RAKOTONDRATSIMBA Hanitra Nadia</t>
  </si>
  <si>
    <t>Cheffe de Département Marketing</t>
  </si>
  <si>
    <t>RANDRIANARIVELO Fanilomanantsoa</t>
  </si>
  <si>
    <t>RASAMOELY Fanja Miary</t>
  </si>
  <si>
    <t>Cheffe de Département Terminal</t>
  </si>
  <si>
    <t>ANDRIANTOLOTIANA RAVONIRINA Herimboahary Dinaris</t>
  </si>
  <si>
    <t>Chef de Service Statistiques et Facturation</t>
  </si>
  <si>
    <t>HENINTSOA Nora Christian</t>
  </si>
  <si>
    <t>Agent Polyvalent Maintenance</t>
  </si>
  <si>
    <t>RAHERINOMENA Noroseheno</t>
  </si>
  <si>
    <t>Chargée Trésorerie</t>
  </si>
  <si>
    <t>RAVELOJAON Soanomena Elizah</t>
  </si>
  <si>
    <t>Responsable RSE</t>
  </si>
  <si>
    <t>RANARISON Fanomezantsoa</t>
  </si>
  <si>
    <t>RAKOTOMAMONJY Fanomezana Mampionon</t>
  </si>
  <si>
    <t>Chargée des Activités Immobilières</t>
  </si>
  <si>
    <t>RANDRIANANTENAINA Mamy</t>
  </si>
  <si>
    <t>RAZAFINDRABE Herilala Zo Faniry</t>
  </si>
  <si>
    <t>RATSIRAHONANA Robert</t>
  </si>
  <si>
    <t>RAZAFIMAMONJY Elie Jean Roger</t>
  </si>
  <si>
    <t>RAHERIJAONA Rovaniaina Michelle</t>
  </si>
  <si>
    <t>Directrice Technique</t>
  </si>
  <si>
    <t>RAJOHNSON Zoelisoa Lalaina</t>
  </si>
  <si>
    <t>Directrice Commerciale et Marketing</t>
  </si>
  <si>
    <t>RAKOTOZAFY Minosoa Tatamo</t>
  </si>
  <si>
    <t>Cheffe de Département des Activités Aéronautiques</t>
  </si>
  <si>
    <t>RAKOTONDRAJOA Safidy</t>
  </si>
  <si>
    <t>Chargé d'Etude et Développement Applicatif</t>
  </si>
  <si>
    <t>NARIZAFY Rija Masinisa</t>
  </si>
  <si>
    <t>Chef de Service CVC et Plomberie</t>
  </si>
  <si>
    <t>RABEHANTA Hajatiana</t>
  </si>
  <si>
    <t>Administrateur Réseaux</t>
  </si>
  <si>
    <t>ANDRIANARIMANANA Henintsoa Fitiavana</t>
  </si>
  <si>
    <t>Technicien AOS &amp; IT</t>
  </si>
  <si>
    <t>RAKOTOZANANY ANDRIANARISATA Rindra Clark</t>
  </si>
  <si>
    <t>Chef de Service Bâtiment et Infrastructures</t>
  </si>
  <si>
    <t>RAKOTOMALALA  Andriatsilavina</t>
  </si>
  <si>
    <t>Responsable Courants Faibles</t>
  </si>
  <si>
    <t>FIDIMANANTSOA Lai Linda</t>
  </si>
  <si>
    <t>Contrôleuse Financière Junior</t>
  </si>
  <si>
    <t>RAZAFINDRAMANITRA Henintsoa Hariniaina</t>
  </si>
  <si>
    <t>RAJOHNSON Dina Mickaël</t>
  </si>
  <si>
    <t>Responsable Contrôle Financier</t>
  </si>
  <si>
    <t>RANDRIANIRINA François Manantsoa</t>
  </si>
  <si>
    <t>Responsable Paie</t>
  </si>
  <si>
    <t>ANDRIAMORASATA Ginot Franck</t>
  </si>
  <si>
    <t>RAKOTOMANDIMBY Andrianina Luc</t>
  </si>
  <si>
    <t>Chef de Département Méthode - Documentation et Suivi sous-traitants</t>
  </si>
  <si>
    <t>TRION Aina Mahaitia Elia</t>
  </si>
  <si>
    <t>ANDRIAMAHOLY Fanirisoa Narindra</t>
  </si>
  <si>
    <t>Responsable Etudes</t>
  </si>
  <si>
    <t>RAHARIVELO Mialy</t>
  </si>
  <si>
    <t>Chargée Facturation Extra Aéroportuaire</t>
  </si>
  <si>
    <t>RASOLOFONDRAMANAMBE Heri Sedera</t>
  </si>
  <si>
    <t>Chef de Département Développement RH et Rémunération</t>
  </si>
  <si>
    <t>RAVELOMANANTSOA Mikaela</t>
  </si>
  <si>
    <t>RAMAROSON Andrianina</t>
  </si>
  <si>
    <t>Assistant Juridique et Assurances</t>
  </si>
  <si>
    <t>NIRIARISON Mamy Gaël</t>
  </si>
  <si>
    <t>Responsable de Projets Commercial et Marketing</t>
  </si>
  <si>
    <t>RAVELOMANANTSOA Koloina Fiona</t>
  </si>
  <si>
    <t>Assistante Maintenance</t>
  </si>
  <si>
    <t>RATEFIARIMALALA Alexandrine Fabricia</t>
  </si>
  <si>
    <t>Assistante Comptable Fournisseurs</t>
  </si>
  <si>
    <t>RAJAONAH TEFY Antonio Patrick</t>
  </si>
  <si>
    <t>Commandant d'Aéroport</t>
  </si>
  <si>
    <t>RANARIMISA Mahefa Nantenaina</t>
  </si>
  <si>
    <t>RAMANITRA Zo Ndriantsoa</t>
  </si>
  <si>
    <t>RAKOTOMAMONJY ANDRIANARIVELO Michaël Dominique</t>
  </si>
  <si>
    <t>RAMIANDRISOA Toky Hasina Lucas</t>
  </si>
  <si>
    <t>RIVONIRINA Tanjona</t>
  </si>
  <si>
    <t>Chef de Département Relations sociales et Qualité de vie au travail</t>
  </si>
  <si>
    <t>RAJAOFERA Vatosoa</t>
  </si>
  <si>
    <t>Responsable Compétences et Performances</t>
  </si>
  <si>
    <t>RAHARITIANA Mahefa</t>
  </si>
  <si>
    <t>RAZANAMPARANY Fetra Henri Willy</t>
  </si>
  <si>
    <t>RAMANANTSOA Rivo Arlala</t>
  </si>
  <si>
    <t>Chef Superviseur Travaux Maintenance</t>
  </si>
  <si>
    <t>RAKOTOMAHANDRY Kajasoa</t>
  </si>
  <si>
    <t>Chargée de Projet</t>
  </si>
  <si>
    <t>RAJAONARIVONY Andrianaivo</t>
  </si>
  <si>
    <t>Contrôleur Fret</t>
  </si>
  <si>
    <t>FALIA Tiavina Princia</t>
  </si>
  <si>
    <t>Assistante Ressources Humaines</t>
  </si>
  <si>
    <t>RASOLOARIZAFY Mirana</t>
  </si>
  <si>
    <t>Assistante de projet aéronautiques - Pole tourisme</t>
  </si>
  <si>
    <t>RAKOTOVAO Faranirina Aromanda</t>
  </si>
  <si>
    <t>RAFANOMEZANTSOA Rado Milanto</t>
  </si>
  <si>
    <t>RAZAFINDRAKOTO Ny Aina Zo</t>
  </si>
  <si>
    <t>Technicien CFA</t>
  </si>
  <si>
    <t>HARVEL RAMANAMISA Elsy</t>
  </si>
  <si>
    <t>Chef de Service Développement des Activités Non Aéronautique</t>
  </si>
  <si>
    <t>Cheffe de Département Développement des Activités Non Aéronautiques</t>
  </si>
  <si>
    <t>ANDRIANIRINA Mamy</t>
  </si>
  <si>
    <t>Assistant Achat et Gestion de Stock</t>
  </si>
  <si>
    <t>RABE Irintsoa Mirindra</t>
  </si>
  <si>
    <t>Assistante Exécutive</t>
  </si>
  <si>
    <t>Responsable Pôle Aviation</t>
  </si>
  <si>
    <t>Total au</t>
  </si>
  <si>
    <t>BILAN SOCIAL - MUTATION &amp; CHANGEMENT DE POSTE</t>
  </si>
  <si>
    <t>MUTATION-CHANGEMENT DE POSTE</t>
  </si>
  <si>
    <t>Maticule</t>
  </si>
  <si>
    <t>Ancien poste / Ancienne direction</t>
  </si>
  <si>
    <t>Nouveau poste / Nouvelle direction</t>
  </si>
  <si>
    <t>ATEIFA Lionnel Hackim</t>
  </si>
  <si>
    <t>Responsable Commercial et Marketing</t>
  </si>
  <si>
    <t>Responsable Administratif et Gestionnaire de Contrat</t>
  </si>
  <si>
    <t>NIRIARISON Gaël Mamy</t>
  </si>
  <si>
    <t>Chargé de projet Marketing et Commercial</t>
  </si>
  <si>
    <t>Responsable des Activités non Aéronautiques</t>
  </si>
  <si>
    <t>RASOLOARIZARA Mirana</t>
  </si>
  <si>
    <t>Assistante de Projet Aéronautiques - Pôle Tourisme</t>
  </si>
  <si>
    <t>Assistante  Pôle Tourisme</t>
  </si>
  <si>
    <t>RAFALIMANANA Rianala</t>
  </si>
  <si>
    <t>Administratif et Gestionnaire de Contrat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</si>
</sst>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%"/>
    <numFmt numFmtId="165" formatCode="0.000%"/>
    <numFmt numFmtId="166" formatCode="_-* #,##0_-;\-* #,##0_-;_-* &quot;-&quot;??_-;_-@_-"/>
    <numFmt numFmtId="167" formatCode="0.0"/>
    <numFmt numFmtId="168" formatCode="#,##0.0"/>
    <numFmt numFmtId="169" formatCode="[$-40C]mmm\-yy;@"/>
    <numFmt numFmtId="170" formatCode="_-* #,##0.00\ _€_-;\-* #,##0.00\ _€_-;_-* &quot;-&quot;??\ _€_-;_-@_-"/>
    <numFmt numFmtId="171" formatCode="_-* #,##0\ _€_-;\-* #,##0\ _€_-;_-* &quot;-&quot;??\ _€_-;_-@_-"/>
    <numFmt numFmtId="172" formatCode="0000"/>
    <numFmt numFmtId="173" formatCode="[$-40C]d\-mmm\-yy;@"/>
    <numFmt numFmtId="174" formatCode="dd/mm/yy;@"/>
  </numFmts>
  <fonts count="9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70C0"/>
      <name val="Century Gothic"/>
      <family val="2"/>
    </font>
    <font>
      <sz val="11"/>
      <color rgb="FF00B050"/>
      <name val="Century Gothic"/>
      <family val="2"/>
    </font>
    <font>
      <sz val="9"/>
      <color rgb="FF0070C0"/>
      <name val="Century Gothic"/>
      <family val="2"/>
    </font>
    <font>
      <sz val="9"/>
      <color theme="1"/>
      <name val="Century Gothic"/>
      <family val="2"/>
    </font>
    <font>
      <sz val="9"/>
      <color rgb="FF00B050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color rgb="FFFF0000"/>
      <name val="Aptos Display"/>
      <family val="2"/>
      <scheme val="major"/>
    </font>
    <font>
      <sz val="11"/>
      <color rgb="FFFF0000"/>
      <name val="Aptos Display"/>
      <family val="2"/>
      <scheme val="major"/>
    </font>
    <font>
      <b/>
      <sz val="11"/>
      <color rgb="FFFF000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/>
      <name val="Century Gothic"/>
      <family val="2"/>
    </font>
    <font>
      <b/>
      <sz val="11"/>
      <color theme="3"/>
      <name val="Century Gothic"/>
      <family val="2"/>
    </font>
    <font>
      <b/>
      <sz val="11"/>
      <color rgb="FF00B0F0"/>
      <name val="Century Gothic"/>
      <family val="2"/>
    </font>
    <font>
      <b/>
      <sz val="11"/>
      <color rgb="FF7030A0"/>
      <name val="Century Gothic"/>
      <family val="2"/>
    </font>
    <font>
      <b/>
      <sz val="11"/>
      <color rgb="FF00B050"/>
      <name val="Century Gothic"/>
      <family val="2"/>
    </font>
    <font>
      <b/>
      <sz val="11"/>
      <color rgb="FFFF00FF"/>
      <name val="Century Gothic"/>
      <family val="2"/>
    </font>
    <font>
      <b/>
      <sz val="11"/>
      <color theme="9" tint="-0.249977111117893"/>
      <name val="Century Gothic"/>
      <family val="2"/>
    </font>
    <font>
      <b/>
      <sz val="11"/>
      <color theme="4"/>
      <name val="Century Gothic"/>
      <family val="2"/>
    </font>
    <font>
      <b/>
      <sz val="11"/>
      <color theme="9"/>
      <name val="Century Gothic"/>
      <family val="2"/>
    </font>
    <font>
      <b/>
      <sz val="11"/>
      <color rgb="FF9900CC"/>
      <name val="Century Gothic"/>
      <family val="2"/>
    </font>
    <font>
      <b/>
      <sz val="16"/>
      <color rgb="FFFF0000"/>
      <name val="Century Gothic"/>
      <family val="2"/>
    </font>
    <font>
      <sz val="11"/>
      <color rgb="FF002060"/>
      <name val="Century Gothic"/>
      <family val="2"/>
    </font>
    <font>
      <b/>
      <sz val="11"/>
      <color rgb="FF0070C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0" tint="-0.499984740745262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0070C0"/>
      <name val="Century Gothic"/>
      <family val="2"/>
    </font>
    <font>
      <b/>
      <sz val="10"/>
      <color indexed="81"/>
      <name val="Tahoma"/>
      <family val="2"/>
    </font>
    <font>
      <sz val="16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rgb="FF0000FF"/>
      <name val="Century Gothic"/>
      <family val="2"/>
    </font>
    <font>
      <b/>
      <sz val="24"/>
      <color theme="2" tint="-0.89999084444715716"/>
      <name val="Century Gothic"/>
      <family val="2"/>
    </font>
    <font>
      <b/>
      <sz val="24"/>
      <color rgb="FF00B0F0"/>
      <name val="Century Gothic"/>
      <family val="2"/>
    </font>
    <font>
      <b/>
      <sz val="24"/>
      <name val="Century Gothic"/>
      <family val="2"/>
    </font>
    <font>
      <b/>
      <sz val="14"/>
      <name val="Century Gothic"/>
      <family val="2"/>
    </font>
    <font>
      <sz val="11"/>
      <name val="Aptos Narrow"/>
      <family val="2"/>
      <scheme val="minor"/>
    </font>
    <font>
      <sz val="11"/>
      <color theme="4" tint="0.79998168889431442"/>
      <name val="Century Gothic"/>
      <family val="2"/>
    </font>
    <font>
      <sz val="10"/>
      <color rgb="FFFF0000"/>
      <name val="Century Gothic"/>
      <family val="2"/>
    </font>
    <font>
      <sz val="10"/>
      <name val="Century Gothic"/>
      <family val="2"/>
    </font>
    <font>
      <sz val="11"/>
      <color rgb="FFFF00FF"/>
      <name val="Century Gothic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2E74B5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rgb="FFFF0000"/>
      <name val="Aptos Narrow"/>
      <family val="2"/>
      <scheme val="minor"/>
    </font>
    <font>
      <b/>
      <sz val="11"/>
      <color rgb="FFFF0000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theme="8" tint="-0.499984740745262"/>
      <name val="Century Gothic"/>
      <family val="2"/>
    </font>
    <font>
      <sz val="9"/>
      <color theme="1"/>
      <name val="Aptos Narrow"/>
      <family val="2"/>
      <scheme val="minor"/>
    </font>
    <font>
      <sz val="11"/>
      <color rgb="FF000099"/>
      <name val="Aptos Narrow"/>
      <family val="2"/>
      <scheme val="minor"/>
    </font>
    <font>
      <b/>
      <sz val="8"/>
      <color theme="1"/>
      <name val="Century Gothic"/>
      <family val="2"/>
    </font>
    <font>
      <b/>
      <sz val="10"/>
      <color theme="2" tint="-0.499984740745262"/>
      <name val="Century Gothic"/>
      <family val="2"/>
    </font>
    <font>
      <b/>
      <sz val="8"/>
      <color theme="2" tint="-0.249977111117893"/>
      <name val="Century Gothic"/>
      <family val="2"/>
    </font>
    <font>
      <sz val="10"/>
      <color rgb="FF00B050"/>
      <name val="Century Gothic"/>
      <family val="2"/>
    </font>
    <font>
      <b/>
      <sz val="10"/>
      <color rgb="FF00B050"/>
      <name val="Century Gothic"/>
      <family val="2"/>
    </font>
    <font>
      <b/>
      <sz val="8"/>
      <color rgb="FF00B050"/>
      <name val="Century Gothic"/>
      <family val="2"/>
    </font>
    <font>
      <b/>
      <sz val="8"/>
      <color rgb="FFFF0000"/>
      <name val="Century Gothic"/>
      <family val="2"/>
    </font>
    <font>
      <b/>
      <sz val="10"/>
      <color rgb="FF1909E7"/>
      <name val="Century Gothic"/>
      <family val="2"/>
    </font>
    <font>
      <b/>
      <sz val="8"/>
      <color rgb="FF1909E7"/>
      <name val="Century Gothic"/>
      <family val="2"/>
    </font>
    <font>
      <b/>
      <sz val="9"/>
      <color theme="1"/>
      <name val="Arial Narrow"/>
      <family val="2"/>
    </font>
    <font>
      <sz val="10"/>
      <color theme="1"/>
      <name val="Calibri"/>
      <family val="2"/>
    </font>
    <font>
      <sz val="10"/>
      <color rgb="FF00B050"/>
      <name val="Calibri"/>
      <family val="2"/>
    </font>
    <font>
      <sz val="10"/>
      <color rgb="FFE30613"/>
      <name val="Century Gothic"/>
      <family val="2"/>
    </font>
    <font>
      <sz val="10"/>
      <color rgb="FFE30613"/>
      <name val="Calibri"/>
      <family val="2"/>
    </font>
    <font>
      <sz val="10"/>
      <color rgb="FF39089A"/>
      <name val="Century Gothic"/>
      <family val="2"/>
    </font>
    <font>
      <sz val="10"/>
      <color rgb="FF39089A"/>
      <name val="Calibri"/>
      <family val="2"/>
    </font>
    <font>
      <b/>
      <sz val="11"/>
      <name val="Arial"/>
      <family val="2"/>
    </font>
    <font>
      <sz val="11"/>
      <color rgb="FF00B0F0"/>
      <name val="Arial"/>
      <family val="2"/>
    </font>
    <font>
      <sz val="11"/>
      <color theme="0" tint="-0.24997711111789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DFF9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60" fillId="0" borderId="0"/>
  </cellStyleXfs>
  <cellXfs count="662">
    <xf numFmtId="0" fontId="0" fillId="0" borderId="0" xfId="0"/>
    <xf numFmtId="0" fontId="3" fillId="0" borderId="0" xfId="0" applyFont="1"/>
    <xf numFmtId="0" fontId="5" fillId="0" borderId="0" xfId="0" applyFont="1"/>
    <xf numFmtId="17" fontId="4" fillId="0" borderId="1" xfId="0" applyNumberFormat="1" applyFont="1" applyBorder="1" applyAlignment="1">
      <alignment horizontal="center" vertical="center"/>
    </xf>
    <xf numFmtId="0" fontId="4" fillId="2" borderId="1" xfId="3" applyFont="1" applyFill="1" applyBorder="1" applyAlignment="1">
      <alignment horizontal="left"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left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4" borderId="1" xfId="3" applyFont="1" applyFill="1" applyBorder="1" applyAlignment="1">
      <alignment horizontal="left" vertical="center" wrapText="1"/>
    </xf>
    <xf numFmtId="10" fontId="5" fillId="0" borderId="4" xfId="2" applyNumberFormat="1" applyFont="1" applyFill="1" applyBorder="1" applyAlignment="1">
      <alignment horizontal="center"/>
    </xf>
    <xf numFmtId="9" fontId="5" fillId="0" borderId="4" xfId="2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4" fillId="5" borderId="1" xfId="3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9" fontId="5" fillId="0" borderId="1" xfId="2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2" borderId="1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vertical="center" wrapText="1"/>
    </xf>
    <xf numFmtId="0" fontId="4" fillId="0" borderId="1" xfId="3" applyFont="1" applyBorder="1" applyAlignment="1">
      <alignment vertical="center" wrapText="1"/>
    </xf>
    <xf numFmtId="4" fontId="5" fillId="3" borderId="1" xfId="3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4" fontId="5" fillId="0" borderId="1" xfId="3" applyNumberFormat="1" applyFont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10" fontId="5" fillId="0" borderId="1" xfId="2" applyNumberFormat="1" applyFont="1" applyFill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9" fontId="5" fillId="0" borderId="0" xfId="2" applyFont="1" applyFill="1" applyBorder="1" applyAlignment="1">
      <alignment horizontal="center" vertical="center" wrapText="1"/>
    </xf>
    <xf numFmtId="43" fontId="5" fillId="3" borderId="1" xfId="1" applyFont="1" applyFill="1" applyBorder="1" applyAlignment="1">
      <alignment horizontal="center" vertical="center" wrapText="1"/>
    </xf>
    <xf numFmtId="43" fontId="5" fillId="3" borderId="1" xfId="1" applyFont="1" applyFill="1" applyBorder="1" applyAlignment="1">
      <alignment horizontal="center" vertical="center"/>
    </xf>
    <xf numFmtId="0" fontId="5" fillId="0" borderId="0" xfId="3" applyFont="1" applyAlignment="1">
      <alignment vertical="center" wrapText="1"/>
    </xf>
    <xf numFmtId="2" fontId="5" fillId="0" borderId="1" xfId="2" applyNumberFormat="1" applyFont="1" applyFill="1" applyBorder="1" applyAlignment="1">
      <alignment horizontal="center" vertical="center" wrapText="1"/>
    </xf>
    <xf numFmtId="4" fontId="5" fillId="0" borderId="1" xfId="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0" borderId="1" xfId="2" applyNumberFormat="1" applyFont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9" fontId="4" fillId="3" borderId="1" xfId="2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9" fontId="5" fillId="0" borderId="0" xfId="2" applyFont="1" applyBorder="1" applyAlignment="1">
      <alignment horizontal="center"/>
    </xf>
    <xf numFmtId="0" fontId="6" fillId="6" borderId="1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4" fillId="7" borderId="2" xfId="3" applyFont="1" applyFill="1" applyBorder="1" applyAlignment="1">
      <alignment horizontal="left" vertical="center" wrapText="1"/>
    </xf>
    <xf numFmtId="10" fontId="8" fillId="0" borderId="1" xfId="2" applyNumberFormat="1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left" vertical="center" wrapText="1"/>
    </xf>
    <xf numFmtId="10" fontId="5" fillId="0" borderId="0" xfId="2" applyNumberFormat="1" applyFont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3" borderId="1" xfId="3" applyFont="1" applyFill="1" applyBorder="1" applyAlignment="1">
      <alignment horizontal="left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164" fontId="5" fillId="0" borderId="0" xfId="2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3" applyFont="1" applyBorder="1" applyAlignment="1">
      <alignment horizontal="center" vertical="center" wrapText="1"/>
    </xf>
    <xf numFmtId="2" fontId="5" fillId="0" borderId="1" xfId="3" applyNumberFormat="1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4" fillId="7" borderId="1" xfId="3" applyFont="1" applyFill="1" applyBorder="1" applyAlignment="1">
      <alignment horizontal="left" vertical="center" wrapText="1"/>
    </xf>
    <xf numFmtId="0" fontId="4" fillId="10" borderId="0" xfId="0" applyFont="1" applyFill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 wrapText="1"/>
    </xf>
    <xf numFmtId="3" fontId="10" fillId="0" borderId="1" xfId="1" applyNumberFormat="1" applyFont="1" applyFill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/>
    </xf>
    <xf numFmtId="3" fontId="12" fillId="0" borderId="1" xfId="1" applyNumberFormat="1" applyFont="1" applyBorder="1" applyAlignment="1">
      <alignment horizontal="center"/>
    </xf>
    <xf numFmtId="166" fontId="5" fillId="0" borderId="1" xfId="1" applyNumberFormat="1" applyFont="1" applyFill="1" applyBorder="1" applyAlignment="1">
      <alignment horizontal="center" vertical="center" wrapText="1"/>
    </xf>
    <xf numFmtId="3" fontId="13" fillId="0" borderId="1" xfId="1" applyNumberFormat="1" applyFont="1" applyFill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17" fontId="15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10" borderId="0" xfId="0" applyFont="1" applyFill="1" applyAlignment="1">
      <alignment horizontal="center" vertical="center"/>
    </xf>
    <xf numFmtId="10" fontId="16" fillId="0" borderId="1" xfId="2" applyNumberFormat="1" applyFont="1" applyBorder="1" applyAlignment="1">
      <alignment horizontal="center" vertical="center"/>
    </xf>
    <xf numFmtId="164" fontId="17" fillId="0" borderId="1" xfId="2" applyNumberFormat="1" applyFont="1" applyBorder="1" applyAlignment="1">
      <alignment horizontal="center" vertical="center"/>
    </xf>
    <xf numFmtId="164" fontId="14" fillId="0" borderId="1" xfId="2" applyNumberFormat="1" applyFont="1" applyBorder="1" applyAlignment="1">
      <alignment horizontal="center" vertical="center"/>
    </xf>
    <xf numFmtId="164" fontId="16" fillId="0" borderId="1" xfId="2" applyNumberFormat="1" applyFont="1" applyBorder="1" applyAlignment="1">
      <alignment horizontal="center" vertical="center"/>
    </xf>
    <xf numFmtId="0" fontId="16" fillId="0" borderId="0" xfId="0" applyFont="1"/>
    <xf numFmtId="0" fontId="14" fillId="11" borderId="1" xfId="0" applyFont="1" applyFill="1" applyBorder="1" applyAlignment="1">
      <alignment horizontal="center" vertical="center"/>
    </xf>
    <xf numFmtId="10" fontId="17" fillId="0" borderId="1" xfId="2" applyNumberFormat="1" applyFont="1" applyBorder="1" applyAlignment="1">
      <alignment horizontal="center" vertical="center"/>
    </xf>
    <xf numFmtId="1" fontId="14" fillId="0" borderId="1" xfId="2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8" fillId="0" borderId="0" xfId="0" applyFont="1" applyAlignment="1">
      <alignment wrapText="1"/>
    </xf>
    <xf numFmtId="14" fontId="5" fillId="0" borderId="0" xfId="0" applyNumberFormat="1" applyFont="1"/>
    <xf numFmtId="14" fontId="21" fillId="13" borderId="0" xfId="0" applyNumberFormat="1" applyFont="1" applyFill="1"/>
    <xf numFmtId="0" fontId="5" fillId="3" borderId="0" xfId="0" applyFont="1" applyFill="1"/>
    <xf numFmtId="0" fontId="5" fillId="1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5" fillId="10" borderId="0" xfId="0" applyFont="1" applyFill="1"/>
    <xf numFmtId="0" fontId="5" fillId="13" borderId="0" xfId="0" applyFont="1" applyFill="1"/>
    <xf numFmtId="14" fontId="22" fillId="13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23" fillId="10" borderId="0" xfId="0" applyFont="1" applyFill="1" applyAlignment="1">
      <alignment horizontal="center" vertical="top" wrapText="1"/>
    </xf>
    <xf numFmtId="0" fontId="23" fillId="13" borderId="0" xfId="0" applyFont="1" applyFill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8" fillId="16" borderId="0" xfId="0" applyFont="1" applyFill="1" applyAlignment="1">
      <alignment horizontal="center" vertical="top" wrapText="1"/>
    </xf>
    <xf numFmtId="0" fontId="30" fillId="0" borderId="0" xfId="0" applyFont="1" applyAlignment="1">
      <alignment horizontal="center" vertical="top" wrapText="1"/>
    </xf>
    <xf numFmtId="0" fontId="22" fillId="1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4" fillId="13" borderId="0" xfId="0" applyFont="1" applyFill="1" applyAlignment="1">
      <alignment horizontal="center" vertical="top" wrapText="1"/>
    </xf>
    <xf numFmtId="14" fontId="5" fillId="0" borderId="0" xfId="0" applyNumberFormat="1" applyFont="1" applyAlignment="1">
      <alignment horizontal="center" vertical="center"/>
    </xf>
    <xf numFmtId="14" fontId="4" fillId="17" borderId="0" xfId="0" applyNumberFormat="1" applyFont="1" applyFill="1" applyAlignment="1">
      <alignment horizontal="left" vertical="center"/>
    </xf>
    <xf numFmtId="14" fontId="22" fillId="13" borderId="0" xfId="0" applyNumberFormat="1" applyFont="1" applyFill="1" applyAlignment="1">
      <alignment horizontal="left" vertical="center"/>
    </xf>
    <xf numFmtId="14" fontId="5" fillId="17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top" wrapText="1"/>
    </xf>
    <xf numFmtId="14" fontId="5" fillId="13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18" borderId="0" xfId="0" applyNumberFormat="1" applyFont="1" applyFill="1" applyAlignment="1">
      <alignment horizontal="center" vertical="center"/>
    </xf>
    <xf numFmtId="14" fontId="4" fillId="19" borderId="0" xfId="0" applyNumberFormat="1" applyFont="1" applyFill="1" applyAlignment="1">
      <alignment horizontal="left" vertical="center" wrapText="1"/>
    </xf>
    <xf numFmtId="14" fontId="22" fillId="13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2" fillId="13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1" fontId="22" fillId="13" borderId="0" xfId="0" applyNumberFormat="1" applyFont="1" applyFill="1" applyAlignment="1">
      <alignment horizontal="left" vertical="center"/>
    </xf>
    <xf numFmtId="1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" fontId="5" fillId="1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2" fillId="13" borderId="0" xfId="0" applyFont="1" applyFill="1" applyAlignment="1">
      <alignment horizontal="left" vertical="center" wrapText="1"/>
    </xf>
    <xf numFmtId="9" fontId="5" fillId="0" borderId="0" xfId="2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9" fontId="5" fillId="0" borderId="0" xfId="2" applyFont="1" applyFill="1" applyBorder="1" applyAlignment="1">
      <alignment horizontal="center" vertical="center"/>
    </xf>
    <xf numFmtId="0" fontId="5" fillId="13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left"/>
    </xf>
    <xf numFmtId="14" fontId="21" fillId="13" borderId="0" xfId="0" applyNumberFormat="1" applyFont="1" applyFill="1" applyAlignment="1">
      <alignment horizontal="left"/>
    </xf>
    <xf numFmtId="14" fontId="5" fillId="4" borderId="0" xfId="0" applyNumberFormat="1" applyFont="1" applyFill="1" applyAlignment="1">
      <alignment horizontal="center"/>
    </xf>
    <xf numFmtId="14" fontId="5" fillId="20" borderId="0" xfId="0" applyNumberFormat="1" applyFont="1" applyFill="1" applyAlignment="1">
      <alignment horizontal="center"/>
    </xf>
    <xf numFmtId="14" fontId="5" fillId="13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14" fontId="5" fillId="21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left"/>
    </xf>
    <xf numFmtId="3" fontId="22" fillId="13" borderId="0" xfId="0" applyNumberFormat="1" applyFont="1" applyFill="1" applyAlignment="1">
      <alignment horizontal="left"/>
    </xf>
    <xf numFmtId="3" fontId="4" fillId="0" borderId="0" xfId="0" applyNumberFormat="1" applyFont="1" applyAlignment="1">
      <alignment horizontal="center"/>
    </xf>
    <xf numFmtId="3" fontId="4" fillId="13" borderId="0" xfId="0" applyNumberFormat="1" applyFont="1" applyFill="1" applyAlignment="1">
      <alignment horizontal="center"/>
    </xf>
    <xf numFmtId="3" fontId="32" fillId="0" borderId="0" xfId="0" applyNumberFormat="1" applyFont="1" applyAlignment="1">
      <alignment horizontal="left" vertical="center"/>
    </xf>
    <xf numFmtId="3" fontId="21" fillId="13" borderId="0" xfId="0" applyNumberFormat="1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3" fontId="4" fillId="22" borderId="0" xfId="0" applyNumberFormat="1" applyFont="1" applyFill="1" applyAlignment="1">
      <alignment horizontal="center" vertical="center"/>
    </xf>
    <xf numFmtId="3" fontId="5" fillId="13" borderId="0" xfId="0" applyNumberFormat="1" applyFont="1" applyFill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8" fillId="13" borderId="0" xfId="0" applyNumberFormat="1" applyFont="1" applyFill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3" fontId="5" fillId="10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3" fontId="4" fillId="23" borderId="0" xfId="0" applyNumberFormat="1" applyFont="1" applyFill="1" applyAlignment="1">
      <alignment horizontal="center" vertical="center"/>
    </xf>
    <xf numFmtId="3" fontId="5" fillId="23" borderId="0" xfId="0" applyNumberFormat="1" applyFont="1" applyFill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0" fontId="32" fillId="0" borderId="0" xfId="0" applyFont="1"/>
    <xf numFmtId="0" fontId="21" fillId="13" borderId="0" xfId="0" applyFont="1" applyFill="1"/>
    <xf numFmtId="3" fontId="5" fillId="0" borderId="0" xfId="0" applyNumberFormat="1" applyFont="1"/>
    <xf numFmtId="168" fontId="5" fillId="23" borderId="0" xfId="0" applyNumberFormat="1" applyFont="1" applyFill="1" applyAlignment="1">
      <alignment horizontal="center" vertical="center"/>
    </xf>
    <xf numFmtId="168" fontId="5" fillId="10" borderId="0" xfId="0" applyNumberFormat="1" applyFont="1" applyFill="1" applyAlignment="1">
      <alignment horizontal="center" vertical="center"/>
    </xf>
    <xf numFmtId="168" fontId="4" fillId="23" borderId="0" xfId="0" applyNumberFormat="1" applyFont="1" applyFill="1" applyAlignment="1">
      <alignment horizontal="center" vertical="center"/>
    </xf>
    <xf numFmtId="3" fontId="18" fillId="4" borderId="0" xfId="0" applyNumberFormat="1" applyFont="1" applyFill="1" applyAlignment="1">
      <alignment horizontal="center"/>
    </xf>
    <xf numFmtId="3" fontId="18" fillId="24" borderId="0" xfId="0" applyNumberFormat="1" applyFont="1" applyFill="1" applyAlignment="1">
      <alignment horizontal="center"/>
    </xf>
    <xf numFmtId="3" fontId="30" fillId="4" borderId="0" xfId="0" applyNumberFormat="1" applyFont="1" applyFill="1" applyAlignment="1">
      <alignment horizontal="center"/>
    </xf>
    <xf numFmtId="3" fontId="30" fillId="0" borderId="0" xfId="0" applyNumberFormat="1" applyFont="1" applyAlignment="1">
      <alignment horizontal="center"/>
    </xf>
    <xf numFmtId="0" fontId="21" fillId="0" borderId="0" xfId="0" applyFont="1"/>
    <xf numFmtId="3" fontId="4" fillId="0" borderId="0" xfId="0" applyNumberFormat="1" applyFont="1" applyAlignment="1">
      <alignment horizontal="center" vertical="center"/>
    </xf>
    <xf numFmtId="10" fontId="5" fillId="0" borderId="0" xfId="2" applyNumberFormat="1" applyFont="1" applyFill="1" applyBorder="1"/>
    <xf numFmtId="0" fontId="4" fillId="4" borderId="0" xfId="0" applyFont="1" applyFill="1" applyAlignment="1">
      <alignment horizontal="center"/>
    </xf>
    <xf numFmtId="0" fontId="33" fillId="0" borderId="0" xfId="0" applyFont="1" applyAlignment="1">
      <alignment horizontal="center" vertical="top"/>
    </xf>
    <xf numFmtId="0" fontId="3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4" fillId="4" borderId="0" xfId="0" applyFont="1" applyFill="1" applyAlignment="1">
      <alignment horizontal="center"/>
    </xf>
    <xf numFmtId="0" fontId="34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/>
    </xf>
    <xf numFmtId="9" fontId="30" fillId="0" borderId="0" xfId="2" applyFont="1" applyAlignment="1">
      <alignment horizontal="center" vertical="top"/>
    </xf>
    <xf numFmtId="164" fontId="26" fillId="0" borderId="0" xfId="2" applyNumberFormat="1" applyFont="1"/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horizontal="center" vertical="top" wrapText="1"/>
    </xf>
    <xf numFmtId="14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" fontId="40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vertical="center"/>
    </xf>
    <xf numFmtId="14" fontId="40" fillId="0" borderId="0" xfId="0" applyNumberFormat="1" applyFont="1" applyAlignment="1">
      <alignment horizontal="center"/>
    </xf>
    <xf numFmtId="3" fontId="39" fillId="0" borderId="0" xfId="0" applyNumberFormat="1" applyFont="1" applyAlignment="1">
      <alignment horizontal="center"/>
    </xf>
    <xf numFmtId="3" fontId="37" fillId="0" borderId="0" xfId="0" applyNumberFormat="1" applyFont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vertical="top" wrapText="1"/>
    </xf>
    <xf numFmtId="0" fontId="41" fillId="0" borderId="0" xfId="0" applyFont="1" applyAlignment="1">
      <alignment vertical="top"/>
    </xf>
    <xf numFmtId="0" fontId="40" fillId="13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3" fillId="0" borderId="0" xfId="0" applyFont="1" applyAlignment="1">
      <alignment vertical="center"/>
    </xf>
    <xf numFmtId="14" fontId="43" fillId="0" borderId="0" xfId="0" applyNumberFormat="1" applyFont="1" applyAlignment="1">
      <alignment vertical="center"/>
    </xf>
    <xf numFmtId="17" fontId="3" fillId="25" borderId="5" xfId="0" applyNumberFormat="1" applyFont="1" applyFill="1" applyBorder="1" applyAlignment="1">
      <alignment horizontal="center" vertical="center" textRotation="90"/>
    </xf>
    <xf numFmtId="17" fontId="3" fillId="4" borderId="5" xfId="0" applyNumberFormat="1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49" fontId="44" fillId="26" borderId="1" xfId="0" applyNumberFormat="1" applyFont="1" applyFill="1" applyBorder="1" applyAlignment="1">
      <alignment horizontal="center" vertical="center" wrapText="1"/>
    </xf>
    <xf numFmtId="164" fontId="0" fillId="0" borderId="1" xfId="2" applyNumberFormat="1" applyFont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1" fillId="0" borderId="7" xfId="2" applyNumberFormat="1" applyFont="1" applyFill="1" applyBorder="1" applyAlignment="1">
      <alignment horizontal="center" vertical="center"/>
    </xf>
    <xf numFmtId="164" fontId="1" fillId="0" borderId="4" xfId="2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 wrapText="1"/>
    </xf>
    <xf numFmtId="169" fontId="34" fillId="0" borderId="0" xfId="0" applyNumberFormat="1" applyFont="1" applyAlignment="1">
      <alignment horizontal="left" vertical="center" wrapText="1"/>
    </xf>
    <xf numFmtId="0" fontId="34" fillId="7" borderId="0" xfId="0" applyFont="1" applyFill="1" applyAlignment="1">
      <alignment horizontal="left" vertical="center" wrapText="1"/>
    </xf>
    <xf numFmtId="166" fontId="34" fillId="0" borderId="0" xfId="1" applyNumberFormat="1" applyFont="1" applyFill="1" applyAlignment="1">
      <alignment horizontal="left" vertical="center" wrapText="1"/>
    </xf>
    <xf numFmtId="166" fontId="34" fillId="0" borderId="0" xfId="0" applyNumberFormat="1" applyFont="1" applyAlignment="1">
      <alignment horizontal="left" vertical="center" wrapText="1"/>
    </xf>
    <xf numFmtId="10" fontId="34" fillId="10" borderId="0" xfId="2" applyNumberFormat="1" applyFont="1" applyFill="1" applyAlignment="1">
      <alignment horizontal="center" vertical="center" wrapText="1"/>
    </xf>
    <xf numFmtId="166" fontId="5" fillId="0" borderId="0" xfId="0" applyNumberFormat="1" applyFont="1" applyAlignment="1">
      <alignment horizontal="left" vertical="center" wrapText="1"/>
    </xf>
    <xf numFmtId="9" fontId="4" fillId="0" borderId="0" xfId="2" applyFont="1" applyFill="1" applyAlignment="1">
      <alignment horizontal="left" vertical="center" wrapText="1"/>
    </xf>
    <xf numFmtId="0" fontId="34" fillId="7" borderId="0" xfId="0" applyFont="1" applyFill="1" applyAlignment="1">
      <alignment horizontal="left" vertical="center"/>
    </xf>
    <xf numFmtId="43" fontId="0" fillId="0" borderId="0" xfId="1" applyFont="1"/>
    <xf numFmtId="43" fontId="34" fillId="0" borderId="0" xfId="1" applyFont="1" applyAlignment="1">
      <alignment horizontal="left" vertical="center" wrapText="1"/>
    </xf>
    <xf numFmtId="43" fontId="34" fillId="0" borderId="0" xfId="1" applyFont="1" applyAlignment="1">
      <alignment horizontal="left" vertical="center"/>
    </xf>
    <xf numFmtId="43" fontId="30" fillId="0" borderId="0" xfId="1" applyFont="1" applyAlignment="1">
      <alignment horizontal="right" vertical="center" wrapText="1"/>
    </xf>
    <xf numFmtId="166" fontId="30" fillId="0" borderId="0" xfId="1" applyNumberFormat="1" applyFont="1" applyAlignment="1">
      <alignment horizontal="left" vertical="center" wrapText="1"/>
    </xf>
    <xf numFmtId="10" fontId="30" fillId="0" borderId="0" xfId="2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right" vertical="center" wrapText="1"/>
    </xf>
    <xf numFmtId="166" fontId="34" fillId="0" borderId="0" xfId="1" applyNumberFormat="1" applyFont="1" applyAlignment="1">
      <alignment horizontal="left" vertical="center" wrapText="1"/>
    </xf>
    <xf numFmtId="169" fontId="35" fillId="0" borderId="0" xfId="0" applyNumberFormat="1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left" vertical="center" wrapText="1"/>
    </xf>
    <xf numFmtId="169" fontId="34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166" fontId="34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169" fontId="35" fillId="0" borderId="1" xfId="0" applyNumberFormat="1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166" fontId="35" fillId="0" borderId="1" xfId="0" applyNumberFormat="1" applyFont="1" applyBorder="1" applyAlignment="1">
      <alignment horizontal="left" vertical="center"/>
    </xf>
    <xf numFmtId="166" fontId="35" fillId="0" borderId="1" xfId="1" applyNumberFormat="1" applyFont="1" applyFill="1" applyBorder="1" applyAlignment="1">
      <alignment horizontal="left" vertical="center"/>
    </xf>
    <xf numFmtId="166" fontId="35" fillId="0" borderId="0" xfId="0" quotePrefix="1" applyNumberFormat="1" applyFont="1" applyAlignment="1">
      <alignment horizontal="left" vertical="center"/>
    </xf>
    <xf numFmtId="166" fontId="3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0" fontId="5" fillId="0" borderId="0" xfId="2" applyNumberFormat="1" applyFont="1" applyFill="1" applyAlignment="1">
      <alignment horizontal="left" vertical="center"/>
    </xf>
    <xf numFmtId="0" fontId="45" fillId="0" borderId="0" xfId="0" applyFont="1" applyAlignment="1">
      <alignment horizontal="left" vertical="center"/>
    </xf>
    <xf numFmtId="166" fontId="35" fillId="0" borderId="1" xfId="1" applyNumberFormat="1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43" fontId="35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3" fontId="5" fillId="0" borderId="1" xfId="1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17" fontId="5" fillId="0" borderId="1" xfId="0" applyNumberFormat="1" applyFont="1" applyBorder="1" applyAlignment="1">
      <alignment horizontal="left" vertical="center"/>
    </xf>
    <xf numFmtId="0" fontId="35" fillId="3" borderId="1" xfId="0" applyFont="1" applyFill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166" fontId="35" fillId="0" borderId="1" xfId="0" applyNumberFormat="1" applyFont="1" applyBorder="1" applyAlignment="1">
      <alignment horizontal="center" vertical="center"/>
    </xf>
    <xf numFmtId="166" fontId="35" fillId="0" borderId="0" xfId="0" applyNumberFormat="1" applyFont="1" applyAlignment="1">
      <alignment horizontal="left" vertical="center" wrapText="1"/>
    </xf>
    <xf numFmtId="166" fontId="35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horizontal="left" vertical="center" wrapText="1"/>
    </xf>
    <xf numFmtId="166" fontId="35" fillId="0" borderId="1" xfId="0" applyNumberFormat="1" applyFont="1" applyBorder="1" applyAlignment="1">
      <alignment horizontal="left" vertical="center" wrapText="1"/>
    </xf>
    <xf numFmtId="0" fontId="5" fillId="18" borderId="0" xfId="0" applyFont="1" applyFill="1"/>
    <xf numFmtId="170" fontId="5" fillId="18" borderId="0" xfId="4" applyFont="1" applyFill="1" applyAlignment="1"/>
    <xf numFmtId="0" fontId="47" fillId="18" borderId="0" xfId="0" applyFont="1" applyFill="1" applyAlignment="1">
      <alignment vertical="center"/>
    </xf>
    <xf numFmtId="0" fontId="48" fillId="18" borderId="0" xfId="0" applyFont="1" applyFill="1" applyAlignment="1">
      <alignment vertical="center"/>
    </xf>
    <xf numFmtId="0" fontId="48" fillId="18" borderId="0" xfId="0" applyFont="1" applyFill="1" applyAlignment="1">
      <alignment horizontal="left" vertical="center"/>
    </xf>
    <xf numFmtId="0" fontId="3" fillId="18" borderId="1" xfId="0" applyFont="1" applyFill="1" applyBorder="1" applyAlignment="1">
      <alignment horizontal="center" vertical="center"/>
    </xf>
    <xf numFmtId="0" fontId="0" fillId="18" borderId="0" xfId="0" applyFill="1"/>
    <xf numFmtId="170" fontId="0" fillId="18" borderId="0" xfId="4" applyFont="1" applyFill="1" applyAlignment="1">
      <alignment horizontal="center"/>
    </xf>
    <xf numFmtId="0" fontId="49" fillId="18" borderId="1" xfId="0" applyFont="1" applyFill="1" applyBorder="1" applyAlignment="1">
      <alignment horizontal="center" vertical="center"/>
    </xf>
    <xf numFmtId="170" fontId="0" fillId="18" borderId="1" xfId="4" applyFont="1" applyFill="1" applyBorder="1" applyAlignment="1">
      <alignment horizontal="center" vertical="center"/>
    </xf>
    <xf numFmtId="170" fontId="0" fillId="18" borderId="0" xfId="4" applyFont="1" applyFill="1" applyAlignment="1"/>
    <xf numFmtId="170" fontId="2" fillId="18" borderId="1" xfId="4" applyFont="1" applyFill="1" applyBorder="1" applyAlignment="1">
      <alignment horizontal="center" vertical="center"/>
    </xf>
    <xf numFmtId="170" fontId="0" fillId="0" borderId="1" xfId="4" applyFont="1" applyFill="1" applyBorder="1" applyAlignment="1">
      <alignment horizontal="center" vertical="center"/>
    </xf>
    <xf numFmtId="0" fontId="0" fillId="18" borderId="0" xfId="0" applyFill="1" applyAlignment="1">
      <alignment horizontal="left"/>
    </xf>
    <xf numFmtId="170" fontId="50" fillId="21" borderId="0" xfId="0" applyNumberFormat="1" applyFont="1" applyFill="1" applyAlignment="1">
      <alignment vertical="center"/>
    </xf>
    <xf numFmtId="9" fontId="0" fillId="18" borderId="0" xfId="0" applyNumberFormat="1" applyFill="1" applyAlignment="1">
      <alignment horizontal="center" vertical="center"/>
    </xf>
    <xf numFmtId="170" fontId="0" fillId="4" borderId="0" xfId="4" applyFont="1" applyFill="1" applyAlignment="1">
      <alignment vertical="center"/>
    </xf>
    <xf numFmtId="170" fontId="0" fillId="0" borderId="0" xfId="4" applyFont="1" applyFill="1" applyAlignment="1">
      <alignment vertical="center"/>
    </xf>
    <xf numFmtId="170" fontId="50" fillId="7" borderId="0" xfId="4" applyFont="1" applyFill="1" applyAlignment="1">
      <alignment horizontal="center" vertical="center"/>
    </xf>
    <xf numFmtId="171" fontId="51" fillId="13" borderId="9" xfId="4" applyNumberFormat="1" applyFont="1" applyFill="1" applyBorder="1" applyAlignment="1">
      <alignment horizontal="center" vertical="center"/>
    </xf>
    <xf numFmtId="171" fontId="51" fillId="13" borderId="10" xfId="4" applyNumberFormat="1" applyFont="1" applyFill="1" applyBorder="1" applyAlignment="1">
      <alignment horizontal="center" vertical="center"/>
    </xf>
    <xf numFmtId="170" fontId="39" fillId="18" borderId="0" xfId="4" applyFont="1" applyFill="1" applyAlignment="1"/>
    <xf numFmtId="0" fontId="39" fillId="18" borderId="0" xfId="0" applyFont="1" applyFill="1"/>
    <xf numFmtId="0" fontId="52" fillId="0" borderId="4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/>
    </xf>
    <xf numFmtId="171" fontId="36" fillId="0" borderId="1" xfId="4" applyNumberFormat="1" applyFont="1" applyFill="1" applyBorder="1" applyAlignment="1">
      <alignment horizontal="left" vertical="center"/>
    </xf>
    <xf numFmtId="171" fontId="36" fillId="27" borderId="1" xfId="4" applyNumberFormat="1" applyFont="1" applyFill="1" applyBorder="1" applyAlignment="1">
      <alignment horizontal="left" vertical="center"/>
    </xf>
    <xf numFmtId="171" fontId="35" fillId="0" borderId="1" xfId="4" applyNumberFormat="1" applyFont="1" applyFill="1" applyBorder="1" applyAlignment="1">
      <alignment horizontal="left" vertical="center"/>
    </xf>
    <xf numFmtId="170" fontId="5" fillId="18" borderId="0" xfId="4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171" fontId="5" fillId="0" borderId="1" xfId="4" applyNumberFormat="1" applyFont="1" applyFill="1" applyBorder="1" applyAlignment="1">
      <alignment horizontal="left" vertical="center"/>
    </xf>
    <xf numFmtId="171" fontId="18" fillId="0" borderId="1" xfId="4" applyNumberFormat="1" applyFont="1" applyFill="1" applyBorder="1" applyAlignment="1">
      <alignment horizontal="left" vertical="center"/>
    </xf>
    <xf numFmtId="170" fontId="36" fillId="18" borderId="0" xfId="4" applyFont="1" applyFill="1" applyAlignment="1">
      <alignment horizontal="center" vertical="center"/>
    </xf>
    <xf numFmtId="0" fontId="36" fillId="18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1" fontId="5" fillId="27" borderId="1" xfId="4" applyNumberFormat="1" applyFont="1" applyFill="1" applyBorder="1" applyAlignment="1">
      <alignment horizontal="left" vertical="center"/>
    </xf>
    <xf numFmtId="0" fontId="35" fillId="18" borderId="0" xfId="0" applyFont="1" applyFill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quotePrefix="1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70" fontId="35" fillId="18" borderId="0" xfId="4" applyFont="1" applyFill="1" applyAlignment="1">
      <alignment horizontal="center" vertical="center"/>
    </xf>
    <xf numFmtId="0" fontId="25" fillId="18" borderId="0" xfId="0" applyFont="1" applyFill="1" applyAlignment="1">
      <alignment horizontal="center" vertical="center"/>
    </xf>
    <xf numFmtId="170" fontId="35" fillId="0" borderId="0" xfId="4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171" fontId="5" fillId="21" borderId="1" xfId="4" applyNumberFormat="1" applyFont="1" applyFill="1" applyBorder="1" applyAlignment="1">
      <alignment horizontal="left" vertical="center"/>
    </xf>
    <xf numFmtId="171" fontId="54" fillId="0" borderId="1" xfId="4" applyNumberFormat="1" applyFont="1" applyFill="1" applyBorder="1" applyAlignment="1">
      <alignment horizontal="left" vertical="center"/>
    </xf>
    <xf numFmtId="170" fontId="5" fillId="0" borderId="0" xfId="4" applyFont="1" applyFill="1" applyAlignment="1">
      <alignment horizontal="center" vertical="center"/>
    </xf>
    <xf numFmtId="171" fontId="5" fillId="4" borderId="1" xfId="4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171" fontId="18" fillId="3" borderId="1" xfId="4" applyNumberFormat="1" applyFont="1" applyFill="1" applyBorder="1" applyAlignment="1">
      <alignment horizontal="left" vertical="center"/>
    </xf>
    <xf numFmtId="171" fontId="5" fillId="3" borderId="1" xfId="4" applyNumberFormat="1" applyFont="1" applyFill="1" applyBorder="1" applyAlignment="1">
      <alignment horizontal="left" vertical="center"/>
    </xf>
    <xf numFmtId="171" fontId="35" fillId="3" borderId="1" xfId="4" applyNumberFormat="1" applyFont="1" applyFill="1" applyBorder="1" applyAlignment="1">
      <alignment horizontal="left" vertical="center"/>
    </xf>
    <xf numFmtId="171" fontId="5" fillId="10" borderId="11" xfId="4" applyNumberFormat="1" applyFont="1" applyFill="1" applyBorder="1" applyAlignment="1">
      <alignment horizontal="left" vertical="center"/>
    </xf>
    <xf numFmtId="171" fontId="5" fillId="10" borderId="11" xfId="4" applyNumberFormat="1" applyFont="1" applyFill="1" applyBorder="1" applyAlignment="1">
      <alignment vertical="center"/>
    </xf>
    <xf numFmtId="171" fontId="0" fillId="18" borderId="0" xfId="0" applyNumberFormat="1" applyFill="1"/>
    <xf numFmtId="10" fontId="0" fillId="18" borderId="0" xfId="2" applyNumberFormat="1" applyFont="1" applyFill="1"/>
    <xf numFmtId="0" fontId="3" fillId="3" borderId="1" xfId="0" applyFont="1" applyFill="1" applyBorder="1"/>
    <xf numFmtId="17" fontId="3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5" fillId="3" borderId="1" xfId="0" applyFont="1" applyFill="1" applyBorder="1"/>
    <xf numFmtId="17" fontId="55" fillId="3" borderId="1" xfId="0" applyNumberFormat="1" applyFont="1" applyFill="1" applyBorder="1" applyAlignment="1">
      <alignment horizontal="center"/>
    </xf>
    <xf numFmtId="0" fontId="56" fillId="0" borderId="1" xfId="0" applyFont="1" applyBorder="1"/>
    <xf numFmtId="0" fontId="56" fillId="0" borderId="1" xfId="0" applyFont="1" applyBorder="1" applyAlignment="1">
      <alignment horizontal="center"/>
    </xf>
    <xf numFmtId="0" fontId="56" fillId="21" borderId="1" xfId="0" applyFont="1" applyFill="1" applyBorder="1" applyAlignment="1">
      <alignment horizontal="center"/>
    </xf>
    <xf numFmtId="0" fontId="56" fillId="29" borderId="1" xfId="0" applyFont="1" applyFill="1" applyBorder="1" applyAlignment="1">
      <alignment horizontal="center"/>
    </xf>
    <xf numFmtId="0" fontId="56" fillId="4" borderId="1" xfId="0" applyFont="1" applyFill="1" applyBorder="1" applyAlignment="1">
      <alignment horizontal="center"/>
    </xf>
    <xf numFmtId="0" fontId="56" fillId="22" borderId="1" xfId="0" applyFont="1" applyFill="1" applyBorder="1" applyAlignment="1">
      <alignment horizontal="center"/>
    </xf>
    <xf numFmtId="0" fontId="56" fillId="30" borderId="1" xfId="0" applyFont="1" applyFill="1" applyBorder="1" applyAlignment="1">
      <alignment horizontal="center"/>
    </xf>
    <xf numFmtId="0" fontId="55" fillId="31" borderId="1" xfId="0" applyFont="1" applyFill="1" applyBorder="1" applyAlignment="1">
      <alignment horizontal="center"/>
    </xf>
    <xf numFmtId="0" fontId="56" fillId="32" borderId="1" xfId="0" applyFont="1" applyFill="1" applyBorder="1" applyAlignment="1">
      <alignment horizontal="center"/>
    </xf>
    <xf numFmtId="0" fontId="56" fillId="33" borderId="1" xfId="0" applyFont="1" applyFill="1" applyBorder="1" applyAlignment="1">
      <alignment horizontal="center"/>
    </xf>
    <xf numFmtId="0" fontId="56" fillId="34" borderId="1" xfId="0" applyFont="1" applyFill="1" applyBorder="1" applyAlignment="1">
      <alignment horizontal="center"/>
    </xf>
    <xf numFmtId="0" fontId="56" fillId="35" borderId="1" xfId="0" applyFont="1" applyFill="1" applyBorder="1" applyAlignment="1">
      <alignment horizontal="center"/>
    </xf>
    <xf numFmtId="0" fontId="57" fillId="4" borderId="1" xfId="0" applyFont="1" applyFill="1" applyBorder="1"/>
    <xf numFmtId="0" fontId="57" fillId="17" borderId="1" xfId="0" applyFont="1" applyFill="1" applyBorder="1"/>
    <xf numFmtId="17" fontId="57" fillId="10" borderId="1" xfId="0" applyNumberFormat="1" applyFont="1" applyFill="1" applyBorder="1" applyAlignment="1">
      <alignment horizontal="center"/>
    </xf>
    <xf numFmtId="0" fontId="58" fillId="0" borderId="1" xfId="0" applyFont="1" applyBorder="1"/>
    <xf numFmtId="0" fontId="58" fillId="0" borderId="1" xfId="0" applyFont="1" applyBorder="1" applyAlignment="1">
      <alignment horizontal="center"/>
    </xf>
    <xf numFmtId="0" fontId="57" fillId="5" borderId="1" xfId="0" applyFont="1" applyFill="1" applyBorder="1"/>
    <xf numFmtId="0" fontId="57" fillId="7" borderId="1" xfId="0" applyFont="1" applyFill="1" applyBorder="1"/>
    <xf numFmtId="17" fontId="57" fillId="3" borderId="1" xfId="0" applyNumberFormat="1" applyFont="1" applyFill="1" applyBorder="1" applyAlignment="1">
      <alignment horizontal="center"/>
    </xf>
    <xf numFmtId="0" fontId="58" fillId="0" borderId="1" xfId="0" applyFont="1" applyBorder="1" applyAlignment="1">
      <alignment vertical="center"/>
    </xf>
    <xf numFmtId="0" fontId="58" fillId="0" borderId="1" xfId="0" applyFont="1" applyBorder="1" applyAlignment="1">
      <alignment horizontal="center" vertical="center"/>
    </xf>
    <xf numFmtId="0" fontId="58" fillId="4" borderId="1" xfId="0" applyFont="1" applyFill="1" applyBorder="1" applyAlignment="1">
      <alignment horizontal="center" vertical="center" wrapText="1"/>
    </xf>
    <xf numFmtId="0" fontId="57" fillId="21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center"/>
    </xf>
    <xf numFmtId="0" fontId="58" fillId="18" borderId="12" xfId="0" applyFont="1" applyFill="1" applyBorder="1" applyAlignment="1">
      <alignment horizontal="center"/>
    </xf>
    <xf numFmtId="0" fontId="57" fillId="3" borderId="1" xfId="0" applyFont="1" applyFill="1" applyBorder="1"/>
    <xf numFmtId="0" fontId="58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left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vertical="center"/>
    </xf>
    <xf numFmtId="0" fontId="58" fillId="0" borderId="0" xfId="0" applyFont="1"/>
    <xf numFmtId="10" fontId="58" fillId="0" borderId="0" xfId="2" applyNumberFormat="1" applyFo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58" fillId="0" borderId="1" xfId="0" applyFont="1" applyBorder="1" applyAlignment="1">
      <alignment horizontal="left"/>
    </xf>
    <xf numFmtId="14" fontId="58" fillId="0" borderId="1" xfId="0" applyNumberFormat="1" applyFont="1" applyBorder="1" applyAlignment="1">
      <alignment horizontal="center"/>
    </xf>
    <xf numFmtId="172" fontId="58" fillId="0" borderId="1" xfId="0" applyNumberFormat="1" applyFont="1" applyBorder="1" applyAlignment="1">
      <alignment horizontal="center" vertical="center"/>
    </xf>
    <xf numFmtId="0" fontId="61" fillId="0" borderId="1" xfId="5" applyFont="1" applyBorder="1"/>
    <xf numFmtId="0" fontId="58" fillId="0" borderId="1" xfId="0" applyFont="1" applyBorder="1" applyAlignment="1">
      <alignment horizontal="left" wrapText="1"/>
    </xf>
    <xf numFmtId="0" fontId="61" fillId="0" borderId="1" xfId="0" applyFont="1" applyBorder="1"/>
    <xf numFmtId="172" fontId="62" fillId="0" borderId="1" xfId="0" applyNumberFormat="1" applyFont="1" applyBorder="1" applyAlignment="1">
      <alignment horizontal="center" vertical="center"/>
    </xf>
    <xf numFmtId="0" fontId="62" fillId="0" borderId="1" xfId="0" applyFont="1" applyBorder="1" applyAlignment="1">
      <alignment horizontal="left"/>
    </xf>
    <xf numFmtId="0" fontId="62" fillId="0" borderId="1" xfId="5" applyFont="1" applyBorder="1"/>
    <xf numFmtId="14" fontId="62" fillId="0" borderId="1" xfId="0" applyNumberFormat="1" applyFont="1" applyBorder="1" applyAlignment="1">
      <alignment horizontal="center"/>
    </xf>
    <xf numFmtId="0" fontId="62" fillId="0" borderId="1" xfId="0" applyFont="1" applyBorder="1"/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64" fillId="0" borderId="0" xfId="0" applyFont="1"/>
    <xf numFmtId="0" fontId="64" fillId="0" borderId="1" xfId="0" applyFont="1" applyBorder="1"/>
    <xf numFmtId="0" fontId="57" fillId="0" borderId="0" xfId="0" applyFont="1" applyAlignment="1">
      <alignment horizontal="center"/>
    </xf>
    <xf numFmtId="14" fontId="57" fillId="0" borderId="1" xfId="0" applyNumberFormat="1" applyFont="1" applyBorder="1" applyAlignment="1">
      <alignment horizontal="center"/>
    </xf>
    <xf numFmtId="0" fontId="57" fillId="0" borderId="1" xfId="0" applyFont="1" applyBorder="1"/>
    <xf numFmtId="0" fontId="65" fillId="0" borderId="1" xfId="0" applyFont="1" applyBorder="1"/>
    <xf numFmtId="0" fontId="39" fillId="3" borderId="1" xfId="0" applyFont="1" applyFill="1" applyBorder="1"/>
    <xf numFmtId="17" fontId="39" fillId="3" borderId="1" xfId="0" applyNumberFormat="1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Border="1" applyAlignment="1">
      <alignment horizontal="center"/>
    </xf>
    <xf numFmtId="0" fontId="40" fillId="21" borderId="1" xfId="0" applyFont="1" applyFill="1" applyBorder="1" applyAlignment="1">
      <alignment horizontal="center"/>
    </xf>
    <xf numFmtId="0" fontId="40" fillId="29" borderId="1" xfId="0" applyFont="1" applyFill="1" applyBorder="1" applyAlignment="1">
      <alignment horizontal="center"/>
    </xf>
    <xf numFmtId="0" fontId="40" fillId="4" borderId="1" xfId="0" applyFont="1" applyFill="1" applyBorder="1" applyAlignment="1">
      <alignment horizontal="center"/>
    </xf>
    <xf numFmtId="0" fontId="40" fillId="22" borderId="1" xfId="0" applyFont="1" applyFill="1" applyBorder="1" applyAlignment="1">
      <alignment horizontal="center"/>
    </xf>
    <xf numFmtId="0" fontId="40" fillId="30" borderId="1" xfId="0" applyFont="1" applyFill="1" applyBorder="1" applyAlignment="1">
      <alignment horizontal="center"/>
    </xf>
    <xf numFmtId="0" fontId="39" fillId="31" borderId="1" xfId="0" applyFont="1" applyFill="1" applyBorder="1" applyAlignment="1">
      <alignment horizontal="center"/>
    </xf>
    <xf numFmtId="0" fontId="40" fillId="32" borderId="1" xfId="0" applyFont="1" applyFill="1" applyBorder="1" applyAlignment="1">
      <alignment horizontal="center"/>
    </xf>
    <xf numFmtId="0" fontId="40" fillId="33" borderId="1" xfId="0" applyFont="1" applyFill="1" applyBorder="1" applyAlignment="1">
      <alignment horizontal="center"/>
    </xf>
    <xf numFmtId="0" fontId="40" fillId="34" borderId="1" xfId="0" applyFont="1" applyFill="1" applyBorder="1" applyAlignment="1">
      <alignment horizontal="center"/>
    </xf>
    <xf numFmtId="0" fontId="40" fillId="35" borderId="1" xfId="0" applyFont="1" applyFill="1" applyBorder="1" applyAlignment="1">
      <alignment horizontal="center"/>
    </xf>
    <xf numFmtId="0" fontId="39" fillId="4" borderId="1" xfId="0" applyFont="1" applyFill="1" applyBorder="1"/>
    <xf numFmtId="0" fontId="39" fillId="17" borderId="1" xfId="0" applyFont="1" applyFill="1" applyBorder="1"/>
    <xf numFmtId="17" fontId="39" fillId="10" borderId="1" xfId="0" applyNumberFormat="1" applyFont="1" applyFill="1" applyBorder="1" applyAlignment="1">
      <alignment horizontal="center"/>
    </xf>
    <xf numFmtId="0" fontId="39" fillId="21" borderId="1" xfId="0" applyFont="1" applyFill="1" applyBorder="1" applyAlignment="1">
      <alignment horizontal="center"/>
    </xf>
    <xf numFmtId="0" fontId="39" fillId="5" borderId="1" xfId="0" applyFont="1" applyFill="1" applyBorder="1"/>
    <xf numFmtId="0" fontId="39" fillId="7" borderId="1" xfId="0" applyFont="1" applyFill="1" applyBorder="1"/>
    <xf numFmtId="0" fontId="40" fillId="0" borderId="1" xfId="0" applyFont="1" applyBorder="1" applyAlignment="1">
      <alignment vertical="center"/>
    </xf>
    <xf numFmtId="0" fontId="40" fillId="4" borderId="1" xfId="0" applyFont="1" applyFill="1" applyBorder="1" applyAlignment="1">
      <alignment horizontal="center" vertical="center" wrapText="1"/>
    </xf>
    <xf numFmtId="0" fontId="39" fillId="21" borderId="1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/>
    </xf>
    <xf numFmtId="0" fontId="40" fillId="18" borderId="12" xfId="0" applyFont="1" applyFill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14" fontId="40" fillId="0" borderId="0" xfId="0" applyNumberFormat="1" applyFont="1"/>
    <xf numFmtId="0" fontId="66" fillId="0" borderId="0" xfId="0" applyFont="1"/>
    <xf numFmtId="14" fontId="67" fillId="0" borderId="1" xfId="0" applyNumberFormat="1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vertical="center"/>
    </xf>
    <xf numFmtId="0" fontId="69" fillId="0" borderId="1" xfId="0" applyFont="1" applyBorder="1" applyAlignment="1">
      <alignment horizontal="center" vertical="center"/>
    </xf>
    <xf numFmtId="0" fontId="11" fillId="0" borderId="0" xfId="0" applyFont="1"/>
    <xf numFmtId="0" fontId="4" fillId="0" borderId="1" xfId="0" applyFont="1" applyBorder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0" fillId="16" borderId="2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40" fillId="0" borderId="0" xfId="0" applyNumberFormat="1" applyFont="1" applyAlignment="1">
      <alignment horizontal="center" vertical="center"/>
    </xf>
    <xf numFmtId="10" fontId="40" fillId="0" borderId="0" xfId="2" applyNumberFormat="1" applyFont="1" applyAlignment="1">
      <alignment horizontal="center" vertical="center"/>
    </xf>
    <xf numFmtId="164" fontId="40" fillId="0" borderId="0" xfId="2" applyNumberFormat="1" applyFont="1" applyAlignment="1">
      <alignment horizontal="center" vertical="center"/>
    </xf>
    <xf numFmtId="173" fontId="11" fillId="0" borderId="0" xfId="0" applyNumberFormat="1" applyFont="1"/>
    <xf numFmtId="0" fontId="40" fillId="0" borderId="0" xfId="0" applyFont="1" applyAlignment="1">
      <alignment vertical="center" wrapText="1"/>
    </xf>
    <xf numFmtId="0" fontId="39" fillId="41" borderId="1" xfId="0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3" fontId="74" fillId="0" borderId="1" xfId="0" applyNumberFormat="1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5" fillId="0" borderId="0" xfId="0" applyFont="1" applyAlignment="1">
      <alignment horizontal="left" vertical="center"/>
    </xf>
    <xf numFmtId="0" fontId="76" fillId="0" borderId="1" xfId="0" applyFont="1" applyBorder="1" applyAlignment="1">
      <alignment vertical="center" wrapText="1"/>
    </xf>
    <xf numFmtId="0" fontId="77" fillId="0" borderId="1" xfId="0" applyFont="1" applyBorder="1" applyAlignment="1">
      <alignment horizontal="center" vertical="center" wrapText="1"/>
    </xf>
    <xf numFmtId="0" fontId="78" fillId="0" borderId="0" xfId="0" applyFont="1" applyAlignment="1">
      <alignment vertical="center" wrapText="1"/>
    </xf>
    <xf numFmtId="0" fontId="5" fillId="0" borderId="0" xfId="0" applyFont="1" applyAlignment="1">
      <alignment horizontal="right"/>
    </xf>
    <xf numFmtId="0" fontId="52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79" fillId="0" borderId="0" xfId="0" applyFont="1" applyAlignment="1">
      <alignment vertical="center" wrapText="1"/>
    </xf>
    <xf numFmtId="0" fontId="39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vertical="center" wrapText="1"/>
    </xf>
    <xf numFmtId="10" fontId="80" fillId="0" borderId="1" xfId="0" applyNumberFormat="1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 vertical="center" wrapText="1"/>
    </xf>
    <xf numFmtId="0" fontId="81" fillId="0" borderId="0" xfId="0" applyFont="1" applyAlignment="1">
      <alignment vertical="center" wrapText="1"/>
    </xf>
    <xf numFmtId="17" fontId="0" fillId="0" borderId="1" xfId="0" applyNumberFormat="1" applyBorder="1"/>
    <xf numFmtId="165" fontId="5" fillId="0" borderId="1" xfId="2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82" fillId="0" borderId="0" xfId="0" applyFont="1"/>
    <xf numFmtId="17" fontId="82" fillId="0" borderId="0" xfId="0" applyNumberFormat="1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0" fillId="0" borderId="31" xfId="0" applyFont="1" applyBorder="1"/>
    <xf numFmtId="0" fontId="40" fillId="0" borderId="32" xfId="0" applyFont="1" applyBorder="1"/>
    <xf numFmtId="0" fontId="76" fillId="0" borderId="0" xfId="0" applyFont="1"/>
    <xf numFmtId="0" fontId="84" fillId="0" borderId="0" xfId="0" applyFont="1" applyAlignment="1">
      <alignment horizontal="center" vertical="center"/>
    </xf>
    <xf numFmtId="0" fontId="76" fillId="0" borderId="31" xfId="0" applyFont="1" applyBorder="1"/>
    <xf numFmtId="0" fontId="76" fillId="0" borderId="32" xfId="0" applyFont="1" applyBorder="1"/>
    <xf numFmtId="0" fontId="85" fillId="0" borderId="0" xfId="0" applyFont="1"/>
    <xf numFmtId="0" fontId="86" fillId="0" borderId="0" xfId="0" applyFont="1" applyAlignment="1">
      <alignment horizontal="center" vertical="center"/>
    </xf>
    <xf numFmtId="0" fontId="85" fillId="0" borderId="31" xfId="0" applyFont="1" applyBorder="1"/>
    <xf numFmtId="0" fontId="85" fillId="0" borderId="32" xfId="0" applyFont="1" applyBorder="1"/>
    <xf numFmtId="0" fontId="87" fillId="0" borderId="0" xfId="0" applyFont="1"/>
    <xf numFmtId="0" fontId="88" fillId="0" borderId="0" xfId="0" applyFont="1" applyAlignment="1">
      <alignment horizontal="center" vertical="center"/>
    </xf>
    <xf numFmtId="10" fontId="88" fillId="0" borderId="0" xfId="2" applyNumberFormat="1" applyFont="1" applyAlignment="1">
      <alignment horizontal="center" vertical="center"/>
    </xf>
    <xf numFmtId="0" fontId="87" fillId="0" borderId="31" xfId="0" applyFont="1" applyBorder="1"/>
    <xf numFmtId="0" fontId="87" fillId="0" borderId="32" xfId="0" applyFont="1" applyBorder="1"/>
    <xf numFmtId="10" fontId="40" fillId="0" borderId="0" xfId="2" applyNumberFormat="1" applyFont="1" applyFill="1" applyAlignment="1">
      <alignment horizontal="center" vertical="center"/>
    </xf>
    <xf numFmtId="10" fontId="40" fillId="0" borderId="0" xfId="2" applyNumberFormat="1" applyFont="1" applyFill="1"/>
    <xf numFmtId="10" fontId="40" fillId="0" borderId="31" xfId="0" applyNumberFormat="1" applyFont="1" applyBorder="1"/>
    <xf numFmtId="0" fontId="52" fillId="0" borderId="0" xfId="0" applyFont="1" applyAlignment="1">
      <alignment horizontal="center" vertical="center"/>
    </xf>
    <xf numFmtId="4" fontId="40" fillId="0" borderId="0" xfId="0" applyNumberFormat="1" applyFont="1" applyAlignment="1">
      <alignment horizontal="center" vertical="center"/>
    </xf>
    <xf numFmtId="4" fontId="40" fillId="0" borderId="0" xfId="2" applyNumberFormat="1" applyFont="1" applyFill="1"/>
    <xf numFmtId="14" fontId="44" fillId="0" borderId="0" xfId="0" applyNumberFormat="1" applyFont="1" applyAlignment="1">
      <alignment horizontal="center"/>
    </xf>
    <xf numFmtId="0" fontId="57" fillId="3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57" fillId="0" borderId="0" xfId="0" applyFont="1"/>
    <xf numFmtId="14" fontId="57" fillId="0" borderId="0" xfId="0" applyNumberFormat="1" applyFont="1" applyAlignment="1">
      <alignment horizontal="left"/>
    </xf>
    <xf numFmtId="172" fontId="89" fillId="0" borderId="1" xfId="0" applyNumberFormat="1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1" xfId="0" applyFont="1" applyBorder="1" applyAlignment="1">
      <alignment horizontal="left"/>
    </xf>
    <xf numFmtId="172" fontId="62" fillId="0" borderId="1" xfId="0" applyNumberFormat="1" applyFont="1" applyBorder="1" applyAlignment="1">
      <alignment horizontal="center"/>
    </xf>
    <xf numFmtId="1" fontId="62" fillId="0" borderId="1" xfId="0" applyNumberFormat="1" applyFont="1" applyBorder="1" applyAlignment="1">
      <alignment horizontal="center"/>
    </xf>
    <xf numFmtId="14" fontId="58" fillId="0" borderId="0" xfId="0" applyNumberFormat="1" applyFont="1"/>
    <xf numFmtId="14" fontId="58" fillId="0" borderId="0" xfId="0" applyNumberFormat="1" applyFont="1" applyAlignment="1">
      <alignment horizontal="left"/>
    </xf>
    <xf numFmtId="0" fontId="57" fillId="38" borderId="0" xfId="0" applyFont="1" applyFill="1" applyAlignment="1">
      <alignment horizontal="center"/>
    </xf>
    <xf numFmtId="14" fontId="62" fillId="0" borderId="1" xfId="0" applyNumberFormat="1" applyFont="1" applyBorder="1" applyAlignment="1">
      <alignment horizontal="left"/>
    </xf>
    <xf numFmtId="0" fontId="62" fillId="0" borderId="1" xfId="0" applyFont="1" applyBorder="1" applyAlignment="1">
      <alignment horizontal="center"/>
    </xf>
    <xf numFmtId="167" fontId="62" fillId="0" borderId="1" xfId="0" applyNumberFormat="1" applyFont="1" applyBorder="1" applyAlignment="1">
      <alignment horizontal="left" wrapText="1"/>
    </xf>
    <xf numFmtId="174" fontId="58" fillId="0" borderId="1" xfId="0" applyNumberFormat="1" applyFont="1" applyBorder="1" applyAlignment="1">
      <alignment horizontal="center"/>
    </xf>
    <xf numFmtId="0" fontId="3" fillId="43" borderId="27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7" fillId="0" borderId="17" xfId="0" applyFont="1" applyBorder="1" applyAlignment="1">
      <alignment horizontal="center"/>
    </xf>
    <xf numFmtId="0" fontId="58" fillId="0" borderId="1" xfId="0" applyFont="1" applyBorder="1" applyAlignment="1">
      <alignment horizontal="left" vertical="center"/>
    </xf>
    <xf numFmtId="14" fontId="58" fillId="0" borderId="1" xfId="0" applyNumberFormat="1" applyFont="1" applyBorder="1" applyAlignment="1">
      <alignment horizontal="left"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left" vertical="center" wrapText="1"/>
    </xf>
    <xf numFmtId="0" fontId="58" fillId="0" borderId="1" xfId="0" applyFont="1" applyBorder="1" applyAlignment="1">
      <alignment horizontal="left" vertical="center" wrapText="1"/>
    </xf>
    <xf numFmtId="14" fontId="58" fillId="0" borderId="1" xfId="0" applyNumberFormat="1" applyFont="1" applyBorder="1" applyAlignment="1">
      <alignment horizontal="center" vertical="center" wrapText="1"/>
    </xf>
    <xf numFmtId="0" fontId="58" fillId="0" borderId="1" xfId="0" quotePrefix="1" applyFont="1" applyBorder="1" applyAlignment="1">
      <alignment horizontal="left" vertical="center" wrapText="1"/>
    </xf>
    <xf numFmtId="172" fontId="58" fillId="0" borderId="1" xfId="0" applyNumberFormat="1" applyFont="1" applyBorder="1" applyAlignment="1">
      <alignment vertical="center"/>
    </xf>
    <xf numFmtId="172" fontId="58" fillId="0" borderId="0" xfId="0" applyNumberFormat="1" applyFont="1" applyAlignment="1">
      <alignment vertical="center"/>
    </xf>
    <xf numFmtId="0" fontId="61" fillId="0" borderId="0" xfId="5" applyFont="1"/>
    <xf numFmtId="14" fontId="58" fillId="0" borderId="0" xfId="0" applyNumberFormat="1" applyFont="1" applyAlignment="1">
      <alignment horizontal="center"/>
    </xf>
    <xf numFmtId="174" fontId="58" fillId="0" borderId="0" xfId="0" applyNumberFormat="1" applyFont="1"/>
    <xf numFmtId="172" fontId="58" fillId="0" borderId="34" xfId="0" applyNumberFormat="1" applyFont="1" applyBorder="1" applyAlignment="1">
      <alignment vertical="center"/>
    </xf>
    <xf numFmtId="0" fontId="58" fillId="0" borderId="34" xfId="0" applyFont="1" applyBorder="1" applyAlignment="1">
      <alignment vertical="center"/>
    </xf>
    <xf numFmtId="0" fontId="58" fillId="0" borderId="34" xfId="0" applyFont="1" applyBorder="1" applyAlignment="1">
      <alignment horizontal="center" vertical="center"/>
    </xf>
    <xf numFmtId="14" fontId="58" fillId="0" borderId="34" xfId="0" applyNumberFormat="1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34" xfId="0" applyFont="1" applyBorder="1" applyAlignment="1">
      <alignment horizontal="center"/>
    </xf>
    <xf numFmtId="172" fontId="90" fillId="0" borderId="34" xfId="0" applyNumberFormat="1" applyFont="1" applyBorder="1" applyAlignment="1">
      <alignment vertical="center"/>
    </xf>
    <xf numFmtId="0" fontId="90" fillId="0" borderId="34" xfId="0" applyFont="1" applyBorder="1" applyAlignment="1">
      <alignment vertical="center"/>
    </xf>
    <xf numFmtId="0" fontId="90" fillId="0" borderId="34" xfId="0" applyFont="1" applyBorder="1" applyAlignment="1">
      <alignment horizontal="center"/>
    </xf>
    <xf numFmtId="0" fontId="90" fillId="0" borderId="1" xfId="0" applyFont="1" applyBorder="1" applyAlignment="1">
      <alignment horizontal="center"/>
    </xf>
    <xf numFmtId="14" fontId="90" fillId="0" borderId="34" xfId="0" applyNumberFormat="1" applyFont="1" applyBorder="1" applyAlignment="1">
      <alignment horizontal="center" vertical="center"/>
    </xf>
    <xf numFmtId="0" fontId="57" fillId="0" borderId="0" xfId="0" applyFont="1" applyAlignment="1">
      <alignment horizontal="right"/>
    </xf>
    <xf numFmtId="14" fontId="57" fillId="0" borderId="0" xfId="0" applyNumberFormat="1" applyFont="1"/>
    <xf numFmtId="0" fontId="57" fillId="0" borderId="1" xfId="0" applyFont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4" borderId="0" xfId="3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4" fontId="4" fillId="15" borderId="0" xfId="0" applyNumberFormat="1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9" fontId="0" fillId="7" borderId="2" xfId="2" applyFont="1" applyFill="1" applyBorder="1" applyAlignment="1">
      <alignment horizontal="center" vertical="center"/>
    </xf>
    <xf numFmtId="9" fontId="0" fillId="7" borderId="7" xfId="2" applyFont="1" applyFill="1" applyBorder="1" applyAlignment="1">
      <alignment horizontal="center" vertical="center"/>
    </xf>
    <xf numFmtId="9" fontId="0" fillId="7" borderId="4" xfId="2" applyFont="1" applyFill="1" applyBorder="1" applyAlignment="1">
      <alignment horizontal="center" vertical="center"/>
    </xf>
    <xf numFmtId="9" fontId="0" fillId="0" borderId="2" xfId="2" applyFont="1" applyFill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/>
    </xf>
    <xf numFmtId="9" fontId="0" fillId="0" borderId="4" xfId="2" applyFont="1" applyFill="1" applyBorder="1" applyAlignment="1">
      <alignment horizontal="center" vertical="center"/>
    </xf>
    <xf numFmtId="2" fontId="1" fillId="0" borderId="2" xfId="2" applyNumberFormat="1" applyFont="1" applyFill="1" applyBorder="1" applyAlignment="1">
      <alignment horizontal="center" vertical="center"/>
    </xf>
    <xf numFmtId="2" fontId="1" fillId="0" borderId="7" xfId="2" applyNumberFormat="1" applyFont="1" applyFill="1" applyBorder="1" applyAlignment="1">
      <alignment horizontal="center" vertical="center"/>
    </xf>
    <xf numFmtId="2" fontId="1" fillId="0" borderId="4" xfId="2" applyNumberFormat="1" applyFont="1" applyFill="1" applyBorder="1" applyAlignment="1">
      <alignment horizontal="center" vertical="center"/>
    </xf>
    <xf numFmtId="2" fontId="0" fillId="0" borderId="2" xfId="2" applyNumberFormat="1" applyFont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2" fontId="0" fillId="0" borderId="4" xfId="2" applyNumberFormat="1" applyFont="1" applyBorder="1" applyAlignment="1">
      <alignment horizontal="center" vertical="center"/>
    </xf>
    <xf numFmtId="164" fontId="1" fillId="0" borderId="2" xfId="2" applyNumberFormat="1" applyFont="1" applyFill="1" applyBorder="1" applyAlignment="1">
      <alignment horizontal="center" vertical="center"/>
    </xf>
    <xf numFmtId="164" fontId="1" fillId="0" borderId="7" xfId="2" applyNumberFormat="1" applyFont="1" applyFill="1" applyBorder="1" applyAlignment="1">
      <alignment horizontal="center" vertical="center"/>
    </xf>
    <xf numFmtId="164" fontId="1" fillId="0" borderId="4" xfId="2" applyNumberFormat="1" applyFont="1" applyFill="1" applyBorder="1" applyAlignment="1">
      <alignment horizontal="center" vertical="center"/>
    </xf>
    <xf numFmtId="2" fontId="0" fillId="0" borderId="2" xfId="2" applyNumberFormat="1" applyFont="1" applyFill="1" applyBorder="1" applyAlignment="1">
      <alignment horizontal="center" vertical="center"/>
    </xf>
    <xf numFmtId="2" fontId="0" fillId="0" borderId="7" xfId="2" applyNumberFormat="1" applyFont="1" applyFill="1" applyBorder="1" applyAlignment="1">
      <alignment horizontal="center" vertical="center"/>
    </xf>
    <xf numFmtId="2" fontId="0" fillId="0" borderId="4" xfId="2" applyNumberFormat="1" applyFont="1" applyFill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  <xf numFmtId="10" fontId="1" fillId="0" borderId="2" xfId="2" applyNumberFormat="1" applyFont="1" applyFill="1" applyBorder="1" applyAlignment="1">
      <alignment horizontal="center" vertical="center"/>
    </xf>
    <xf numFmtId="10" fontId="1" fillId="0" borderId="7" xfId="2" applyNumberFormat="1" applyFont="1" applyFill="1" applyBorder="1" applyAlignment="1">
      <alignment horizontal="center" vertical="center"/>
    </xf>
    <xf numFmtId="10" fontId="1" fillId="0" borderId="4" xfId="2" applyNumberFormat="1" applyFont="1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2" fillId="0" borderId="7" xfId="2" applyFont="1" applyBorder="1" applyAlignment="1">
      <alignment horizontal="center" vertical="center"/>
    </xf>
    <xf numFmtId="9" fontId="2" fillId="0" borderId="4" xfId="2" applyFont="1" applyBorder="1" applyAlignment="1">
      <alignment horizontal="center" vertical="center"/>
    </xf>
    <xf numFmtId="10" fontId="0" fillId="0" borderId="2" xfId="2" applyNumberFormat="1" applyFont="1" applyFill="1" applyBorder="1" applyAlignment="1">
      <alignment horizontal="center" vertical="center"/>
    </xf>
    <xf numFmtId="10" fontId="0" fillId="0" borderId="7" xfId="2" applyNumberFormat="1" applyFont="1" applyFill="1" applyBorder="1" applyAlignment="1">
      <alignment horizontal="center" vertical="center"/>
    </xf>
    <xf numFmtId="10" fontId="0" fillId="0" borderId="4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0" fontId="0" fillId="0" borderId="2" xfId="2" applyNumberFormat="1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7" xfId="2" applyNumberFormat="1" applyFont="1" applyBorder="1" applyAlignment="1">
      <alignment horizontal="center" vertical="center"/>
    </xf>
    <xf numFmtId="164" fontId="0" fillId="0" borderId="4" xfId="2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166" fontId="34" fillId="0" borderId="1" xfId="0" applyNumberFormat="1" applyFont="1" applyBorder="1" applyAlignment="1">
      <alignment horizontal="left" vertical="center" wrapText="1"/>
    </xf>
    <xf numFmtId="0" fontId="46" fillId="28" borderId="0" xfId="0" applyFont="1" applyFill="1" applyAlignment="1">
      <alignment horizontal="center" vertical="center"/>
    </xf>
    <xf numFmtId="0" fontId="63" fillId="20" borderId="2" xfId="0" applyFont="1" applyFill="1" applyBorder="1" applyAlignment="1">
      <alignment horizontal="center"/>
    </xf>
    <xf numFmtId="0" fontId="63" fillId="20" borderId="7" xfId="0" applyFont="1" applyFill="1" applyBorder="1" applyAlignment="1">
      <alignment horizontal="center"/>
    </xf>
    <xf numFmtId="0" fontId="63" fillId="20" borderId="4" xfId="0" applyFont="1" applyFill="1" applyBorder="1" applyAlignment="1">
      <alignment horizontal="center"/>
    </xf>
    <xf numFmtId="0" fontId="0" fillId="39" borderId="19" xfId="0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39" borderId="23" xfId="0" applyFill="1" applyBorder="1" applyAlignment="1">
      <alignment horizontal="center" vertical="center"/>
    </xf>
    <xf numFmtId="0" fontId="0" fillId="39" borderId="24" xfId="0" applyFill="1" applyBorder="1" applyAlignment="1">
      <alignment horizontal="center" vertical="center"/>
    </xf>
    <xf numFmtId="0" fontId="0" fillId="40" borderId="25" xfId="0" applyFill="1" applyBorder="1" applyAlignment="1">
      <alignment horizontal="center" vertical="center"/>
    </xf>
    <xf numFmtId="0" fontId="0" fillId="40" borderId="26" xfId="0" applyFill="1" applyBorder="1" applyAlignment="1">
      <alignment horizontal="center" vertical="center"/>
    </xf>
    <xf numFmtId="0" fontId="0" fillId="36" borderId="28" xfId="0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173" fontId="3" fillId="42" borderId="29" xfId="0" applyNumberFormat="1" applyFont="1" applyFill="1" applyBorder="1" applyAlignment="1">
      <alignment horizontal="center" vertical="center"/>
    </xf>
    <xf numFmtId="173" fontId="3" fillId="42" borderId="3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3" fontId="3" fillId="0" borderId="29" xfId="0" applyNumberFormat="1" applyFont="1" applyBorder="1" applyAlignment="1">
      <alignment horizontal="center" vertical="center"/>
    </xf>
    <xf numFmtId="173" fontId="3" fillId="0" borderId="30" xfId="0" applyNumberFormat="1" applyFont="1" applyBorder="1" applyAlignment="1">
      <alignment horizontal="center" vertical="center"/>
    </xf>
    <xf numFmtId="0" fontId="70" fillId="36" borderId="0" xfId="0" applyFont="1" applyFill="1" applyAlignment="1">
      <alignment horizontal="center" vertical="center"/>
    </xf>
    <xf numFmtId="0" fontId="72" fillId="37" borderId="13" xfId="0" applyFont="1" applyFill="1" applyBorder="1" applyAlignment="1">
      <alignment horizontal="center" vertical="center"/>
    </xf>
    <xf numFmtId="0" fontId="72" fillId="37" borderId="14" xfId="0" applyFont="1" applyFill="1" applyBorder="1" applyAlignment="1">
      <alignment horizontal="center" vertical="center"/>
    </xf>
    <xf numFmtId="0" fontId="72" fillId="37" borderId="15" xfId="0" applyFont="1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18" xfId="0" applyFill="1" applyBorder="1" applyAlignment="1">
      <alignment horizontal="center" vertical="center"/>
    </xf>
    <xf numFmtId="0" fontId="63" fillId="43" borderId="2" xfId="0" applyFont="1" applyFill="1" applyBorder="1" applyAlignment="1">
      <alignment horizontal="center"/>
    </xf>
    <xf numFmtId="0" fontId="63" fillId="43" borderId="7" xfId="0" applyFont="1" applyFill="1" applyBorder="1" applyAlignment="1">
      <alignment horizontal="center"/>
    </xf>
    <xf numFmtId="0" fontId="63" fillId="43" borderId="4" xfId="0" applyFont="1" applyFill="1" applyBorder="1" applyAlignment="1">
      <alignment horizontal="center"/>
    </xf>
  </cellXfs>
  <cellStyles count="6">
    <cellStyle name="Milliers" xfId="1" builtinId="3"/>
    <cellStyle name="Milliers 2" xfId="4" xr:uid="{31B77255-055D-4F8D-AE99-FA5BEC35B05E}"/>
    <cellStyle name="Normal" xfId="0" builtinId="0"/>
    <cellStyle name="Normal 2" xfId="5" xr:uid="{4F8C0475-5C90-4F32-9D8A-EFEB41F671CA}"/>
    <cellStyle name="Normal 3" xfId="3" xr:uid="{A2C8D64B-0F84-4E9D-B15F-696471372EF5}"/>
    <cellStyle name="Pourcentage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050" b="1"/>
              <a:t>Total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082937898637941E-2"/>
          <c:y val="9.4011751037344396E-2"/>
          <c:w val="0.8971747294338529"/>
          <c:h val="0.67595897095435675"/>
        </c:manualLayout>
      </c:layout>
      <c:lineChart>
        <c:grouping val="standard"/>
        <c:varyColors val="0"/>
        <c:ser>
          <c:idx val="0"/>
          <c:order val="0"/>
          <c:tx>
            <c:strRef>
              <c:f>'DRH headcount'!$A$2</c:f>
              <c:strCache>
                <c:ptCount val="1"/>
                <c:pt idx="0">
                  <c:v>Total headcount</c:v>
                </c:pt>
              </c:strCache>
            </c:strRef>
          </c:tx>
          <c:spPr>
            <a:ln w="28575" cap="rnd">
              <a:solidFill>
                <a:srgbClr val="69B42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69B42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'DRH headcount'!$B$1:$M$1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'DRH headcount'!$B$2:$M$2</c:f>
              <c:numCache>
                <c:formatCode>General</c:formatCode>
                <c:ptCount val="12"/>
                <c:pt idx="0">
                  <c:v>271</c:v>
                </c:pt>
                <c:pt idx="1">
                  <c:v>275</c:v>
                </c:pt>
                <c:pt idx="2">
                  <c:v>281</c:v>
                </c:pt>
                <c:pt idx="3">
                  <c:v>281</c:v>
                </c:pt>
                <c:pt idx="4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6-408C-953E-405BDD20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17008"/>
        <c:axId val="326711168"/>
      </c:lineChart>
      <c:catAx>
        <c:axId val="3276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6711168"/>
        <c:crosses val="autoZero"/>
        <c:auto val="1"/>
        <c:lblAlgn val="ctr"/>
        <c:lblOffset val="100"/>
        <c:noMultiLvlLbl val="0"/>
      </c:catAx>
      <c:valAx>
        <c:axId val="326711168"/>
        <c:scaling>
          <c:orientation val="minMax"/>
          <c:max val="290"/>
          <c:min val="2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76170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fr-FR" sz="1050" b="1"/>
              <a:t>Turnover glissant sur 12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'DRH turnover'!$A$9</c:f>
              <c:strCache>
                <c:ptCount val="1"/>
                <c:pt idx="0">
                  <c:v>Nombre total Entrées</c:v>
                </c:pt>
              </c:strCache>
            </c:strRef>
          </c:tx>
          <c:spPr>
            <a:solidFill>
              <a:srgbClr val="9D9D9C"/>
            </a:solidFill>
            <a:ln>
              <a:solidFill>
                <a:srgbClr val="9D9D9C"/>
              </a:solidFill>
            </a:ln>
            <a:effectLst/>
          </c:spPr>
          <c:invertIfNegative val="0"/>
          <c:cat>
            <c:numRef>
              <c:f>'DRH turnover'!$T$1:$AK$1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'DRH turnover'!$T$9:$AK$9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D-4519-B87A-6CC38E484AC4}"/>
            </c:ext>
          </c:extLst>
        </c:ser>
        <c:ser>
          <c:idx val="2"/>
          <c:order val="2"/>
          <c:tx>
            <c:strRef>
              <c:f>'DRH turnover'!$A$10</c:f>
              <c:strCache>
                <c:ptCount val="1"/>
                <c:pt idx="0">
                  <c:v>Nombre total Sorties</c:v>
                </c:pt>
              </c:strCache>
            </c:strRef>
          </c:tx>
          <c:spPr>
            <a:solidFill>
              <a:srgbClr val="E30613"/>
            </a:solidFill>
            <a:ln>
              <a:solidFill>
                <a:srgbClr val="E30613"/>
              </a:solidFill>
            </a:ln>
            <a:effectLst/>
          </c:spPr>
          <c:invertIfNegative val="0"/>
          <c:cat>
            <c:numRef>
              <c:f>'DRH turnover'!$T$1:$AK$1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'DRH turnover'!$T$10:$AK$10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D-4519-B87A-6CC38E48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6708768"/>
        <c:axId val="310920192"/>
      </c:barChart>
      <c:lineChart>
        <c:grouping val="standard"/>
        <c:varyColors val="0"/>
        <c:ser>
          <c:idx val="0"/>
          <c:order val="0"/>
          <c:tx>
            <c:strRef>
              <c:f>'DRH turnover'!$A$8</c:f>
              <c:strCache>
                <c:ptCount val="1"/>
                <c:pt idx="0">
                  <c:v>Turnover glissant sur 12 mois</c:v>
                </c:pt>
              </c:strCache>
            </c:strRef>
          </c:tx>
          <c:spPr>
            <a:ln w="28575" cap="rnd">
              <a:solidFill>
                <a:srgbClr val="69B42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9B42E"/>
              </a:solidFill>
              <a:ln w="9525">
                <a:solidFill>
                  <a:srgbClr val="69B42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500346517117945E-2"/>
                  <c:y val="-5.1310191225039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1D-4519-B87A-6CC38E484AC4}"/>
                </c:ext>
              </c:extLst>
            </c:dLbl>
            <c:dLbl>
              <c:idx val="1"/>
              <c:layout>
                <c:manualLayout>
                  <c:x val="-4.7500346517117945E-2"/>
                  <c:y val="-4.1981065547759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1D-4519-B87A-6CC38E484AC4}"/>
                </c:ext>
              </c:extLst>
            </c:dLbl>
            <c:dLbl>
              <c:idx val="2"/>
              <c:layout>
                <c:manualLayout>
                  <c:x val="-5.0294484547536648E-2"/>
                  <c:y val="-3.7316502709119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1D-4519-B87A-6CC38E484AC4}"/>
                </c:ext>
              </c:extLst>
            </c:dLbl>
            <c:dLbl>
              <c:idx val="3"/>
              <c:layout>
                <c:manualLayout>
                  <c:x val="-5.0294484547536648E-2"/>
                  <c:y val="-3.26519398704794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1D-4519-B87A-6CC38E484AC4}"/>
                </c:ext>
              </c:extLst>
            </c:dLbl>
            <c:dLbl>
              <c:idx val="4"/>
              <c:layout>
                <c:manualLayout>
                  <c:x val="-5.0294484547536648E-2"/>
                  <c:y val="-3.2651939870479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1D-4519-B87A-6CC38E484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'DRH turnover'!$T$1:$AK$1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'DRH turnover'!$U$8:$AK$8</c:f>
              <c:numCache>
                <c:formatCode>0.00%</c:formatCode>
                <c:ptCount val="12"/>
                <c:pt idx="0">
                  <c:v>6.3200000000000006E-2</c:v>
                </c:pt>
                <c:pt idx="1">
                  <c:v>6.6900000000000001E-2</c:v>
                </c:pt>
                <c:pt idx="2">
                  <c:v>7.4099999999999999E-2</c:v>
                </c:pt>
                <c:pt idx="3">
                  <c:v>7.2499999999999995E-2</c:v>
                </c:pt>
                <c:pt idx="4">
                  <c:v>7.4300000000000005E-2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1D-4519-B87A-6CC38E48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892352"/>
        <c:axId val="310894752"/>
      </c:lineChart>
      <c:dateAx>
        <c:axId val="310892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10894752"/>
        <c:crosses val="autoZero"/>
        <c:auto val="1"/>
        <c:lblOffset val="100"/>
        <c:baseTimeUnit val="months"/>
      </c:dateAx>
      <c:valAx>
        <c:axId val="3108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10892352"/>
        <c:crosses val="autoZero"/>
        <c:crossBetween val="between"/>
      </c:valAx>
      <c:valAx>
        <c:axId val="310920192"/>
        <c:scaling>
          <c:orientation val="minMax"/>
          <c:max val="10"/>
        </c:scaling>
        <c:delete val="0"/>
        <c:axPos val="r"/>
        <c:numFmt formatCode="General" sourceLinked="1"/>
        <c:majorTickMark val="none"/>
        <c:minorTickMark val="none"/>
        <c:tickLblPos val="low"/>
        <c:spPr>
          <a:noFill/>
          <a:ln w="9525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6708768"/>
        <c:crosses val="max"/>
        <c:crossBetween val="between"/>
        <c:majorUnit val="1"/>
        <c:minorUnit val="1"/>
      </c:valAx>
      <c:dateAx>
        <c:axId val="3267087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10920192"/>
        <c:crosses val="autoZero"/>
        <c:auto val="1"/>
        <c:lblOffset val="100"/>
        <c:baseTimeUnit val="months"/>
      </c:dateAx>
      <c:spPr>
        <a:noFill/>
        <a:ln>
          <a:solidFill>
            <a:schemeClr val="bg1">
              <a:lumMod val="75000"/>
            </a:schemeClr>
          </a:solidFill>
        </a:ln>
        <a:effectLst>
          <a:outerShdw dist="50800" dir="5400000" sx="7000" sy="7000" algn="ctr" rotWithShape="0">
            <a:srgbClr val="000000">
              <a:alpha val="43137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100" b="1"/>
              <a:t>Heures supplémentaires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'DRH overtimes'!$A$2</c:f>
              <c:strCache>
                <c:ptCount val="1"/>
                <c:pt idx="0">
                  <c:v>Heures supplémentaires</c:v>
                </c:pt>
              </c:strCache>
            </c:strRef>
          </c:tx>
          <c:spPr>
            <a:ln w="28575" cap="rnd">
              <a:solidFill>
                <a:srgbClr val="69B42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69B42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338610416936927E-2"/>
                  <c:y val="3.4321654861069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8B-4D55-B6B1-719E4518DE26}"/>
                </c:ext>
              </c:extLst>
            </c:dLbl>
            <c:dLbl>
              <c:idx val="1"/>
              <c:layout>
                <c:manualLayout>
                  <c:x val="-0.10253827068632274"/>
                  <c:y val="-5.73800100149914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8B-4D55-B6B1-719E4518DE26}"/>
                </c:ext>
              </c:extLst>
            </c:dLbl>
            <c:dLbl>
              <c:idx val="2"/>
              <c:layout>
                <c:manualLayout>
                  <c:x val="-3.1397185265634897E-2"/>
                  <c:y val="3.676780402449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8B-4D55-B6B1-719E4518DE26}"/>
                </c:ext>
              </c:extLst>
            </c:dLbl>
            <c:dLbl>
              <c:idx val="3"/>
              <c:layout>
                <c:manualLayout>
                  <c:x val="-3.1609195402298854E-2"/>
                  <c:y val="-8.148054021132795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8B-4D55-B6B1-719E4518DE26}"/>
                </c:ext>
              </c:extLst>
            </c:dLbl>
            <c:dLbl>
              <c:idx val="4"/>
              <c:layout>
                <c:manualLayout>
                  <c:x val="-3.448275862068971E-2"/>
                  <c:y val="-3.5555555555555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8B-4D55-B6B1-719E4518DE26}"/>
                </c:ext>
              </c:extLst>
            </c:dLbl>
            <c:dLbl>
              <c:idx val="5"/>
              <c:layout>
                <c:manualLayout>
                  <c:x val="-2.011494252873573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8B-4D55-B6B1-719E4518DE26}"/>
                </c:ext>
              </c:extLst>
            </c:dLbl>
            <c:dLbl>
              <c:idx val="6"/>
              <c:layout>
                <c:manualLayout>
                  <c:x val="-6.0344827586206899E-2"/>
                  <c:y val="-3.555555555555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8B-4D55-B6B1-719E4518D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'DRH overtimes'!$B$1:$M$1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'DRH overtimes'!$B$2:$M$2</c:f>
              <c:numCache>
                <c:formatCode>#,##0.00</c:formatCode>
                <c:ptCount val="12"/>
                <c:pt idx="0">
                  <c:v>1432.36</c:v>
                </c:pt>
                <c:pt idx="1">
                  <c:v>1869.48</c:v>
                </c:pt>
                <c:pt idx="2">
                  <c:v>1011.11</c:v>
                </c:pt>
                <c:pt idx="3">
                  <c:v>1205.7000000000003</c:v>
                </c:pt>
                <c:pt idx="4">
                  <c:v>1818.38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8B-4D55-B6B1-719E4518D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16528"/>
        <c:axId val="327620368"/>
      </c:lineChart>
      <c:catAx>
        <c:axId val="327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7620368"/>
        <c:crosses val="autoZero"/>
        <c:auto val="1"/>
        <c:lblAlgn val="ctr"/>
        <c:lblOffset val="100"/>
        <c:noMultiLvlLbl val="0"/>
      </c:catAx>
      <c:valAx>
        <c:axId val="3276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76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508000</xdr:colOff>
      <xdr:row>2</xdr:row>
      <xdr:rowOff>73899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4BA37111-2E9F-4974-B549-EC980EE69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"/>
          <a:ext cx="508000" cy="424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38100</xdr:rowOff>
    </xdr:from>
    <xdr:to>
      <xdr:col>3</xdr:col>
      <xdr:colOff>218440</xdr:colOff>
      <xdr:row>2</xdr:row>
      <xdr:rowOff>104379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DE4C03BF-23B4-4D6C-92C8-4CF6F115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060" y="38100"/>
          <a:ext cx="508000" cy="424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68580</xdr:rowOff>
    </xdr:from>
    <xdr:to>
      <xdr:col>1</xdr:col>
      <xdr:colOff>563880</xdr:colOff>
      <xdr:row>3</xdr:row>
      <xdr:rowOff>144780</xdr:rowOff>
    </xdr:to>
    <xdr:pic>
      <xdr:nvPicPr>
        <xdr:cNvPr id="2" name="Image 1866195898" descr="logo Ravinala">
          <a:extLst>
            <a:ext uri="{FF2B5EF4-FFF2-40B4-BE49-F238E27FC236}">
              <a16:creationId xmlns:a16="http://schemas.microsoft.com/office/drawing/2014/main" id="{F49DCB4B-38CA-42E7-9309-319F8083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68580"/>
          <a:ext cx="74676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42334</xdr:rowOff>
    </xdr:from>
    <xdr:to>
      <xdr:col>1</xdr:col>
      <xdr:colOff>584200</xdr:colOff>
      <xdr:row>2</xdr:row>
      <xdr:rowOff>102686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978DDD7C-963A-4FEE-8A7C-5FE5120FE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" y="42334"/>
          <a:ext cx="508000" cy="418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742950</xdr:colOff>
      <xdr:row>3</xdr:row>
      <xdr:rowOff>61913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FE90B74-A7AE-4A80-B716-91A264D02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0"/>
          <a:ext cx="742950" cy="610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174173</xdr:colOff>
      <xdr:row>0</xdr:row>
      <xdr:rowOff>152399</xdr:rowOff>
    </xdr:from>
    <xdr:to>
      <xdr:col>3</xdr:col>
      <xdr:colOff>736821</xdr:colOff>
      <xdr:row>11</xdr:row>
      <xdr:rowOff>158931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BA1905-3930-45B7-B230-7663DC39A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63" y="152399"/>
          <a:ext cx="2917228" cy="23611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</xdr:row>
      <xdr:rowOff>53339</xdr:rowOff>
    </xdr:from>
    <xdr:to>
      <xdr:col>9</xdr:col>
      <xdr:colOff>385481</xdr:colOff>
      <xdr:row>24</xdr:row>
      <xdr:rowOff>53788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F55A66-170F-41F8-BBF7-60290C4E3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1959804</xdr:colOff>
      <xdr:row>12</xdr:row>
      <xdr:rowOff>22225</xdr:rowOff>
    </xdr:from>
    <xdr:to>
      <xdr:col>35</xdr:col>
      <xdr:colOff>241788</xdr:colOff>
      <xdr:row>27</xdr:row>
      <xdr:rowOff>63425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4CC8FD-523E-4101-A8D7-BB10EFB1B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</xdr:colOff>
      <xdr:row>3</xdr:row>
      <xdr:rowOff>19050</xdr:rowOff>
    </xdr:from>
    <xdr:to>
      <xdr:col>9</xdr:col>
      <xdr:colOff>506729</xdr:colOff>
      <xdr:row>20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9FA431-666C-4369-B579-B7BD87724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508000</xdr:colOff>
      <xdr:row>3</xdr:row>
      <xdr:rowOff>60352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5FF661EF-0004-4823-ABD0-39E879E2C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"/>
          <a:ext cx="508000" cy="418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118533</xdr:rowOff>
    </xdr:from>
    <xdr:to>
      <xdr:col>0</xdr:col>
      <xdr:colOff>736600</xdr:colOff>
      <xdr:row>2</xdr:row>
      <xdr:rowOff>170419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1ACD3869-B85F-4A3B-93ED-DBD6C9A95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8533"/>
          <a:ext cx="508000" cy="417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mun%20payroll\datausers\RESHUM\ADMINISTRATION%20ET%20PAIE\HERI\CALCUL%20INDEMNITE%20DE%20PREAV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2334~1.MUN\AppData\Local\Temp\Rar$DIa0.308\RAVI-1605-SPONSOR%20CaseMaster%20v49.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mun%20payroll\C.F.D.T\Pratique\Calendrier%20perp&#233;tue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DRH\3%20-%20BILAN%20SOCIAL\BILAN%20SOCIAL%202025\RHS-ENR-062_BILAN%20SOCIAL%202025.xlsx" TargetMode="External"/><Relationship Id="rId1" Type="http://schemas.openxmlformats.org/officeDocument/2006/relationships/externalLinkPath" Target="file:///R:\DRH\3%20-%20BILAN%20SOCIAL\BILAN%20SOCIAL%202025\RHS-ENR-062_BILAN%20SOCIAL%202025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REGISTRE%20ET%20BILAN%20RH%20-%20BILAN%20PAIE\LISTE%20DU%20PERSONNEL\2024\RHS-LST-009%20LISTE%20DES%20EMPLOYES%20-%20RAVINALA%20AIRPORTS%2020241202.xlsx" TargetMode="External"/><Relationship Id="rId1" Type="http://schemas.openxmlformats.org/officeDocument/2006/relationships/externalLinkPath" Target="file:///R:\REGISTRE%20ET%20BILAN%20RH%20-%20BILAN%20PAIE\LISTE%20DU%20PERSONNEL\2024\RHS-LST-009%20LISTE%20DES%20EMPLOYES%20-%20RAVINALA%20AIRPORTS%2020241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ALCUL PREAVIS"/>
      <sheetName val="BASE"/>
      <sheetName val="BASE (2)"/>
      <sheetName val="CALCUL COMPLEXE"/>
      <sheetName val="DATE(ANNEE();MOIS();JOUR()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"/>
      <sheetName val="Guide"/>
      <sheetName val="Form Prev"/>
      <sheetName val="List of Terms"/>
      <sheetName val="Log"/>
      <sheetName val="Summary"/>
      <sheetName val="Calibration"/>
      <sheetName val="Hyp"/>
      <sheetName val="Inputs Monthly"/>
      <sheetName val="Inputs Quart"/>
      <sheetName val="Sensitivities"/>
      <sheetName val="O&amp;M BP TNR"/>
      <sheetName val="O&amp;M BP NOS"/>
      <sheetName val="BP_Fx"/>
      <sheetName val="Calc  Monthly"/>
      <sheetName val="Calc  Quart"/>
      <sheetName val="FinStat kMGA"/>
      <sheetName val="FinStat EUR"/>
      <sheetName val="FinStat_Annual kMGA"/>
      <sheetName val="FinStat_Annual EUR"/>
      <sheetName val="Graph_Data"/>
      <sheetName val="Graphs"/>
      <sheetName val="For memo"/>
      <sheetName val="Capex-O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F14" t="str">
            <v>kMGA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  <sheetName val="Fériés"/>
      <sheetName val="Feuil2"/>
    </sheetNames>
    <sheetDataSet>
      <sheetData sheetId="0" refreshError="1"/>
      <sheetData sheetId="1">
        <row r="2">
          <cell r="C2">
            <v>37622</v>
          </cell>
        </row>
        <row r="3">
          <cell r="C3">
            <v>37731</v>
          </cell>
        </row>
        <row r="4">
          <cell r="C4">
            <v>37732</v>
          </cell>
        </row>
        <row r="5">
          <cell r="C5">
            <v>37742</v>
          </cell>
        </row>
        <row r="6">
          <cell r="C6">
            <v>37749</v>
          </cell>
        </row>
        <row r="7">
          <cell r="C7">
            <v>37770</v>
          </cell>
        </row>
        <row r="8">
          <cell r="C8">
            <v>37780</v>
          </cell>
        </row>
        <row r="9">
          <cell r="C9">
            <v>37781</v>
          </cell>
        </row>
        <row r="10">
          <cell r="C10">
            <v>37816</v>
          </cell>
        </row>
        <row r="11">
          <cell r="C11">
            <v>37848</v>
          </cell>
        </row>
        <row r="12">
          <cell r="C12">
            <v>37926</v>
          </cell>
        </row>
        <row r="13">
          <cell r="C13">
            <v>37936</v>
          </cell>
        </row>
        <row r="14">
          <cell r="C14">
            <v>37980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SOCIAL 2025"/>
      <sheetName val="Récapitulatif"/>
      <sheetName val="Liste des notes et politiques"/>
      <sheetName val="Hospitalisation et maladie"/>
      <sheetName val="Permissions exceptionnelles"/>
      <sheetName val="Effectifs"/>
      <sheetName val="Départs"/>
      <sheetName val="Stagiaires"/>
      <sheetName val="Sanctions"/>
      <sheetName val="Promotion"/>
      <sheetName val="Mutation_Changement de poste"/>
    </sheetNames>
    <sheetDataSet>
      <sheetData sheetId="0">
        <row r="6">
          <cell r="E6">
            <v>45821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2"/>
      <sheetName val="Feuil3"/>
      <sheetName val="Liste des employés"/>
      <sheetName val="LTA"/>
      <sheetName val="Eff et répartition au 20230405"/>
      <sheetName val="sponsor 2"/>
      <sheetName val="Feuil1"/>
    </sheetNames>
    <sheetDataSet>
      <sheetData sheetId="0"/>
      <sheetData sheetId="1"/>
      <sheetData sheetId="2">
        <row r="2">
          <cell r="C2" t="str">
            <v xml:space="preserve">LISTE DES EMPLOYES </v>
          </cell>
        </row>
        <row r="4">
          <cell r="A4">
            <v>275</v>
          </cell>
          <cell r="G4" t="str">
            <v xml:space="preserve">Mise à jour : </v>
          </cell>
        </row>
        <row r="6">
          <cell r="A6" t="str">
            <v>MAT</v>
          </cell>
          <cell r="B6" t="str">
            <v>NOM</v>
          </cell>
          <cell r="C6" t="str">
            <v>PRENOMS</v>
          </cell>
          <cell r="G6" t="str">
            <v>FONCTION</v>
          </cell>
        </row>
        <row r="7">
          <cell r="A7">
            <v>4</v>
          </cell>
          <cell r="B7" t="str">
            <v>RAFIDIARISOA</v>
          </cell>
          <cell r="C7" t="str">
            <v>Bodomalala</v>
          </cell>
          <cell r="G7" t="str">
            <v>Juriste Junior</v>
          </cell>
        </row>
        <row r="8">
          <cell r="A8">
            <v>5</v>
          </cell>
          <cell r="B8" t="str">
            <v>ANDRIAMPARANY</v>
          </cell>
          <cell r="C8" t="str">
            <v>Fenitra Nomena</v>
          </cell>
          <cell r="G8" t="str">
            <v>Cheffe de Département Qualité et Gestion des Risques</v>
          </cell>
        </row>
        <row r="9">
          <cell r="A9">
            <v>6</v>
          </cell>
          <cell r="B9" t="str">
            <v>RAKOTOZAFY</v>
          </cell>
          <cell r="C9" t="str">
            <v>Mamy Lala</v>
          </cell>
          <cell r="G9" t="str">
            <v>Assistante de Direction</v>
          </cell>
        </row>
        <row r="10">
          <cell r="A10">
            <v>10</v>
          </cell>
          <cell r="B10" t="str">
            <v>RAZANAKOLONA</v>
          </cell>
          <cell r="C10" t="str">
            <v>Nadya Mamitiana</v>
          </cell>
          <cell r="G10" t="str">
            <v>Assistante Technique</v>
          </cell>
        </row>
        <row r="11">
          <cell r="A11">
            <v>11</v>
          </cell>
          <cell r="B11" t="str">
            <v>RALAIARIMANANA</v>
          </cell>
          <cell r="C11" t="str">
            <v>Haingotiana</v>
          </cell>
          <cell r="G11" t="str">
            <v>Attachée de Direction</v>
          </cell>
        </row>
        <row r="12">
          <cell r="A12">
            <v>12</v>
          </cell>
          <cell r="B12" t="str">
            <v>RAMANOELINA</v>
          </cell>
          <cell r="C12" t="str">
            <v>Naly Nantenaina</v>
          </cell>
          <cell r="G12" t="str">
            <v>Chef de Service Electricité et Mécanique</v>
          </cell>
        </row>
        <row r="13">
          <cell r="A13">
            <v>16</v>
          </cell>
          <cell r="B13" t="str">
            <v>RAHARIMANANTSOA</v>
          </cell>
          <cell r="C13" t="str">
            <v>Cathia Vololomanana</v>
          </cell>
          <cell r="G13" t="str">
            <v>Comptable Fournisseurs</v>
          </cell>
        </row>
        <row r="14">
          <cell r="A14">
            <v>18</v>
          </cell>
          <cell r="B14" t="str">
            <v>RABIAZAMAHOLY</v>
          </cell>
          <cell r="C14" t="str">
            <v>Fanja Lalaina</v>
          </cell>
          <cell r="G14" t="str">
            <v>Coordinatrice Terminal AOCC</v>
          </cell>
        </row>
        <row r="15">
          <cell r="A15">
            <v>23</v>
          </cell>
          <cell r="B15" t="str">
            <v>RAZAFIMALALA</v>
          </cell>
          <cell r="C15" t="str">
            <v>Marie Jeanne J.</v>
          </cell>
          <cell r="G15" t="str">
            <v>Technicienne de Surface</v>
          </cell>
        </row>
        <row r="16">
          <cell r="A16">
            <v>24</v>
          </cell>
          <cell r="B16" t="str">
            <v>BAKOMALALA</v>
          </cell>
          <cell r="C16" t="str">
            <v>Hanitriniaina Rajao.</v>
          </cell>
          <cell r="G16" t="str">
            <v>Assistante Comptable</v>
          </cell>
        </row>
        <row r="17">
          <cell r="A17">
            <v>33</v>
          </cell>
          <cell r="B17" t="str">
            <v>VOLAMARY</v>
          </cell>
          <cell r="C17" t="str">
            <v>Odette</v>
          </cell>
          <cell r="G17" t="str">
            <v>Agent Polyvalent</v>
          </cell>
        </row>
        <row r="18">
          <cell r="A18">
            <v>34</v>
          </cell>
          <cell r="B18" t="str">
            <v>RANDRIAMBOAVONJY</v>
          </cell>
          <cell r="C18" t="str">
            <v>Jean Richard</v>
          </cell>
          <cell r="G18" t="str">
            <v>Agent d'entretien</v>
          </cell>
        </row>
        <row r="19">
          <cell r="A19">
            <v>36</v>
          </cell>
          <cell r="B19" t="str">
            <v>RAZALINE</v>
          </cell>
          <cell r="C19"/>
          <cell r="G19" t="str">
            <v>Responsable d'Exploitation de Permanence</v>
          </cell>
        </row>
        <row r="20">
          <cell r="A20">
            <v>37</v>
          </cell>
          <cell r="B20" t="str">
            <v>RAZANAMANDIMBISOA</v>
          </cell>
          <cell r="C20" t="str">
            <v>Andriananja</v>
          </cell>
          <cell r="G20" t="str">
            <v>Agent Caisse</v>
          </cell>
        </row>
        <row r="21">
          <cell r="A21">
            <v>39</v>
          </cell>
          <cell r="B21" t="str">
            <v>ANDRIATIANA</v>
          </cell>
          <cell r="C21" t="str">
            <v>Abel</v>
          </cell>
          <cell r="G21" t="str">
            <v>Superviseur Maintenance AOCC</v>
          </cell>
        </row>
        <row r="22">
          <cell r="A22">
            <v>41</v>
          </cell>
          <cell r="B22" t="str">
            <v>RAKOTONDRABE</v>
          </cell>
          <cell r="C22" t="str">
            <v>Desire</v>
          </cell>
          <cell r="G22" t="str">
            <v>Conducteur de balayeuse</v>
          </cell>
        </row>
        <row r="23">
          <cell r="A23">
            <v>46</v>
          </cell>
          <cell r="B23" t="str">
            <v>RAKOTOVELO</v>
          </cell>
          <cell r="C23" t="str">
            <v>Charles</v>
          </cell>
          <cell r="G23" t="str">
            <v>Cureur</v>
          </cell>
        </row>
        <row r="24">
          <cell r="A24">
            <v>49</v>
          </cell>
          <cell r="B24" t="str">
            <v>RAKOTOMANANA</v>
          </cell>
          <cell r="C24" t="str">
            <v>Pierre</v>
          </cell>
          <cell r="G24" t="str">
            <v>Agent Caisse</v>
          </cell>
        </row>
        <row r="25">
          <cell r="A25">
            <v>52</v>
          </cell>
          <cell r="B25" t="str">
            <v>RABARIJAONA</v>
          </cell>
          <cell r="C25" t="str">
            <v>Mamitiana</v>
          </cell>
          <cell r="G25" t="str">
            <v>Responsable d'Exploitation de Permanence</v>
          </cell>
        </row>
        <row r="26">
          <cell r="A26">
            <v>53</v>
          </cell>
          <cell r="B26" t="str">
            <v>RAVELOSOA</v>
          </cell>
          <cell r="C26" t="str">
            <v>Hanitranjara Rachel</v>
          </cell>
          <cell r="G26" t="str">
            <v>Technicienne de Surface</v>
          </cell>
        </row>
        <row r="27">
          <cell r="A27">
            <v>54</v>
          </cell>
          <cell r="B27" t="str">
            <v>RAKOTOARISOA</v>
          </cell>
          <cell r="C27" t="str">
            <v xml:space="preserve"> Earilala F. Harizo</v>
          </cell>
          <cell r="G27" t="str">
            <v>Contrôleur fret</v>
          </cell>
        </row>
        <row r="28">
          <cell r="A28">
            <v>57</v>
          </cell>
          <cell r="B28" t="str">
            <v>ANDRIANJANAHARY</v>
          </cell>
          <cell r="C28" t="str">
            <v>Honore Jules</v>
          </cell>
          <cell r="G28" t="str">
            <v>Superviseur Qualité</v>
          </cell>
        </row>
        <row r="29">
          <cell r="A29">
            <v>58</v>
          </cell>
          <cell r="B29" t="str">
            <v>BENARSON</v>
          </cell>
          <cell r="C29"/>
          <cell r="G29" t="str">
            <v>Agent Caisse</v>
          </cell>
        </row>
        <row r="30">
          <cell r="A30">
            <v>59</v>
          </cell>
          <cell r="B30" t="str">
            <v>BIRA</v>
          </cell>
          <cell r="C30" t="str">
            <v>Christophe</v>
          </cell>
          <cell r="G30" t="str">
            <v>Agent Polyvalent Exploitation</v>
          </cell>
        </row>
        <row r="31">
          <cell r="A31">
            <v>63</v>
          </cell>
          <cell r="B31" t="str">
            <v>ANDRIANATONISOLO</v>
          </cell>
          <cell r="C31" t="str">
            <v>Ericka Marius</v>
          </cell>
          <cell r="G31" t="str">
            <v>Agent de piste</v>
          </cell>
        </row>
        <row r="32">
          <cell r="A32">
            <v>64</v>
          </cell>
          <cell r="B32" t="str">
            <v>RAHARINAIVO</v>
          </cell>
          <cell r="C32" t="str">
            <v>Alain</v>
          </cell>
          <cell r="G32" t="str">
            <v>Contrôleur fret</v>
          </cell>
        </row>
        <row r="33">
          <cell r="A33">
            <v>65</v>
          </cell>
          <cell r="B33" t="str">
            <v>RANDRIAMAMORY</v>
          </cell>
          <cell r="C33" t="str">
            <v>Henri</v>
          </cell>
          <cell r="G33" t="str">
            <v>Aide Acheteur</v>
          </cell>
        </row>
        <row r="34">
          <cell r="A34">
            <v>67</v>
          </cell>
          <cell r="B34" t="str">
            <v>RAKOTOMAHEFA</v>
          </cell>
          <cell r="C34" t="str">
            <v>Sylvain Mamy Tina</v>
          </cell>
          <cell r="G34" t="str">
            <v>Agent d'entretien</v>
          </cell>
        </row>
        <row r="35">
          <cell r="A35">
            <v>68</v>
          </cell>
          <cell r="B35" t="str">
            <v>RALIJAONA</v>
          </cell>
          <cell r="C35" t="str">
            <v>Jean Francois</v>
          </cell>
          <cell r="G35" t="str">
            <v>Technicien de Surface</v>
          </cell>
        </row>
        <row r="36">
          <cell r="A36">
            <v>69</v>
          </cell>
          <cell r="B36" t="str">
            <v>RAKOTOARISOA</v>
          </cell>
          <cell r="C36" t="str">
            <v>Jean Marc</v>
          </cell>
          <cell r="G36" t="str">
            <v>Agent d'entretien</v>
          </cell>
        </row>
        <row r="37">
          <cell r="A37">
            <v>70</v>
          </cell>
          <cell r="B37" t="str">
            <v>RANDRIANARISON</v>
          </cell>
          <cell r="C37" t="str">
            <v>Germain Dieudonne</v>
          </cell>
          <cell r="G37" t="str">
            <v>Agent d'entretien</v>
          </cell>
        </row>
        <row r="38">
          <cell r="A38">
            <v>71</v>
          </cell>
          <cell r="B38" t="str">
            <v>ANDRIATSALAMA</v>
          </cell>
          <cell r="C38" t="str">
            <v>Rasolofoniaina Patri</v>
          </cell>
          <cell r="G38" t="str">
            <v>Agent Caisse</v>
          </cell>
        </row>
        <row r="39">
          <cell r="A39">
            <v>72</v>
          </cell>
          <cell r="B39" t="str">
            <v>RAZANABOLA</v>
          </cell>
          <cell r="C39" t="str">
            <v>Clarisse</v>
          </cell>
          <cell r="G39" t="str">
            <v>Technicienne de Surface</v>
          </cell>
        </row>
        <row r="40">
          <cell r="A40">
            <v>73</v>
          </cell>
          <cell r="B40" t="str">
            <v>RAZANAMAHASOLO</v>
          </cell>
          <cell r="C40" t="str">
            <v>Marie Louisette</v>
          </cell>
          <cell r="G40" t="str">
            <v>Technicienne de Surface</v>
          </cell>
        </row>
        <row r="41">
          <cell r="A41">
            <v>74</v>
          </cell>
          <cell r="B41" t="str">
            <v>SOLIFINY</v>
          </cell>
          <cell r="C41"/>
          <cell r="G41" t="str">
            <v>Technicienne de Surface</v>
          </cell>
        </row>
        <row r="42">
          <cell r="A42">
            <v>75</v>
          </cell>
          <cell r="B42" t="str">
            <v>SOLOMAMY</v>
          </cell>
          <cell r="C42" t="str">
            <v>Yvon Frederson</v>
          </cell>
          <cell r="G42" t="str">
            <v>Conducteur de Passerelle</v>
          </cell>
        </row>
        <row r="43">
          <cell r="A43">
            <v>77</v>
          </cell>
          <cell r="B43" t="str">
            <v>RAKOTONIRINA</v>
          </cell>
          <cell r="C43" t="str">
            <v>Victor</v>
          </cell>
          <cell r="G43" t="str">
            <v>Agent d'entretien</v>
          </cell>
        </row>
        <row r="44">
          <cell r="A44">
            <v>79</v>
          </cell>
          <cell r="B44" t="str">
            <v>RAFANOMEZANTSOA</v>
          </cell>
          <cell r="C44" t="str">
            <v>Lantoniaina</v>
          </cell>
          <cell r="G44" t="str">
            <v>Cureur</v>
          </cell>
        </row>
        <row r="45">
          <cell r="A45">
            <v>80</v>
          </cell>
          <cell r="B45" t="str">
            <v>RANDRIAMIHAJASON</v>
          </cell>
          <cell r="C45" t="str">
            <v>Fidy Herinjak</v>
          </cell>
          <cell r="G45" t="str">
            <v>Magasinier</v>
          </cell>
        </row>
        <row r="46">
          <cell r="A46">
            <v>82</v>
          </cell>
          <cell r="B46" t="str">
            <v>RANDRIANARIFIDY</v>
          </cell>
          <cell r="C46" t="str">
            <v>Jean Bruno</v>
          </cell>
          <cell r="G46" t="str">
            <v>Agent de Maintenance Infrastructure</v>
          </cell>
        </row>
        <row r="47">
          <cell r="A47">
            <v>86</v>
          </cell>
          <cell r="B47" t="str">
            <v>RAZAFINDRALAMBO</v>
          </cell>
          <cell r="C47" t="str">
            <v>Prinsy Andriamparany</v>
          </cell>
          <cell r="G47" t="str">
            <v>Agent Plomberie</v>
          </cell>
        </row>
        <row r="48">
          <cell r="A48">
            <v>87</v>
          </cell>
          <cell r="B48" t="str">
            <v>RALAIKOTONILALA</v>
          </cell>
          <cell r="C48" t="str">
            <v>Franq Brice</v>
          </cell>
          <cell r="G48" t="str">
            <v>Agent Plomberie</v>
          </cell>
        </row>
        <row r="49">
          <cell r="A49">
            <v>88</v>
          </cell>
          <cell r="B49" t="str">
            <v>RAKOTOARIMANANA</v>
          </cell>
          <cell r="C49" t="str">
            <v>Vonjiniaina A</v>
          </cell>
          <cell r="G49" t="str">
            <v>Agent d'entretien</v>
          </cell>
        </row>
        <row r="50">
          <cell r="A50">
            <v>90</v>
          </cell>
          <cell r="B50" t="str">
            <v>ANDRIANANTOANDRO</v>
          </cell>
          <cell r="C50" t="str">
            <v>Hantanirina Dyna</v>
          </cell>
          <cell r="G50" t="str">
            <v>Technicienne de Surface</v>
          </cell>
        </row>
        <row r="51">
          <cell r="A51">
            <v>92</v>
          </cell>
          <cell r="B51" t="str">
            <v>RAMAHANDRISOA</v>
          </cell>
          <cell r="C51" t="str">
            <v>Maminiaina Pasca</v>
          </cell>
          <cell r="G51" t="str">
            <v>Agent Statistique Parking</v>
          </cell>
        </row>
        <row r="52">
          <cell r="A52">
            <v>94</v>
          </cell>
          <cell r="B52" t="str">
            <v>TONGAZARA</v>
          </cell>
          <cell r="C52" t="str">
            <v>Theogene</v>
          </cell>
          <cell r="G52" t="str">
            <v>Agent d'entretien</v>
          </cell>
        </row>
        <row r="53">
          <cell r="A53">
            <v>95</v>
          </cell>
          <cell r="B53" t="str">
            <v>RAZAKAMANANTSOA</v>
          </cell>
          <cell r="C53" t="str">
            <v>Maminiaina</v>
          </cell>
          <cell r="G53" t="str">
            <v>Responsable d'Exploitation de Permanence</v>
          </cell>
        </row>
        <row r="54">
          <cell r="A54">
            <v>96</v>
          </cell>
          <cell r="B54" t="str">
            <v>MAMIZARA</v>
          </cell>
          <cell r="C54" t="str">
            <v>Natacha</v>
          </cell>
          <cell r="G54" t="str">
            <v>Technicienne de Surface</v>
          </cell>
        </row>
        <row r="55">
          <cell r="A55">
            <v>97</v>
          </cell>
          <cell r="B55" t="str">
            <v>JOMA</v>
          </cell>
          <cell r="C55" t="str">
            <v>Phillipine</v>
          </cell>
          <cell r="G55" t="str">
            <v>Technicienne de Surface</v>
          </cell>
        </row>
        <row r="56">
          <cell r="A56">
            <v>98</v>
          </cell>
          <cell r="B56" t="str">
            <v>TOMBO</v>
          </cell>
          <cell r="C56" t="str">
            <v>Laurette</v>
          </cell>
          <cell r="G56" t="str">
            <v>Technicienne de Surface</v>
          </cell>
        </row>
        <row r="57">
          <cell r="A57">
            <v>99</v>
          </cell>
          <cell r="B57" t="str">
            <v>RASOANANTENAINA</v>
          </cell>
          <cell r="C57" t="str">
            <v>Lydia Lucky</v>
          </cell>
          <cell r="G57" t="str">
            <v>Technicienne de Surface</v>
          </cell>
        </row>
        <row r="58">
          <cell r="A58">
            <v>100</v>
          </cell>
          <cell r="B58" t="str">
            <v>RAMILIJAONA</v>
          </cell>
          <cell r="C58" t="str">
            <v>Rabemanantsoa Caroli</v>
          </cell>
          <cell r="G58" t="str">
            <v>Responsable d'Exploitation de Permanence</v>
          </cell>
        </row>
        <row r="59">
          <cell r="A59">
            <v>101</v>
          </cell>
          <cell r="B59" t="str">
            <v>RAZANAMAHEFA</v>
          </cell>
          <cell r="C59" t="str">
            <v>Hanitra Irene</v>
          </cell>
          <cell r="G59" t="str">
            <v>Technicienne de Surface</v>
          </cell>
        </row>
        <row r="60">
          <cell r="A60">
            <v>102</v>
          </cell>
          <cell r="B60" t="str">
            <v>RAKOTOZANDRY</v>
          </cell>
          <cell r="C60" t="str">
            <v>Virginie</v>
          </cell>
          <cell r="G60" t="str">
            <v>Technicienne de Surface</v>
          </cell>
        </row>
        <row r="61">
          <cell r="A61">
            <v>103</v>
          </cell>
          <cell r="B61" t="str">
            <v>RAZAFINDRAKOTO</v>
          </cell>
          <cell r="C61" t="str">
            <v>Jean Jacques</v>
          </cell>
          <cell r="G61" t="str">
            <v>Agent d'entretien</v>
          </cell>
        </row>
        <row r="62">
          <cell r="A62">
            <v>104</v>
          </cell>
          <cell r="B62" t="str">
            <v>RAHARISON</v>
          </cell>
          <cell r="C62" t="str">
            <v>Andriamialisoa Elisa</v>
          </cell>
          <cell r="G62" t="str">
            <v>Agent d'Accueil</v>
          </cell>
        </row>
        <row r="63">
          <cell r="A63">
            <v>106</v>
          </cell>
          <cell r="B63" t="str">
            <v>RAJAONARIVONY</v>
          </cell>
          <cell r="C63" t="str">
            <v>Hina Soaniaina</v>
          </cell>
          <cell r="G63" t="str">
            <v>Agent d'Accueil</v>
          </cell>
        </row>
        <row r="64">
          <cell r="A64">
            <v>108</v>
          </cell>
          <cell r="B64" t="str">
            <v>RANDRIANARIVO</v>
          </cell>
          <cell r="C64" t="str">
            <v>Solo Herinavalon</v>
          </cell>
          <cell r="G64" t="str">
            <v>Chauffeur de Tracteur</v>
          </cell>
        </row>
        <row r="65">
          <cell r="A65">
            <v>109</v>
          </cell>
          <cell r="B65" t="str">
            <v>RASOLOARISON</v>
          </cell>
          <cell r="C65" t="str">
            <v>Pascal</v>
          </cell>
          <cell r="G65" t="str">
            <v>Conducteur de balayeuse</v>
          </cell>
        </row>
        <row r="66">
          <cell r="A66">
            <v>110</v>
          </cell>
          <cell r="B66" t="str">
            <v>MAMPIONONA</v>
          </cell>
          <cell r="C66" t="str">
            <v>N. Tahiriniaina</v>
          </cell>
          <cell r="G66" t="str">
            <v>Assistante  Saisie Statistiques et Facturation</v>
          </cell>
        </row>
        <row r="67">
          <cell r="A67">
            <v>111</v>
          </cell>
          <cell r="B67" t="str">
            <v>RAKOTONANAHARY</v>
          </cell>
          <cell r="C67" t="str">
            <v>Verohanitra J</v>
          </cell>
          <cell r="G67" t="str">
            <v>Technicienne de Surface</v>
          </cell>
        </row>
        <row r="68">
          <cell r="A68">
            <v>112</v>
          </cell>
          <cell r="B68" t="str">
            <v>RAMAHANDRIMBOLATIANA</v>
          </cell>
          <cell r="C68" t="str">
            <v>Olivier</v>
          </cell>
          <cell r="G68" t="str">
            <v>Chauffeur</v>
          </cell>
        </row>
        <row r="69">
          <cell r="A69">
            <v>113</v>
          </cell>
          <cell r="B69" t="str">
            <v>ANDRIANJAFY</v>
          </cell>
          <cell r="C69" t="str">
            <v>Jimmy</v>
          </cell>
          <cell r="G69" t="str">
            <v>Agent d'entretien</v>
          </cell>
        </row>
        <row r="70">
          <cell r="A70">
            <v>114</v>
          </cell>
          <cell r="B70" t="str">
            <v>BERAOLONA</v>
          </cell>
          <cell r="C70" t="str">
            <v>Georges Noel</v>
          </cell>
          <cell r="G70" t="str">
            <v>Agent Caisse</v>
          </cell>
        </row>
        <row r="71">
          <cell r="A71">
            <v>115</v>
          </cell>
          <cell r="B71" t="str">
            <v>RAZAFIMANANTSOA</v>
          </cell>
          <cell r="C71" t="str">
            <v>Njaka A.</v>
          </cell>
          <cell r="G71" t="str">
            <v>Projeteur-métreur</v>
          </cell>
        </row>
        <row r="72">
          <cell r="A72">
            <v>116</v>
          </cell>
          <cell r="B72" t="str">
            <v>RAMANANDRAITSIORY</v>
          </cell>
          <cell r="C72" t="str">
            <v>A. Herijaona</v>
          </cell>
          <cell r="G72" t="str">
            <v>Superviseur Qualité</v>
          </cell>
        </row>
        <row r="73">
          <cell r="A73">
            <v>117</v>
          </cell>
          <cell r="B73" t="str">
            <v>RAJAOHARILALA</v>
          </cell>
          <cell r="C73" t="str">
            <v>T. Marka</v>
          </cell>
          <cell r="G73" t="str">
            <v>Agent Caisse</v>
          </cell>
        </row>
        <row r="74">
          <cell r="A74">
            <v>118</v>
          </cell>
          <cell r="B74" t="str">
            <v>RAVONINJATOVO</v>
          </cell>
          <cell r="C74" t="str">
            <v>Serge Petain</v>
          </cell>
          <cell r="G74" t="str">
            <v>Agent Caisse</v>
          </cell>
        </row>
        <row r="75">
          <cell r="A75">
            <v>119</v>
          </cell>
          <cell r="B75" t="str">
            <v>RATSIMBA</v>
          </cell>
          <cell r="C75" t="str">
            <v>Rantoanina Toavina</v>
          </cell>
          <cell r="G75" t="str">
            <v>Chef de Service Relations Sociales</v>
          </cell>
        </row>
        <row r="76">
          <cell r="A76">
            <v>120</v>
          </cell>
          <cell r="B76" t="str">
            <v>RASOLOFONIAINA</v>
          </cell>
          <cell r="C76" t="str">
            <v>Toetra Andoarinelina</v>
          </cell>
          <cell r="G76" t="str">
            <v>Chef de Quart</v>
          </cell>
        </row>
        <row r="77">
          <cell r="A77">
            <v>121</v>
          </cell>
          <cell r="B77" t="str">
            <v>RAKOTOARIVELO</v>
          </cell>
          <cell r="C77" t="str">
            <v>Volahasina</v>
          </cell>
          <cell r="G77" t="str">
            <v>Conducteur de Passerelle</v>
          </cell>
        </row>
        <row r="78">
          <cell r="A78">
            <v>122</v>
          </cell>
          <cell r="B78" t="str">
            <v>ANDRIANASOLO</v>
          </cell>
          <cell r="C78" t="str">
            <v>Herve Nirina</v>
          </cell>
          <cell r="G78" t="str">
            <v>Conducteur de Passerelle</v>
          </cell>
        </row>
        <row r="79">
          <cell r="A79">
            <v>123</v>
          </cell>
          <cell r="B79" t="str">
            <v>HARIMALALA</v>
          </cell>
          <cell r="C79" t="str">
            <v>Bodo Seheno</v>
          </cell>
          <cell r="G79" t="str">
            <v>Technicienne de Surface</v>
          </cell>
        </row>
        <row r="80">
          <cell r="A80">
            <v>124</v>
          </cell>
          <cell r="B80" t="str">
            <v>LI SUO TSAN</v>
          </cell>
          <cell r="C80" t="str">
            <v>Razanamalala Murie</v>
          </cell>
          <cell r="G80" t="str">
            <v>Secrétaire</v>
          </cell>
        </row>
        <row r="81">
          <cell r="A81">
            <v>125</v>
          </cell>
          <cell r="B81" t="str">
            <v>HARISOA</v>
          </cell>
          <cell r="C81" t="str">
            <v>Nofy</v>
          </cell>
          <cell r="G81" t="str">
            <v>Agent Caisse</v>
          </cell>
        </row>
        <row r="82">
          <cell r="A82">
            <v>127</v>
          </cell>
          <cell r="B82" t="str">
            <v>RAKOTOARISOA</v>
          </cell>
          <cell r="C82" t="str">
            <v>Soloniaina Vero</v>
          </cell>
          <cell r="G82" t="str">
            <v>Technicienne de Surface</v>
          </cell>
        </row>
        <row r="83">
          <cell r="A83">
            <v>128</v>
          </cell>
          <cell r="B83" t="str">
            <v>TSIMAFAITSE</v>
          </cell>
          <cell r="C83" t="str">
            <v>Brunton Jacques</v>
          </cell>
          <cell r="G83" t="str">
            <v>Agent d'entretien</v>
          </cell>
        </row>
        <row r="84">
          <cell r="A84">
            <v>129</v>
          </cell>
          <cell r="B84" t="str">
            <v>RANDRIANARISOA</v>
          </cell>
          <cell r="C84" t="str">
            <v>Maminiaina N.</v>
          </cell>
          <cell r="G84" t="str">
            <v>Agent d'entretien</v>
          </cell>
        </row>
        <row r="85">
          <cell r="A85">
            <v>130</v>
          </cell>
          <cell r="B85" t="str">
            <v>RAZAFIMAZAVA</v>
          </cell>
          <cell r="C85" t="str">
            <v>Christian</v>
          </cell>
          <cell r="G85" t="str">
            <v>Agent d'entretien</v>
          </cell>
        </row>
        <row r="86">
          <cell r="A86">
            <v>131</v>
          </cell>
          <cell r="B86" t="str">
            <v>RANDRIANARIVO</v>
          </cell>
          <cell r="C86" t="str">
            <v>Fernand</v>
          </cell>
          <cell r="G86" t="str">
            <v>Agent d'entretien</v>
          </cell>
        </row>
        <row r="87">
          <cell r="A87">
            <v>132</v>
          </cell>
          <cell r="B87" t="str">
            <v>RAKOTONDRAZAKA</v>
          </cell>
          <cell r="C87" t="str">
            <v>Vero Angeline</v>
          </cell>
          <cell r="G87" t="str">
            <v>Cheffe de Quart</v>
          </cell>
        </row>
        <row r="88">
          <cell r="A88">
            <v>133</v>
          </cell>
          <cell r="B88" t="str">
            <v>ANDRIANALIVOLA</v>
          </cell>
          <cell r="C88" t="str">
            <v>Noro Herimanitra R.</v>
          </cell>
          <cell r="G88" t="str">
            <v>Responsable Landside et Accès</v>
          </cell>
        </row>
        <row r="89">
          <cell r="A89">
            <v>134</v>
          </cell>
          <cell r="B89" t="str">
            <v>RAZAKARIVONY</v>
          </cell>
          <cell r="C89" t="str">
            <v>Luc Gabriel</v>
          </cell>
          <cell r="G89" t="str">
            <v>Agent de piste</v>
          </cell>
        </row>
        <row r="90">
          <cell r="A90">
            <v>135</v>
          </cell>
          <cell r="B90" t="str">
            <v>RAZAFINDRAKOTO</v>
          </cell>
          <cell r="C90" t="str">
            <v>Mamy Harilala F</v>
          </cell>
          <cell r="G90" t="str">
            <v>Agent de piste</v>
          </cell>
        </row>
        <row r="91">
          <cell r="A91">
            <v>136</v>
          </cell>
          <cell r="B91" t="str">
            <v>RABEARISOLO</v>
          </cell>
          <cell r="C91" t="str">
            <v>Rivo Njakatiana</v>
          </cell>
          <cell r="G91" t="str">
            <v>Agent Caisse</v>
          </cell>
        </row>
        <row r="92">
          <cell r="A92">
            <v>138</v>
          </cell>
          <cell r="B92" t="str">
            <v>RAHAJARISOA</v>
          </cell>
          <cell r="C92" t="str">
            <v>Volana</v>
          </cell>
          <cell r="G92" t="str">
            <v>Technicienne de Surface</v>
          </cell>
        </row>
        <row r="93">
          <cell r="A93">
            <v>139</v>
          </cell>
          <cell r="B93" t="str">
            <v>ANDOLALA</v>
          </cell>
          <cell r="C93" t="str">
            <v>Armand</v>
          </cell>
          <cell r="G93" t="str">
            <v>Technicien Electricité</v>
          </cell>
        </row>
        <row r="94">
          <cell r="A94">
            <v>141</v>
          </cell>
          <cell r="B94" t="str">
            <v>RANDRIANALISOA</v>
          </cell>
          <cell r="C94" t="str">
            <v>Haingonirainy</v>
          </cell>
          <cell r="G94" t="str">
            <v>Technicienne de Surface</v>
          </cell>
        </row>
        <row r="95">
          <cell r="A95">
            <v>142</v>
          </cell>
          <cell r="B95" t="str">
            <v>RASOANATOANDRO</v>
          </cell>
          <cell r="C95" t="str">
            <v>Rose Delman</v>
          </cell>
          <cell r="G95" t="str">
            <v>Opératrice d'Incinérateur</v>
          </cell>
        </row>
        <row r="96">
          <cell r="A96">
            <v>143</v>
          </cell>
          <cell r="B96" t="str">
            <v>RAKOTOSON</v>
          </cell>
          <cell r="C96" t="str">
            <v>Odilon Brisquimi</v>
          </cell>
          <cell r="G96" t="str">
            <v>Opérateur d'Incinérateur</v>
          </cell>
        </row>
        <row r="97">
          <cell r="A97">
            <v>144</v>
          </cell>
          <cell r="B97" t="str">
            <v>RAZANAJAFY</v>
          </cell>
          <cell r="C97" t="str">
            <v>Minosoa Veronique</v>
          </cell>
          <cell r="G97" t="str">
            <v>Technicienne de Surface</v>
          </cell>
        </row>
        <row r="98">
          <cell r="A98">
            <v>146</v>
          </cell>
          <cell r="B98" t="str">
            <v>RAFANOMEZANTSOA</v>
          </cell>
          <cell r="C98" t="str">
            <v>Fetranirina Odon</v>
          </cell>
          <cell r="G98" t="str">
            <v>Opérateur d'Incinérateur</v>
          </cell>
        </row>
        <row r="99">
          <cell r="A99">
            <v>147</v>
          </cell>
          <cell r="B99" t="str">
            <v>VOAVY</v>
          </cell>
          <cell r="C99" t="str">
            <v>Robinse</v>
          </cell>
          <cell r="G99" t="str">
            <v>Chauffeur de Tracteur</v>
          </cell>
        </row>
        <row r="100">
          <cell r="A100">
            <v>148</v>
          </cell>
          <cell r="B100" t="str">
            <v>ANDRIAMIHAVANA</v>
          </cell>
          <cell r="C100" t="str">
            <v>Thierry Francisko</v>
          </cell>
          <cell r="G100" t="str">
            <v>Agent d'entretien</v>
          </cell>
        </row>
        <row r="101">
          <cell r="A101">
            <v>150</v>
          </cell>
          <cell r="B101" t="str">
            <v>ZARATOMBO</v>
          </cell>
          <cell r="C101" t="str">
            <v>Francois</v>
          </cell>
          <cell r="G101" t="str">
            <v>Agent de piste</v>
          </cell>
        </row>
        <row r="102">
          <cell r="A102">
            <v>151</v>
          </cell>
          <cell r="B102" t="str">
            <v>RAZAFIMANDIMBY</v>
          </cell>
          <cell r="C102" t="str">
            <v>Closmine Raissa</v>
          </cell>
          <cell r="G102" t="str">
            <v>Technicienne de Surface</v>
          </cell>
        </row>
        <row r="103">
          <cell r="A103">
            <v>152</v>
          </cell>
          <cell r="B103" t="str">
            <v>TOMBOSOA</v>
          </cell>
          <cell r="C103" t="str">
            <v>Floria</v>
          </cell>
          <cell r="G103" t="str">
            <v>Technicienne de Surface</v>
          </cell>
        </row>
        <row r="104">
          <cell r="A104">
            <v>153</v>
          </cell>
          <cell r="B104" t="str">
            <v>SOATOMBO</v>
          </cell>
          <cell r="C104" t="str">
            <v>Bienvenue</v>
          </cell>
          <cell r="G104" t="str">
            <v>Technicienne de Surface</v>
          </cell>
        </row>
        <row r="105">
          <cell r="A105">
            <v>154</v>
          </cell>
          <cell r="B105" t="str">
            <v>RAJAOZARA</v>
          </cell>
          <cell r="C105" t="str">
            <v>Bruno</v>
          </cell>
          <cell r="G105" t="str">
            <v>Agent Caisse</v>
          </cell>
        </row>
        <row r="106">
          <cell r="A106">
            <v>155</v>
          </cell>
          <cell r="B106" t="str">
            <v>MARIARISOA</v>
          </cell>
          <cell r="C106" t="str">
            <v>Mamie</v>
          </cell>
          <cell r="G106" t="str">
            <v>Conductrice de Passerelle</v>
          </cell>
        </row>
        <row r="107">
          <cell r="A107">
            <v>157</v>
          </cell>
          <cell r="B107" t="str">
            <v>JAOTOMBO</v>
          </cell>
          <cell r="C107" t="str">
            <v>Jean Martin</v>
          </cell>
          <cell r="G107" t="str">
            <v>Agent d'entretien</v>
          </cell>
        </row>
        <row r="108">
          <cell r="A108">
            <v>158</v>
          </cell>
          <cell r="B108" t="str">
            <v>RAZAFIMAHATRATRA</v>
          </cell>
          <cell r="C108" t="str">
            <v>Hariniaina Michael</v>
          </cell>
          <cell r="G108" t="str">
            <v>Technicien Electricité</v>
          </cell>
        </row>
        <row r="109">
          <cell r="A109">
            <v>161</v>
          </cell>
          <cell r="B109" t="str">
            <v>RAKOTOARISOA</v>
          </cell>
          <cell r="C109" t="str">
            <v>Sambatra</v>
          </cell>
          <cell r="G109" t="str">
            <v>Responsable Planification et SGS</v>
          </cell>
        </row>
        <row r="110">
          <cell r="A110">
            <v>162</v>
          </cell>
          <cell r="B110" t="str">
            <v>RAHERISOA</v>
          </cell>
          <cell r="C110" t="str">
            <v>Gilbert</v>
          </cell>
          <cell r="G110" t="str">
            <v>Agent Caisse</v>
          </cell>
        </row>
        <row r="111">
          <cell r="A111">
            <v>163</v>
          </cell>
          <cell r="B111" t="str">
            <v>RAJAONARIVELO</v>
          </cell>
          <cell r="C111" t="str">
            <v>Tony Johary</v>
          </cell>
          <cell r="G111" t="str">
            <v>Responsable Programmes et Ressources</v>
          </cell>
        </row>
        <row r="112">
          <cell r="A112">
            <v>164</v>
          </cell>
          <cell r="B112" t="str">
            <v>RAKOTONIRINA</v>
          </cell>
          <cell r="C112" t="str">
            <v>Jean Christian</v>
          </cell>
          <cell r="G112" t="str">
            <v>Magasinier</v>
          </cell>
        </row>
        <row r="113">
          <cell r="A113">
            <v>165</v>
          </cell>
          <cell r="B113" t="str">
            <v>ANDRIANOMENY</v>
          </cell>
          <cell r="C113" t="str">
            <v>Johary Zo</v>
          </cell>
          <cell r="G113" t="str">
            <v>Assistante aux Usagers</v>
          </cell>
        </row>
        <row r="114">
          <cell r="A114">
            <v>166</v>
          </cell>
          <cell r="B114" t="str">
            <v>TSIALA</v>
          </cell>
          <cell r="C114" t="str">
            <v>Ganjah Kennedy</v>
          </cell>
          <cell r="G114" t="str">
            <v>Aide électromécanicen</v>
          </cell>
        </row>
        <row r="115">
          <cell r="A115">
            <v>167</v>
          </cell>
          <cell r="B115" t="str">
            <v>TIARAY</v>
          </cell>
          <cell r="C115" t="str">
            <v>Onja Zoeliniaina</v>
          </cell>
          <cell r="G115" t="str">
            <v>Agent Caisse</v>
          </cell>
        </row>
        <row r="116">
          <cell r="A116">
            <v>169</v>
          </cell>
          <cell r="B116" t="str">
            <v>RAHARISON</v>
          </cell>
          <cell r="C116" t="str">
            <v>A. Tahina</v>
          </cell>
          <cell r="G116" t="str">
            <v>Chef Superviseur Parking</v>
          </cell>
        </row>
        <row r="117">
          <cell r="A117">
            <v>171</v>
          </cell>
          <cell r="B117" t="str">
            <v>ANDRIAMILANTO</v>
          </cell>
          <cell r="C117" t="str">
            <v>Harisolo Francia</v>
          </cell>
          <cell r="G117" t="str">
            <v>Assistante de Direction</v>
          </cell>
        </row>
        <row r="118">
          <cell r="A118">
            <v>173</v>
          </cell>
          <cell r="B118" t="str">
            <v>RANDRIANANDRAINA</v>
          </cell>
          <cell r="C118" t="str">
            <v>Andriantsoa Rianando</v>
          </cell>
          <cell r="G118" t="str">
            <v>Superviseur Maintenance AOCC</v>
          </cell>
        </row>
        <row r="119">
          <cell r="A119">
            <v>174</v>
          </cell>
          <cell r="B119" t="str">
            <v>RAJERISON RASAONA</v>
          </cell>
          <cell r="C119" t="str">
            <v>Andry Lova Tiana</v>
          </cell>
          <cell r="G119" t="str">
            <v>Chef de Département Maintenance Multi-technique</v>
          </cell>
        </row>
        <row r="120">
          <cell r="A120">
            <v>177</v>
          </cell>
          <cell r="B120" t="str">
            <v>RAHANTAMALALA</v>
          </cell>
          <cell r="C120" t="str">
            <v>Seheno Sandrine</v>
          </cell>
          <cell r="G120" t="str">
            <v>Cheffe de Département Communication et Relations Publiques</v>
          </cell>
        </row>
        <row r="121">
          <cell r="A121">
            <v>179</v>
          </cell>
          <cell r="B121" t="str">
            <v>RAVOLOLONIRINA</v>
          </cell>
          <cell r="C121" t="str">
            <v>Johanna Marie</v>
          </cell>
          <cell r="G121" t="str">
            <v>Assistante Administrative et Financière</v>
          </cell>
        </row>
        <row r="122">
          <cell r="A122">
            <v>181</v>
          </cell>
          <cell r="B122" t="str">
            <v>RABESON</v>
          </cell>
          <cell r="C122" t="str">
            <v>Josie</v>
          </cell>
          <cell r="G122" t="str">
            <v>Cheffe de Département Juridique et Compliance</v>
          </cell>
        </row>
        <row r="123">
          <cell r="A123">
            <v>182</v>
          </cell>
          <cell r="B123" t="str">
            <v>RASOLOMANANA</v>
          </cell>
          <cell r="C123" t="str">
            <v>Dealilalaina Sedera</v>
          </cell>
          <cell r="G123" t="str">
            <v>Directrice des Ressources Humaines</v>
          </cell>
        </row>
        <row r="124">
          <cell r="A124">
            <v>183</v>
          </cell>
          <cell r="B124" t="str">
            <v>RAMAROLAHY</v>
          </cell>
          <cell r="C124" t="str">
            <v>Andrianantenaina</v>
          </cell>
          <cell r="G124" t="str">
            <v>Chef de Département Comptabilité et Facturation</v>
          </cell>
        </row>
        <row r="125">
          <cell r="A125">
            <v>186</v>
          </cell>
          <cell r="B125" t="str">
            <v>RAKOTONDRAMANANA</v>
          </cell>
          <cell r="C125" t="str">
            <v>Felana Tatamosoa</v>
          </cell>
          <cell r="G125" t="str">
            <v>Contrôleur Qualité &amp; Contrôleur Interne</v>
          </cell>
        </row>
        <row r="126">
          <cell r="A126">
            <v>190</v>
          </cell>
          <cell r="B126" t="str">
            <v>ANDRIAMIHANTARISOA</v>
          </cell>
          <cell r="C126" t="str">
            <v>Tahiry Harinjaka</v>
          </cell>
          <cell r="G126" t="str">
            <v>Agent de Maintenance Infrastructure</v>
          </cell>
        </row>
        <row r="127">
          <cell r="A127">
            <v>192</v>
          </cell>
          <cell r="B127" t="str">
            <v>RAVOAVITAHINA</v>
          </cell>
          <cell r="C127" t="str">
            <v>Jean Aimé</v>
          </cell>
          <cell r="G127" t="str">
            <v>Technicien Electricité</v>
          </cell>
        </row>
        <row r="128">
          <cell r="A128">
            <v>195</v>
          </cell>
          <cell r="B128" t="str">
            <v>RAKOTONDRAMAZAVA</v>
          </cell>
          <cell r="C128" t="str">
            <v>Voahirana Michou</v>
          </cell>
          <cell r="G128" t="str">
            <v>Contrôleuse de Crédit et Facturation</v>
          </cell>
        </row>
        <row r="129">
          <cell r="A129">
            <v>196</v>
          </cell>
          <cell r="B129" t="str">
            <v>RATELOSON</v>
          </cell>
          <cell r="C129" t="str">
            <v>Aina Sandy</v>
          </cell>
          <cell r="G129" t="str">
            <v>Assistant Saisie Statistiques et Facturation</v>
          </cell>
        </row>
        <row r="130">
          <cell r="A130">
            <v>197</v>
          </cell>
          <cell r="B130" t="str">
            <v>NAMELANATOANDRO</v>
          </cell>
          <cell r="C130" t="str">
            <v>Fetrarinosy Aurélia</v>
          </cell>
          <cell r="G130" t="str">
            <v>Agent d'Accueil</v>
          </cell>
        </row>
        <row r="131">
          <cell r="A131">
            <v>198</v>
          </cell>
          <cell r="B131" t="str">
            <v>RAKOTOMANGA</v>
          </cell>
          <cell r="C131" t="str">
            <v>Meja</v>
          </cell>
          <cell r="G131" t="str">
            <v xml:space="preserve">Coordinateutrice Terminal </v>
          </cell>
        </row>
        <row r="132">
          <cell r="A132">
            <v>199</v>
          </cell>
          <cell r="B132" t="str">
            <v>ANDRIANARISON</v>
          </cell>
          <cell r="C132" t="str">
            <v>Natacha Hariniaina</v>
          </cell>
          <cell r="G132" t="str">
            <v>Responsable d'Exploitation de Permanence</v>
          </cell>
        </row>
        <row r="133">
          <cell r="A133">
            <v>200</v>
          </cell>
          <cell r="B133" t="str">
            <v>RANDRIAMIHARISOA</v>
          </cell>
          <cell r="C133" t="str">
            <v>Solonirina</v>
          </cell>
          <cell r="G133" t="str">
            <v xml:space="preserve">Coordinateutrice Terminal </v>
          </cell>
        </row>
        <row r="134">
          <cell r="A134">
            <v>201</v>
          </cell>
          <cell r="B134" t="str">
            <v>MANDIMBIHARISETRA</v>
          </cell>
          <cell r="C134" t="str">
            <v>Ainimpanana</v>
          </cell>
          <cell r="G134" t="str">
            <v>Agent de piste</v>
          </cell>
        </row>
        <row r="135">
          <cell r="A135">
            <v>202</v>
          </cell>
          <cell r="B135" t="str">
            <v>ANDRIANJAFINIRINA</v>
          </cell>
          <cell r="C135" t="str">
            <v>Mahandry Joël</v>
          </cell>
          <cell r="G135" t="str">
            <v>Responsable d'Exploitation</v>
          </cell>
        </row>
        <row r="136">
          <cell r="A136">
            <v>203</v>
          </cell>
          <cell r="B136" t="str">
            <v>KANDRY</v>
          </cell>
          <cell r="C136" t="str">
            <v>Stéphane</v>
          </cell>
          <cell r="G136" t="str">
            <v>Agent de piste</v>
          </cell>
        </row>
        <row r="137">
          <cell r="A137">
            <v>204</v>
          </cell>
          <cell r="B137" t="str">
            <v>RAJAONARIVELO</v>
          </cell>
          <cell r="C137" t="str">
            <v>Iharimbinintsoa</v>
          </cell>
          <cell r="G137" t="str">
            <v>Superviseur Parking</v>
          </cell>
        </row>
        <row r="138">
          <cell r="A138">
            <v>205</v>
          </cell>
          <cell r="B138" t="str">
            <v>RANDRIANARIVONY</v>
          </cell>
          <cell r="C138" t="str">
            <v>Zo Tokiniaina</v>
          </cell>
          <cell r="G138" t="str">
            <v xml:space="preserve">Coordinateur (trice) Terminal </v>
          </cell>
        </row>
        <row r="139">
          <cell r="A139">
            <v>206</v>
          </cell>
          <cell r="B139" t="str">
            <v>RABETOKOTANY</v>
          </cell>
          <cell r="C139" t="str">
            <v>Ianjanirina</v>
          </cell>
          <cell r="G139" t="str">
            <v>Chargée en Système de Gestion de la Sécurité</v>
          </cell>
        </row>
        <row r="140">
          <cell r="A140">
            <v>207</v>
          </cell>
          <cell r="B140" t="str">
            <v>RAKOTOARIMANANA</v>
          </cell>
          <cell r="C140" t="str">
            <v>Judi Kaël</v>
          </cell>
          <cell r="G140" t="str">
            <v>Superviseur parking</v>
          </cell>
        </row>
        <row r="141">
          <cell r="A141">
            <v>208</v>
          </cell>
          <cell r="B141" t="str">
            <v>RAFANILONIAINA</v>
          </cell>
          <cell r="C141" t="str">
            <v>Fanjanirina</v>
          </cell>
          <cell r="G141" t="str">
            <v>Responsable des Recettes au Comptant</v>
          </cell>
        </row>
        <row r="142">
          <cell r="A142">
            <v>217</v>
          </cell>
          <cell r="B142" t="str">
            <v>RAZAFINDRALAMBO</v>
          </cell>
          <cell r="C142" t="str">
            <v>Andriamanamisata</v>
          </cell>
          <cell r="G142" t="str">
            <v>Responsable Production IT</v>
          </cell>
        </row>
        <row r="143">
          <cell r="A143">
            <v>218</v>
          </cell>
          <cell r="B143" t="str">
            <v>RAZANAHOERA</v>
          </cell>
          <cell r="C143" t="str">
            <v>Tahina Vero Lanto</v>
          </cell>
          <cell r="G143" t="str">
            <v>Technicienne de Surface</v>
          </cell>
        </row>
        <row r="144">
          <cell r="A144">
            <v>219</v>
          </cell>
          <cell r="B144" t="str">
            <v>ANDRIATSIADIANA</v>
          </cell>
          <cell r="C144" t="str">
            <v>Tolojanahary Hobby</v>
          </cell>
          <cell r="G144" t="str">
            <v>Agent Caisse</v>
          </cell>
        </row>
        <row r="145">
          <cell r="A145">
            <v>221</v>
          </cell>
          <cell r="B145" t="str">
            <v>RASOLONIAINA</v>
          </cell>
          <cell r="C145" t="str">
            <v>Litania</v>
          </cell>
          <cell r="G145" t="str">
            <v>Coordinatrice Terminal AOCC</v>
          </cell>
        </row>
        <row r="146">
          <cell r="A146">
            <v>222</v>
          </cell>
          <cell r="B146" t="str">
            <v>RATSIMBAZAFY</v>
          </cell>
          <cell r="C146" t="str">
            <v>Felaniaina Onivololo</v>
          </cell>
          <cell r="G146" t="str">
            <v>Directrice QRSE</v>
          </cell>
        </row>
        <row r="147">
          <cell r="A147">
            <v>224</v>
          </cell>
          <cell r="B147" t="str">
            <v>ANDRIAMIHAJA</v>
          </cell>
          <cell r="C147" t="str">
            <v>Herimalala Naly</v>
          </cell>
          <cell r="G147" t="str">
            <v>Chef Superviseur Contrôle Fret</v>
          </cell>
        </row>
        <row r="148">
          <cell r="A148">
            <v>225</v>
          </cell>
          <cell r="B148" t="str">
            <v>RALISON</v>
          </cell>
          <cell r="C148" t="str">
            <v>Faliniaina Christian</v>
          </cell>
          <cell r="G148" t="str">
            <v>Chef Superviseur Contrôle Fret (Finance)</v>
          </cell>
        </row>
        <row r="149">
          <cell r="A149">
            <v>226</v>
          </cell>
          <cell r="B149" t="str">
            <v>RAZAFIMAHATRATRA</v>
          </cell>
          <cell r="C149" t="str">
            <v>Nirina Marius</v>
          </cell>
          <cell r="G149" t="str">
            <v>Chef de Département Airside</v>
          </cell>
        </row>
        <row r="150">
          <cell r="A150">
            <v>229</v>
          </cell>
          <cell r="B150" t="str">
            <v>RAKOTONDRATSIMBA</v>
          </cell>
          <cell r="C150" t="str">
            <v>Hanitra Nadia</v>
          </cell>
          <cell r="G150" t="str">
            <v>Cheffe de Département Marketing</v>
          </cell>
        </row>
        <row r="151">
          <cell r="A151">
            <v>232</v>
          </cell>
          <cell r="B151" t="str">
            <v>RANDRIANARIVELO</v>
          </cell>
          <cell r="C151" t="str">
            <v>Fanilomanantsoa</v>
          </cell>
          <cell r="G151" t="str">
            <v>Superviseur Maintenance AOCC</v>
          </cell>
        </row>
        <row r="152">
          <cell r="A152">
            <v>233</v>
          </cell>
          <cell r="B152" t="str">
            <v>RASAMOELY</v>
          </cell>
          <cell r="C152" t="str">
            <v>Fanja Miary</v>
          </cell>
          <cell r="G152" t="str">
            <v>Cheffe de Département Terminal</v>
          </cell>
        </row>
        <row r="153">
          <cell r="A153">
            <v>234</v>
          </cell>
          <cell r="B153" t="str">
            <v>ANDRIANTOLOTIANA RAVONIRINA</v>
          </cell>
          <cell r="C153" t="str">
            <v>Herimboahary Dinaris</v>
          </cell>
          <cell r="G153" t="str">
            <v>Chef de Service Statistiques et Facturation</v>
          </cell>
        </row>
        <row r="154">
          <cell r="A154">
            <v>235</v>
          </cell>
          <cell r="B154" t="str">
            <v>HENINTSOA</v>
          </cell>
          <cell r="C154" t="str">
            <v>Nora Christian</v>
          </cell>
          <cell r="G154" t="str">
            <v>Agent Polyvalent Maintenance</v>
          </cell>
        </row>
        <row r="155">
          <cell r="A155">
            <v>236</v>
          </cell>
          <cell r="B155" t="str">
            <v>ANDRIAMASY</v>
          </cell>
          <cell r="C155" t="str">
            <v>Hans Lalaina</v>
          </cell>
          <cell r="G155" t="str">
            <v>Superviseur Parking</v>
          </cell>
        </row>
        <row r="156">
          <cell r="A156">
            <v>240</v>
          </cell>
          <cell r="B156" t="str">
            <v>RAMARIJAONA RABARY</v>
          </cell>
          <cell r="C156" t="str">
            <v>Hasina Jachaziel</v>
          </cell>
          <cell r="G156" t="str">
            <v>Coordinateur Terminal AOCC</v>
          </cell>
        </row>
        <row r="157">
          <cell r="A157">
            <v>241</v>
          </cell>
          <cell r="B157" t="str">
            <v>RANDRIAMIARANTSOA</v>
          </cell>
          <cell r="C157" t="str">
            <v>Haja</v>
          </cell>
          <cell r="G157" t="str">
            <v>Comptable Trésorerie Senior</v>
          </cell>
        </row>
        <row r="158">
          <cell r="A158">
            <v>243</v>
          </cell>
          <cell r="B158" t="str">
            <v>RAHERINOMENA</v>
          </cell>
          <cell r="C158" t="str">
            <v>Noroseheno</v>
          </cell>
          <cell r="G158" t="str">
            <v>Chargée Trésorerie</v>
          </cell>
        </row>
        <row r="159">
          <cell r="A159">
            <v>244</v>
          </cell>
          <cell r="B159" t="str">
            <v>RAVELOJAON</v>
          </cell>
          <cell r="C159" t="str">
            <v>Soanomena Elizah</v>
          </cell>
          <cell r="G159" t="str">
            <v>Responsable RSE</v>
          </cell>
        </row>
        <row r="160">
          <cell r="A160">
            <v>249</v>
          </cell>
          <cell r="B160" t="str">
            <v>ANTILAHY</v>
          </cell>
          <cell r="C160" t="str">
            <v>Jaoravoana Jean</v>
          </cell>
          <cell r="G160" t="str">
            <v>Agent d'entretien</v>
          </cell>
        </row>
        <row r="161">
          <cell r="A161">
            <v>250</v>
          </cell>
          <cell r="B161" t="str">
            <v>SAY</v>
          </cell>
          <cell r="C161" t="str">
            <v>Elysée</v>
          </cell>
          <cell r="G161" t="str">
            <v>Agent de Piste</v>
          </cell>
        </row>
        <row r="162">
          <cell r="A162">
            <v>252</v>
          </cell>
          <cell r="B162" t="str">
            <v>RANDRIAMANANTENA</v>
          </cell>
          <cell r="C162" t="str">
            <v>Herisoa Josianne</v>
          </cell>
          <cell r="G162" t="str">
            <v>Agent d'Accueil</v>
          </cell>
        </row>
        <row r="163">
          <cell r="A163">
            <v>256</v>
          </cell>
          <cell r="B163" t="str">
            <v>RAHAJATAFITASOA</v>
          </cell>
          <cell r="C163" t="str">
            <v>Laingo</v>
          </cell>
          <cell r="G163" t="str">
            <v>Agent d'Accueil</v>
          </cell>
        </row>
        <row r="164">
          <cell r="A164">
            <v>257</v>
          </cell>
          <cell r="B164" t="str">
            <v>RAOILIMANANA</v>
          </cell>
          <cell r="C164" t="str">
            <v>Elinirina</v>
          </cell>
          <cell r="G164" t="str">
            <v>Coordinatrice Terminal AOCC</v>
          </cell>
        </row>
        <row r="165">
          <cell r="A165">
            <v>260</v>
          </cell>
          <cell r="B165" t="str">
            <v>RANARISON</v>
          </cell>
          <cell r="C165" t="str">
            <v>Fanomezantsoa</v>
          </cell>
          <cell r="G165" t="str">
            <v>Agent de Maintenance Infrastructure</v>
          </cell>
        </row>
        <row r="166">
          <cell r="A166">
            <v>261</v>
          </cell>
          <cell r="B166" t="str">
            <v>RAKOTOMAMONJY</v>
          </cell>
          <cell r="C166" t="str">
            <v>Fanomezana Mampionona</v>
          </cell>
          <cell r="G166" t="str">
            <v>Chargée des Activités Immobilières</v>
          </cell>
        </row>
        <row r="167">
          <cell r="A167">
            <v>269</v>
          </cell>
          <cell r="B167" t="str">
            <v>RANDRIAMANAMPISOA</v>
          </cell>
          <cell r="C167" t="str">
            <v>Hariliva Mampionina</v>
          </cell>
          <cell r="G167" t="str">
            <v>Agent de piste</v>
          </cell>
        </row>
        <row r="168">
          <cell r="A168">
            <v>272</v>
          </cell>
          <cell r="B168" t="str">
            <v>ANDRIANASOA</v>
          </cell>
          <cell r="C168" t="str">
            <v>Tojotahina</v>
          </cell>
          <cell r="G168" t="str">
            <v>Responsable électromécanique</v>
          </cell>
        </row>
        <row r="169">
          <cell r="A169">
            <v>274</v>
          </cell>
          <cell r="B169" t="str">
            <v>RAKOTONIRAINY</v>
          </cell>
          <cell r="C169" t="str">
            <v>Rija Masinjaka</v>
          </cell>
          <cell r="G169" t="str">
            <v>Responsable Travaux</v>
          </cell>
        </row>
        <row r="170">
          <cell r="A170">
            <v>275</v>
          </cell>
          <cell r="B170" t="str">
            <v>RANDRIANANTENAINA</v>
          </cell>
          <cell r="C170" t="str">
            <v>Mamy</v>
          </cell>
          <cell r="G170" t="str">
            <v>Comptable Clients</v>
          </cell>
        </row>
        <row r="171">
          <cell r="A171">
            <v>279</v>
          </cell>
          <cell r="B171" t="str">
            <v>RAKOTOARISOA</v>
          </cell>
          <cell r="C171" t="str">
            <v>Mamy Vonjimampianina</v>
          </cell>
          <cell r="G171" t="str">
            <v>Chef de département Infrastructures IT</v>
          </cell>
        </row>
        <row r="172">
          <cell r="A172">
            <v>281</v>
          </cell>
          <cell r="B172" t="str">
            <v>RAZAFINDRABE</v>
          </cell>
          <cell r="C172" t="str">
            <v>Herilala Zo Faniry</v>
          </cell>
          <cell r="G172" t="str">
            <v>Juriste Junior</v>
          </cell>
        </row>
        <row r="173">
          <cell r="A173">
            <v>283</v>
          </cell>
          <cell r="B173" t="str">
            <v>RATSIRAHONANA</v>
          </cell>
          <cell r="C173" t="str">
            <v>Robert</v>
          </cell>
          <cell r="G173" t="str">
            <v>Technicien AOS/IT</v>
          </cell>
        </row>
        <row r="174">
          <cell r="A174">
            <v>284</v>
          </cell>
          <cell r="B174" t="str">
            <v>RAZAFIMAMONJY</v>
          </cell>
          <cell r="C174" t="str">
            <v>Elie Jean Roger</v>
          </cell>
          <cell r="G174" t="str">
            <v>Technicien AOS/IT</v>
          </cell>
        </row>
        <row r="175">
          <cell r="A175">
            <v>285</v>
          </cell>
          <cell r="B175" t="str">
            <v>RALAIARIMALALA</v>
          </cell>
          <cell r="C175" t="str">
            <v>Nathalie Doriane</v>
          </cell>
          <cell r="G175" t="str">
            <v>Responsable Support</v>
          </cell>
        </row>
        <row r="176">
          <cell r="A176">
            <v>288</v>
          </cell>
          <cell r="B176" t="str">
            <v>RAHERIJAONA</v>
          </cell>
          <cell r="C176" t="str">
            <v>Rovaniaina Michelle</v>
          </cell>
          <cell r="G176" t="str">
            <v>Directrice Technique</v>
          </cell>
        </row>
        <row r="177">
          <cell r="A177">
            <v>289</v>
          </cell>
          <cell r="B177" t="str">
            <v>RAJOHNSON</v>
          </cell>
          <cell r="C177" t="str">
            <v>Zoelisoa Lalaina</v>
          </cell>
          <cell r="G177" t="str">
            <v>Directrice Commerciale et Marketing</v>
          </cell>
        </row>
        <row r="178">
          <cell r="A178">
            <v>291</v>
          </cell>
          <cell r="B178" t="str">
            <v>RAKOTOARIMANANA</v>
          </cell>
          <cell r="C178" t="str">
            <v>Andriaparatiana H.</v>
          </cell>
          <cell r="G178" t="str">
            <v>Administrateur Systèmes</v>
          </cell>
        </row>
        <row r="179">
          <cell r="A179">
            <v>292</v>
          </cell>
          <cell r="B179" t="str">
            <v>RATSARASATA</v>
          </cell>
          <cell r="C179" t="str">
            <v>Nina Navalona</v>
          </cell>
          <cell r="G179" t="str">
            <v>Responsable Santé et Sécurité au Travail</v>
          </cell>
        </row>
        <row r="180">
          <cell r="A180">
            <v>293</v>
          </cell>
          <cell r="B180" t="str">
            <v>RAZANAMPARANY</v>
          </cell>
          <cell r="C180" t="str">
            <v>Harisoa Andriantsior</v>
          </cell>
          <cell r="G180" t="str">
            <v>Responsable Communication Opérationnelle</v>
          </cell>
        </row>
        <row r="181">
          <cell r="A181">
            <v>294</v>
          </cell>
          <cell r="B181" t="str">
            <v>MIANDRISOA</v>
          </cell>
          <cell r="C181" t="str">
            <v>Sitraka Christian</v>
          </cell>
          <cell r="G181" t="str">
            <v>Coursier Moto</v>
          </cell>
        </row>
        <row r="182">
          <cell r="A182">
            <v>295</v>
          </cell>
          <cell r="B182" t="str">
            <v>RAKOTOARIMANANA</v>
          </cell>
          <cell r="C182" t="str">
            <v>Maheriarivelo</v>
          </cell>
          <cell r="G182" t="str">
            <v>Coursier Moto</v>
          </cell>
        </row>
        <row r="183">
          <cell r="A183">
            <v>297</v>
          </cell>
          <cell r="B183" t="str">
            <v>RAKOTOZAFY</v>
          </cell>
          <cell r="C183" t="str">
            <v>Minosoa Tatamo</v>
          </cell>
          <cell r="G183" t="str">
            <v>Cheffe de Département des Activités Aéronautiques</v>
          </cell>
        </row>
        <row r="184">
          <cell r="A184">
            <v>298</v>
          </cell>
          <cell r="B184" t="str">
            <v>RAKOTONDRAJOA</v>
          </cell>
          <cell r="C184" t="str">
            <v>Safidy</v>
          </cell>
          <cell r="G184" t="str">
            <v>Chargé d'Etude et Développement Applicatif</v>
          </cell>
        </row>
        <row r="185">
          <cell r="A185">
            <v>299</v>
          </cell>
          <cell r="B185" t="str">
            <v>RAKOTONIRINA</v>
          </cell>
          <cell r="C185" t="str">
            <v>Tovondrainy</v>
          </cell>
          <cell r="G185" t="str">
            <v>Comptable Immobilisation et Taxes</v>
          </cell>
        </row>
        <row r="186">
          <cell r="A186">
            <v>300</v>
          </cell>
          <cell r="B186" t="str">
            <v>RATSIMBAZAFY</v>
          </cell>
          <cell r="C186" t="str">
            <v>Mbonitahina</v>
          </cell>
          <cell r="G186" t="str">
            <v>Chef Superviseur Services Généraux</v>
          </cell>
        </row>
        <row r="187">
          <cell r="A187">
            <v>305</v>
          </cell>
          <cell r="B187" t="str">
            <v>RABENARISON</v>
          </cell>
          <cell r="C187" t="str">
            <v>Rotsy Fanaja</v>
          </cell>
          <cell r="G187" t="str">
            <v>Responsable Data</v>
          </cell>
        </row>
        <row r="188">
          <cell r="A188">
            <v>313</v>
          </cell>
          <cell r="B188" t="str">
            <v>NARIZAFY</v>
          </cell>
          <cell r="C188" t="str">
            <v>Rija Masinisa</v>
          </cell>
          <cell r="G188" t="str">
            <v>Chef de Service CVC et Plomberie</v>
          </cell>
        </row>
        <row r="189">
          <cell r="A189">
            <v>314</v>
          </cell>
          <cell r="B189" t="str">
            <v>RABEHANTA</v>
          </cell>
          <cell r="C189" t="str">
            <v>Hajatiana</v>
          </cell>
          <cell r="G189" t="str">
            <v>Administrateur Réseaux</v>
          </cell>
        </row>
        <row r="190">
          <cell r="A190">
            <v>315</v>
          </cell>
          <cell r="B190" t="str">
            <v>ANDRIANARIMANANA</v>
          </cell>
          <cell r="C190" t="str">
            <v>Henintsoa Fitiavana</v>
          </cell>
          <cell r="G190" t="str">
            <v>Technicien AOS &amp; IT</v>
          </cell>
        </row>
        <row r="191">
          <cell r="A191">
            <v>318</v>
          </cell>
          <cell r="B191" t="str">
            <v>RAKOTOZANANY ANDRIANARISATA</v>
          </cell>
          <cell r="C191" t="str">
            <v>Rindra Clark</v>
          </cell>
          <cell r="G191" t="str">
            <v>Chef de Service Bâtiment et Infrastructures</v>
          </cell>
        </row>
        <row r="192">
          <cell r="A192">
            <v>319</v>
          </cell>
          <cell r="B192" t="str">
            <v>RAKOTOMALALA</v>
          </cell>
          <cell r="C192" t="str">
            <v>Andriantsilavina</v>
          </cell>
          <cell r="G192" t="str">
            <v>Responsable Courants Faibles</v>
          </cell>
        </row>
        <row r="193">
          <cell r="A193">
            <v>322</v>
          </cell>
          <cell r="B193" t="str">
            <v>ANDRIANIAINA</v>
          </cell>
          <cell r="C193" t="str">
            <v>Fandresena Vatosoa</v>
          </cell>
          <cell r="G193" t="str">
            <v>Agent d'Accueil</v>
          </cell>
        </row>
        <row r="194">
          <cell r="A194">
            <v>323</v>
          </cell>
          <cell r="B194" t="str">
            <v>RABEMANANTSOA</v>
          </cell>
          <cell r="C194" t="str">
            <v>Sahaza Manoa</v>
          </cell>
          <cell r="G194" t="str">
            <v>Agent d'Accueil</v>
          </cell>
        </row>
        <row r="195">
          <cell r="A195">
            <v>324</v>
          </cell>
          <cell r="B195" t="str">
            <v>ANDRIANOMENJANAHARY</v>
          </cell>
          <cell r="C195" t="str">
            <v>Nantenaina Mielle</v>
          </cell>
          <cell r="G195" t="str">
            <v>Agent d'Accueil</v>
          </cell>
        </row>
        <row r="196">
          <cell r="A196">
            <v>325</v>
          </cell>
          <cell r="B196" t="str">
            <v>RAKOTOFIRINGA</v>
          </cell>
          <cell r="C196" t="str">
            <v>Famenontsoa Sandra</v>
          </cell>
          <cell r="G196" t="str">
            <v xml:space="preserve">Coordinateur (trice) Terminal </v>
          </cell>
        </row>
        <row r="197">
          <cell r="A197">
            <v>326</v>
          </cell>
          <cell r="B197" t="str">
            <v>SAHALASOA</v>
          </cell>
          <cell r="C197" t="str">
            <v>Rahantamahatsangy</v>
          </cell>
          <cell r="G197" t="str">
            <v>Agent d'Accueil</v>
          </cell>
        </row>
        <row r="198">
          <cell r="A198">
            <v>327</v>
          </cell>
          <cell r="B198" t="str">
            <v>ROSS</v>
          </cell>
          <cell r="C198" t="str">
            <v>Jessica Santatriniai</v>
          </cell>
          <cell r="G198" t="str">
            <v xml:space="preserve">Coordinateur (trice) Terminal </v>
          </cell>
        </row>
        <row r="199">
          <cell r="A199">
            <v>328</v>
          </cell>
          <cell r="B199" t="str">
            <v>MEVA SOLO</v>
          </cell>
          <cell r="C199" t="str">
            <v>Toany</v>
          </cell>
          <cell r="G199" t="str">
            <v>Agent d'Accueil</v>
          </cell>
        </row>
        <row r="200">
          <cell r="A200">
            <v>329</v>
          </cell>
          <cell r="B200" t="str">
            <v>RANJALAHY</v>
          </cell>
          <cell r="C200" t="str">
            <v>Mandimby Harivola</v>
          </cell>
          <cell r="G200" t="str">
            <v>Electromécanicien</v>
          </cell>
        </row>
        <row r="201">
          <cell r="A201">
            <v>330</v>
          </cell>
          <cell r="B201" t="str">
            <v>FIDIMANANTSOA</v>
          </cell>
          <cell r="C201" t="str">
            <v>Lai Linda</v>
          </cell>
          <cell r="G201" t="str">
            <v>Contrôleuse Financière Junior</v>
          </cell>
        </row>
        <row r="202">
          <cell r="A202">
            <v>331</v>
          </cell>
          <cell r="B202" t="str">
            <v>RAZAFINDRAMANITRA</v>
          </cell>
          <cell r="C202" t="str">
            <v>Henintsoa Hariniaina</v>
          </cell>
          <cell r="G202" t="str">
            <v>Superviseur Maintenance AOCC</v>
          </cell>
        </row>
        <row r="203">
          <cell r="A203">
            <v>333</v>
          </cell>
          <cell r="B203" t="str">
            <v>RAJOHNSON</v>
          </cell>
          <cell r="C203" t="str">
            <v>Dina Mickaël</v>
          </cell>
          <cell r="G203" t="str">
            <v>Responsable Contrôle Financier</v>
          </cell>
        </row>
        <row r="204">
          <cell r="A204">
            <v>334</v>
          </cell>
          <cell r="B204" t="str">
            <v>PETIT</v>
          </cell>
          <cell r="C204" t="str">
            <v>Caroline Nelly</v>
          </cell>
          <cell r="G204" t="str">
            <v>Directrice des Opérations</v>
          </cell>
        </row>
        <row r="205">
          <cell r="A205">
            <v>339</v>
          </cell>
          <cell r="B205" t="str">
            <v>RANDRIANIRINA</v>
          </cell>
          <cell r="C205" t="str">
            <v>François Manantsoa</v>
          </cell>
          <cell r="G205" t="str">
            <v>Responsable Paie</v>
          </cell>
        </row>
        <row r="206">
          <cell r="A206">
            <v>340</v>
          </cell>
          <cell r="B206" t="str">
            <v>ANDRIAMORASATA</v>
          </cell>
          <cell r="C206" t="str">
            <v>Ginot Franck</v>
          </cell>
          <cell r="G206" t="str">
            <v>Agent Polyvalent Maintenance</v>
          </cell>
        </row>
        <row r="207">
          <cell r="A207">
            <v>343</v>
          </cell>
          <cell r="B207" t="str">
            <v>TOMBO</v>
          </cell>
          <cell r="C207" t="str">
            <v>Damien Jaquinot</v>
          </cell>
          <cell r="G207" t="str">
            <v>Conducteur d'engins</v>
          </cell>
        </row>
        <row r="208">
          <cell r="A208">
            <v>347</v>
          </cell>
          <cell r="B208" t="str">
            <v>RASAMISON</v>
          </cell>
          <cell r="C208" t="str">
            <v>Haja Minohery</v>
          </cell>
          <cell r="G208" t="str">
            <v>Technicien AOS/IT</v>
          </cell>
        </row>
        <row r="209">
          <cell r="A209">
            <v>348</v>
          </cell>
          <cell r="B209" t="str">
            <v>RAKOTOMANDIMBY</v>
          </cell>
          <cell r="C209" t="str">
            <v>Andrianina Luc</v>
          </cell>
          <cell r="G209" t="str">
            <v>Chef de Département Méthode - Documentation et Suivi sous-traitants</v>
          </cell>
        </row>
        <row r="210">
          <cell r="A210">
            <v>349</v>
          </cell>
          <cell r="B210" t="str">
            <v>TRION</v>
          </cell>
          <cell r="C210" t="str">
            <v>Aina Mahaitia Elia</v>
          </cell>
          <cell r="G210" t="str">
            <v>Technicien AOS/IT</v>
          </cell>
        </row>
        <row r="211">
          <cell r="A211">
            <v>350</v>
          </cell>
          <cell r="B211" t="str">
            <v>ANDRIAMAHOLY</v>
          </cell>
          <cell r="C211" t="str">
            <v>Fanirisoa Narindra</v>
          </cell>
          <cell r="G211" t="str">
            <v>Responsable Etudes</v>
          </cell>
        </row>
        <row r="212">
          <cell r="A212">
            <v>354</v>
          </cell>
          <cell r="B212" t="str">
            <v>RAKOTONDRASOA</v>
          </cell>
          <cell r="C212" t="str">
            <v>Tefiniaina Tahiana</v>
          </cell>
          <cell r="G212" t="str">
            <v>Directeur Juridique et Assurances</v>
          </cell>
        </row>
        <row r="213">
          <cell r="A213">
            <v>356</v>
          </cell>
          <cell r="B213" t="str">
            <v>RAHARIVELO</v>
          </cell>
          <cell r="C213" t="str">
            <v>Mialy</v>
          </cell>
          <cell r="G213" t="str">
            <v>Chargée Facturation Extra Aéroportuaire</v>
          </cell>
        </row>
        <row r="214">
          <cell r="A214">
            <v>358</v>
          </cell>
          <cell r="B214" t="str">
            <v>RASOLOFONDRAMANAMBE</v>
          </cell>
          <cell r="C214" t="str">
            <v>Sedera</v>
          </cell>
          <cell r="G214" t="str">
            <v>Chef de Département Développement RH et Rémunération</v>
          </cell>
        </row>
        <row r="215">
          <cell r="A215">
            <v>359</v>
          </cell>
          <cell r="B215" t="str">
            <v>ANDRIANASOLO</v>
          </cell>
          <cell r="C215" t="str">
            <v>Niaina Hasina</v>
          </cell>
          <cell r="G215" t="str">
            <v>Agent de piste</v>
          </cell>
        </row>
        <row r="216">
          <cell r="A216">
            <v>360</v>
          </cell>
          <cell r="B216" t="str">
            <v>RAMAROJAONA</v>
          </cell>
          <cell r="C216" t="str">
            <v>Sitraka David</v>
          </cell>
          <cell r="G216" t="str">
            <v>Agent de piste</v>
          </cell>
        </row>
        <row r="217">
          <cell r="A217">
            <v>361</v>
          </cell>
          <cell r="B217" t="str">
            <v>RAZAFINDRAKOTO</v>
          </cell>
          <cell r="C217" t="str">
            <v>Maminiaina Elysé</v>
          </cell>
          <cell r="G217" t="str">
            <v>Agent de piste</v>
          </cell>
        </row>
        <row r="218">
          <cell r="A218">
            <v>362</v>
          </cell>
          <cell r="B218" t="str">
            <v>RAVELOMANANTSOA</v>
          </cell>
          <cell r="C218" t="str">
            <v>Mikaela</v>
          </cell>
          <cell r="G218" t="str">
            <v>Technicien AOS/IT</v>
          </cell>
        </row>
        <row r="219">
          <cell r="A219">
            <v>364</v>
          </cell>
          <cell r="B219" t="str">
            <v>RAMAROSON</v>
          </cell>
          <cell r="C219" t="str">
            <v>Andrianina</v>
          </cell>
          <cell r="G219" t="str">
            <v>Assistant Juridique et Assurances</v>
          </cell>
        </row>
        <row r="220">
          <cell r="A220">
            <v>365</v>
          </cell>
          <cell r="B220" t="str">
            <v>NIRIARISON</v>
          </cell>
          <cell r="C220" t="str">
            <v>Mamy Gaël</v>
          </cell>
          <cell r="G220" t="str">
            <v>Responsable de Projets Commercial et Marketing</v>
          </cell>
        </row>
        <row r="221">
          <cell r="A221">
            <v>366</v>
          </cell>
          <cell r="B221" t="str">
            <v>SOLOHERINJATOVO</v>
          </cell>
          <cell r="C221" t="str">
            <v>Menja Joël</v>
          </cell>
          <cell r="G221" t="str">
            <v>Correspondant Qualité et RSE</v>
          </cell>
        </row>
        <row r="222">
          <cell r="A222">
            <v>369</v>
          </cell>
          <cell r="B222" t="str">
            <v>RANDRIANIRINAMIFIDIMANANTSOA</v>
          </cell>
          <cell r="C222" t="str">
            <v>Jean Dieudonné</v>
          </cell>
          <cell r="G222" t="str">
            <v>Conseiller de la Direction Générale - Relations Institutionnelles, Sécurité et Sûreté</v>
          </cell>
        </row>
        <row r="223">
          <cell r="A223">
            <v>370</v>
          </cell>
          <cell r="B223" t="str">
            <v>ANDRIAMANANTENASOA</v>
          </cell>
          <cell r="C223" t="str">
            <v>Nadya</v>
          </cell>
          <cell r="G223" t="str">
            <v>Agent Caisse</v>
          </cell>
        </row>
        <row r="224">
          <cell r="A224">
            <v>371</v>
          </cell>
          <cell r="B224" t="str">
            <v>RAJOELINA</v>
          </cell>
          <cell r="C224" t="str">
            <v>Andry Natolotra</v>
          </cell>
          <cell r="G224" t="str">
            <v>Chef de Département Technique</v>
          </cell>
        </row>
        <row r="225">
          <cell r="A225">
            <v>372</v>
          </cell>
          <cell r="B225" t="str">
            <v>ESSOMBA NDONG</v>
          </cell>
          <cell r="C225" t="str">
            <v>Martial Guy</v>
          </cell>
          <cell r="G225" t="str">
            <v>Ingénieur d'Exploitation Aéroportuaire</v>
          </cell>
        </row>
        <row r="226">
          <cell r="A226">
            <v>373</v>
          </cell>
          <cell r="B226" t="str">
            <v>RAVELOMANANTSOA</v>
          </cell>
          <cell r="C226" t="str">
            <v>Koloina Fiona</v>
          </cell>
          <cell r="G226" t="str">
            <v>Assistante Maintenance</v>
          </cell>
        </row>
        <row r="227">
          <cell r="A227">
            <v>374</v>
          </cell>
          <cell r="B227" t="str">
            <v>RATEFIARIMALALA</v>
          </cell>
          <cell r="C227" t="str">
            <v>Alexandrine Fabricia</v>
          </cell>
          <cell r="G227" t="str">
            <v>Assistante Comptable Fournisseurs</v>
          </cell>
        </row>
        <row r="228">
          <cell r="A228">
            <v>375</v>
          </cell>
          <cell r="B228" t="str">
            <v>RAJAONAH TEFY</v>
          </cell>
          <cell r="C228" t="str">
            <v>Antonio Patrick</v>
          </cell>
          <cell r="G228" t="str">
            <v>Commandant d'Aéroport</v>
          </cell>
        </row>
        <row r="229">
          <cell r="A229">
            <v>378</v>
          </cell>
          <cell r="B229" t="str">
            <v>RANARIMISA</v>
          </cell>
          <cell r="C229" t="str">
            <v>Mahefa Nantenaina</v>
          </cell>
          <cell r="G229" t="str">
            <v>Technicien AOS/IT</v>
          </cell>
        </row>
        <row r="230">
          <cell r="A230">
            <v>379</v>
          </cell>
          <cell r="B230" t="str">
            <v>RAZANAJATOVO</v>
          </cell>
          <cell r="C230" t="str">
            <v>Malalatina Jocelyne</v>
          </cell>
          <cell r="G230" t="str">
            <v>Agent d'Accueil</v>
          </cell>
        </row>
        <row r="231">
          <cell r="A231">
            <v>380</v>
          </cell>
          <cell r="B231" t="str">
            <v>RAKOTOARIVONY HENINTSOA</v>
          </cell>
          <cell r="C231" t="str">
            <v>Valery Tonio</v>
          </cell>
          <cell r="G231" t="str">
            <v>Agent d'Accueil</v>
          </cell>
        </row>
        <row r="232">
          <cell r="A232">
            <v>382</v>
          </cell>
          <cell r="B232" t="str">
            <v>VAVIHELY</v>
          </cell>
          <cell r="C232" t="str">
            <v>Noella Velonjara</v>
          </cell>
          <cell r="G232" t="str">
            <v>Agent Caisse</v>
          </cell>
        </row>
        <row r="233">
          <cell r="A233">
            <v>383</v>
          </cell>
          <cell r="B233" t="str">
            <v>BENAMAHARO</v>
          </cell>
          <cell r="C233" t="str">
            <v>Tantely Haingosoa</v>
          </cell>
          <cell r="G233" t="str">
            <v>Responsable Administrative et Recrutement</v>
          </cell>
        </row>
        <row r="234">
          <cell r="A234">
            <v>385</v>
          </cell>
          <cell r="B234" t="str">
            <v>RAMANITRA</v>
          </cell>
          <cell r="C234" t="str">
            <v>Zo Ndriantsoa</v>
          </cell>
          <cell r="G234" t="str">
            <v>Technicien GMAO</v>
          </cell>
        </row>
        <row r="235">
          <cell r="A235">
            <v>386</v>
          </cell>
          <cell r="B235" t="str">
            <v>RAKOTOMAMONJY ANDRIANARIVELO</v>
          </cell>
          <cell r="C235" t="str">
            <v>Michaël Dominique</v>
          </cell>
          <cell r="G235" t="str">
            <v>Directeur des Systèmes d'Information</v>
          </cell>
        </row>
        <row r="236">
          <cell r="A236">
            <v>387</v>
          </cell>
          <cell r="B236" t="str">
            <v>RALAMBOMIHAJA</v>
          </cell>
          <cell r="C236" t="str">
            <v>Mialintsoa Sariaka</v>
          </cell>
          <cell r="G236" t="str">
            <v>Responsable Environnement</v>
          </cell>
        </row>
        <row r="237">
          <cell r="A237">
            <v>388</v>
          </cell>
          <cell r="B237" t="str">
            <v>RAMIANDRISOA</v>
          </cell>
          <cell r="C237" t="str">
            <v>Toky Hasina Lucas</v>
          </cell>
          <cell r="G237" t="str">
            <v>Analyste Financier</v>
          </cell>
        </row>
        <row r="238">
          <cell r="A238">
            <v>389</v>
          </cell>
          <cell r="B238" t="str">
            <v>RIVONIRINA</v>
          </cell>
          <cell r="C238" t="str">
            <v>Tanjona</v>
          </cell>
          <cell r="G238" t="str">
            <v>Chef de Département Relations sociales et Qualité de vie au travail</v>
          </cell>
        </row>
        <row r="239">
          <cell r="A239">
            <v>390</v>
          </cell>
          <cell r="B239" t="str">
            <v>ATEIFA</v>
          </cell>
          <cell r="C239" t="str">
            <v>Lionel Hachim</v>
          </cell>
          <cell r="G239" t="str">
            <v>Responsable Commercial et Marketing</v>
          </cell>
        </row>
        <row r="240">
          <cell r="A240">
            <v>392</v>
          </cell>
          <cell r="B240" t="str">
            <v>RAJAONARIVONY</v>
          </cell>
          <cell r="C240" t="str">
            <v>Rado Andriniaina</v>
          </cell>
          <cell r="G240" t="str">
            <v>Responsable Sécurité des Systèmes d'Information</v>
          </cell>
        </row>
        <row r="241">
          <cell r="A241">
            <v>394</v>
          </cell>
          <cell r="B241" t="str">
            <v>RATSIATOSIKA RADISON</v>
          </cell>
          <cell r="C241" t="str">
            <v>Mitantsoa Sitraka</v>
          </cell>
          <cell r="G241" t="str">
            <v>Agent d'Accueil</v>
          </cell>
        </row>
        <row r="242">
          <cell r="A242">
            <v>395</v>
          </cell>
          <cell r="B242" t="str">
            <v>RANIVO ANDRIAMANANA</v>
          </cell>
          <cell r="C242" t="str">
            <v>Soalandy Maholy</v>
          </cell>
          <cell r="G242" t="str">
            <v>Agent d'Accueil</v>
          </cell>
        </row>
        <row r="243">
          <cell r="A243">
            <v>396</v>
          </cell>
          <cell r="B243" t="str">
            <v>ANDRIAMAMONJY</v>
          </cell>
          <cell r="C243" t="str">
            <v>Ralph Antony</v>
          </cell>
          <cell r="G243" t="str">
            <v>Agent d'Accueil</v>
          </cell>
        </row>
        <row r="244">
          <cell r="A244">
            <v>397</v>
          </cell>
          <cell r="B244" t="str">
            <v>ANDRIAMASOANDRO NOMENJANAHARY</v>
          </cell>
          <cell r="C244" t="str">
            <v>Oeliarisoa</v>
          </cell>
          <cell r="G244" t="str">
            <v>Chef de Département Immobilier</v>
          </cell>
        </row>
        <row r="245">
          <cell r="A245">
            <v>399</v>
          </cell>
          <cell r="B245" t="str">
            <v>RAJAOFERA</v>
          </cell>
          <cell r="C245" t="str">
            <v>Vatosoa</v>
          </cell>
          <cell r="G245" t="str">
            <v>Responsable Compétences et Performances</v>
          </cell>
        </row>
        <row r="246">
          <cell r="A246">
            <v>400</v>
          </cell>
          <cell r="B246" t="str">
            <v>RAHARITIANA</v>
          </cell>
          <cell r="C246" t="str">
            <v>Mahefa</v>
          </cell>
          <cell r="G246" t="str">
            <v>Superviseur Maintenance AOCC</v>
          </cell>
        </row>
        <row r="247">
          <cell r="A247">
            <v>401</v>
          </cell>
          <cell r="B247" t="str">
            <v>RAZANAMPARANY</v>
          </cell>
          <cell r="C247" t="str">
            <v>Fetra Henri Willy</v>
          </cell>
          <cell r="G247" t="str">
            <v>Chef de Service Achats</v>
          </cell>
        </row>
        <row r="248">
          <cell r="A248">
            <v>403</v>
          </cell>
          <cell r="B248" t="str">
            <v>RAMANANTSOA</v>
          </cell>
          <cell r="C248" t="str">
            <v>Rivo Arlala</v>
          </cell>
          <cell r="G248" t="str">
            <v>Chef Superviseur Travaux Maintenance</v>
          </cell>
        </row>
        <row r="249">
          <cell r="A249">
            <v>406</v>
          </cell>
          <cell r="B249" t="str">
            <v>RAKOTOMAHANDRY</v>
          </cell>
          <cell r="C249" t="str">
            <v>Kajasoa</v>
          </cell>
          <cell r="G249" t="str">
            <v>Chargée de Projet</v>
          </cell>
        </row>
        <row r="250">
          <cell r="A250">
            <v>407</v>
          </cell>
          <cell r="B250" t="str">
            <v>RAJAONARIVONY</v>
          </cell>
          <cell r="C250" t="str">
            <v>Andrianaivo</v>
          </cell>
          <cell r="G250" t="str">
            <v>Contrôleur Fret</v>
          </cell>
        </row>
        <row r="251">
          <cell r="A251">
            <v>408</v>
          </cell>
          <cell r="B251" t="str">
            <v>TADZONG NGOUGNOU</v>
          </cell>
          <cell r="C251" t="str">
            <v>Joël Gaël</v>
          </cell>
          <cell r="G251" t="str">
            <v>Chef de Département Ingénieurie et Contrôle Financier</v>
          </cell>
        </row>
        <row r="252">
          <cell r="A252">
            <v>410</v>
          </cell>
          <cell r="B252" t="str">
            <v>FALIA</v>
          </cell>
          <cell r="C252" t="str">
            <v>Tiavina Princia</v>
          </cell>
          <cell r="G252" t="str">
            <v>Assistante Ressources Humaines</v>
          </cell>
        </row>
        <row r="253">
          <cell r="A253">
            <v>412</v>
          </cell>
          <cell r="B253" t="str">
            <v>RAFANOMEZANTSOA</v>
          </cell>
          <cell r="C253" t="str">
            <v>Daoroson Solofoniaina Kevin</v>
          </cell>
          <cell r="G253" t="str">
            <v>Agent d'Accueil</v>
          </cell>
        </row>
        <row r="254">
          <cell r="A254">
            <v>413</v>
          </cell>
          <cell r="B254" t="str">
            <v>RASOLOARIZAFY</v>
          </cell>
          <cell r="C254" t="str">
            <v>Mirana</v>
          </cell>
          <cell r="G254" t="str">
            <v>Assistante de projet aéronautiques - Pole tourisme</v>
          </cell>
        </row>
        <row r="255">
          <cell r="A255">
            <v>414</v>
          </cell>
          <cell r="B255" t="str">
            <v>RAKOTOVAO</v>
          </cell>
          <cell r="C255" t="str">
            <v>Faranirina Aromanda</v>
          </cell>
          <cell r="G255" t="str">
            <v>Acheteuse</v>
          </cell>
        </row>
        <row r="256">
          <cell r="A256">
            <v>415</v>
          </cell>
          <cell r="B256" t="str">
            <v>RANDRIANASOLO</v>
          </cell>
          <cell r="C256" t="str">
            <v>Narindrasoa Ruth</v>
          </cell>
          <cell r="G256" t="str">
            <v>Chargée de Documentation du Système de Gestion de la Sécurité</v>
          </cell>
        </row>
        <row r="257">
          <cell r="A257">
            <v>416</v>
          </cell>
          <cell r="B257" t="str">
            <v>RAFANOMEZANTSOA</v>
          </cell>
          <cell r="C257" t="str">
            <v>Rado Milanto</v>
          </cell>
          <cell r="G257" t="str">
            <v>Chef Comptable</v>
          </cell>
        </row>
        <row r="258">
          <cell r="A258">
            <v>417</v>
          </cell>
          <cell r="B258" t="str">
            <v>RAZAFINDRAKOTO</v>
          </cell>
          <cell r="C258" t="str">
            <v>Ny Aina Zo</v>
          </cell>
          <cell r="G258" t="str">
            <v>Technicien CFA</v>
          </cell>
        </row>
        <row r="259">
          <cell r="A259">
            <v>418</v>
          </cell>
          <cell r="B259" t="str">
            <v>ANDRIATSILAVINA</v>
          </cell>
          <cell r="C259" t="str">
            <v>Damien Lionnel</v>
          </cell>
          <cell r="G259" t="str">
            <v>Chef de Département Transformation Digitale</v>
          </cell>
        </row>
        <row r="260">
          <cell r="A260">
            <v>419</v>
          </cell>
          <cell r="B260" t="str">
            <v>RAKOTOARIVAO</v>
          </cell>
          <cell r="C260" t="str">
            <v>Mahandrisoa Béatrice</v>
          </cell>
          <cell r="G260" t="str">
            <v>Comptable Clients</v>
          </cell>
        </row>
        <row r="261">
          <cell r="A261">
            <v>420</v>
          </cell>
          <cell r="B261" t="str">
            <v>RAKOTOARIVONY</v>
          </cell>
          <cell r="C261" t="str">
            <v>Vaniala</v>
          </cell>
          <cell r="G261" t="str">
            <v>Contrôleuse Interne</v>
          </cell>
        </row>
        <row r="262">
          <cell r="A262">
            <v>421</v>
          </cell>
          <cell r="B262" t="str">
            <v>HARVEL RAMANAMISA</v>
          </cell>
          <cell r="C262" t="str">
            <v>Elsy</v>
          </cell>
          <cell r="G262" t="str">
            <v>Chef de Service Développement des Activités Non Aéronautique</v>
          </cell>
        </row>
        <row r="263">
          <cell r="A263">
            <v>422</v>
          </cell>
          <cell r="B263" t="str">
            <v>RAKOTONDRAINIBE</v>
          </cell>
          <cell r="C263" t="str">
            <v>Haingomanitra Henri</v>
          </cell>
          <cell r="G263" t="str">
            <v>Agent Plomberie</v>
          </cell>
        </row>
        <row r="264">
          <cell r="A264">
            <v>424</v>
          </cell>
          <cell r="B264" t="str">
            <v>ANDRIANIRINA</v>
          </cell>
          <cell r="C264" t="str">
            <v xml:space="preserve">Mamy </v>
          </cell>
          <cell r="G264" t="str">
            <v>Assistant Achat et Gestion de Stock</v>
          </cell>
        </row>
        <row r="265">
          <cell r="A265">
            <v>425</v>
          </cell>
          <cell r="B265" t="str">
            <v>PIERRU</v>
          </cell>
          <cell r="C265" t="str">
            <v>Romain Fréderic</v>
          </cell>
          <cell r="G265" t="str">
            <v>Directeur des Affaires Financières</v>
          </cell>
        </row>
        <row r="266">
          <cell r="A266">
            <v>427</v>
          </cell>
          <cell r="B266" t="str">
            <v>DIMBIMAMY</v>
          </cell>
          <cell r="C266" t="str">
            <v>Marie Lamia</v>
          </cell>
          <cell r="G266" t="str">
            <v>Assistante Commerciale et Marketing</v>
          </cell>
        </row>
        <row r="267">
          <cell r="A267">
            <v>428</v>
          </cell>
          <cell r="B267" t="str">
            <v>RASOARAHONA</v>
          </cell>
          <cell r="C267" t="str">
            <v>Nanoanirina Jonathan</v>
          </cell>
          <cell r="G267" t="str">
            <v>Agent de piste</v>
          </cell>
        </row>
        <row r="268">
          <cell r="A268">
            <v>429</v>
          </cell>
          <cell r="B268" t="str">
            <v>RAZAFIMAHEFA</v>
          </cell>
          <cell r="C268" t="str">
            <v>Nomena Josua</v>
          </cell>
          <cell r="G268" t="str">
            <v>Technicien de Curage</v>
          </cell>
        </row>
        <row r="269">
          <cell r="A269">
            <v>430</v>
          </cell>
          <cell r="B269" t="str">
            <v>RANAIVOARISON</v>
          </cell>
          <cell r="C269" t="str">
            <v>Jean Marie Rémi</v>
          </cell>
          <cell r="G269" t="str">
            <v>Chauffeur Tracteur</v>
          </cell>
        </row>
        <row r="270">
          <cell r="A270">
            <v>431</v>
          </cell>
          <cell r="B270" t="str">
            <v>LEFEBVRE</v>
          </cell>
          <cell r="C270" t="str">
            <v>Daniel Louis</v>
          </cell>
          <cell r="G270" t="str">
            <v>Directeur Général</v>
          </cell>
        </row>
        <row r="271">
          <cell r="A271">
            <v>433</v>
          </cell>
          <cell r="B271" t="str">
            <v>MAMITIANA</v>
          </cell>
          <cell r="C271" t="str">
            <v>Nandrianina</v>
          </cell>
          <cell r="G271" t="str">
            <v>Electromécanicien</v>
          </cell>
        </row>
        <row r="272">
          <cell r="A272">
            <v>434</v>
          </cell>
          <cell r="B272" t="str">
            <v>MAHEFA</v>
          </cell>
          <cell r="C272" t="str">
            <v>Paul Ferdinah</v>
          </cell>
          <cell r="G272" t="str">
            <v>Electromécanicien</v>
          </cell>
        </row>
        <row r="273">
          <cell r="A273">
            <v>435</v>
          </cell>
          <cell r="B273" t="str">
            <v>ANNA</v>
          </cell>
          <cell r="C273" t="str">
            <v>Miha Odette</v>
          </cell>
          <cell r="G273" t="str">
            <v>Responsable de Communication Corporate et Marque Employeur</v>
          </cell>
        </row>
        <row r="274">
          <cell r="A274">
            <v>436</v>
          </cell>
          <cell r="B274" t="str">
            <v>RABE</v>
          </cell>
          <cell r="C274" t="str">
            <v>Irintsoa Mirindra</v>
          </cell>
          <cell r="G274" t="str">
            <v>Assistante Exécutive</v>
          </cell>
        </row>
        <row r="275">
          <cell r="A275">
            <v>437</v>
          </cell>
          <cell r="B275" t="str">
            <v>ADANY TOTO</v>
          </cell>
          <cell r="C275" t="str">
            <v>Amirany Julinho</v>
          </cell>
          <cell r="G275" t="str">
            <v>Agent d'entretien</v>
          </cell>
        </row>
        <row r="276">
          <cell r="A276">
            <v>438</v>
          </cell>
          <cell r="B276" t="str">
            <v>VERIZA</v>
          </cell>
          <cell r="C276" t="str">
            <v>Walter Hélène Aimé</v>
          </cell>
          <cell r="G276" t="str">
            <v>Responsable Communication Digitale</v>
          </cell>
        </row>
        <row r="277">
          <cell r="A277">
            <v>439</v>
          </cell>
          <cell r="B277" t="str">
            <v>NANTENAINA</v>
          </cell>
          <cell r="C277" t="str">
            <v>Tsiferana Christien</v>
          </cell>
          <cell r="G277" t="str">
            <v>Agent d'entretien</v>
          </cell>
        </row>
        <row r="278">
          <cell r="A278">
            <v>440</v>
          </cell>
          <cell r="B278" t="str">
            <v>NOMENJANAHARY</v>
          </cell>
          <cell r="C278" t="str">
            <v>Tojo Famonjena</v>
          </cell>
          <cell r="G278" t="str">
            <v>Agent d'entretien</v>
          </cell>
        </row>
        <row r="279">
          <cell r="A279">
            <v>441</v>
          </cell>
          <cell r="B279" t="str">
            <v>ANDRIANARIVONIRINA</v>
          </cell>
          <cell r="C279" t="str">
            <v>Elie Advocat</v>
          </cell>
          <cell r="G279" t="str">
            <v>Technicien Electricité</v>
          </cell>
        </row>
        <row r="280">
          <cell r="A280">
            <v>442</v>
          </cell>
          <cell r="B280" t="str">
            <v>RAJAOBELISON</v>
          </cell>
          <cell r="C280" t="str">
            <v>Tiana Nirina Herilala</v>
          </cell>
          <cell r="G280" t="str">
            <v>Responsable Santé et sécurité au travail</v>
          </cell>
        </row>
        <row r="281">
          <cell r="A281">
            <v>443</v>
          </cell>
          <cell r="B281" t="str">
            <v>ANDRIAMIARANONY</v>
          </cell>
          <cell r="C281" t="str">
            <v>Volatiana</v>
          </cell>
          <cell r="G281" t="str">
            <v>Assistante Administrative et Commerciale</v>
          </cell>
        </row>
      </sheetData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alilalaina Sedera RASOLOMANANA (DRH)" id="{6ED7737A-811D-4504-B890-00091718390F}" userId="S::00182@ravinala-airports.aero::3d66f9ce-0b6a-45fa-a23b-ab67ba386d7b" providerId="AD"/>
  <person displayName="Herinomenjanaharilala Sedera RASOLOFONDRAMANAMBE (DRH)" id="{C156A16E-047E-4EDA-842E-7D52A5E10C92}" userId="S::00358@ravinala-airports.aero::47844508-dc27-4d4e-8bf7-fb4577553f47" providerId="AD"/>
  <person displayName="Tantely Haingosoa BENAMAHARO (DRH)" id="{190C186C-5C9E-45DA-8361-AA101CAF8D59}" userId="S::00383@ravinala-airports.aero::5100f6b3-13d5-451b-99f7-7dc65cd0308a" providerId="AD"/>
  <person displayName="Vatosoa Maminiaina RAJAOFERA (DRH)" id="{3CDC4B66-5F98-47D1-B48E-44E372BAA19F}" userId="S::00399@ravinala-airports.aero::c65617c0-2c05-4419-a6c3-aaabf268ceb6" providerId="AD"/>
  <person displayName="Tiavina Princia FALIA (DRH)" id="{62D097B4-FE15-44B0-8737-E5C2AD9E5184}" userId="S::00410@ravinala-airports.aero::d8583a9d-9be6-4441-b54f-c6d16dd957cc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4" dT="2024-07-10T14:54:14.99" personId="{6ED7737A-811D-4504-B890-00091718390F}" id="{C50AB233-3040-415A-89AE-EBA9D94FCC48}">
    <text>Helena , les retraités non inclus</text>
  </threadedComment>
  <threadedComment ref="F146" dT="2024-08-30T11:53:53.65" personId="{62D097B4-FE15-44B0-8737-E5C2AD9E5184}" id="{17A63247-B067-4EBE-B922-15A8D95D4288}">
    <text xml:space="preserve">Mana, (2) électromeca </text>
  </threadedComment>
  <threadedComment ref="G146" dT="2024-09-03T05:24:38.19" personId="{6ED7737A-811D-4504-B890-00091718390F}" id="{04AC0072-8FC5-46C8-8DF3-789F80E0F796}">
    <text>Jason</text>
  </threadedComment>
  <threadedComment ref="G148" dT="2024-11-10T12:12:28.73" personId="{6ED7737A-811D-4504-B890-00091718390F}" id="{66501E6E-286B-422B-B4D3-8C48827A28BF}">
    <text>Henintsoa elec</text>
  </threadedComment>
  <threadedComment ref="G150" dT="2025-01-08T06:17:21.01" personId="{62D097B4-FE15-44B0-8737-E5C2AD9E5184}" id="{9971D579-BCA7-485F-979F-A04A33A453E0}">
    <text>Judickael, HajaMinohery, Walter</text>
  </threadedComment>
  <threadedComment ref="G154" dT="2025-05-05T11:44:36.82" personId="{62D097B4-FE15-44B0-8737-E5C2AD9E5184}" id="{95DB445E-748C-4EE9-84CB-277062754453}">
    <text xml:space="preserve">Haja Magasinier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E4" dT="2024-08-06T06:41:34.83" personId="{190C186C-5C9E-45DA-8361-AA101CAF8D59}" id="{DA55D655-0BED-4C1A-8AF8-8E05DE387201}">
    <text>NOUVEAU COMPTEUR APRES REPROFILAGE AVEC LUC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6" dT="2025-05-09T06:09:22.15" personId="{190C186C-5C9E-45DA-8361-AA101CAF8D59}" id="{B6B56DBF-BA4E-4F25-8F3A-EA694C867C22}">
    <text>Nombre de poste pourvu (-56 jours)/nb de poste trim pourvu= (%)</text>
  </threadedComment>
  <threadedComment ref="AE10" dT="2025-01-06T08:14:21.26" personId="{3CDC4B66-5F98-47D1-B48E-44E372BAA19F}" id="{25C33029-BDDC-49CF-BA66-B707131C6906}">
    <text>Sensibilisations inclues</text>
  </threadedComment>
  <threadedComment ref="AQ10" dT="2025-01-06T08:15:58.91" personId="{3CDC4B66-5F98-47D1-B48E-44E372BAA19F}" id="{5DDC5353-E299-48AA-83DF-9D9AB26A1E73}">
    <text>Formations obligatoires inclues</text>
  </threadedComment>
  <threadedComment ref="BC10" dT="2025-01-06T08:15:58.91" personId="{3CDC4B66-5F98-47D1-B48E-44E372BAA19F}" id="{695BC5B6-D61D-4436-A0AB-B5B12D941C61}">
    <text>Formations obligatoires inclues</text>
  </threadedComment>
  <threadedComment ref="AE11" dT="2025-01-06T08:16:17.46" personId="{3CDC4B66-5F98-47D1-B48E-44E372BAA19F}" id="{571F5FCF-9D32-4B7B-A6F0-B482C9C53196}">
    <text>Sensibilisations inclues</text>
  </threadedComment>
  <threadedComment ref="AQ11" dT="2025-01-06T08:16:36.42" personId="{3CDC4B66-5F98-47D1-B48E-44E372BAA19F}" id="{843CBAB7-C51B-4EDF-98AC-517D14D1E8AD}">
    <text>Formations obligatoires inclues</text>
  </threadedComment>
  <threadedComment ref="BC11" dT="2025-01-06T08:16:36.42" personId="{3CDC4B66-5F98-47D1-B48E-44E372BAA19F}" id="{0AF1B133-94A6-4DD3-8A05-D0017A5EDDD0}">
    <text>Formations obligatoires inclues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9" dT="2024-08-16T18:07:12.36" personId="{C156A16E-047E-4EDA-842E-7D52A5E10C92}" id="{A2D11055-895C-475B-B2E0-A9B2FF532AF0}">
    <text>Hors CDD</text>
  </threadedComment>
  <threadedComment ref="A10" dT="2024-07-11T14:43:08.89" personId="{C156A16E-047E-4EDA-842E-7D52A5E10C92}" id="{56891E7B-9160-465C-8F1A-74DF55E44815}">
    <text>(hors CDD, Décès et Retraite)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9F68-01EA-4BA8-AF04-35D6D99523E2}">
  <sheetPr codeName="Feuil20">
    <tabColor rgb="FFC00000"/>
  </sheetPr>
  <dimension ref="B2:G9"/>
  <sheetViews>
    <sheetView showGridLines="0" workbookViewId="0">
      <selection activeCell="F7" sqref="F7"/>
    </sheetView>
  </sheetViews>
  <sheetFormatPr baseColWidth="10" defaultColWidth="11.42578125" defaultRowHeight="14.25" x14ac:dyDescent="0.25"/>
  <cols>
    <col min="1" max="1" width="11.42578125" style="545"/>
    <col min="2" max="2" width="10.140625" style="542" customWidth="1"/>
    <col min="3" max="3" width="24.42578125" style="545" customWidth="1"/>
    <col min="4" max="4" width="23.5703125" style="545" bestFit="1" customWidth="1"/>
    <col min="5" max="5" width="23.140625" style="542" customWidth="1"/>
    <col min="6" max="6" width="68.28515625" style="545" bestFit="1" customWidth="1"/>
    <col min="7" max="7" width="13.42578125" style="542" bestFit="1" customWidth="1"/>
    <col min="8" max="16384" width="11.42578125" style="545"/>
  </cols>
  <sheetData>
    <row r="2" spans="2:7" ht="30" x14ac:dyDescent="0.25">
      <c r="C2" s="543" t="s">
        <v>1061</v>
      </c>
      <c r="D2" s="543"/>
      <c r="E2" s="544" t="s">
        <v>803</v>
      </c>
      <c r="F2" s="415" t="s">
        <v>804</v>
      </c>
      <c r="G2" s="520">
        <f>'[4]BILAN SOCIAL 2025'!$E$6</f>
        <v>45821</v>
      </c>
    </row>
    <row r="5" spans="2:7" ht="30" x14ac:dyDescent="0.25">
      <c r="B5" s="546" t="s">
        <v>401</v>
      </c>
      <c r="C5" s="547" t="s">
        <v>807</v>
      </c>
      <c r="D5" s="547" t="s">
        <v>1062</v>
      </c>
      <c r="E5" s="546" t="s">
        <v>1063</v>
      </c>
      <c r="F5" s="547" t="s">
        <v>405</v>
      </c>
      <c r="G5" s="546" t="s">
        <v>1064</v>
      </c>
    </row>
    <row r="6" spans="2:7" x14ac:dyDescent="0.25">
      <c r="B6" s="391">
        <v>240</v>
      </c>
      <c r="C6" s="548" t="s">
        <v>1065</v>
      </c>
      <c r="D6" s="548" t="s">
        <v>1066</v>
      </c>
      <c r="E6" s="548" t="s">
        <v>1067</v>
      </c>
      <c r="F6" s="548" t="s">
        <v>1068</v>
      </c>
      <c r="G6" s="549">
        <v>45671</v>
      </c>
    </row>
    <row r="7" spans="2:7" x14ac:dyDescent="0.25">
      <c r="B7" s="391"/>
      <c r="C7" s="548"/>
      <c r="D7" s="548"/>
      <c r="E7" s="548"/>
      <c r="F7" s="550"/>
      <c r="G7" s="549"/>
    </row>
    <row r="8" spans="2:7" x14ac:dyDescent="0.25">
      <c r="B8" s="391"/>
      <c r="C8" s="548"/>
      <c r="D8" s="548"/>
      <c r="E8" s="391"/>
      <c r="F8" s="548"/>
      <c r="G8" s="549"/>
    </row>
    <row r="9" spans="2:7" x14ac:dyDescent="0.25">
      <c r="B9" s="391"/>
      <c r="C9" s="548"/>
      <c r="D9" s="548"/>
      <c r="E9" s="391"/>
      <c r="F9" s="548"/>
      <c r="G9" s="549"/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71DB-9EBF-4FD1-B824-47EBFFB9853A}">
  <sheetPr codeName="Feuil9">
    <tabColor theme="0" tint="-0.14999847407452621"/>
    <pageSetUpPr fitToPage="1"/>
  </sheetPr>
  <dimension ref="B1:F178"/>
  <sheetViews>
    <sheetView showGridLines="0" workbookViewId="0">
      <pane ySplit="3" topLeftCell="A71" activePane="bottomLeft" state="frozen"/>
      <selection pane="bottomLeft" activeCell="F21" sqref="F21:F24"/>
    </sheetView>
  </sheetViews>
  <sheetFormatPr baseColWidth="10" defaultColWidth="11.42578125" defaultRowHeight="14.25" x14ac:dyDescent="0.2"/>
  <cols>
    <col min="1" max="1" width="11.42578125" style="398"/>
    <col min="2" max="2" width="11.42578125" style="394"/>
    <col min="3" max="3" width="43.140625" style="395" bestFit="1" customWidth="1"/>
    <col min="4" max="4" width="32.42578125" style="396" bestFit="1" customWidth="1"/>
    <col min="5" max="5" width="23.85546875" style="396" customWidth="1"/>
    <col min="6" max="6" width="62.7109375" style="398" bestFit="1" customWidth="1"/>
    <col min="7" max="7" width="11.42578125" style="398"/>
    <col min="8" max="8" width="28.42578125" style="398" customWidth="1"/>
    <col min="9" max="9" width="36.140625" style="398" bestFit="1" customWidth="1"/>
    <col min="10" max="16384" width="11.42578125" style="398"/>
  </cols>
  <sheetData>
    <row r="1" spans="2:6" x14ac:dyDescent="0.2">
      <c r="F1" s="397" t="s">
        <v>400</v>
      </c>
    </row>
    <row r="2" spans="2:6" x14ac:dyDescent="0.2">
      <c r="F2" s="399">
        <f>+((17+20)/2)/261</f>
        <v>7.0881226053639848E-2</v>
      </c>
    </row>
    <row r="3" spans="2:6" ht="15" x14ac:dyDescent="0.25">
      <c r="B3" s="400" t="s">
        <v>401</v>
      </c>
      <c r="C3" s="401" t="s">
        <v>402</v>
      </c>
      <c r="D3" s="400" t="s">
        <v>403</v>
      </c>
      <c r="E3" s="400" t="s">
        <v>404</v>
      </c>
      <c r="F3" s="400" t="s">
        <v>405</v>
      </c>
    </row>
    <row r="4" spans="2:6" ht="15" x14ac:dyDescent="0.25">
      <c r="B4" s="361">
        <v>184</v>
      </c>
      <c r="C4" s="402" t="s">
        <v>406</v>
      </c>
      <c r="D4" s="402" t="s">
        <v>407</v>
      </c>
      <c r="E4" s="403">
        <v>42811</v>
      </c>
      <c r="F4" s="360" t="s">
        <v>408</v>
      </c>
    </row>
    <row r="5" spans="2:6" ht="15" x14ac:dyDescent="0.25">
      <c r="B5" s="361">
        <v>91</v>
      </c>
      <c r="C5" s="402" t="s">
        <v>409</v>
      </c>
      <c r="D5" s="402" t="s">
        <v>410</v>
      </c>
      <c r="E5" s="403">
        <v>42849</v>
      </c>
      <c r="F5" s="360" t="s">
        <v>380</v>
      </c>
    </row>
    <row r="6" spans="2:6" ht="15" x14ac:dyDescent="0.25">
      <c r="B6" s="361">
        <v>2</v>
      </c>
      <c r="C6" s="402" t="s">
        <v>411</v>
      </c>
      <c r="D6" s="402" t="s">
        <v>412</v>
      </c>
      <c r="E6" s="403">
        <v>42867</v>
      </c>
      <c r="F6" s="360" t="s">
        <v>87</v>
      </c>
    </row>
    <row r="7" spans="2:6" ht="15" x14ac:dyDescent="0.25">
      <c r="B7" s="361">
        <v>168</v>
      </c>
      <c r="C7" s="402" t="s">
        <v>413</v>
      </c>
      <c r="D7" s="402" t="s">
        <v>414</v>
      </c>
      <c r="E7" s="403">
        <v>42886</v>
      </c>
      <c r="F7" s="360" t="s">
        <v>87</v>
      </c>
    </row>
    <row r="8" spans="2:6" ht="15" x14ac:dyDescent="0.25">
      <c r="B8" s="361">
        <v>7</v>
      </c>
      <c r="C8" s="402" t="s">
        <v>415</v>
      </c>
      <c r="D8" s="402" t="s">
        <v>416</v>
      </c>
      <c r="E8" s="403">
        <v>42918</v>
      </c>
      <c r="F8" s="360" t="s">
        <v>87</v>
      </c>
    </row>
    <row r="9" spans="2:6" ht="15" x14ac:dyDescent="0.25">
      <c r="B9" s="361">
        <v>178</v>
      </c>
      <c r="C9" s="402" t="s">
        <v>417</v>
      </c>
      <c r="D9" s="402" t="s">
        <v>418</v>
      </c>
      <c r="E9" s="403">
        <v>42923</v>
      </c>
      <c r="F9" s="360" t="s">
        <v>87</v>
      </c>
    </row>
    <row r="10" spans="2:6" ht="15" x14ac:dyDescent="0.25">
      <c r="B10" s="361">
        <v>160</v>
      </c>
      <c r="C10" s="402" t="s">
        <v>419</v>
      </c>
      <c r="D10" s="402" t="s">
        <v>420</v>
      </c>
      <c r="E10" s="403">
        <v>43017</v>
      </c>
      <c r="F10" s="360" t="s">
        <v>87</v>
      </c>
    </row>
    <row r="11" spans="2:6" ht="15" x14ac:dyDescent="0.25">
      <c r="B11" s="361">
        <v>172</v>
      </c>
      <c r="C11" s="402" t="s">
        <v>421</v>
      </c>
      <c r="D11" s="402" t="s">
        <v>422</v>
      </c>
      <c r="E11" s="403">
        <v>43025</v>
      </c>
      <c r="F11" s="360" t="s">
        <v>87</v>
      </c>
    </row>
    <row r="12" spans="2:6" ht="15" x14ac:dyDescent="0.25">
      <c r="B12" s="361">
        <v>19</v>
      </c>
      <c r="C12" s="402" t="s">
        <v>423</v>
      </c>
      <c r="D12" s="402" t="s">
        <v>424</v>
      </c>
      <c r="E12" s="403">
        <v>43047</v>
      </c>
      <c r="F12" s="360" t="s">
        <v>382</v>
      </c>
    </row>
    <row r="13" spans="2:6" ht="15" x14ac:dyDescent="0.25">
      <c r="B13" s="361">
        <v>180</v>
      </c>
      <c r="C13" s="402" t="s">
        <v>425</v>
      </c>
      <c r="D13" s="402" t="s">
        <v>426</v>
      </c>
      <c r="E13" s="403">
        <v>43047</v>
      </c>
      <c r="F13" s="360" t="s">
        <v>382</v>
      </c>
    </row>
    <row r="14" spans="2:6" ht="15" x14ac:dyDescent="0.25">
      <c r="B14" s="361"/>
      <c r="C14" s="402" t="s">
        <v>427</v>
      </c>
      <c r="D14" s="402" t="s">
        <v>428</v>
      </c>
      <c r="E14" s="403">
        <v>43070</v>
      </c>
      <c r="F14" s="360" t="s">
        <v>408</v>
      </c>
    </row>
    <row r="15" spans="2:6" x14ac:dyDescent="0.2">
      <c r="B15" s="380">
        <v>81</v>
      </c>
      <c r="C15" s="404" t="s">
        <v>429</v>
      </c>
      <c r="D15" s="404" t="s">
        <v>430</v>
      </c>
      <c r="E15" s="405">
        <v>43108</v>
      </c>
      <c r="F15" s="379" t="s">
        <v>87</v>
      </c>
    </row>
    <row r="16" spans="2:6" x14ac:dyDescent="0.2">
      <c r="B16" s="380">
        <v>105</v>
      </c>
      <c r="C16" s="404" t="s">
        <v>431</v>
      </c>
      <c r="D16" s="404" t="s">
        <v>432</v>
      </c>
      <c r="E16" s="405">
        <v>43130</v>
      </c>
      <c r="F16" s="379" t="s">
        <v>433</v>
      </c>
    </row>
    <row r="17" spans="2:6" x14ac:dyDescent="0.2">
      <c r="B17" s="380">
        <v>38</v>
      </c>
      <c r="C17" s="404" t="s">
        <v>434</v>
      </c>
      <c r="D17" s="404" t="s">
        <v>435</v>
      </c>
      <c r="E17" s="405">
        <v>43138</v>
      </c>
      <c r="F17" s="379" t="s">
        <v>436</v>
      </c>
    </row>
    <row r="18" spans="2:6" x14ac:dyDescent="0.2">
      <c r="B18" s="380">
        <v>29</v>
      </c>
      <c r="C18" s="404" t="s">
        <v>437</v>
      </c>
      <c r="D18" s="404" t="s">
        <v>438</v>
      </c>
      <c r="E18" s="405">
        <v>43147</v>
      </c>
      <c r="F18" s="379" t="s">
        <v>389</v>
      </c>
    </row>
    <row r="19" spans="2:6" x14ac:dyDescent="0.2">
      <c r="B19" s="380">
        <v>149</v>
      </c>
      <c r="C19" s="404" t="s">
        <v>439</v>
      </c>
      <c r="D19" s="404" t="s">
        <v>438</v>
      </c>
      <c r="E19" s="405">
        <v>43164</v>
      </c>
      <c r="F19" s="379" t="s">
        <v>433</v>
      </c>
    </row>
    <row r="20" spans="2:6" x14ac:dyDescent="0.2">
      <c r="B20" s="380">
        <v>185</v>
      </c>
      <c r="C20" s="404" t="s">
        <v>440</v>
      </c>
      <c r="D20" s="404" t="s">
        <v>441</v>
      </c>
      <c r="E20" s="405">
        <v>43179</v>
      </c>
      <c r="F20" s="379" t="s">
        <v>87</v>
      </c>
    </row>
    <row r="21" spans="2:6" x14ac:dyDescent="0.2">
      <c r="B21" s="380">
        <v>228</v>
      </c>
      <c r="C21" s="404" t="s">
        <v>442</v>
      </c>
      <c r="D21" s="404" t="s">
        <v>443</v>
      </c>
      <c r="E21" s="405">
        <v>43179</v>
      </c>
      <c r="F21" s="379" t="s">
        <v>408</v>
      </c>
    </row>
    <row r="22" spans="2:6" x14ac:dyDescent="0.2">
      <c r="B22" s="380">
        <v>15</v>
      </c>
      <c r="C22" s="404" t="s">
        <v>444</v>
      </c>
      <c r="D22" s="404" t="s">
        <v>445</v>
      </c>
      <c r="E22" s="405">
        <v>43220</v>
      </c>
      <c r="F22" s="379" t="s">
        <v>446</v>
      </c>
    </row>
    <row r="23" spans="2:6" x14ac:dyDescent="0.2">
      <c r="B23" s="380">
        <v>227</v>
      </c>
      <c r="C23" s="404" t="s">
        <v>447</v>
      </c>
      <c r="D23" s="404" t="s">
        <v>448</v>
      </c>
      <c r="E23" s="405">
        <v>43236</v>
      </c>
      <c r="F23" s="379" t="s">
        <v>87</v>
      </c>
    </row>
    <row r="24" spans="2:6" x14ac:dyDescent="0.2">
      <c r="B24" s="380">
        <v>216</v>
      </c>
      <c r="C24" s="404" t="s">
        <v>449</v>
      </c>
      <c r="D24" s="404" t="s">
        <v>450</v>
      </c>
      <c r="E24" s="405">
        <v>43253</v>
      </c>
      <c r="F24" s="379" t="s">
        <v>408</v>
      </c>
    </row>
    <row r="25" spans="2:6" x14ac:dyDescent="0.2">
      <c r="B25" s="380">
        <v>83</v>
      </c>
      <c r="C25" s="404" t="s">
        <v>451</v>
      </c>
      <c r="D25" s="404" t="s">
        <v>452</v>
      </c>
      <c r="E25" s="405">
        <v>43269</v>
      </c>
      <c r="F25" s="379" t="s">
        <v>87</v>
      </c>
    </row>
    <row r="26" spans="2:6" x14ac:dyDescent="0.2">
      <c r="B26" s="380">
        <v>14</v>
      </c>
      <c r="C26" s="404" t="s">
        <v>453</v>
      </c>
      <c r="D26" s="404" t="s">
        <v>454</v>
      </c>
      <c r="E26" s="405">
        <v>43281</v>
      </c>
      <c r="F26" s="379" t="s">
        <v>87</v>
      </c>
    </row>
    <row r="27" spans="2:6" x14ac:dyDescent="0.2">
      <c r="B27" s="380">
        <v>246</v>
      </c>
      <c r="C27" s="404" t="s">
        <v>455</v>
      </c>
      <c r="D27" s="404" t="s">
        <v>443</v>
      </c>
      <c r="E27" s="405">
        <v>43315</v>
      </c>
      <c r="F27" s="379" t="s">
        <v>87</v>
      </c>
    </row>
    <row r="28" spans="2:6" x14ac:dyDescent="0.2">
      <c r="B28" s="380">
        <v>45</v>
      </c>
      <c r="C28" s="404" t="s">
        <v>456</v>
      </c>
      <c r="D28" s="404" t="s">
        <v>457</v>
      </c>
      <c r="E28" s="405">
        <v>43363</v>
      </c>
      <c r="F28" s="379" t="s">
        <v>389</v>
      </c>
    </row>
    <row r="29" spans="2:6" x14ac:dyDescent="0.2">
      <c r="B29" s="380">
        <v>214</v>
      </c>
      <c r="C29" s="404" t="s">
        <v>458</v>
      </c>
      <c r="D29" s="404" t="s">
        <v>189</v>
      </c>
      <c r="E29" s="405">
        <v>43385</v>
      </c>
      <c r="F29" s="379" t="s">
        <v>436</v>
      </c>
    </row>
    <row r="30" spans="2:6" x14ac:dyDescent="0.2">
      <c r="B30" s="380">
        <v>194</v>
      </c>
      <c r="C30" s="404" t="s">
        <v>459</v>
      </c>
      <c r="D30" s="404" t="s">
        <v>460</v>
      </c>
      <c r="E30" s="405">
        <v>43406</v>
      </c>
      <c r="F30" s="379" t="s">
        <v>436</v>
      </c>
    </row>
    <row r="31" spans="2:6" x14ac:dyDescent="0.2">
      <c r="B31" s="380">
        <v>188</v>
      </c>
      <c r="C31" s="404" t="s">
        <v>461</v>
      </c>
      <c r="D31" s="404" t="s">
        <v>462</v>
      </c>
      <c r="E31" s="405">
        <v>43434</v>
      </c>
      <c r="F31" s="379" t="s">
        <v>436</v>
      </c>
    </row>
    <row r="32" spans="2:6" x14ac:dyDescent="0.2">
      <c r="B32" s="380">
        <v>22</v>
      </c>
      <c r="C32" s="404" t="s">
        <v>463</v>
      </c>
      <c r="D32" s="404" t="s">
        <v>464</v>
      </c>
      <c r="E32" s="405">
        <v>43465</v>
      </c>
      <c r="F32" s="379" t="s">
        <v>465</v>
      </c>
    </row>
    <row r="33" spans="2:6" ht="15" x14ac:dyDescent="0.25">
      <c r="B33" s="361">
        <v>276</v>
      </c>
      <c r="C33" s="402" t="s">
        <v>466</v>
      </c>
      <c r="D33" s="402" t="s">
        <v>467</v>
      </c>
      <c r="E33" s="403">
        <v>43482</v>
      </c>
      <c r="F33" s="360" t="s">
        <v>87</v>
      </c>
    </row>
    <row r="34" spans="2:6" ht="15" x14ac:dyDescent="0.25">
      <c r="B34" s="361">
        <v>258</v>
      </c>
      <c r="C34" s="402" t="s">
        <v>468</v>
      </c>
      <c r="D34" s="402" t="s">
        <v>469</v>
      </c>
      <c r="E34" s="403">
        <v>43500</v>
      </c>
      <c r="F34" s="360" t="s">
        <v>382</v>
      </c>
    </row>
    <row r="35" spans="2:6" ht="15" x14ac:dyDescent="0.25">
      <c r="B35" s="361">
        <v>259</v>
      </c>
      <c r="C35" s="402" t="s">
        <v>470</v>
      </c>
      <c r="D35" s="402" t="s">
        <v>471</v>
      </c>
      <c r="E35" s="403">
        <v>43505</v>
      </c>
      <c r="F35" s="360" t="s">
        <v>408</v>
      </c>
    </row>
    <row r="36" spans="2:6" ht="15" x14ac:dyDescent="0.25">
      <c r="B36" s="361">
        <v>193</v>
      </c>
      <c r="C36" s="402" t="s">
        <v>472</v>
      </c>
      <c r="D36" s="402"/>
      <c r="E36" s="403">
        <v>43524</v>
      </c>
      <c r="F36" s="360" t="s">
        <v>87</v>
      </c>
    </row>
    <row r="37" spans="2:6" ht="15" x14ac:dyDescent="0.25">
      <c r="B37" s="361">
        <v>239</v>
      </c>
      <c r="C37" s="402" t="s">
        <v>473</v>
      </c>
      <c r="D37" s="402" t="s">
        <v>430</v>
      </c>
      <c r="E37" s="403">
        <v>43552</v>
      </c>
      <c r="F37" s="360" t="s">
        <v>474</v>
      </c>
    </row>
    <row r="38" spans="2:6" ht="15" x14ac:dyDescent="0.25">
      <c r="B38" s="361">
        <v>278</v>
      </c>
      <c r="C38" s="402" t="s">
        <v>475</v>
      </c>
      <c r="D38" s="402" t="s">
        <v>476</v>
      </c>
      <c r="E38" s="403">
        <v>43623</v>
      </c>
      <c r="F38" s="360" t="s">
        <v>87</v>
      </c>
    </row>
    <row r="39" spans="2:6" ht="15" x14ac:dyDescent="0.25">
      <c r="B39" s="361">
        <v>21</v>
      </c>
      <c r="C39" s="402" t="s">
        <v>477</v>
      </c>
      <c r="D39" s="402" t="s">
        <v>478</v>
      </c>
      <c r="E39" s="403">
        <v>43646</v>
      </c>
      <c r="F39" s="360" t="s">
        <v>479</v>
      </c>
    </row>
    <row r="40" spans="2:6" ht="15" x14ac:dyDescent="0.25">
      <c r="B40" s="361">
        <v>56</v>
      </c>
      <c r="C40" s="402" t="s">
        <v>480</v>
      </c>
      <c r="D40" s="402" t="s">
        <v>481</v>
      </c>
      <c r="E40" s="403">
        <v>43646</v>
      </c>
      <c r="F40" s="360" t="s">
        <v>479</v>
      </c>
    </row>
    <row r="41" spans="2:6" ht="15" x14ac:dyDescent="0.25">
      <c r="B41" s="361">
        <v>210</v>
      </c>
      <c r="C41" s="402" t="s">
        <v>482</v>
      </c>
      <c r="D41" s="402" t="s">
        <v>483</v>
      </c>
      <c r="E41" s="403">
        <v>43646</v>
      </c>
      <c r="F41" s="360" t="s">
        <v>484</v>
      </c>
    </row>
    <row r="42" spans="2:6" ht="15" x14ac:dyDescent="0.25">
      <c r="B42" s="361">
        <v>176</v>
      </c>
      <c r="C42" s="402" t="s">
        <v>485</v>
      </c>
      <c r="D42" s="402" t="s">
        <v>486</v>
      </c>
      <c r="E42" s="403">
        <v>43683</v>
      </c>
      <c r="F42" s="360" t="s">
        <v>87</v>
      </c>
    </row>
    <row r="43" spans="2:6" ht="15" x14ac:dyDescent="0.25">
      <c r="B43" s="361">
        <v>156</v>
      </c>
      <c r="C43" s="402" t="s">
        <v>487</v>
      </c>
      <c r="D43" s="402" t="s">
        <v>416</v>
      </c>
      <c r="E43" s="403">
        <v>43708</v>
      </c>
      <c r="F43" s="360" t="s">
        <v>87</v>
      </c>
    </row>
    <row r="44" spans="2:6" ht="15" x14ac:dyDescent="0.25">
      <c r="B44" s="361">
        <v>287</v>
      </c>
      <c r="C44" s="402" t="s">
        <v>488</v>
      </c>
      <c r="D44" s="402" t="s">
        <v>489</v>
      </c>
      <c r="E44" s="403">
        <v>43708</v>
      </c>
      <c r="F44" s="360" t="s">
        <v>87</v>
      </c>
    </row>
    <row r="45" spans="2:6" ht="15" x14ac:dyDescent="0.25">
      <c r="B45" s="361">
        <v>268</v>
      </c>
      <c r="C45" s="402" t="s">
        <v>490</v>
      </c>
      <c r="D45" s="402" t="s">
        <v>491</v>
      </c>
      <c r="E45" s="403">
        <v>43727</v>
      </c>
      <c r="F45" s="360" t="s">
        <v>87</v>
      </c>
    </row>
    <row r="46" spans="2:6" ht="15" x14ac:dyDescent="0.25">
      <c r="B46" s="361">
        <v>248</v>
      </c>
      <c r="C46" s="402" t="s">
        <v>492</v>
      </c>
      <c r="D46" s="402" t="s">
        <v>493</v>
      </c>
      <c r="E46" s="403">
        <v>43769</v>
      </c>
      <c r="F46" s="360" t="s">
        <v>87</v>
      </c>
    </row>
    <row r="47" spans="2:6" ht="15" x14ac:dyDescent="0.25">
      <c r="B47" s="361">
        <v>191</v>
      </c>
      <c r="C47" s="402" t="s">
        <v>494</v>
      </c>
      <c r="D47" s="402" t="s">
        <v>495</v>
      </c>
      <c r="E47" s="403">
        <v>43817</v>
      </c>
      <c r="F47" s="360" t="s">
        <v>87</v>
      </c>
    </row>
    <row r="48" spans="2:6" ht="15" x14ac:dyDescent="0.25">
      <c r="B48" s="361">
        <v>290</v>
      </c>
      <c r="C48" s="402" t="s">
        <v>496</v>
      </c>
      <c r="D48" s="402" t="s">
        <v>481</v>
      </c>
      <c r="E48" s="403">
        <v>43823</v>
      </c>
      <c r="F48" s="360" t="s">
        <v>484</v>
      </c>
    </row>
    <row r="49" spans="2:6" ht="15" x14ac:dyDescent="0.25">
      <c r="B49" s="361">
        <v>27</v>
      </c>
      <c r="C49" s="402" t="s">
        <v>497</v>
      </c>
      <c r="D49" s="402" t="s">
        <v>438</v>
      </c>
      <c r="E49" s="403">
        <v>43830</v>
      </c>
      <c r="F49" s="360" t="s">
        <v>479</v>
      </c>
    </row>
    <row r="50" spans="2:6" ht="15" x14ac:dyDescent="0.25">
      <c r="B50" s="361">
        <v>31</v>
      </c>
      <c r="C50" s="402" t="s">
        <v>498</v>
      </c>
      <c r="D50" s="402" t="s">
        <v>499</v>
      </c>
      <c r="E50" s="403">
        <v>43830</v>
      </c>
      <c r="F50" s="360" t="s">
        <v>479</v>
      </c>
    </row>
    <row r="51" spans="2:6" ht="15" x14ac:dyDescent="0.25">
      <c r="B51" s="361">
        <v>47</v>
      </c>
      <c r="C51" s="402" t="s">
        <v>500</v>
      </c>
      <c r="D51" s="402" t="s">
        <v>501</v>
      </c>
      <c r="E51" s="403">
        <v>43830</v>
      </c>
      <c r="F51" s="360" t="s">
        <v>479</v>
      </c>
    </row>
    <row r="52" spans="2:6" x14ac:dyDescent="0.2">
      <c r="B52" s="380">
        <v>17</v>
      </c>
      <c r="C52" s="404" t="s">
        <v>502</v>
      </c>
      <c r="D52" s="404" t="s">
        <v>503</v>
      </c>
      <c r="E52" s="405">
        <v>43881</v>
      </c>
      <c r="F52" s="379" t="s">
        <v>380</v>
      </c>
    </row>
    <row r="53" spans="2:6" x14ac:dyDescent="0.2">
      <c r="B53" s="380">
        <v>247</v>
      </c>
      <c r="C53" s="404" t="s">
        <v>504</v>
      </c>
      <c r="D53" s="404" t="s">
        <v>505</v>
      </c>
      <c r="E53" s="405">
        <v>43889</v>
      </c>
      <c r="F53" s="379" t="s">
        <v>506</v>
      </c>
    </row>
    <row r="54" spans="2:6" x14ac:dyDescent="0.2">
      <c r="B54" s="380">
        <v>237</v>
      </c>
      <c r="C54" s="404" t="s">
        <v>507</v>
      </c>
      <c r="D54" s="404" t="s">
        <v>508</v>
      </c>
      <c r="E54" s="405">
        <v>43908</v>
      </c>
      <c r="F54" s="379" t="s">
        <v>380</v>
      </c>
    </row>
    <row r="55" spans="2:6" x14ac:dyDescent="0.2">
      <c r="B55" s="380">
        <v>93</v>
      </c>
      <c r="C55" s="404" t="s">
        <v>509</v>
      </c>
      <c r="D55" s="404" t="s">
        <v>438</v>
      </c>
      <c r="E55" s="405">
        <v>43918</v>
      </c>
      <c r="F55" s="379" t="s">
        <v>399</v>
      </c>
    </row>
    <row r="56" spans="2:6" x14ac:dyDescent="0.2">
      <c r="B56" s="380">
        <v>301</v>
      </c>
      <c r="C56" s="404" t="s">
        <v>510</v>
      </c>
      <c r="D56" s="404" t="s">
        <v>511</v>
      </c>
      <c r="E56" s="405">
        <v>43918</v>
      </c>
      <c r="F56" s="379" t="s">
        <v>506</v>
      </c>
    </row>
    <row r="57" spans="2:6" x14ac:dyDescent="0.2">
      <c r="B57" s="380">
        <v>302</v>
      </c>
      <c r="C57" s="404" t="s">
        <v>512</v>
      </c>
      <c r="D57" s="404" t="s">
        <v>513</v>
      </c>
      <c r="E57" s="405">
        <v>43918</v>
      </c>
      <c r="F57" s="379" t="s">
        <v>506</v>
      </c>
    </row>
    <row r="58" spans="2:6" x14ac:dyDescent="0.2">
      <c r="B58" s="380">
        <v>303</v>
      </c>
      <c r="C58" s="404" t="s">
        <v>514</v>
      </c>
      <c r="D58" s="404" t="s">
        <v>511</v>
      </c>
      <c r="E58" s="405">
        <v>43921</v>
      </c>
      <c r="F58" s="379" t="s">
        <v>506</v>
      </c>
    </row>
    <row r="59" spans="2:6" x14ac:dyDescent="0.2">
      <c r="B59" s="380">
        <v>311</v>
      </c>
      <c r="C59" s="404" t="s">
        <v>515</v>
      </c>
      <c r="D59" s="404" t="s">
        <v>516</v>
      </c>
      <c r="E59" s="405">
        <v>43921</v>
      </c>
      <c r="F59" s="379" t="s">
        <v>506</v>
      </c>
    </row>
    <row r="60" spans="2:6" x14ac:dyDescent="0.2">
      <c r="B60" s="380">
        <v>296</v>
      </c>
      <c r="C60" s="404" t="s">
        <v>517</v>
      </c>
      <c r="D60" s="404" t="s">
        <v>518</v>
      </c>
      <c r="E60" s="405">
        <v>43921</v>
      </c>
      <c r="F60" s="379" t="s">
        <v>506</v>
      </c>
    </row>
    <row r="61" spans="2:6" x14ac:dyDescent="0.2">
      <c r="B61" s="380">
        <v>321</v>
      </c>
      <c r="C61" s="404" t="s">
        <v>519</v>
      </c>
      <c r="D61" s="404" t="s">
        <v>520</v>
      </c>
      <c r="E61" s="405">
        <v>43951</v>
      </c>
      <c r="F61" s="379" t="s">
        <v>521</v>
      </c>
    </row>
    <row r="62" spans="2:6" x14ac:dyDescent="0.2">
      <c r="B62" s="380">
        <v>262</v>
      </c>
      <c r="C62" s="404" t="s">
        <v>522</v>
      </c>
      <c r="D62" s="404" t="s">
        <v>523</v>
      </c>
      <c r="E62" s="405">
        <v>43951</v>
      </c>
      <c r="F62" s="379" t="s">
        <v>506</v>
      </c>
    </row>
    <row r="63" spans="2:6" x14ac:dyDescent="0.2">
      <c r="B63" s="380">
        <v>28</v>
      </c>
      <c r="C63" s="404" t="s">
        <v>524</v>
      </c>
      <c r="D63" s="404" t="s">
        <v>525</v>
      </c>
      <c r="E63" s="405">
        <v>43968</v>
      </c>
      <c r="F63" s="379" t="s">
        <v>389</v>
      </c>
    </row>
    <row r="64" spans="2:6" x14ac:dyDescent="0.2">
      <c r="B64" s="380">
        <v>32</v>
      </c>
      <c r="C64" s="404" t="s">
        <v>526</v>
      </c>
      <c r="D64" s="404" t="s">
        <v>527</v>
      </c>
      <c r="E64" s="405">
        <v>43968</v>
      </c>
      <c r="F64" s="379" t="s">
        <v>389</v>
      </c>
    </row>
    <row r="65" spans="2:6" x14ac:dyDescent="0.2">
      <c r="B65" s="380">
        <v>40</v>
      </c>
      <c r="C65" s="404" t="s">
        <v>528</v>
      </c>
      <c r="D65" s="404" t="s">
        <v>529</v>
      </c>
      <c r="E65" s="405">
        <v>43968</v>
      </c>
      <c r="F65" s="379" t="s">
        <v>389</v>
      </c>
    </row>
    <row r="66" spans="2:6" x14ac:dyDescent="0.2">
      <c r="B66" s="380">
        <v>320</v>
      </c>
      <c r="C66" s="404" t="s">
        <v>530</v>
      </c>
      <c r="D66" s="404" t="s">
        <v>531</v>
      </c>
      <c r="E66" s="405">
        <v>43974</v>
      </c>
      <c r="F66" s="379" t="s">
        <v>506</v>
      </c>
    </row>
    <row r="67" spans="2:6" x14ac:dyDescent="0.2">
      <c r="B67" s="380">
        <v>48</v>
      </c>
      <c r="C67" s="404" t="s">
        <v>532</v>
      </c>
      <c r="D67" s="404" t="s">
        <v>533</v>
      </c>
      <c r="E67" s="405">
        <v>43978</v>
      </c>
      <c r="F67" s="379" t="s">
        <v>389</v>
      </c>
    </row>
    <row r="68" spans="2:6" x14ac:dyDescent="0.2">
      <c r="B68" s="380">
        <v>211</v>
      </c>
      <c r="C68" s="404" t="s">
        <v>534</v>
      </c>
      <c r="D68" s="404" t="s">
        <v>535</v>
      </c>
      <c r="E68" s="405">
        <v>43982</v>
      </c>
      <c r="F68" s="379" t="s">
        <v>87</v>
      </c>
    </row>
    <row r="69" spans="2:6" x14ac:dyDescent="0.2">
      <c r="B69" s="380">
        <v>310</v>
      </c>
      <c r="C69" s="404" t="s">
        <v>536</v>
      </c>
      <c r="D69" s="404" t="s">
        <v>537</v>
      </c>
      <c r="E69" s="405">
        <v>44012</v>
      </c>
      <c r="F69" s="379" t="s">
        <v>506</v>
      </c>
    </row>
    <row r="70" spans="2:6" x14ac:dyDescent="0.2">
      <c r="B70" s="380">
        <v>30</v>
      </c>
      <c r="C70" s="404" t="s">
        <v>538</v>
      </c>
      <c r="D70" s="404" t="s">
        <v>533</v>
      </c>
      <c r="E70" s="405">
        <v>44012</v>
      </c>
      <c r="F70" s="379" t="s">
        <v>539</v>
      </c>
    </row>
    <row r="71" spans="2:6" x14ac:dyDescent="0.2">
      <c r="B71" s="380">
        <v>213</v>
      </c>
      <c r="C71" s="404" t="s">
        <v>540</v>
      </c>
      <c r="D71" s="404" t="s">
        <v>541</v>
      </c>
      <c r="E71" s="405">
        <v>44082</v>
      </c>
      <c r="F71" s="379" t="s">
        <v>87</v>
      </c>
    </row>
    <row r="72" spans="2:6" x14ac:dyDescent="0.2">
      <c r="B72" s="380">
        <v>253</v>
      </c>
      <c r="C72" s="404" t="s">
        <v>542</v>
      </c>
      <c r="D72" s="404" t="s">
        <v>454</v>
      </c>
      <c r="E72" s="405">
        <v>44104</v>
      </c>
      <c r="F72" s="379" t="s">
        <v>521</v>
      </c>
    </row>
    <row r="73" spans="2:6" x14ac:dyDescent="0.2">
      <c r="B73" s="380">
        <v>76</v>
      </c>
      <c r="C73" s="404" t="s">
        <v>543</v>
      </c>
      <c r="D73" s="404" t="s">
        <v>544</v>
      </c>
      <c r="E73" s="405">
        <v>44135</v>
      </c>
      <c r="F73" s="379" t="s">
        <v>389</v>
      </c>
    </row>
    <row r="74" spans="2:6" x14ac:dyDescent="0.2">
      <c r="B74" s="380">
        <v>145</v>
      </c>
      <c r="C74" s="404" t="s">
        <v>545</v>
      </c>
      <c r="D74" s="404" t="s">
        <v>546</v>
      </c>
      <c r="E74" s="405">
        <v>44145</v>
      </c>
      <c r="F74" s="379" t="s">
        <v>87</v>
      </c>
    </row>
    <row r="75" spans="2:6" x14ac:dyDescent="0.2">
      <c r="B75" s="380">
        <v>308</v>
      </c>
      <c r="C75" s="404" t="s">
        <v>547</v>
      </c>
      <c r="D75" s="404" t="s">
        <v>548</v>
      </c>
      <c r="E75" s="405">
        <v>44196</v>
      </c>
      <c r="F75" s="379" t="s">
        <v>506</v>
      </c>
    </row>
    <row r="76" spans="2:6" x14ac:dyDescent="0.2">
      <c r="B76" s="406">
        <v>126</v>
      </c>
      <c r="C76" s="404" t="s">
        <v>549</v>
      </c>
      <c r="D76" s="404" t="s">
        <v>550</v>
      </c>
      <c r="E76" s="405">
        <v>44236</v>
      </c>
      <c r="F76" s="379" t="s">
        <v>551</v>
      </c>
    </row>
    <row r="77" spans="2:6" x14ac:dyDescent="0.2">
      <c r="B77" s="406">
        <v>84</v>
      </c>
      <c r="C77" s="404" t="s">
        <v>552</v>
      </c>
      <c r="D77" s="404" t="s">
        <v>553</v>
      </c>
      <c r="E77" s="405">
        <v>44246</v>
      </c>
      <c r="F77" s="379" t="s">
        <v>554</v>
      </c>
    </row>
    <row r="78" spans="2:6" x14ac:dyDescent="0.2">
      <c r="B78" s="406">
        <v>286</v>
      </c>
      <c r="C78" s="404" t="s">
        <v>555</v>
      </c>
      <c r="D78" s="404" t="s">
        <v>556</v>
      </c>
      <c r="E78" s="405">
        <v>44253</v>
      </c>
      <c r="F78" s="379" t="s">
        <v>551</v>
      </c>
    </row>
    <row r="79" spans="2:6" x14ac:dyDescent="0.2">
      <c r="B79" s="406">
        <v>89</v>
      </c>
      <c r="C79" s="404" t="s">
        <v>557</v>
      </c>
      <c r="D79" s="404" t="s">
        <v>558</v>
      </c>
      <c r="E79" s="405">
        <v>44258</v>
      </c>
      <c r="F79" s="379" t="s">
        <v>551</v>
      </c>
    </row>
    <row r="80" spans="2:6" x14ac:dyDescent="0.2">
      <c r="B80" s="406">
        <v>55</v>
      </c>
      <c r="C80" s="404" t="s">
        <v>559</v>
      </c>
      <c r="D80" s="404" t="s">
        <v>560</v>
      </c>
      <c r="E80" s="405">
        <v>44260</v>
      </c>
      <c r="F80" s="379" t="s">
        <v>554</v>
      </c>
    </row>
    <row r="81" spans="2:6" x14ac:dyDescent="0.2">
      <c r="B81" s="406">
        <v>66</v>
      </c>
      <c r="C81" s="404" t="s">
        <v>561</v>
      </c>
      <c r="D81" s="404" t="s">
        <v>438</v>
      </c>
      <c r="E81" s="405">
        <v>44263</v>
      </c>
      <c r="F81" s="379" t="s">
        <v>554</v>
      </c>
    </row>
    <row r="82" spans="2:6" x14ac:dyDescent="0.2">
      <c r="B82" s="406">
        <v>263</v>
      </c>
      <c r="C82" s="404" t="s">
        <v>562</v>
      </c>
      <c r="D82" s="404" t="s">
        <v>563</v>
      </c>
      <c r="E82" s="405">
        <v>44316</v>
      </c>
      <c r="F82" s="379" t="s">
        <v>564</v>
      </c>
    </row>
    <row r="83" spans="2:6" x14ac:dyDescent="0.2">
      <c r="B83" s="406">
        <v>267</v>
      </c>
      <c r="C83" s="404" t="s">
        <v>565</v>
      </c>
      <c r="D83" s="404" t="s">
        <v>566</v>
      </c>
      <c r="E83" s="405">
        <v>44328</v>
      </c>
      <c r="F83" s="379" t="s">
        <v>567</v>
      </c>
    </row>
    <row r="84" spans="2:6" x14ac:dyDescent="0.2">
      <c r="B84" s="406">
        <v>336</v>
      </c>
      <c r="C84" s="404" t="s">
        <v>455</v>
      </c>
      <c r="D84" s="404" t="s">
        <v>568</v>
      </c>
      <c r="E84" s="405">
        <v>44330</v>
      </c>
      <c r="F84" s="379" t="s">
        <v>569</v>
      </c>
    </row>
    <row r="85" spans="2:6" x14ac:dyDescent="0.2">
      <c r="B85" s="406">
        <v>149</v>
      </c>
      <c r="C85" s="404" t="s">
        <v>439</v>
      </c>
      <c r="D85" s="404" t="s">
        <v>438</v>
      </c>
      <c r="E85" s="405">
        <v>44355</v>
      </c>
      <c r="F85" s="379" t="s">
        <v>570</v>
      </c>
    </row>
    <row r="86" spans="2:6" x14ac:dyDescent="0.2">
      <c r="B86" s="406">
        <v>35</v>
      </c>
      <c r="C86" s="404" t="s">
        <v>571</v>
      </c>
      <c r="D86" s="404" t="s">
        <v>572</v>
      </c>
      <c r="E86" s="405">
        <v>44377</v>
      </c>
      <c r="F86" s="379" t="s">
        <v>479</v>
      </c>
    </row>
    <row r="87" spans="2:6" x14ac:dyDescent="0.2">
      <c r="B87" s="406">
        <v>189</v>
      </c>
      <c r="C87" s="404" t="s">
        <v>573</v>
      </c>
      <c r="D87" s="404" t="s">
        <v>574</v>
      </c>
      <c r="E87" s="405">
        <v>44377</v>
      </c>
      <c r="F87" s="379" t="s">
        <v>551</v>
      </c>
    </row>
    <row r="88" spans="2:6" x14ac:dyDescent="0.2">
      <c r="B88" s="406">
        <v>273</v>
      </c>
      <c r="C88" s="404" t="s">
        <v>575</v>
      </c>
      <c r="D88" s="404" t="s">
        <v>576</v>
      </c>
      <c r="E88" s="405">
        <v>44386</v>
      </c>
      <c r="F88" s="379" t="s">
        <v>551</v>
      </c>
    </row>
    <row r="89" spans="2:6" x14ac:dyDescent="0.2">
      <c r="B89" s="406">
        <v>13</v>
      </c>
      <c r="C89" s="404" t="s">
        <v>577</v>
      </c>
      <c r="D89" s="404" t="s">
        <v>578</v>
      </c>
      <c r="E89" s="405">
        <v>44408</v>
      </c>
      <c r="F89" s="379" t="s">
        <v>382</v>
      </c>
    </row>
    <row r="90" spans="2:6" x14ac:dyDescent="0.2">
      <c r="B90" s="406">
        <v>245</v>
      </c>
      <c r="C90" s="404" t="s">
        <v>579</v>
      </c>
      <c r="D90" s="404" t="s">
        <v>580</v>
      </c>
      <c r="E90" s="405">
        <v>44439</v>
      </c>
      <c r="F90" s="379" t="s">
        <v>581</v>
      </c>
    </row>
    <row r="91" spans="2:6" x14ac:dyDescent="0.2">
      <c r="B91" s="406">
        <v>255</v>
      </c>
      <c r="C91" s="404" t="s">
        <v>582</v>
      </c>
      <c r="D91" s="404" t="s">
        <v>583</v>
      </c>
      <c r="E91" s="405">
        <v>44498</v>
      </c>
      <c r="F91" s="379" t="s">
        <v>551</v>
      </c>
    </row>
    <row r="92" spans="2:6" x14ac:dyDescent="0.2">
      <c r="B92" s="406">
        <v>212</v>
      </c>
      <c r="C92" s="404" t="s">
        <v>584</v>
      </c>
      <c r="D92" s="404" t="s">
        <v>585</v>
      </c>
      <c r="E92" s="405">
        <v>44514</v>
      </c>
      <c r="F92" s="379" t="s">
        <v>551</v>
      </c>
    </row>
    <row r="93" spans="2:6" x14ac:dyDescent="0.2">
      <c r="B93" s="406">
        <v>335</v>
      </c>
      <c r="C93" s="407" t="s">
        <v>586</v>
      </c>
      <c r="D93" s="407" t="s">
        <v>587</v>
      </c>
      <c r="E93" s="405">
        <v>44545</v>
      </c>
      <c r="F93" s="379" t="s">
        <v>588</v>
      </c>
    </row>
    <row r="94" spans="2:6" x14ac:dyDescent="0.2">
      <c r="B94" s="406">
        <v>1</v>
      </c>
      <c r="C94" s="404" t="s">
        <v>589</v>
      </c>
      <c r="D94" s="404" t="s">
        <v>590</v>
      </c>
      <c r="E94" s="405">
        <v>44561</v>
      </c>
      <c r="F94" s="379" t="s">
        <v>479</v>
      </c>
    </row>
    <row r="95" spans="2:6" x14ac:dyDescent="0.2">
      <c r="B95" s="406">
        <v>61</v>
      </c>
      <c r="C95" s="404" t="s">
        <v>591</v>
      </c>
      <c r="D95" s="404" t="s">
        <v>592</v>
      </c>
      <c r="E95" s="405">
        <v>44561</v>
      </c>
      <c r="F95" s="379" t="s">
        <v>479</v>
      </c>
    </row>
    <row r="96" spans="2:6" x14ac:dyDescent="0.2">
      <c r="B96" s="406">
        <v>345</v>
      </c>
      <c r="C96" s="404" t="s">
        <v>593</v>
      </c>
      <c r="D96" s="404" t="s">
        <v>594</v>
      </c>
      <c r="E96" s="405">
        <v>44575</v>
      </c>
      <c r="F96" s="379" t="s">
        <v>588</v>
      </c>
    </row>
    <row r="97" spans="2:6" x14ac:dyDescent="0.2">
      <c r="B97" s="406">
        <v>341</v>
      </c>
      <c r="C97" s="404" t="s">
        <v>595</v>
      </c>
      <c r="D97" s="404" t="s">
        <v>596</v>
      </c>
      <c r="E97" s="405">
        <v>44576</v>
      </c>
      <c r="F97" s="379" t="s">
        <v>588</v>
      </c>
    </row>
    <row r="98" spans="2:6" x14ac:dyDescent="0.2">
      <c r="B98" s="406">
        <v>220</v>
      </c>
      <c r="C98" s="404" t="s">
        <v>597</v>
      </c>
      <c r="D98" s="404" t="s">
        <v>598</v>
      </c>
      <c r="E98" s="405">
        <v>44578</v>
      </c>
      <c r="F98" s="379" t="s">
        <v>87</v>
      </c>
    </row>
    <row r="99" spans="2:6" x14ac:dyDescent="0.2">
      <c r="B99" s="406">
        <v>223</v>
      </c>
      <c r="C99" s="404" t="s">
        <v>599</v>
      </c>
      <c r="D99" s="404" t="s">
        <v>600</v>
      </c>
      <c r="E99" s="405">
        <v>44582</v>
      </c>
      <c r="F99" s="379" t="s">
        <v>87</v>
      </c>
    </row>
    <row r="100" spans="2:6" x14ac:dyDescent="0.2">
      <c r="B100" s="406">
        <v>306</v>
      </c>
      <c r="C100" s="404" t="s">
        <v>601</v>
      </c>
      <c r="D100" s="404" t="s">
        <v>602</v>
      </c>
      <c r="E100" s="405">
        <v>44586</v>
      </c>
      <c r="F100" s="379" t="s">
        <v>87</v>
      </c>
    </row>
    <row r="101" spans="2:6" x14ac:dyDescent="0.2">
      <c r="B101" s="406">
        <v>351</v>
      </c>
      <c r="C101" s="404" t="s">
        <v>603</v>
      </c>
      <c r="D101" s="404" t="s">
        <v>604</v>
      </c>
      <c r="E101" s="405">
        <v>44596</v>
      </c>
      <c r="F101" s="379" t="s">
        <v>588</v>
      </c>
    </row>
    <row r="102" spans="2:6" x14ac:dyDescent="0.2">
      <c r="B102" s="406">
        <v>317</v>
      </c>
      <c r="C102" s="404" t="s">
        <v>605</v>
      </c>
      <c r="D102" s="404" t="s">
        <v>606</v>
      </c>
      <c r="E102" s="405">
        <v>44602</v>
      </c>
      <c r="F102" s="379" t="s">
        <v>87</v>
      </c>
    </row>
    <row r="103" spans="2:6" x14ac:dyDescent="0.2">
      <c r="B103" s="406">
        <v>277</v>
      </c>
      <c r="C103" s="404" t="s">
        <v>607</v>
      </c>
      <c r="D103" s="404" t="s">
        <v>608</v>
      </c>
      <c r="E103" s="405">
        <v>44607</v>
      </c>
      <c r="F103" s="379" t="s">
        <v>87</v>
      </c>
    </row>
    <row r="104" spans="2:6" x14ac:dyDescent="0.2">
      <c r="B104" s="406">
        <v>337</v>
      </c>
      <c r="C104" s="404" t="s">
        <v>609</v>
      </c>
      <c r="D104" s="404" t="s">
        <v>610</v>
      </c>
      <c r="E104" s="405">
        <v>44615</v>
      </c>
      <c r="F104" s="379" t="s">
        <v>87</v>
      </c>
    </row>
    <row r="105" spans="2:6" x14ac:dyDescent="0.2">
      <c r="B105" s="406">
        <v>352</v>
      </c>
      <c r="C105" s="404" t="s">
        <v>611</v>
      </c>
      <c r="D105" s="404" t="s">
        <v>612</v>
      </c>
      <c r="E105" s="405">
        <v>44620</v>
      </c>
      <c r="F105" s="379" t="s">
        <v>408</v>
      </c>
    </row>
    <row r="106" spans="2:6" x14ac:dyDescent="0.2">
      <c r="B106" s="406">
        <v>307</v>
      </c>
      <c r="C106" s="407" t="s">
        <v>613</v>
      </c>
      <c r="D106" s="407" t="s">
        <v>614</v>
      </c>
      <c r="E106" s="405">
        <v>44651</v>
      </c>
      <c r="F106" s="379" t="s">
        <v>87</v>
      </c>
    </row>
    <row r="107" spans="2:6" x14ac:dyDescent="0.2">
      <c r="B107" s="406">
        <v>316</v>
      </c>
      <c r="C107" s="407" t="s">
        <v>615</v>
      </c>
      <c r="D107" s="407" t="s">
        <v>616</v>
      </c>
      <c r="E107" s="405">
        <v>44652</v>
      </c>
      <c r="F107" s="379" t="s">
        <v>87</v>
      </c>
    </row>
    <row r="108" spans="2:6" x14ac:dyDescent="0.2">
      <c r="B108" s="406">
        <v>242</v>
      </c>
      <c r="C108" s="407" t="s">
        <v>617</v>
      </c>
      <c r="D108" s="407" t="s">
        <v>618</v>
      </c>
      <c r="E108" s="405">
        <v>44652</v>
      </c>
      <c r="F108" s="379" t="s">
        <v>87</v>
      </c>
    </row>
    <row r="109" spans="2:6" x14ac:dyDescent="0.2">
      <c r="B109" s="406">
        <v>159</v>
      </c>
      <c r="C109" s="404" t="s">
        <v>619</v>
      </c>
      <c r="D109" s="404" t="s">
        <v>620</v>
      </c>
      <c r="E109" s="405">
        <v>44655</v>
      </c>
      <c r="F109" s="379" t="s">
        <v>87</v>
      </c>
    </row>
    <row r="110" spans="2:6" x14ac:dyDescent="0.2">
      <c r="B110" s="406">
        <v>266</v>
      </c>
      <c r="C110" s="404" t="s">
        <v>621</v>
      </c>
      <c r="D110" s="404" t="s">
        <v>622</v>
      </c>
      <c r="E110" s="405">
        <v>44677</v>
      </c>
      <c r="F110" s="379" t="s">
        <v>87</v>
      </c>
    </row>
    <row r="111" spans="2:6" x14ac:dyDescent="0.2">
      <c r="B111" s="406">
        <v>280</v>
      </c>
      <c r="C111" s="404" t="s">
        <v>623</v>
      </c>
      <c r="D111" s="404" t="s">
        <v>624</v>
      </c>
      <c r="E111" s="405">
        <v>44680</v>
      </c>
      <c r="F111" s="379" t="s">
        <v>87</v>
      </c>
    </row>
    <row r="112" spans="2:6" x14ac:dyDescent="0.2">
      <c r="B112" s="406">
        <v>332</v>
      </c>
      <c r="C112" s="404" t="s">
        <v>625</v>
      </c>
      <c r="D112" s="404" t="s">
        <v>626</v>
      </c>
      <c r="E112" s="405">
        <v>44701</v>
      </c>
      <c r="F112" s="379" t="s">
        <v>87</v>
      </c>
    </row>
    <row r="113" spans="2:6" x14ac:dyDescent="0.2">
      <c r="B113" s="406">
        <v>355</v>
      </c>
      <c r="C113" s="407" t="s">
        <v>627</v>
      </c>
      <c r="D113" s="407" t="s">
        <v>628</v>
      </c>
      <c r="E113" s="405">
        <v>44712</v>
      </c>
      <c r="F113" s="379" t="s">
        <v>87</v>
      </c>
    </row>
    <row r="114" spans="2:6" x14ac:dyDescent="0.2">
      <c r="B114" s="406">
        <v>3</v>
      </c>
      <c r="C114" s="404" t="s">
        <v>629</v>
      </c>
      <c r="D114" s="404" t="s">
        <v>630</v>
      </c>
      <c r="E114" s="405">
        <v>44740</v>
      </c>
      <c r="F114" s="379" t="s">
        <v>87</v>
      </c>
    </row>
    <row r="115" spans="2:6" x14ac:dyDescent="0.2">
      <c r="B115" s="406">
        <v>78</v>
      </c>
      <c r="C115" s="404" t="s">
        <v>631</v>
      </c>
      <c r="D115" s="404" t="s">
        <v>632</v>
      </c>
      <c r="E115" s="405">
        <v>44773</v>
      </c>
      <c r="F115" s="379" t="s">
        <v>389</v>
      </c>
    </row>
    <row r="116" spans="2:6" x14ac:dyDescent="0.2">
      <c r="B116" s="406">
        <v>20</v>
      </c>
      <c r="C116" s="404" t="s">
        <v>633</v>
      </c>
      <c r="D116" s="404" t="s">
        <v>634</v>
      </c>
      <c r="E116" s="405">
        <v>44779</v>
      </c>
      <c r="F116" s="379" t="s">
        <v>87</v>
      </c>
    </row>
    <row r="117" spans="2:6" x14ac:dyDescent="0.2">
      <c r="B117" s="406">
        <v>282</v>
      </c>
      <c r="C117" s="404" t="s">
        <v>635</v>
      </c>
      <c r="D117" s="404" t="s">
        <v>636</v>
      </c>
      <c r="E117" s="405">
        <v>44799</v>
      </c>
      <c r="F117" s="379" t="s">
        <v>87</v>
      </c>
    </row>
    <row r="118" spans="2:6" x14ac:dyDescent="0.2">
      <c r="B118" s="406">
        <v>215</v>
      </c>
      <c r="C118" s="404" t="s">
        <v>637</v>
      </c>
      <c r="D118" s="404" t="s">
        <v>638</v>
      </c>
      <c r="E118" s="405">
        <v>44804</v>
      </c>
      <c r="F118" s="379" t="s">
        <v>87</v>
      </c>
    </row>
    <row r="119" spans="2:6" x14ac:dyDescent="0.2">
      <c r="B119" s="406">
        <v>265</v>
      </c>
      <c r="C119" s="404" t="s">
        <v>639</v>
      </c>
      <c r="D119" s="404" t="s">
        <v>640</v>
      </c>
      <c r="E119" s="405">
        <v>44817</v>
      </c>
      <c r="F119" s="379" t="s">
        <v>87</v>
      </c>
    </row>
    <row r="120" spans="2:6" x14ac:dyDescent="0.2">
      <c r="B120" s="406">
        <v>363</v>
      </c>
      <c r="C120" s="404" t="s">
        <v>641</v>
      </c>
      <c r="D120" s="404" t="s">
        <v>642</v>
      </c>
      <c r="E120" s="405">
        <v>44833</v>
      </c>
      <c r="F120" s="379" t="s">
        <v>408</v>
      </c>
    </row>
    <row r="121" spans="2:6" x14ac:dyDescent="0.2">
      <c r="B121" s="406">
        <v>357</v>
      </c>
      <c r="C121" s="404" t="s">
        <v>643</v>
      </c>
      <c r="D121" s="404" t="s">
        <v>644</v>
      </c>
      <c r="E121" s="405">
        <v>44844</v>
      </c>
      <c r="F121" s="379" t="s">
        <v>87</v>
      </c>
    </row>
    <row r="122" spans="2:6" x14ac:dyDescent="0.2">
      <c r="B122" s="406">
        <v>170</v>
      </c>
      <c r="C122" s="404" t="s">
        <v>645</v>
      </c>
      <c r="D122" s="404" t="s">
        <v>646</v>
      </c>
      <c r="E122" s="405">
        <v>44845</v>
      </c>
      <c r="F122" s="379" t="s">
        <v>87</v>
      </c>
    </row>
    <row r="123" spans="2:6" x14ac:dyDescent="0.2">
      <c r="B123" s="406">
        <v>62</v>
      </c>
      <c r="C123" s="404" t="s">
        <v>647</v>
      </c>
      <c r="D123" s="404" t="s">
        <v>648</v>
      </c>
      <c r="E123" s="405">
        <v>44926</v>
      </c>
      <c r="F123" s="379" t="s">
        <v>465</v>
      </c>
    </row>
    <row r="124" spans="2:6" x14ac:dyDescent="0.2">
      <c r="B124" s="406">
        <v>85</v>
      </c>
      <c r="C124" s="404" t="s">
        <v>649</v>
      </c>
      <c r="D124" s="404" t="s">
        <v>650</v>
      </c>
      <c r="E124" s="405">
        <v>44926</v>
      </c>
      <c r="F124" s="379" t="s">
        <v>465</v>
      </c>
    </row>
    <row r="125" spans="2:6" x14ac:dyDescent="0.2">
      <c r="B125" s="406">
        <v>175</v>
      </c>
      <c r="C125" s="404" t="s">
        <v>651</v>
      </c>
      <c r="D125" s="404" t="s">
        <v>652</v>
      </c>
      <c r="E125" s="405">
        <v>44926</v>
      </c>
      <c r="F125" s="379" t="s">
        <v>465</v>
      </c>
    </row>
    <row r="126" spans="2:6" x14ac:dyDescent="0.2">
      <c r="B126" s="406">
        <v>270</v>
      </c>
      <c r="C126" s="404" t="s">
        <v>653</v>
      </c>
      <c r="D126" s="404" t="s">
        <v>654</v>
      </c>
      <c r="E126" s="405">
        <v>44926</v>
      </c>
      <c r="F126" s="379" t="s">
        <v>465</v>
      </c>
    </row>
    <row r="127" spans="2:6" x14ac:dyDescent="0.2">
      <c r="B127" s="406">
        <v>8</v>
      </c>
      <c r="C127" s="404" t="s">
        <v>655</v>
      </c>
      <c r="D127" s="404" t="s">
        <v>656</v>
      </c>
      <c r="E127" s="405">
        <v>44960</v>
      </c>
      <c r="F127" s="379" t="s">
        <v>87</v>
      </c>
    </row>
    <row r="128" spans="2:6" x14ac:dyDescent="0.2">
      <c r="B128" s="406">
        <v>368</v>
      </c>
      <c r="C128" s="404" t="s">
        <v>657</v>
      </c>
      <c r="D128" s="404" t="s">
        <v>132</v>
      </c>
      <c r="E128" s="405">
        <v>44952</v>
      </c>
      <c r="F128" s="379" t="s">
        <v>506</v>
      </c>
    </row>
    <row r="129" spans="2:6" x14ac:dyDescent="0.2">
      <c r="B129" s="406">
        <v>376</v>
      </c>
      <c r="C129" s="404" t="s">
        <v>658</v>
      </c>
      <c r="D129" s="404" t="s">
        <v>110</v>
      </c>
      <c r="E129" s="405">
        <v>45016</v>
      </c>
      <c r="F129" s="379" t="s">
        <v>87</v>
      </c>
    </row>
    <row r="130" spans="2:6" x14ac:dyDescent="0.2">
      <c r="B130" s="406">
        <v>381</v>
      </c>
      <c r="C130" s="404" t="s">
        <v>659</v>
      </c>
      <c r="D130" s="404" t="s">
        <v>660</v>
      </c>
      <c r="E130" s="405">
        <v>45034</v>
      </c>
      <c r="F130" s="379" t="s">
        <v>408</v>
      </c>
    </row>
    <row r="131" spans="2:6" x14ac:dyDescent="0.2">
      <c r="B131" s="406">
        <v>264</v>
      </c>
      <c r="C131" s="408" t="s">
        <v>661</v>
      </c>
      <c r="D131" s="404" t="s">
        <v>105</v>
      </c>
      <c r="E131" s="405">
        <v>45046</v>
      </c>
      <c r="F131" s="379" t="s">
        <v>662</v>
      </c>
    </row>
    <row r="132" spans="2:6" x14ac:dyDescent="0.2">
      <c r="B132" s="406">
        <v>377</v>
      </c>
      <c r="C132" s="408" t="s">
        <v>663</v>
      </c>
      <c r="D132" s="404" t="s">
        <v>664</v>
      </c>
      <c r="E132" s="405">
        <v>45081</v>
      </c>
      <c r="F132" s="379" t="s">
        <v>506</v>
      </c>
    </row>
    <row r="133" spans="2:6" x14ac:dyDescent="0.2">
      <c r="B133" s="406">
        <v>304</v>
      </c>
      <c r="C133" s="404" t="s">
        <v>665</v>
      </c>
      <c r="D133" s="404" t="s">
        <v>666</v>
      </c>
      <c r="E133" s="405">
        <v>45084</v>
      </c>
      <c r="F133" s="379" t="s">
        <v>87</v>
      </c>
    </row>
    <row r="134" spans="2:6" x14ac:dyDescent="0.2">
      <c r="B134" s="406">
        <v>309</v>
      </c>
      <c r="C134" s="404" t="s">
        <v>667</v>
      </c>
      <c r="D134" s="404" t="s">
        <v>103</v>
      </c>
      <c r="E134" s="405">
        <v>45106</v>
      </c>
      <c r="F134" s="379" t="s">
        <v>87</v>
      </c>
    </row>
    <row r="135" spans="2:6" x14ac:dyDescent="0.2">
      <c r="B135" s="406">
        <v>51</v>
      </c>
      <c r="C135" s="404" t="s">
        <v>668</v>
      </c>
      <c r="D135" s="404" t="s">
        <v>669</v>
      </c>
      <c r="E135" s="405">
        <v>45107</v>
      </c>
      <c r="F135" s="379" t="s">
        <v>465</v>
      </c>
    </row>
    <row r="136" spans="2:6" x14ac:dyDescent="0.2">
      <c r="B136" s="406">
        <v>384</v>
      </c>
      <c r="C136" s="404" t="s">
        <v>670</v>
      </c>
      <c r="D136" s="404" t="s">
        <v>671</v>
      </c>
      <c r="E136" s="405">
        <v>45126</v>
      </c>
      <c r="F136" s="379" t="s">
        <v>506</v>
      </c>
    </row>
    <row r="137" spans="2:6" x14ac:dyDescent="0.2">
      <c r="B137" s="406">
        <v>230</v>
      </c>
      <c r="C137" s="404" t="s">
        <v>672</v>
      </c>
      <c r="D137" s="404" t="s">
        <v>125</v>
      </c>
      <c r="E137" s="405">
        <v>45142</v>
      </c>
      <c r="F137" s="379" t="s">
        <v>87</v>
      </c>
    </row>
    <row r="138" spans="2:6" x14ac:dyDescent="0.2">
      <c r="B138" s="406">
        <v>367</v>
      </c>
      <c r="C138" s="407" t="s">
        <v>673</v>
      </c>
      <c r="D138" s="407" t="s">
        <v>674</v>
      </c>
      <c r="E138" s="405">
        <v>45149</v>
      </c>
      <c r="F138" s="379" t="s">
        <v>87</v>
      </c>
    </row>
    <row r="139" spans="2:6" x14ac:dyDescent="0.2">
      <c r="B139" s="406">
        <v>312</v>
      </c>
      <c r="C139" s="407" t="s">
        <v>675</v>
      </c>
      <c r="D139" s="407" t="s">
        <v>676</v>
      </c>
      <c r="E139" s="405">
        <v>45152</v>
      </c>
      <c r="F139" s="379" t="s">
        <v>87</v>
      </c>
    </row>
    <row r="140" spans="2:6" x14ac:dyDescent="0.2">
      <c r="B140" s="406">
        <v>107</v>
      </c>
      <c r="C140" s="407" t="s">
        <v>677</v>
      </c>
      <c r="D140" s="407" t="s">
        <v>438</v>
      </c>
      <c r="E140" s="405">
        <v>45168</v>
      </c>
      <c r="F140" s="379" t="s">
        <v>399</v>
      </c>
    </row>
    <row r="141" spans="2:6" x14ac:dyDescent="0.2">
      <c r="B141" s="406">
        <v>209</v>
      </c>
      <c r="C141" s="404" t="s">
        <v>678</v>
      </c>
      <c r="D141" s="404" t="s">
        <v>679</v>
      </c>
      <c r="E141" s="405">
        <v>45181</v>
      </c>
      <c r="F141" s="379" t="s">
        <v>87</v>
      </c>
    </row>
    <row r="142" spans="2:6" x14ac:dyDescent="0.2">
      <c r="B142" s="406">
        <v>254</v>
      </c>
      <c r="C142" s="404" t="s">
        <v>680</v>
      </c>
      <c r="D142" s="404" t="s">
        <v>681</v>
      </c>
      <c r="E142" s="405">
        <v>45191</v>
      </c>
      <c r="F142" s="379" t="s">
        <v>87</v>
      </c>
    </row>
    <row r="143" spans="2:6" x14ac:dyDescent="0.2">
      <c r="B143" s="406">
        <v>231</v>
      </c>
      <c r="C143" s="404" t="s">
        <v>682</v>
      </c>
      <c r="D143" s="404" t="s">
        <v>683</v>
      </c>
      <c r="E143" s="405">
        <v>45197</v>
      </c>
      <c r="F143" s="379" t="s">
        <v>380</v>
      </c>
    </row>
    <row r="144" spans="2:6" x14ac:dyDescent="0.2">
      <c r="B144" s="406">
        <v>9</v>
      </c>
      <c r="C144" s="407" t="s">
        <v>684</v>
      </c>
      <c r="D144" s="407" t="s">
        <v>685</v>
      </c>
      <c r="E144" s="405">
        <v>45197</v>
      </c>
      <c r="F144" s="379" t="s">
        <v>380</v>
      </c>
    </row>
    <row r="145" spans="2:6" x14ac:dyDescent="0.2">
      <c r="B145" s="406">
        <v>393</v>
      </c>
      <c r="C145" s="404" t="s">
        <v>686</v>
      </c>
      <c r="D145" s="404" t="s">
        <v>687</v>
      </c>
      <c r="E145" s="405">
        <v>45275</v>
      </c>
      <c r="F145" s="379" t="s">
        <v>506</v>
      </c>
    </row>
    <row r="146" spans="2:6" x14ac:dyDescent="0.2">
      <c r="B146" s="406">
        <v>137</v>
      </c>
      <c r="C146" s="407" t="s">
        <v>688</v>
      </c>
      <c r="D146" s="407" t="s">
        <v>142</v>
      </c>
      <c r="E146" s="405">
        <v>45281</v>
      </c>
      <c r="F146" s="379" t="s">
        <v>87</v>
      </c>
    </row>
    <row r="147" spans="2:6" x14ac:dyDescent="0.2">
      <c r="B147" s="406">
        <v>26</v>
      </c>
      <c r="C147" s="407" t="s">
        <v>689</v>
      </c>
      <c r="D147" s="407" t="s">
        <v>690</v>
      </c>
      <c r="E147" s="405">
        <v>45291</v>
      </c>
      <c r="F147" s="379" t="s">
        <v>465</v>
      </c>
    </row>
    <row r="148" spans="2:6" x14ac:dyDescent="0.2">
      <c r="B148" s="406">
        <v>50</v>
      </c>
      <c r="C148" s="407" t="s">
        <v>691</v>
      </c>
      <c r="D148" s="407" t="s">
        <v>692</v>
      </c>
      <c r="E148" s="405">
        <v>45291</v>
      </c>
      <c r="F148" s="379" t="s">
        <v>465</v>
      </c>
    </row>
    <row r="149" spans="2:6" x14ac:dyDescent="0.2">
      <c r="B149" s="406">
        <v>338</v>
      </c>
      <c r="C149" s="404" t="s">
        <v>693</v>
      </c>
      <c r="D149" s="404" t="s">
        <v>694</v>
      </c>
      <c r="E149" s="405">
        <v>45331</v>
      </c>
      <c r="F149" s="379" t="s">
        <v>87</v>
      </c>
    </row>
    <row r="150" spans="2:6" x14ac:dyDescent="0.2">
      <c r="B150" s="406">
        <v>398</v>
      </c>
      <c r="C150" s="404" t="s">
        <v>695</v>
      </c>
      <c r="D150" s="404" t="s">
        <v>696</v>
      </c>
      <c r="E150" s="405">
        <v>45350</v>
      </c>
      <c r="F150" s="379" t="s">
        <v>506</v>
      </c>
    </row>
    <row r="151" spans="2:6" x14ac:dyDescent="0.2">
      <c r="B151" s="406">
        <v>271</v>
      </c>
      <c r="C151" s="404" t="s">
        <v>697</v>
      </c>
      <c r="D151" s="404" t="s">
        <v>698</v>
      </c>
      <c r="E151" s="405">
        <v>45351</v>
      </c>
      <c r="F151" s="379" t="s">
        <v>87</v>
      </c>
    </row>
    <row r="152" spans="2:6" x14ac:dyDescent="0.2">
      <c r="B152" s="406">
        <v>402</v>
      </c>
      <c r="C152" s="404" t="s">
        <v>699</v>
      </c>
      <c r="D152" s="404" t="s">
        <v>700</v>
      </c>
      <c r="E152" s="405">
        <v>45352</v>
      </c>
      <c r="F152" s="379" t="s">
        <v>506</v>
      </c>
    </row>
    <row r="153" spans="2:6" x14ac:dyDescent="0.2">
      <c r="B153" s="406">
        <v>404</v>
      </c>
      <c r="C153" s="404" t="s">
        <v>701</v>
      </c>
      <c r="D153" s="404" t="s">
        <v>702</v>
      </c>
      <c r="E153" s="405">
        <v>45382</v>
      </c>
      <c r="F153" s="379" t="s">
        <v>506</v>
      </c>
    </row>
    <row r="154" spans="2:6" x14ac:dyDescent="0.2">
      <c r="B154" s="406">
        <v>405</v>
      </c>
      <c r="C154" s="408" t="s">
        <v>703</v>
      </c>
      <c r="D154" s="404" t="s">
        <v>664</v>
      </c>
      <c r="E154" s="405">
        <v>45390</v>
      </c>
      <c r="F154" s="379" t="s">
        <v>506</v>
      </c>
    </row>
    <row r="155" spans="2:6" x14ac:dyDescent="0.2">
      <c r="B155" s="406">
        <v>251</v>
      </c>
      <c r="C155" s="408" t="s">
        <v>704</v>
      </c>
      <c r="D155" s="409" t="s">
        <v>705</v>
      </c>
      <c r="E155" s="405">
        <v>45391</v>
      </c>
      <c r="F155" s="379" t="s">
        <v>399</v>
      </c>
    </row>
    <row r="156" spans="2:6" x14ac:dyDescent="0.2">
      <c r="B156" s="406">
        <v>391</v>
      </c>
      <c r="C156" s="404" t="s">
        <v>706</v>
      </c>
      <c r="D156" s="404" t="s">
        <v>149</v>
      </c>
      <c r="E156" s="405">
        <v>45401</v>
      </c>
      <c r="F156" s="379" t="s">
        <v>87</v>
      </c>
    </row>
    <row r="157" spans="2:6" x14ac:dyDescent="0.2">
      <c r="B157" s="406">
        <v>411</v>
      </c>
      <c r="C157" s="404" t="s">
        <v>707</v>
      </c>
      <c r="D157" s="404" t="s">
        <v>132</v>
      </c>
      <c r="E157" s="405">
        <v>45429</v>
      </c>
      <c r="F157" s="379" t="s">
        <v>506</v>
      </c>
    </row>
    <row r="158" spans="2:6" x14ac:dyDescent="0.2">
      <c r="B158" s="406">
        <v>423</v>
      </c>
      <c r="C158" s="404" t="s">
        <v>708</v>
      </c>
      <c r="D158" s="404" t="s">
        <v>702</v>
      </c>
      <c r="E158" s="405">
        <v>45435</v>
      </c>
      <c r="F158" s="379" t="s">
        <v>87</v>
      </c>
    </row>
    <row r="159" spans="2:6" x14ac:dyDescent="0.2">
      <c r="B159" s="406">
        <v>342</v>
      </c>
      <c r="C159" s="404" t="s">
        <v>709</v>
      </c>
      <c r="D159" s="404" t="s">
        <v>578</v>
      </c>
      <c r="E159" s="405">
        <v>45458</v>
      </c>
      <c r="F159" s="379"/>
    </row>
    <row r="160" spans="2:6" x14ac:dyDescent="0.2">
      <c r="B160" s="406">
        <v>346</v>
      </c>
      <c r="C160" s="404" t="s">
        <v>710</v>
      </c>
      <c r="D160" s="404" t="s">
        <v>711</v>
      </c>
      <c r="E160" s="405">
        <v>45473</v>
      </c>
      <c r="F160" s="379" t="s">
        <v>87</v>
      </c>
    </row>
    <row r="161" spans="2:6" x14ac:dyDescent="0.2">
      <c r="B161" s="406">
        <v>25</v>
      </c>
      <c r="C161" s="404" t="s">
        <v>712</v>
      </c>
      <c r="D161" s="404" t="s">
        <v>713</v>
      </c>
      <c r="E161" s="405">
        <v>45473</v>
      </c>
      <c r="F161" s="379" t="s">
        <v>465</v>
      </c>
    </row>
    <row r="162" spans="2:6" x14ac:dyDescent="0.2">
      <c r="B162" s="406">
        <v>43</v>
      </c>
      <c r="C162" s="407" t="s">
        <v>714</v>
      </c>
      <c r="D162" s="407" t="s">
        <v>438</v>
      </c>
      <c r="E162" s="405">
        <v>45473</v>
      </c>
      <c r="F162" s="379" t="s">
        <v>465</v>
      </c>
    </row>
    <row r="163" spans="2:6" x14ac:dyDescent="0.2">
      <c r="B163" s="406">
        <v>44</v>
      </c>
      <c r="C163" s="407" t="s">
        <v>715</v>
      </c>
      <c r="D163" s="407" t="s">
        <v>508</v>
      </c>
      <c r="E163" s="405">
        <v>45473</v>
      </c>
      <c r="F163" s="379" t="s">
        <v>465</v>
      </c>
    </row>
    <row r="164" spans="2:6" x14ac:dyDescent="0.2">
      <c r="B164" s="406">
        <v>60</v>
      </c>
      <c r="C164" s="407" t="s">
        <v>716</v>
      </c>
      <c r="D164" s="407" t="s">
        <v>717</v>
      </c>
      <c r="E164" s="405">
        <v>45473</v>
      </c>
      <c r="F164" s="379" t="s">
        <v>465</v>
      </c>
    </row>
    <row r="165" spans="2:6" x14ac:dyDescent="0.2">
      <c r="B165" s="406">
        <v>409</v>
      </c>
      <c r="C165" s="404" t="s">
        <v>718</v>
      </c>
      <c r="D165" s="404" t="s">
        <v>719</v>
      </c>
      <c r="E165" s="405">
        <v>45474</v>
      </c>
      <c r="F165" s="379" t="s">
        <v>506</v>
      </c>
    </row>
    <row r="166" spans="2:6" x14ac:dyDescent="0.2">
      <c r="B166" s="406">
        <v>353</v>
      </c>
      <c r="C166" s="404" t="s">
        <v>720</v>
      </c>
      <c r="D166" s="404" t="s">
        <v>721</v>
      </c>
      <c r="E166" s="405">
        <v>45505</v>
      </c>
      <c r="F166" s="379" t="s">
        <v>87</v>
      </c>
    </row>
    <row r="167" spans="2:6" x14ac:dyDescent="0.2">
      <c r="B167" s="406">
        <v>344</v>
      </c>
      <c r="C167" s="404" t="s">
        <v>722</v>
      </c>
      <c r="D167" s="404" t="s">
        <v>445</v>
      </c>
      <c r="E167" s="405">
        <v>45535</v>
      </c>
      <c r="F167" s="379"/>
    </row>
    <row r="168" spans="2:6" x14ac:dyDescent="0.2">
      <c r="B168" s="406">
        <v>140</v>
      </c>
      <c r="C168" s="407" t="s">
        <v>723</v>
      </c>
      <c r="D168" s="407" t="s">
        <v>160</v>
      </c>
      <c r="E168" s="405">
        <v>45568</v>
      </c>
      <c r="F168" s="379" t="s">
        <v>87</v>
      </c>
    </row>
    <row r="169" spans="2:6" x14ac:dyDescent="0.2">
      <c r="B169" s="406">
        <v>432</v>
      </c>
      <c r="C169" s="404" t="s">
        <v>724</v>
      </c>
      <c r="D169" s="407" t="s">
        <v>725</v>
      </c>
      <c r="E169" s="405">
        <v>45602</v>
      </c>
      <c r="F169" s="379" t="s">
        <v>726</v>
      </c>
    </row>
    <row r="170" spans="2:6" x14ac:dyDescent="0.2">
      <c r="B170" s="406">
        <v>426</v>
      </c>
      <c r="C170" s="404" t="s">
        <v>727</v>
      </c>
      <c r="D170" s="407" t="s">
        <v>728</v>
      </c>
      <c r="E170" s="405">
        <v>45608</v>
      </c>
      <c r="F170" s="379" t="s">
        <v>87</v>
      </c>
    </row>
    <row r="171" spans="2:6" x14ac:dyDescent="0.2">
      <c r="B171" s="406">
        <v>419</v>
      </c>
      <c r="C171" s="404" t="s">
        <v>729</v>
      </c>
      <c r="D171" s="407" t="s">
        <v>730</v>
      </c>
      <c r="E171" s="405">
        <v>45634</v>
      </c>
      <c r="F171" s="379" t="s">
        <v>506</v>
      </c>
    </row>
    <row r="172" spans="2:6" x14ac:dyDescent="0.2">
      <c r="B172" s="406">
        <v>347</v>
      </c>
      <c r="C172" s="404" t="s">
        <v>731</v>
      </c>
      <c r="D172" s="407" t="s">
        <v>732</v>
      </c>
      <c r="E172" s="405">
        <v>45637</v>
      </c>
      <c r="F172" s="379" t="s">
        <v>87</v>
      </c>
    </row>
    <row r="173" spans="2:6" x14ac:dyDescent="0.2">
      <c r="B173" s="406">
        <v>207</v>
      </c>
      <c r="C173" s="404" t="s">
        <v>733</v>
      </c>
      <c r="D173" s="407" t="s">
        <v>734</v>
      </c>
      <c r="E173" s="405">
        <v>45640</v>
      </c>
      <c r="F173" s="379" t="s">
        <v>87</v>
      </c>
    </row>
    <row r="174" spans="2:6" x14ac:dyDescent="0.2">
      <c r="B174" s="406">
        <v>427</v>
      </c>
      <c r="C174" s="404" t="s">
        <v>735</v>
      </c>
      <c r="D174" s="407" t="s">
        <v>702</v>
      </c>
      <c r="E174" s="405">
        <v>45650</v>
      </c>
      <c r="F174" s="379" t="s">
        <v>506</v>
      </c>
    </row>
    <row r="175" spans="2:6" x14ac:dyDescent="0.2">
      <c r="B175" s="406">
        <v>435</v>
      </c>
      <c r="C175" s="404" t="s">
        <v>736</v>
      </c>
      <c r="D175" s="404" t="s">
        <v>737</v>
      </c>
      <c r="E175" s="405">
        <v>45653</v>
      </c>
      <c r="F175" s="379" t="s">
        <v>738</v>
      </c>
    </row>
    <row r="176" spans="2:6" x14ac:dyDescent="0.2">
      <c r="B176" s="406">
        <v>438</v>
      </c>
      <c r="C176" s="404" t="s">
        <v>739</v>
      </c>
      <c r="D176" s="404" t="s">
        <v>156</v>
      </c>
      <c r="E176" s="405">
        <v>45657</v>
      </c>
      <c r="F176" s="379" t="s">
        <v>87</v>
      </c>
    </row>
    <row r="177" spans="2:6" x14ac:dyDescent="0.2">
      <c r="B177" s="406">
        <v>369</v>
      </c>
      <c r="C177" s="404" t="s">
        <v>740</v>
      </c>
      <c r="D177" s="404" t="s">
        <v>741</v>
      </c>
      <c r="E177" s="405">
        <v>45657</v>
      </c>
      <c r="F177" s="379" t="s">
        <v>465</v>
      </c>
    </row>
    <row r="178" spans="2:6" x14ac:dyDescent="0.2">
      <c r="B178" s="410">
        <v>238</v>
      </c>
      <c r="C178" s="411" t="s">
        <v>742</v>
      </c>
      <c r="D178" s="412" t="s">
        <v>178</v>
      </c>
      <c r="E178" s="413">
        <v>45659</v>
      </c>
      <c r="F178" s="414" t="s">
        <v>743</v>
      </c>
    </row>
  </sheetData>
  <pageMargins left="0.7" right="0.7" top="0.75" bottom="0.75" header="0.3" footer="0.3"/>
  <pageSetup paperSize="9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8EBA-A6DA-4FA2-9813-499063C92954}">
  <sheetPr codeName="Feuil10">
    <tabColor theme="0" tint="-0.14999847407452621"/>
  </sheetPr>
  <dimension ref="B2:O60"/>
  <sheetViews>
    <sheetView topLeftCell="A44" workbookViewId="0">
      <selection activeCell="C55" sqref="C55:N56"/>
    </sheetView>
  </sheetViews>
  <sheetFormatPr baseColWidth="10" defaultColWidth="11.42578125" defaultRowHeight="14.25" x14ac:dyDescent="0.2"/>
  <cols>
    <col min="1" max="1" width="11.42578125" style="398"/>
    <col min="2" max="2" width="24.7109375" style="398" bestFit="1" customWidth="1"/>
    <col min="3" max="16384" width="11.42578125" style="398"/>
  </cols>
  <sheetData>
    <row r="2" spans="2:14" ht="20.25" x14ac:dyDescent="0.3">
      <c r="B2" s="633" t="s">
        <v>744</v>
      </c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634"/>
      <c r="N2" s="635"/>
    </row>
    <row r="5" spans="2:14" ht="15" x14ac:dyDescent="0.25">
      <c r="B5" s="415"/>
      <c r="C5" s="416">
        <v>42766</v>
      </c>
      <c r="D5" s="417" t="s">
        <v>745</v>
      </c>
      <c r="E5" s="416">
        <v>42825</v>
      </c>
      <c r="F5" s="416">
        <v>42855</v>
      </c>
      <c r="G5" s="416">
        <v>42886</v>
      </c>
      <c r="H5" s="416">
        <v>42916</v>
      </c>
      <c r="I5" s="416">
        <v>42947</v>
      </c>
      <c r="J5" s="416">
        <v>42978</v>
      </c>
      <c r="K5" s="416">
        <v>43008</v>
      </c>
      <c r="L5" s="416">
        <v>43039</v>
      </c>
      <c r="M5" s="416">
        <v>43069</v>
      </c>
      <c r="N5" s="416">
        <v>43100</v>
      </c>
    </row>
    <row r="6" spans="2:14" ht="15" x14ac:dyDescent="0.25">
      <c r="B6" s="418" t="s">
        <v>746</v>
      </c>
      <c r="C6" s="360">
        <v>151</v>
      </c>
      <c r="D6" s="360">
        <v>151</v>
      </c>
      <c r="E6" s="360">
        <v>151</v>
      </c>
      <c r="F6" s="360">
        <v>150</v>
      </c>
      <c r="G6" s="360">
        <v>149</v>
      </c>
      <c r="H6" s="360">
        <v>149</v>
      </c>
      <c r="I6" s="360">
        <v>149</v>
      </c>
      <c r="J6" s="360">
        <v>149</v>
      </c>
      <c r="K6" s="360">
        <v>149</v>
      </c>
      <c r="L6" s="360">
        <v>147</v>
      </c>
      <c r="M6" s="360">
        <v>147</v>
      </c>
      <c r="N6" s="360">
        <v>147</v>
      </c>
    </row>
    <row r="7" spans="2:14" ht="15" x14ac:dyDescent="0.25">
      <c r="B7" s="418" t="s">
        <v>747</v>
      </c>
      <c r="C7" s="360">
        <v>26</v>
      </c>
      <c r="D7" s="360">
        <v>29</v>
      </c>
      <c r="E7" s="360">
        <v>30</v>
      </c>
      <c r="F7" s="360">
        <v>36</v>
      </c>
      <c r="G7" s="360">
        <v>47</v>
      </c>
      <c r="H7" s="360">
        <v>50</v>
      </c>
      <c r="I7" s="360">
        <v>49</v>
      </c>
      <c r="J7" s="360">
        <v>49</v>
      </c>
      <c r="K7" s="360">
        <v>53</v>
      </c>
      <c r="L7" s="360">
        <v>60</v>
      </c>
      <c r="M7" s="360">
        <v>59</v>
      </c>
      <c r="N7" s="360">
        <v>63</v>
      </c>
    </row>
    <row r="8" spans="2:14" ht="15" x14ac:dyDescent="0.25">
      <c r="B8" s="418" t="s">
        <v>748</v>
      </c>
      <c r="C8" s="360">
        <v>3</v>
      </c>
      <c r="D8" s="360">
        <v>3</v>
      </c>
      <c r="E8" s="360">
        <v>3</v>
      </c>
      <c r="F8" s="360">
        <v>4</v>
      </c>
      <c r="G8" s="360">
        <v>4</v>
      </c>
      <c r="H8" s="360">
        <v>4</v>
      </c>
      <c r="I8" s="360">
        <v>5</v>
      </c>
      <c r="J8" s="360">
        <v>5</v>
      </c>
      <c r="K8" s="360">
        <v>5</v>
      </c>
      <c r="L8" s="360">
        <v>6</v>
      </c>
      <c r="M8" s="360">
        <v>6</v>
      </c>
      <c r="N8" s="360">
        <v>6</v>
      </c>
    </row>
    <row r="9" spans="2:14" ht="15" x14ac:dyDescent="0.25">
      <c r="B9" s="419" t="s">
        <v>8</v>
      </c>
      <c r="C9" s="360">
        <f t="shared" ref="C9:N9" si="0">SUM(C6:C8)</f>
        <v>180</v>
      </c>
      <c r="D9" s="360">
        <f t="shared" si="0"/>
        <v>183</v>
      </c>
      <c r="E9" s="360">
        <f t="shared" si="0"/>
        <v>184</v>
      </c>
      <c r="F9" s="360">
        <f t="shared" si="0"/>
        <v>190</v>
      </c>
      <c r="G9" s="360">
        <f t="shared" si="0"/>
        <v>200</v>
      </c>
      <c r="H9" s="360">
        <f t="shared" si="0"/>
        <v>203</v>
      </c>
      <c r="I9" s="360">
        <f t="shared" si="0"/>
        <v>203</v>
      </c>
      <c r="J9" s="360">
        <f t="shared" si="0"/>
        <v>203</v>
      </c>
      <c r="K9" s="360">
        <f t="shared" si="0"/>
        <v>207</v>
      </c>
      <c r="L9" s="360">
        <f t="shared" si="0"/>
        <v>213</v>
      </c>
      <c r="M9" s="360">
        <f t="shared" si="0"/>
        <v>212</v>
      </c>
      <c r="N9" s="360">
        <f t="shared" si="0"/>
        <v>216</v>
      </c>
    </row>
    <row r="12" spans="2:14" ht="15" x14ac:dyDescent="0.25">
      <c r="B12" s="415"/>
      <c r="C12" s="416">
        <v>43131</v>
      </c>
      <c r="D12" s="416">
        <v>43159</v>
      </c>
      <c r="E12" s="416">
        <v>43190</v>
      </c>
      <c r="F12" s="416">
        <v>43220</v>
      </c>
      <c r="G12" s="416">
        <v>43251</v>
      </c>
      <c r="H12" s="416">
        <v>43281</v>
      </c>
      <c r="I12" s="416">
        <v>43312</v>
      </c>
      <c r="J12" s="416">
        <v>43343</v>
      </c>
      <c r="K12" s="416">
        <v>43373</v>
      </c>
      <c r="L12" s="416">
        <v>43769</v>
      </c>
      <c r="M12" s="416">
        <v>43434</v>
      </c>
      <c r="N12" s="416">
        <v>43465</v>
      </c>
    </row>
    <row r="13" spans="2:14" ht="15" x14ac:dyDescent="0.25">
      <c r="B13" s="418" t="s">
        <v>746</v>
      </c>
      <c r="C13" s="361">
        <v>145</v>
      </c>
      <c r="D13" s="361">
        <v>145</v>
      </c>
      <c r="E13" s="361">
        <v>142</v>
      </c>
      <c r="F13" s="361">
        <v>142</v>
      </c>
      <c r="G13" s="361">
        <v>142</v>
      </c>
      <c r="H13" s="361">
        <v>142</v>
      </c>
      <c r="I13" s="361">
        <v>141</v>
      </c>
      <c r="J13" s="361">
        <v>141</v>
      </c>
      <c r="K13" s="361">
        <v>141</v>
      </c>
      <c r="L13" s="361">
        <v>141</v>
      </c>
      <c r="M13" s="361">
        <v>141</v>
      </c>
      <c r="N13" s="361">
        <v>141</v>
      </c>
    </row>
    <row r="14" spans="2:14" ht="15" x14ac:dyDescent="0.25">
      <c r="B14" s="418" t="s">
        <v>747</v>
      </c>
      <c r="C14" s="361">
        <v>67</v>
      </c>
      <c r="D14" s="361">
        <v>69</v>
      </c>
      <c r="E14" s="361">
        <v>74</v>
      </c>
      <c r="F14" s="361">
        <v>77</v>
      </c>
      <c r="G14" s="361">
        <v>80</v>
      </c>
      <c r="H14" s="361">
        <v>82</v>
      </c>
      <c r="I14" s="361">
        <v>87</v>
      </c>
      <c r="J14" s="361">
        <v>95</v>
      </c>
      <c r="K14" s="361">
        <v>95</v>
      </c>
      <c r="L14" s="361">
        <v>99</v>
      </c>
      <c r="M14" s="361">
        <v>103</v>
      </c>
      <c r="N14" s="361">
        <v>103</v>
      </c>
    </row>
    <row r="15" spans="2:14" ht="15" x14ac:dyDescent="0.25">
      <c r="B15" s="418" t="s">
        <v>748</v>
      </c>
      <c r="C15" s="361">
        <v>6</v>
      </c>
      <c r="D15" s="361">
        <v>6</v>
      </c>
      <c r="E15" s="361">
        <v>6</v>
      </c>
      <c r="F15" s="361">
        <v>6</v>
      </c>
      <c r="G15" s="361">
        <v>6</v>
      </c>
      <c r="H15" s="361">
        <v>6</v>
      </c>
      <c r="I15" s="361">
        <v>6</v>
      </c>
      <c r="J15" s="361">
        <v>8</v>
      </c>
      <c r="K15" s="361">
        <v>8</v>
      </c>
      <c r="L15" s="361">
        <v>8</v>
      </c>
      <c r="M15" s="361">
        <v>8</v>
      </c>
      <c r="N15" s="361">
        <v>8</v>
      </c>
    </row>
    <row r="16" spans="2:14" ht="15" x14ac:dyDescent="0.25">
      <c r="B16" s="420" t="s">
        <v>8</v>
      </c>
      <c r="C16" s="361">
        <v>218</v>
      </c>
      <c r="D16" s="361">
        <v>220</v>
      </c>
      <c r="E16" s="361">
        <v>222</v>
      </c>
      <c r="F16" s="361">
        <v>225</v>
      </c>
      <c r="G16" s="361">
        <v>228</v>
      </c>
      <c r="H16" s="361">
        <v>230</v>
      </c>
      <c r="I16" s="361">
        <v>234</v>
      </c>
      <c r="J16" s="361">
        <v>244</v>
      </c>
      <c r="K16" s="361">
        <v>244</v>
      </c>
      <c r="L16" s="361">
        <v>248</v>
      </c>
      <c r="M16" s="361">
        <v>252</v>
      </c>
      <c r="N16" s="361">
        <v>252</v>
      </c>
    </row>
    <row r="19" spans="2:14" ht="15" x14ac:dyDescent="0.25">
      <c r="B19" s="415"/>
      <c r="C19" s="416">
        <v>43496</v>
      </c>
      <c r="D19" s="416">
        <v>43524</v>
      </c>
      <c r="E19" s="416">
        <v>43555</v>
      </c>
      <c r="F19" s="416">
        <v>43585</v>
      </c>
      <c r="G19" s="416">
        <v>43616</v>
      </c>
      <c r="H19" s="416">
        <v>43646</v>
      </c>
      <c r="I19" s="416">
        <v>43677</v>
      </c>
      <c r="J19" s="416">
        <v>43708</v>
      </c>
      <c r="K19" s="416">
        <v>43738</v>
      </c>
      <c r="L19" s="416">
        <v>43769</v>
      </c>
      <c r="M19" s="416">
        <v>43799</v>
      </c>
      <c r="N19" s="416">
        <v>43830</v>
      </c>
    </row>
    <row r="20" spans="2:14" ht="15" x14ac:dyDescent="0.25">
      <c r="B20" s="418" t="s">
        <v>746</v>
      </c>
      <c r="C20" s="361">
        <v>140</v>
      </c>
      <c r="D20" s="361">
        <v>140</v>
      </c>
      <c r="E20" s="361">
        <v>140</v>
      </c>
      <c r="F20" s="361">
        <v>140</v>
      </c>
      <c r="G20" s="361">
        <v>140</v>
      </c>
      <c r="H20" s="361">
        <v>140</v>
      </c>
      <c r="I20" s="361">
        <v>138</v>
      </c>
      <c r="J20" s="361">
        <v>137</v>
      </c>
      <c r="K20" s="361">
        <v>137</v>
      </c>
      <c r="L20" s="361">
        <v>137</v>
      </c>
      <c r="M20" s="361">
        <v>137</v>
      </c>
      <c r="N20" s="361">
        <v>134</v>
      </c>
    </row>
    <row r="21" spans="2:14" ht="15" x14ac:dyDescent="0.25">
      <c r="B21" s="418" t="s">
        <v>747</v>
      </c>
      <c r="C21" s="361">
        <v>106</v>
      </c>
      <c r="D21" s="361">
        <v>110</v>
      </c>
      <c r="E21" s="361">
        <v>114</v>
      </c>
      <c r="F21" s="361">
        <v>114</v>
      </c>
      <c r="G21" s="361">
        <v>116</v>
      </c>
      <c r="H21" s="361">
        <v>112</v>
      </c>
      <c r="I21" s="361">
        <v>119</v>
      </c>
      <c r="J21" s="361">
        <v>118</v>
      </c>
      <c r="K21" s="361">
        <v>119</v>
      </c>
      <c r="L21" s="361">
        <v>119</v>
      </c>
      <c r="M21" s="361">
        <v>121</v>
      </c>
      <c r="N21" s="361">
        <v>121</v>
      </c>
    </row>
    <row r="22" spans="2:14" ht="15" x14ac:dyDescent="0.25">
      <c r="B22" s="418" t="s">
        <v>748</v>
      </c>
      <c r="C22" s="361">
        <v>8</v>
      </c>
      <c r="D22" s="361">
        <v>8</v>
      </c>
      <c r="E22" s="361">
        <v>7</v>
      </c>
      <c r="F22" s="361">
        <v>8</v>
      </c>
      <c r="G22" s="361">
        <v>8</v>
      </c>
      <c r="H22" s="361">
        <v>8</v>
      </c>
      <c r="I22" s="361">
        <v>7</v>
      </c>
      <c r="J22" s="361">
        <v>7</v>
      </c>
      <c r="K22" s="361">
        <v>7</v>
      </c>
      <c r="L22" s="361">
        <v>7</v>
      </c>
      <c r="M22" s="361">
        <v>7</v>
      </c>
      <c r="N22" s="361">
        <v>7</v>
      </c>
    </row>
    <row r="23" spans="2:14" ht="15" x14ac:dyDescent="0.25">
      <c r="B23" s="420" t="s">
        <v>8</v>
      </c>
      <c r="C23" s="361">
        <v>254</v>
      </c>
      <c r="D23" s="361">
        <v>258</v>
      </c>
      <c r="E23" s="361">
        <v>261</v>
      </c>
      <c r="F23" s="361">
        <v>262</v>
      </c>
      <c r="G23" s="361">
        <v>264</v>
      </c>
      <c r="H23" s="361">
        <v>260</v>
      </c>
      <c r="I23" s="361">
        <v>264</v>
      </c>
      <c r="J23" s="361">
        <v>262</v>
      </c>
      <c r="K23" s="361">
        <v>263</v>
      </c>
      <c r="L23" s="361">
        <v>263</v>
      </c>
      <c r="M23" s="361">
        <v>265</v>
      </c>
      <c r="N23" s="361">
        <v>262</v>
      </c>
    </row>
    <row r="26" spans="2:14" ht="15" x14ac:dyDescent="0.25">
      <c r="B26" s="421"/>
      <c r="C26" s="422">
        <v>43861</v>
      </c>
      <c r="D26" s="422">
        <v>43890</v>
      </c>
      <c r="E26" s="422">
        <v>43921</v>
      </c>
      <c r="F26" s="422">
        <v>43951</v>
      </c>
      <c r="G26" s="422">
        <v>43982</v>
      </c>
      <c r="H26" s="422">
        <v>44012</v>
      </c>
      <c r="I26" s="422">
        <v>44043</v>
      </c>
      <c r="J26" s="422">
        <v>44074</v>
      </c>
      <c r="K26" s="422">
        <v>44104</v>
      </c>
      <c r="L26" s="422">
        <v>44135</v>
      </c>
      <c r="M26" s="422">
        <v>44165</v>
      </c>
      <c r="N26" s="422">
        <v>44196</v>
      </c>
    </row>
    <row r="27" spans="2:14" ht="15" x14ac:dyDescent="0.25">
      <c r="B27" s="423" t="s">
        <v>746</v>
      </c>
      <c r="C27" s="380">
        <v>134</v>
      </c>
      <c r="D27" s="380">
        <v>134</v>
      </c>
      <c r="E27" s="380">
        <v>133</v>
      </c>
      <c r="F27" s="380">
        <v>133</v>
      </c>
      <c r="G27" s="380">
        <v>129</v>
      </c>
      <c r="H27" s="380">
        <v>128</v>
      </c>
      <c r="I27" s="380">
        <v>128</v>
      </c>
      <c r="J27" s="380">
        <v>128</v>
      </c>
      <c r="K27" s="380">
        <v>128</v>
      </c>
      <c r="L27" s="380">
        <v>128</v>
      </c>
      <c r="M27" s="380">
        <v>126</v>
      </c>
      <c r="N27" s="380">
        <v>126</v>
      </c>
    </row>
    <row r="28" spans="2:14" ht="15" x14ac:dyDescent="0.25">
      <c r="B28" s="423" t="s">
        <v>747</v>
      </c>
      <c r="C28" s="380">
        <v>123</v>
      </c>
      <c r="D28" s="380">
        <v>129</v>
      </c>
      <c r="E28" s="380">
        <v>133</v>
      </c>
      <c r="F28" s="380">
        <v>132</v>
      </c>
      <c r="G28" s="380">
        <v>130</v>
      </c>
      <c r="H28" s="380">
        <v>130</v>
      </c>
      <c r="I28" s="380">
        <v>130</v>
      </c>
      <c r="J28" s="380">
        <v>130</v>
      </c>
      <c r="K28" s="380">
        <v>131</v>
      </c>
      <c r="L28" s="380">
        <v>132</v>
      </c>
      <c r="M28" s="380">
        <v>132</v>
      </c>
      <c r="N28" s="380">
        <v>132</v>
      </c>
    </row>
    <row r="29" spans="2:14" ht="15" x14ac:dyDescent="0.25">
      <c r="B29" s="423" t="s">
        <v>748</v>
      </c>
      <c r="C29" s="380">
        <v>7</v>
      </c>
      <c r="D29" s="380">
        <v>7</v>
      </c>
      <c r="E29" s="380">
        <v>7</v>
      </c>
      <c r="F29" s="380">
        <v>5</v>
      </c>
      <c r="G29" s="380">
        <v>5</v>
      </c>
      <c r="H29" s="380">
        <v>5</v>
      </c>
      <c r="I29" s="380">
        <v>5</v>
      </c>
      <c r="J29" s="380">
        <v>5</v>
      </c>
      <c r="K29" s="380">
        <v>4</v>
      </c>
      <c r="L29" s="380">
        <v>5</v>
      </c>
      <c r="M29" s="380">
        <v>5</v>
      </c>
      <c r="N29" s="380">
        <v>5</v>
      </c>
    </row>
    <row r="30" spans="2:14" ht="15" x14ac:dyDescent="0.25">
      <c r="B30" s="424" t="s">
        <v>8</v>
      </c>
      <c r="C30" s="380">
        <v>264</v>
      </c>
      <c r="D30" s="380">
        <v>270</v>
      </c>
      <c r="E30" s="380">
        <v>273</v>
      </c>
      <c r="F30" s="380">
        <v>270</v>
      </c>
      <c r="G30" s="380">
        <v>264</v>
      </c>
      <c r="H30" s="380">
        <v>263</v>
      </c>
      <c r="I30" s="380">
        <v>263</v>
      </c>
      <c r="J30" s="380">
        <v>263</v>
      </c>
      <c r="K30" s="380">
        <v>263</v>
      </c>
      <c r="L30" s="380">
        <v>265</v>
      </c>
      <c r="M30" s="380">
        <v>263</v>
      </c>
      <c r="N30" s="380">
        <v>263</v>
      </c>
    </row>
    <row r="33" spans="2:14" ht="15" x14ac:dyDescent="0.25">
      <c r="B33" s="421"/>
      <c r="C33" s="422">
        <v>44227</v>
      </c>
      <c r="D33" s="422">
        <v>44255</v>
      </c>
      <c r="E33" s="422">
        <v>44286</v>
      </c>
      <c r="F33" s="422">
        <v>44316</v>
      </c>
      <c r="G33" s="422">
        <v>44347</v>
      </c>
      <c r="H33" s="422">
        <v>44377</v>
      </c>
      <c r="I33" s="422">
        <v>44408</v>
      </c>
      <c r="J33" s="422">
        <v>44439</v>
      </c>
      <c r="K33" s="422">
        <v>44469</v>
      </c>
      <c r="L33" s="422">
        <v>44500</v>
      </c>
      <c r="M33" s="422">
        <v>44530</v>
      </c>
      <c r="N33" s="422">
        <v>44561</v>
      </c>
    </row>
    <row r="34" spans="2:14" ht="15" x14ac:dyDescent="0.25">
      <c r="B34" s="423" t="s">
        <v>746</v>
      </c>
      <c r="C34" s="380">
        <v>126</v>
      </c>
      <c r="D34" s="380">
        <v>124</v>
      </c>
      <c r="E34" s="380">
        <v>121</v>
      </c>
      <c r="F34" s="380">
        <v>121</v>
      </c>
      <c r="G34" s="380">
        <v>121</v>
      </c>
      <c r="H34" s="380">
        <v>120</v>
      </c>
      <c r="I34" s="380">
        <v>119</v>
      </c>
      <c r="J34" s="380">
        <v>119</v>
      </c>
      <c r="K34" s="380">
        <v>119</v>
      </c>
      <c r="L34" s="380">
        <v>119</v>
      </c>
      <c r="M34" s="380">
        <v>119</v>
      </c>
      <c r="N34" s="380">
        <v>119</v>
      </c>
    </row>
    <row r="35" spans="2:14" ht="15" x14ac:dyDescent="0.25">
      <c r="B35" s="423" t="s">
        <v>747</v>
      </c>
      <c r="C35" s="380">
        <v>133</v>
      </c>
      <c r="D35" s="380">
        <v>132</v>
      </c>
      <c r="E35" s="380">
        <v>134</v>
      </c>
      <c r="F35" s="380">
        <v>134</v>
      </c>
      <c r="G35" s="380">
        <v>132</v>
      </c>
      <c r="H35" s="380">
        <f>14+123-5</f>
        <v>132</v>
      </c>
      <c r="I35" s="380">
        <f>138-6</f>
        <v>132</v>
      </c>
      <c r="J35" s="380">
        <f>138-5</f>
        <v>133</v>
      </c>
      <c r="K35" s="380">
        <f>141-5</f>
        <v>136</v>
      </c>
      <c r="L35" s="380">
        <v>137</v>
      </c>
      <c r="M35" s="380">
        <f>143-5</f>
        <v>138</v>
      </c>
      <c r="N35" s="380">
        <v>137</v>
      </c>
    </row>
    <row r="36" spans="2:14" ht="15" x14ac:dyDescent="0.25">
      <c r="B36" s="423" t="s">
        <v>748</v>
      </c>
      <c r="C36" s="380">
        <v>5</v>
      </c>
      <c r="D36" s="380">
        <v>5</v>
      </c>
      <c r="E36" s="380">
        <v>6</v>
      </c>
      <c r="F36" s="380">
        <v>6</v>
      </c>
      <c r="G36" s="380">
        <v>5</v>
      </c>
      <c r="H36" s="380">
        <v>5</v>
      </c>
      <c r="I36" s="380">
        <v>5</v>
      </c>
      <c r="J36" s="380">
        <v>5</v>
      </c>
      <c r="K36" s="380">
        <v>5</v>
      </c>
      <c r="L36" s="380">
        <v>5</v>
      </c>
      <c r="M36" s="380">
        <v>5</v>
      </c>
      <c r="N36" s="380">
        <v>5</v>
      </c>
    </row>
    <row r="37" spans="2:14" ht="15" x14ac:dyDescent="0.25">
      <c r="B37" s="424" t="s">
        <v>8</v>
      </c>
      <c r="C37" s="380">
        <f t="shared" ref="C37:H37" si="1">C34+C35+C36</f>
        <v>264</v>
      </c>
      <c r="D37" s="380">
        <f t="shared" si="1"/>
        <v>261</v>
      </c>
      <c r="E37" s="380">
        <f t="shared" si="1"/>
        <v>261</v>
      </c>
      <c r="F37" s="380">
        <f t="shared" si="1"/>
        <v>261</v>
      </c>
      <c r="G37" s="380">
        <f t="shared" si="1"/>
        <v>258</v>
      </c>
      <c r="H37" s="380">
        <f t="shared" si="1"/>
        <v>257</v>
      </c>
      <c r="I37" s="380">
        <v>256</v>
      </c>
      <c r="J37" s="380">
        <f>J34+J35+J36</f>
        <v>257</v>
      </c>
      <c r="K37" s="380">
        <f>K34+K35+K36</f>
        <v>260</v>
      </c>
      <c r="L37" s="380">
        <f>L34+L35+L36</f>
        <v>261</v>
      </c>
      <c r="M37" s="380">
        <v>262</v>
      </c>
      <c r="N37" s="380">
        <v>261</v>
      </c>
    </row>
    <row r="40" spans="2:14" ht="15" x14ac:dyDescent="0.25">
      <c r="B40" s="421"/>
      <c r="C40" s="422">
        <v>44592</v>
      </c>
      <c r="D40" s="422">
        <v>44620</v>
      </c>
      <c r="E40" s="422">
        <v>44651</v>
      </c>
      <c r="F40" s="422">
        <v>44681</v>
      </c>
      <c r="G40" s="422">
        <v>44712</v>
      </c>
      <c r="H40" s="422">
        <v>44742</v>
      </c>
      <c r="I40" s="422">
        <v>44773</v>
      </c>
      <c r="J40" s="422">
        <v>44804</v>
      </c>
      <c r="K40" s="422">
        <v>44834</v>
      </c>
      <c r="L40" s="422">
        <v>44865</v>
      </c>
      <c r="M40" s="422">
        <v>44895</v>
      </c>
      <c r="N40" s="422">
        <v>44926</v>
      </c>
    </row>
    <row r="41" spans="2:14" ht="15" x14ac:dyDescent="0.25">
      <c r="B41" s="423" t="s">
        <v>746</v>
      </c>
      <c r="C41" s="380">
        <v>118</v>
      </c>
      <c r="D41" s="380">
        <v>118</v>
      </c>
      <c r="E41" s="380">
        <v>118</v>
      </c>
      <c r="F41" s="380">
        <v>117</v>
      </c>
      <c r="G41" s="380">
        <v>117</v>
      </c>
      <c r="H41" s="380">
        <v>117</v>
      </c>
      <c r="I41" s="380">
        <v>117</v>
      </c>
      <c r="J41" s="380">
        <v>117</v>
      </c>
      <c r="K41" s="380">
        <v>116</v>
      </c>
      <c r="L41" s="380">
        <v>115</v>
      </c>
      <c r="M41" s="380">
        <v>115</v>
      </c>
      <c r="N41" s="380">
        <v>115</v>
      </c>
    </row>
    <row r="42" spans="2:14" ht="15" x14ac:dyDescent="0.25">
      <c r="B42" s="423" t="s">
        <v>747</v>
      </c>
      <c r="C42" s="380">
        <v>132</v>
      </c>
      <c r="D42" s="380">
        <v>128</v>
      </c>
      <c r="E42" s="380">
        <v>129</v>
      </c>
      <c r="F42" s="380">
        <v>126</v>
      </c>
      <c r="G42" s="380">
        <v>126</v>
      </c>
      <c r="H42" s="380">
        <v>129</v>
      </c>
      <c r="I42" s="380">
        <v>136</v>
      </c>
      <c r="J42" s="380">
        <v>135</v>
      </c>
      <c r="K42" s="380">
        <v>135</v>
      </c>
      <c r="L42" s="380">
        <v>134</v>
      </c>
      <c r="M42" s="380">
        <v>136</v>
      </c>
      <c r="N42" s="380">
        <v>139</v>
      </c>
    </row>
    <row r="43" spans="2:14" ht="15" x14ac:dyDescent="0.25">
      <c r="B43" s="423" t="s">
        <v>748</v>
      </c>
      <c r="C43" s="380">
        <v>5</v>
      </c>
      <c r="D43" s="380">
        <v>4</v>
      </c>
      <c r="E43" s="380">
        <v>4</v>
      </c>
      <c r="F43" s="380">
        <v>4</v>
      </c>
      <c r="G43" s="380">
        <v>4</v>
      </c>
      <c r="H43" s="380">
        <v>4</v>
      </c>
      <c r="I43" s="380">
        <v>4</v>
      </c>
      <c r="J43" s="380">
        <v>4</v>
      </c>
      <c r="K43" s="380">
        <v>4</v>
      </c>
      <c r="L43" s="380">
        <v>4</v>
      </c>
      <c r="M43" s="380">
        <v>4</v>
      </c>
      <c r="N43" s="380">
        <v>4</v>
      </c>
    </row>
    <row r="44" spans="2:14" ht="15" x14ac:dyDescent="0.25">
      <c r="B44" s="424" t="s">
        <v>8</v>
      </c>
      <c r="C44" s="380">
        <v>255</v>
      </c>
      <c r="D44" s="380">
        <v>250</v>
      </c>
      <c r="E44" s="380">
        <v>251</v>
      </c>
      <c r="F44" s="380">
        <v>247</v>
      </c>
      <c r="G44" s="380">
        <v>247</v>
      </c>
      <c r="H44" s="380">
        <v>250</v>
      </c>
      <c r="I44" s="380">
        <v>257</v>
      </c>
      <c r="J44" s="380">
        <v>256</v>
      </c>
      <c r="K44" s="380">
        <v>255</v>
      </c>
      <c r="L44" s="380">
        <v>253</v>
      </c>
      <c r="M44" s="380">
        <v>255</v>
      </c>
      <c r="N44" s="380">
        <v>258</v>
      </c>
    </row>
    <row r="47" spans="2:14" ht="15" x14ac:dyDescent="0.25">
      <c r="B47" s="421"/>
      <c r="C47" s="422">
        <v>44957</v>
      </c>
      <c r="D47" s="422">
        <v>44985</v>
      </c>
      <c r="E47" s="422">
        <v>45016</v>
      </c>
      <c r="F47" s="422">
        <v>45046</v>
      </c>
      <c r="G47" s="422">
        <v>45077</v>
      </c>
      <c r="H47" s="422">
        <v>45107</v>
      </c>
      <c r="I47" s="422">
        <v>45138</v>
      </c>
      <c r="J47" s="422">
        <v>45169</v>
      </c>
      <c r="K47" s="422">
        <v>45199</v>
      </c>
      <c r="L47" s="422">
        <v>45230</v>
      </c>
      <c r="M47" s="422">
        <v>45260</v>
      </c>
      <c r="N47" s="422">
        <v>45291</v>
      </c>
    </row>
    <row r="48" spans="2:14" ht="15" x14ac:dyDescent="0.25">
      <c r="B48" s="423" t="s">
        <v>746</v>
      </c>
      <c r="C48" s="380">
        <v>113</v>
      </c>
      <c r="D48" s="380">
        <v>113</v>
      </c>
      <c r="E48" s="380">
        <v>113</v>
      </c>
      <c r="F48" s="380">
        <v>113</v>
      </c>
      <c r="G48" s="380">
        <v>113</v>
      </c>
      <c r="H48" s="380">
        <v>113</v>
      </c>
      <c r="I48" s="380">
        <v>112</v>
      </c>
      <c r="J48" s="380">
        <v>111</v>
      </c>
      <c r="K48" s="380">
        <v>111</v>
      </c>
      <c r="L48" s="380">
        <v>111</v>
      </c>
      <c r="M48" s="380">
        <v>111</v>
      </c>
      <c r="N48" s="380">
        <v>110</v>
      </c>
    </row>
    <row r="49" spans="2:15" ht="15" x14ac:dyDescent="0.25">
      <c r="B49" s="423" t="s">
        <v>747</v>
      </c>
      <c r="C49" s="380">
        <v>140</v>
      </c>
      <c r="D49" s="380">
        <v>139</v>
      </c>
      <c r="E49" s="380">
        <v>142</v>
      </c>
      <c r="F49" s="380">
        <v>141</v>
      </c>
      <c r="G49" s="380">
        <v>142</v>
      </c>
      <c r="H49" s="380">
        <v>143</v>
      </c>
      <c r="I49" s="380">
        <v>143</v>
      </c>
      <c r="J49" s="380">
        <v>144</v>
      </c>
      <c r="K49" s="380">
        <v>146</v>
      </c>
      <c r="L49" s="380">
        <v>150</v>
      </c>
      <c r="M49" s="380">
        <v>151</v>
      </c>
      <c r="N49" s="380">
        <v>150</v>
      </c>
    </row>
    <row r="50" spans="2:15" ht="15" x14ac:dyDescent="0.25">
      <c r="B50" s="423" t="s">
        <v>748</v>
      </c>
      <c r="C50" s="380">
        <v>4</v>
      </c>
      <c r="D50" s="380">
        <v>4</v>
      </c>
      <c r="E50" s="380">
        <v>4</v>
      </c>
      <c r="F50" s="380">
        <v>4</v>
      </c>
      <c r="G50" s="380">
        <v>4</v>
      </c>
      <c r="H50" s="380">
        <v>4</v>
      </c>
      <c r="I50" s="380">
        <v>4</v>
      </c>
      <c r="J50" s="380">
        <v>4</v>
      </c>
      <c r="K50" s="380">
        <v>4</v>
      </c>
      <c r="L50" s="380">
        <v>4</v>
      </c>
      <c r="M50" s="380">
        <v>4</v>
      </c>
      <c r="N50" s="380">
        <v>5</v>
      </c>
    </row>
    <row r="51" spans="2:15" ht="15" x14ac:dyDescent="0.25">
      <c r="B51" s="424" t="s">
        <v>8</v>
      </c>
      <c r="C51" s="380">
        <f t="shared" ref="C51:N51" si="2">+SUM(C48:C50)</f>
        <v>257</v>
      </c>
      <c r="D51" s="380">
        <f t="shared" si="2"/>
        <v>256</v>
      </c>
      <c r="E51" s="380">
        <f t="shared" si="2"/>
        <v>259</v>
      </c>
      <c r="F51" s="380">
        <f t="shared" si="2"/>
        <v>258</v>
      </c>
      <c r="G51" s="380">
        <f t="shared" si="2"/>
        <v>259</v>
      </c>
      <c r="H51" s="380">
        <f t="shared" si="2"/>
        <v>260</v>
      </c>
      <c r="I51" s="380">
        <f t="shared" si="2"/>
        <v>259</v>
      </c>
      <c r="J51" s="380">
        <f t="shared" si="2"/>
        <v>259</v>
      </c>
      <c r="K51" s="380">
        <f t="shared" si="2"/>
        <v>261</v>
      </c>
      <c r="L51" s="380">
        <f t="shared" si="2"/>
        <v>265</v>
      </c>
      <c r="M51" s="380">
        <f t="shared" si="2"/>
        <v>266</v>
      </c>
      <c r="N51" s="380">
        <f t="shared" si="2"/>
        <v>265</v>
      </c>
      <c r="O51" s="398">
        <f>AVERAGE(C51:N51)</f>
        <v>260.33333333333331</v>
      </c>
    </row>
    <row r="54" spans="2:15" ht="15" x14ac:dyDescent="0.25">
      <c r="B54" s="421"/>
      <c r="C54" s="422">
        <v>45322</v>
      </c>
      <c r="D54" s="422">
        <v>45351</v>
      </c>
      <c r="E54" s="422">
        <v>45382</v>
      </c>
      <c r="F54" s="422">
        <v>45412</v>
      </c>
      <c r="G54" s="422">
        <v>45443</v>
      </c>
      <c r="H54" s="422">
        <v>45473</v>
      </c>
      <c r="I54" s="422">
        <v>45504</v>
      </c>
      <c r="J54" s="422">
        <v>45535</v>
      </c>
      <c r="K54" s="422">
        <v>45565</v>
      </c>
      <c r="L54" s="422">
        <v>45596</v>
      </c>
      <c r="M54" s="422">
        <v>45626</v>
      </c>
      <c r="N54" s="422">
        <v>45657</v>
      </c>
    </row>
    <row r="55" spans="2:15" ht="15" x14ac:dyDescent="0.25">
      <c r="B55" s="423" t="s">
        <v>746</v>
      </c>
      <c r="C55" s="380">
        <v>108</v>
      </c>
      <c r="D55" s="380">
        <v>108</v>
      </c>
      <c r="E55" s="380">
        <v>108</v>
      </c>
      <c r="F55" s="380">
        <v>108</v>
      </c>
      <c r="G55" s="380">
        <v>108</v>
      </c>
      <c r="H55" s="380">
        <v>108</v>
      </c>
      <c r="I55" s="380">
        <v>104</v>
      </c>
      <c r="J55" s="380">
        <v>104</v>
      </c>
      <c r="K55" s="380">
        <v>104</v>
      </c>
      <c r="L55" s="380">
        <v>103</v>
      </c>
      <c r="M55" s="380">
        <v>103</v>
      </c>
      <c r="N55" s="380">
        <v>103</v>
      </c>
    </row>
    <row r="56" spans="2:15" ht="15" x14ac:dyDescent="0.25">
      <c r="B56" s="423" t="s">
        <v>747</v>
      </c>
      <c r="C56" s="380">
        <v>156</v>
      </c>
      <c r="D56" s="380">
        <v>156</v>
      </c>
      <c r="E56" s="380">
        <v>158</v>
      </c>
      <c r="F56" s="380">
        <v>156</v>
      </c>
      <c r="G56" s="380">
        <v>156</v>
      </c>
      <c r="H56" s="380">
        <v>159</v>
      </c>
      <c r="I56" s="380">
        <v>159</v>
      </c>
      <c r="J56" s="380">
        <v>162</v>
      </c>
      <c r="K56" s="380">
        <v>163</v>
      </c>
      <c r="L56" s="380">
        <v>164</v>
      </c>
      <c r="M56" s="380">
        <v>167</v>
      </c>
      <c r="N56" s="380">
        <v>163</v>
      </c>
    </row>
    <row r="57" spans="2:15" ht="15" x14ac:dyDescent="0.25">
      <c r="B57" s="423" t="s">
        <v>748</v>
      </c>
      <c r="C57" s="380">
        <v>5</v>
      </c>
      <c r="D57" s="380">
        <v>5</v>
      </c>
      <c r="E57" s="380">
        <v>5</v>
      </c>
      <c r="F57" s="380">
        <v>5</v>
      </c>
      <c r="G57" s="380">
        <v>5</v>
      </c>
      <c r="H57" s="380">
        <v>5</v>
      </c>
      <c r="I57" s="380">
        <v>5</v>
      </c>
      <c r="J57" s="380">
        <v>6</v>
      </c>
      <c r="K57" s="380">
        <v>5</v>
      </c>
      <c r="L57" s="380">
        <v>5</v>
      </c>
      <c r="M57" s="380">
        <v>5</v>
      </c>
      <c r="N57" s="380">
        <v>5</v>
      </c>
    </row>
    <row r="58" spans="2:15" ht="15" x14ac:dyDescent="0.25">
      <c r="B58" s="424" t="s">
        <v>8</v>
      </c>
      <c r="C58" s="380">
        <v>269</v>
      </c>
      <c r="D58" s="380">
        <v>269</v>
      </c>
      <c r="E58" s="380">
        <v>271</v>
      </c>
      <c r="F58" s="380">
        <v>269</v>
      </c>
      <c r="G58" s="380">
        <v>269</v>
      </c>
      <c r="H58" s="380">
        <v>272</v>
      </c>
      <c r="I58" s="380">
        <v>268</v>
      </c>
      <c r="J58" s="380">
        <v>272</v>
      </c>
      <c r="K58" s="380">
        <v>272</v>
      </c>
      <c r="L58" s="380">
        <v>272</v>
      </c>
      <c r="M58" s="380">
        <v>275</v>
      </c>
      <c r="N58" s="380">
        <v>271</v>
      </c>
      <c r="O58" s="398">
        <f>AVERAGE(C58:N58)</f>
        <v>270.75</v>
      </c>
    </row>
    <row r="60" spans="2:15" x14ac:dyDescent="0.2">
      <c r="C60" s="398">
        <f>C58-C51</f>
        <v>12</v>
      </c>
      <c r="D60" s="398">
        <f t="shared" ref="D60:N60" si="3">D58-D51</f>
        <v>13</v>
      </c>
      <c r="E60" s="398">
        <f t="shared" si="3"/>
        <v>12</v>
      </c>
      <c r="F60" s="398">
        <f t="shared" si="3"/>
        <v>11</v>
      </c>
      <c r="G60" s="398">
        <f t="shared" si="3"/>
        <v>10</v>
      </c>
      <c r="H60" s="398">
        <f t="shared" si="3"/>
        <v>12</v>
      </c>
      <c r="I60" s="398">
        <f t="shared" si="3"/>
        <v>9</v>
      </c>
      <c r="J60" s="398">
        <f t="shared" si="3"/>
        <v>13</v>
      </c>
      <c r="K60" s="398">
        <f t="shared" si="3"/>
        <v>11</v>
      </c>
      <c r="L60" s="398">
        <f t="shared" si="3"/>
        <v>7</v>
      </c>
      <c r="M60" s="398">
        <f t="shared" si="3"/>
        <v>9</v>
      </c>
      <c r="N60" s="398">
        <f t="shared" si="3"/>
        <v>6</v>
      </c>
    </row>
  </sheetData>
  <mergeCells count="1">
    <mergeCell ref="B2:N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B91A-09D5-4B2A-9E09-156C5D073D56}">
  <sheetPr codeName="Feuil11">
    <tabColor theme="0" tint="-0.14999847407452621"/>
  </sheetPr>
  <dimension ref="B8:P160"/>
  <sheetViews>
    <sheetView workbookViewId="0">
      <pane ySplit="8" topLeftCell="A153" activePane="bottomLeft" state="frozen"/>
      <selection activeCell="H34" sqref="H34:V50"/>
      <selection pane="bottomLeft" activeCell="B164" sqref="B164"/>
    </sheetView>
  </sheetViews>
  <sheetFormatPr baseColWidth="10" defaultColWidth="11.5703125" defaultRowHeight="13.5" x14ac:dyDescent="0.25"/>
  <cols>
    <col min="1" max="1" width="11.5703125" style="225"/>
    <col min="2" max="2" width="33.42578125" style="225" bestFit="1" customWidth="1"/>
    <col min="3" max="3" width="42.7109375" style="225" bestFit="1" customWidth="1"/>
    <col min="4" max="4" width="9.42578125" style="225" bestFit="1" customWidth="1"/>
    <col min="5" max="5" width="8.5703125" style="225" bestFit="1" customWidth="1"/>
    <col min="6" max="6" width="10" style="225" bestFit="1" customWidth="1"/>
    <col min="7" max="7" width="8.28515625" style="225" bestFit="1" customWidth="1"/>
    <col min="8" max="8" width="9" style="225" bestFit="1" customWidth="1"/>
    <col min="9" max="9" width="8.5703125" style="225" bestFit="1" customWidth="1"/>
    <col min="10" max="10" width="7.7109375" style="225" bestFit="1" customWidth="1"/>
    <col min="11" max="11" width="9.5703125" style="225" bestFit="1" customWidth="1"/>
    <col min="12" max="12" width="9" style="225" bestFit="1" customWidth="1"/>
    <col min="13" max="13" width="8" style="225" bestFit="1" customWidth="1"/>
    <col min="14" max="14" width="8.7109375" style="225" bestFit="1" customWidth="1"/>
    <col min="15" max="15" width="9" style="225" bestFit="1" customWidth="1"/>
    <col min="16" max="16" width="8" style="225" bestFit="1" customWidth="1"/>
    <col min="17" max="16384" width="11.5703125" style="225"/>
  </cols>
  <sheetData>
    <row r="8" spans="2:16" x14ac:dyDescent="0.25">
      <c r="B8" s="425" t="s">
        <v>364</v>
      </c>
      <c r="C8" s="425" t="s">
        <v>365</v>
      </c>
      <c r="D8" s="426">
        <v>42736</v>
      </c>
      <c r="E8" s="426">
        <v>42767</v>
      </c>
      <c r="F8" s="426">
        <v>42795</v>
      </c>
      <c r="G8" s="426">
        <v>42826</v>
      </c>
      <c r="H8" s="426">
        <v>42856</v>
      </c>
      <c r="I8" s="426">
        <v>42887</v>
      </c>
      <c r="J8" s="426">
        <v>42917</v>
      </c>
      <c r="K8" s="426">
        <v>42948</v>
      </c>
      <c r="L8" s="426">
        <v>42979</v>
      </c>
      <c r="M8" s="426">
        <v>43009</v>
      </c>
      <c r="N8" s="426">
        <v>43040</v>
      </c>
      <c r="O8" s="426">
        <v>43070</v>
      </c>
      <c r="P8" s="427" t="s">
        <v>8</v>
      </c>
    </row>
    <row r="9" spans="2:16" x14ac:dyDescent="0.25">
      <c r="B9" s="428" t="s">
        <v>366</v>
      </c>
      <c r="C9" s="428" t="s">
        <v>367</v>
      </c>
      <c r="D9" s="429">
        <v>335</v>
      </c>
      <c r="E9" s="429">
        <v>181.5</v>
      </c>
      <c r="F9" s="429">
        <v>92.5</v>
      </c>
      <c r="G9" s="429">
        <v>219</v>
      </c>
      <c r="H9" s="429">
        <v>175.5</v>
      </c>
      <c r="I9" s="429">
        <v>246.5</v>
      </c>
      <c r="J9" s="429">
        <v>511.5</v>
      </c>
      <c r="K9" s="429">
        <v>876</v>
      </c>
      <c r="L9" s="429">
        <v>694</v>
      </c>
      <c r="M9" s="429">
        <v>416.5</v>
      </c>
      <c r="N9" s="429">
        <v>324.5</v>
      </c>
      <c r="O9" s="429">
        <v>692</v>
      </c>
      <c r="P9" s="429">
        <v>4764.5</v>
      </c>
    </row>
    <row r="10" spans="2:16" x14ac:dyDescent="0.25">
      <c r="B10" s="428" t="s">
        <v>368</v>
      </c>
      <c r="C10" s="428" t="s">
        <v>367</v>
      </c>
      <c r="D10" s="429">
        <v>5</v>
      </c>
      <c r="E10" s="429"/>
      <c r="F10" s="429">
        <v>2</v>
      </c>
      <c r="G10" s="429"/>
      <c r="H10" s="429"/>
      <c r="I10" s="429">
        <v>7</v>
      </c>
      <c r="J10" s="429">
        <v>8</v>
      </c>
      <c r="K10" s="429">
        <v>20</v>
      </c>
      <c r="L10" s="429">
        <v>8</v>
      </c>
      <c r="M10" s="429">
        <v>5</v>
      </c>
      <c r="N10" s="429">
        <v>3</v>
      </c>
      <c r="O10" s="429">
        <v>13</v>
      </c>
      <c r="P10" s="429">
        <v>71</v>
      </c>
    </row>
    <row r="11" spans="2:16" x14ac:dyDescent="0.25">
      <c r="B11" s="428" t="s">
        <v>369</v>
      </c>
      <c r="C11" s="428" t="s">
        <v>367</v>
      </c>
      <c r="D11" s="429">
        <v>5</v>
      </c>
      <c r="E11" s="429">
        <v>6</v>
      </c>
      <c r="F11" s="429">
        <v>1</v>
      </c>
      <c r="G11" s="429">
        <v>5</v>
      </c>
      <c r="H11" s="429">
        <v>17</v>
      </c>
      <c r="I11" s="429">
        <v>17</v>
      </c>
      <c r="J11" s="429">
        <v>12</v>
      </c>
      <c r="K11" s="429">
        <v>12</v>
      </c>
      <c r="L11" s="429">
        <v>6</v>
      </c>
      <c r="M11" s="429">
        <v>21</v>
      </c>
      <c r="N11" s="429">
        <v>14</v>
      </c>
      <c r="O11" s="429">
        <v>14</v>
      </c>
      <c r="P11" s="429">
        <v>130</v>
      </c>
    </row>
    <row r="12" spans="2:16" x14ac:dyDescent="0.25">
      <c r="B12" s="428" t="s">
        <v>370</v>
      </c>
      <c r="C12" s="428" t="s">
        <v>367</v>
      </c>
      <c r="D12" s="429"/>
      <c r="E12" s="429"/>
      <c r="F12" s="429">
        <v>5</v>
      </c>
      <c r="G12" s="429">
        <v>30</v>
      </c>
      <c r="H12" s="429"/>
      <c r="I12" s="429"/>
      <c r="J12" s="429"/>
      <c r="K12" s="429"/>
      <c r="L12" s="429"/>
      <c r="M12" s="429"/>
      <c r="N12" s="429"/>
      <c r="O12" s="429"/>
      <c r="P12" s="429">
        <v>35</v>
      </c>
    </row>
    <row r="13" spans="2:16" x14ac:dyDescent="0.25">
      <c r="B13" s="428" t="s">
        <v>371</v>
      </c>
      <c r="C13" s="428" t="s">
        <v>367</v>
      </c>
      <c r="D13" s="429"/>
      <c r="E13" s="429"/>
      <c r="F13" s="429">
        <v>1</v>
      </c>
      <c r="G13" s="429"/>
      <c r="H13" s="429"/>
      <c r="I13" s="429"/>
      <c r="J13" s="429">
        <v>2</v>
      </c>
      <c r="K13" s="429">
        <v>3</v>
      </c>
      <c r="L13" s="429"/>
      <c r="M13" s="429">
        <v>12</v>
      </c>
      <c r="N13" s="429">
        <v>4</v>
      </c>
      <c r="O13" s="429"/>
      <c r="P13" s="429">
        <v>22</v>
      </c>
    </row>
    <row r="14" spans="2:16" x14ac:dyDescent="0.25">
      <c r="B14" s="428" t="s">
        <v>372</v>
      </c>
      <c r="C14" s="428" t="s">
        <v>373</v>
      </c>
      <c r="D14" s="429">
        <v>0</v>
      </c>
      <c r="E14" s="429">
        <v>0</v>
      </c>
      <c r="F14" s="429">
        <v>0</v>
      </c>
      <c r="G14" s="429">
        <v>0</v>
      </c>
      <c r="H14" s="429">
        <v>0</v>
      </c>
      <c r="I14" s="429">
        <v>0</v>
      </c>
      <c r="J14" s="429">
        <v>0</v>
      </c>
      <c r="K14" s="429">
        <v>0</v>
      </c>
      <c r="L14" s="429">
        <v>0</v>
      </c>
      <c r="M14" s="429">
        <v>0</v>
      </c>
      <c r="N14" s="429">
        <v>0</v>
      </c>
      <c r="O14" s="429">
        <v>0</v>
      </c>
      <c r="P14" s="429">
        <v>0</v>
      </c>
    </row>
    <row r="15" spans="2:16" x14ac:dyDescent="0.25">
      <c r="B15" s="428" t="s">
        <v>372</v>
      </c>
      <c r="C15" s="428" t="s">
        <v>367</v>
      </c>
      <c r="D15" s="429">
        <v>0</v>
      </c>
      <c r="E15" s="429">
        <v>0</v>
      </c>
      <c r="F15" s="429">
        <v>0</v>
      </c>
      <c r="G15" s="429">
        <v>0</v>
      </c>
      <c r="H15" s="429">
        <v>0</v>
      </c>
      <c r="I15" s="429">
        <v>0</v>
      </c>
      <c r="J15" s="429">
        <v>0</v>
      </c>
      <c r="K15" s="429">
        <v>0</v>
      </c>
      <c r="L15" s="429">
        <v>0</v>
      </c>
      <c r="M15" s="429">
        <v>0</v>
      </c>
      <c r="N15" s="429">
        <v>0</v>
      </c>
      <c r="O15" s="429">
        <v>0</v>
      </c>
      <c r="P15" s="429">
        <v>0</v>
      </c>
    </row>
    <row r="16" spans="2:16" x14ac:dyDescent="0.25">
      <c r="B16" s="428" t="s">
        <v>374</v>
      </c>
      <c r="C16" s="428" t="s">
        <v>375</v>
      </c>
      <c r="D16" s="429">
        <v>0</v>
      </c>
      <c r="E16" s="429">
        <v>0</v>
      </c>
      <c r="F16" s="429">
        <v>0</v>
      </c>
      <c r="G16" s="429">
        <v>0</v>
      </c>
      <c r="H16" s="429">
        <v>0</v>
      </c>
      <c r="I16" s="429">
        <v>0</v>
      </c>
      <c r="J16" s="429">
        <v>0</v>
      </c>
      <c r="K16" s="429">
        <v>0</v>
      </c>
      <c r="L16" s="429">
        <v>0</v>
      </c>
      <c r="M16" s="429">
        <v>0</v>
      </c>
      <c r="N16" s="429">
        <v>0</v>
      </c>
      <c r="O16" s="429">
        <v>0</v>
      </c>
      <c r="P16" s="429">
        <v>0</v>
      </c>
    </row>
    <row r="17" spans="2:16" x14ac:dyDescent="0.25">
      <c r="B17" s="428" t="s">
        <v>376</v>
      </c>
      <c r="C17" s="428" t="s">
        <v>377</v>
      </c>
      <c r="D17" s="429">
        <v>180</v>
      </c>
      <c r="E17" s="429">
        <v>183</v>
      </c>
      <c r="F17" s="429">
        <v>184</v>
      </c>
      <c r="G17" s="429">
        <v>190</v>
      </c>
      <c r="H17" s="429">
        <v>200</v>
      </c>
      <c r="I17" s="429">
        <v>203</v>
      </c>
      <c r="J17" s="429">
        <v>203</v>
      </c>
      <c r="K17" s="429">
        <v>203</v>
      </c>
      <c r="L17" s="429">
        <v>207</v>
      </c>
      <c r="M17" s="429">
        <v>213</v>
      </c>
      <c r="N17" s="429">
        <v>212</v>
      </c>
      <c r="O17" s="429">
        <v>216</v>
      </c>
      <c r="P17" s="429"/>
    </row>
    <row r="18" spans="2:16" x14ac:dyDescent="0.25">
      <c r="B18" s="428" t="s">
        <v>378</v>
      </c>
      <c r="C18" s="428" t="s">
        <v>379</v>
      </c>
      <c r="D18" s="429"/>
      <c r="E18" s="429"/>
      <c r="F18" s="429">
        <v>1</v>
      </c>
      <c r="G18" s="429"/>
      <c r="H18" s="429"/>
      <c r="I18" s="429"/>
      <c r="J18" s="429"/>
      <c r="K18" s="429"/>
      <c r="L18" s="429"/>
      <c r="M18" s="429"/>
      <c r="N18" s="429"/>
      <c r="O18" s="429">
        <v>1</v>
      </c>
      <c r="P18" s="429">
        <v>2</v>
      </c>
    </row>
    <row r="19" spans="2:16" x14ac:dyDescent="0.25">
      <c r="B19" s="428" t="s">
        <v>380</v>
      </c>
      <c r="C19" s="428" t="s">
        <v>379</v>
      </c>
      <c r="D19" s="429"/>
      <c r="E19" s="429"/>
      <c r="F19" s="429"/>
      <c r="G19" s="429">
        <v>1</v>
      </c>
      <c r="H19" s="429"/>
      <c r="I19" s="429"/>
      <c r="J19" s="429"/>
      <c r="K19" s="429"/>
      <c r="L19" s="429"/>
      <c r="M19" s="429"/>
      <c r="N19" s="429"/>
      <c r="O19" s="429"/>
      <c r="P19" s="429">
        <v>1</v>
      </c>
    </row>
    <row r="20" spans="2:16" x14ac:dyDescent="0.25">
      <c r="B20" s="428" t="s">
        <v>87</v>
      </c>
      <c r="C20" s="428" t="s">
        <v>381</v>
      </c>
      <c r="D20" s="429"/>
      <c r="E20" s="429"/>
      <c r="F20" s="429"/>
      <c r="G20" s="429"/>
      <c r="H20" s="429">
        <v>2</v>
      </c>
      <c r="I20" s="429"/>
      <c r="J20" s="429">
        <v>2</v>
      </c>
      <c r="K20" s="429"/>
      <c r="L20" s="429"/>
      <c r="M20" s="429">
        <v>2</v>
      </c>
      <c r="N20" s="429"/>
      <c r="O20" s="429"/>
      <c r="P20" s="429">
        <v>6</v>
      </c>
    </row>
    <row r="21" spans="2:16" x14ac:dyDescent="0.25">
      <c r="B21" s="428" t="s">
        <v>382</v>
      </c>
      <c r="C21" s="428" t="s">
        <v>383</v>
      </c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>
        <v>2</v>
      </c>
      <c r="O21" s="429"/>
      <c r="P21" s="429">
        <v>2</v>
      </c>
    </row>
    <row r="22" spans="2:16" x14ac:dyDescent="0.25">
      <c r="B22" s="428" t="s">
        <v>384</v>
      </c>
      <c r="C22" s="428" t="s">
        <v>385</v>
      </c>
      <c r="D22" s="429"/>
      <c r="E22" s="429"/>
      <c r="F22" s="429">
        <v>1</v>
      </c>
      <c r="G22" s="429"/>
      <c r="H22" s="429">
        <v>1</v>
      </c>
      <c r="I22" s="429">
        <v>1</v>
      </c>
      <c r="J22" s="429">
        <v>1</v>
      </c>
      <c r="K22" s="429">
        <v>2</v>
      </c>
      <c r="L22" s="429">
        <v>3</v>
      </c>
      <c r="M22" s="429">
        <v>3</v>
      </c>
      <c r="N22" s="429">
        <v>1</v>
      </c>
      <c r="O22" s="429">
        <v>1</v>
      </c>
      <c r="P22" s="429">
        <v>14</v>
      </c>
    </row>
    <row r="23" spans="2:16" x14ac:dyDescent="0.25">
      <c r="B23" s="425" t="s">
        <v>364</v>
      </c>
      <c r="C23" s="425" t="s">
        <v>365</v>
      </c>
      <c r="D23" s="426">
        <v>43101</v>
      </c>
      <c r="E23" s="426">
        <v>43132</v>
      </c>
      <c r="F23" s="426">
        <v>43160</v>
      </c>
      <c r="G23" s="426">
        <v>43191</v>
      </c>
      <c r="H23" s="426">
        <v>43221</v>
      </c>
      <c r="I23" s="426">
        <v>43252</v>
      </c>
      <c r="J23" s="426">
        <v>43282</v>
      </c>
      <c r="K23" s="426">
        <v>43313</v>
      </c>
      <c r="L23" s="426">
        <v>43344</v>
      </c>
      <c r="M23" s="426">
        <v>43374</v>
      </c>
      <c r="N23" s="426">
        <v>43405</v>
      </c>
      <c r="O23" s="426">
        <v>43435</v>
      </c>
      <c r="P23" s="427" t="s">
        <v>8</v>
      </c>
    </row>
    <row r="24" spans="2:16" x14ac:dyDescent="0.25">
      <c r="B24" s="428" t="s">
        <v>366</v>
      </c>
      <c r="C24" s="428" t="s">
        <v>367</v>
      </c>
      <c r="D24" s="429">
        <v>608</v>
      </c>
      <c r="E24" s="429">
        <v>427</v>
      </c>
      <c r="F24" s="429">
        <v>498</v>
      </c>
      <c r="G24" s="429">
        <v>435</v>
      </c>
      <c r="H24" s="429">
        <v>623</v>
      </c>
      <c r="I24" s="429">
        <v>523.5</v>
      </c>
      <c r="J24" s="429">
        <v>522</v>
      </c>
      <c r="K24" s="429">
        <v>845.5</v>
      </c>
      <c r="L24" s="429">
        <v>813</v>
      </c>
      <c r="M24" s="429">
        <v>679</v>
      </c>
      <c r="N24" s="429">
        <v>496.5</v>
      </c>
      <c r="O24" s="429">
        <v>654.5</v>
      </c>
      <c r="P24" s="429">
        <v>7125</v>
      </c>
    </row>
    <row r="25" spans="2:16" x14ac:dyDescent="0.25">
      <c r="B25" s="428" t="s">
        <v>368</v>
      </c>
      <c r="C25" s="428" t="s">
        <v>367</v>
      </c>
      <c r="D25" s="429">
        <v>6</v>
      </c>
      <c r="E25" s="429">
        <v>11</v>
      </c>
      <c r="F25" s="429">
        <v>4</v>
      </c>
      <c r="G25" s="429">
        <v>5</v>
      </c>
      <c r="H25" s="429">
        <v>9</v>
      </c>
      <c r="I25" s="429">
        <v>4</v>
      </c>
      <c r="J25" s="429">
        <v>15</v>
      </c>
      <c r="K25" s="429">
        <v>5</v>
      </c>
      <c r="L25" s="429">
        <v>1</v>
      </c>
      <c r="M25" s="429">
        <v>2</v>
      </c>
      <c r="N25" s="429">
        <v>7</v>
      </c>
      <c r="O25" s="429">
        <v>0</v>
      </c>
      <c r="P25" s="429">
        <v>69</v>
      </c>
    </row>
    <row r="26" spans="2:16" x14ac:dyDescent="0.25">
      <c r="B26" s="428" t="s">
        <v>386</v>
      </c>
      <c r="C26" s="428" t="s">
        <v>367</v>
      </c>
      <c r="D26" s="429">
        <v>9</v>
      </c>
      <c r="E26" s="429">
        <v>4</v>
      </c>
      <c r="F26" s="429">
        <v>6</v>
      </c>
      <c r="G26" s="429">
        <v>14</v>
      </c>
      <c r="H26" s="429">
        <v>12</v>
      </c>
      <c r="I26" s="429">
        <v>22</v>
      </c>
      <c r="J26" s="429">
        <v>12</v>
      </c>
      <c r="K26" s="430">
        <v>141</v>
      </c>
      <c r="L26" s="431">
        <v>51</v>
      </c>
      <c r="M26" s="429">
        <v>6</v>
      </c>
      <c r="N26" s="429">
        <v>20</v>
      </c>
      <c r="O26" s="429">
        <v>7</v>
      </c>
      <c r="P26" s="429">
        <v>304</v>
      </c>
    </row>
    <row r="27" spans="2:16" x14ac:dyDescent="0.25">
      <c r="B27" s="428" t="s">
        <v>370</v>
      </c>
      <c r="C27" s="428" t="s">
        <v>367</v>
      </c>
      <c r="D27" s="429">
        <v>0</v>
      </c>
      <c r="E27" s="429">
        <v>0</v>
      </c>
      <c r="F27" s="429">
        <v>0</v>
      </c>
      <c r="G27" s="429">
        <v>7</v>
      </c>
      <c r="H27" s="429">
        <v>0</v>
      </c>
      <c r="I27" s="429">
        <v>0</v>
      </c>
      <c r="J27" s="429">
        <v>45</v>
      </c>
      <c r="K27" s="432">
        <v>23</v>
      </c>
      <c r="L27" s="429">
        <v>0</v>
      </c>
      <c r="M27" s="429">
        <v>5</v>
      </c>
      <c r="N27" s="429">
        <v>0</v>
      </c>
      <c r="O27" s="429">
        <v>0</v>
      </c>
      <c r="P27" s="429">
        <v>80</v>
      </c>
    </row>
    <row r="28" spans="2:16" x14ac:dyDescent="0.25">
      <c r="B28" s="428" t="s">
        <v>371</v>
      </c>
      <c r="C28" s="428" t="s">
        <v>367</v>
      </c>
      <c r="D28" s="429">
        <v>1</v>
      </c>
      <c r="E28" s="429">
        <v>1</v>
      </c>
      <c r="F28" s="429">
        <v>2</v>
      </c>
      <c r="G28" s="429">
        <v>1</v>
      </c>
      <c r="H28" s="429">
        <v>1</v>
      </c>
      <c r="I28" s="429">
        <v>2</v>
      </c>
      <c r="J28" s="429">
        <v>0</v>
      </c>
      <c r="K28" s="429">
        <v>0</v>
      </c>
      <c r="L28" s="429">
        <v>0</v>
      </c>
      <c r="M28" s="429">
        <v>1</v>
      </c>
      <c r="N28" s="429">
        <v>3</v>
      </c>
      <c r="O28" s="429">
        <v>0</v>
      </c>
      <c r="P28" s="429">
        <v>12</v>
      </c>
    </row>
    <row r="29" spans="2:16" x14ac:dyDescent="0.25">
      <c r="B29" s="428" t="s">
        <v>372</v>
      </c>
      <c r="C29" s="428" t="s">
        <v>373</v>
      </c>
      <c r="D29" s="429">
        <v>1</v>
      </c>
      <c r="E29" s="429">
        <v>0</v>
      </c>
      <c r="F29" s="429">
        <v>0</v>
      </c>
      <c r="G29" s="429">
        <v>0</v>
      </c>
      <c r="H29" s="429">
        <v>0</v>
      </c>
      <c r="I29" s="429">
        <v>0</v>
      </c>
      <c r="J29" s="429">
        <v>1</v>
      </c>
      <c r="K29" s="429">
        <v>0</v>
      </c>
      <c r="L29" s="429">
        <v>0</v>
      </c>
      <c r="M29" s="429">
        <v>0</v>
      </c>
      <c r="N29" s="429">
        <v>1</v>
      </c>
      <c r="O29" s="429">
        <v>1</v>
      </c>
      <c r="P29" s="429">
        <v>4</v>
      </c>
    </row>
    <row r="30" spans="2:16" x14ac:dyDescent="0.25">
      <c r="B30" s="428" t="s">
        <v>372</v>
      </c>
      <c r="C30" s="428" t="s">
        <v>367</v>
      </c>
      <c r="D30" s="429">
        <v>6</v>
      </c>
      <c r="E30" s="429">
        <v>28</v>
      </c>
      <c r="F30" s="429">
        <v>31</v>
      </c>
      <c r="G30" s="429">
        <v>30</v>
      </c>
      <c r="H30" s="429">
        <v>3</v>
      </c>
      <c r="I30" s="429">
        <v>0</v>
      </c>
      <c r="J30" s="429">
        <v>27</v>
      </c>
      <c r="K30" s="429">
        <v>30</v>
      </c>
      <c r="L30" s="429">
        <v>10</v>
      </c>
      <c r="M30" s="429">
        <v>0</v>
      </c>
      <c r="N30" s="429">
        <v>11</v>
      </c>
      <c r="O30" s="429">
        <v>31</v>
      </c>
      <c r="P30" s="429">
        <v>207</v>
      </c>
    </row>
    <row r="31" spans="2:16" x14ac:dyDescent="0.25">
      <c r="B31" s="428" t="s">
        <v>374</v>
      </c>
      <c r="C31" s="428" t="s">
        <v>375</v>
      </c>
      <c r="D31" s="429">
        <v>0</v>
      </c>
      <c r="E31" s="429">
        <v>0</v>
      </c>
      <c r="F31" s="429">
        <v>1</v>
      </c>
      <c r="G31" s="429">
        <v>0</v>
      </c>
      <c r="H31" s="429">
        <v>0</v>
      </c>
      <c r="I31" s="429">
        <v>0</v>
      </c>
      <c r="J31" s="429">
        <v>0</v>
      </c>
      <c r="K31" s="429">
        <v>0</v>
      </c>
      <c r="L31" s="429">
        <v>0</v>
      </c>
      <c r="M31" s="429">
        <v>0</v>
      </c>
      <c r="N31" s="429">
        <v>0</v>
      </c>
      <c r="O31" s="429">
        <v>0</v>
      </c>
      <c r="P31" s="429">
        <v>1</v>
      </c>
    </row>
    <row r="32" spans="2:16" x14ac:dyDescent="0.25">
      <c r="B32" s="428" t="s">
        <v>376</v>
      </c>
      <c r="C32" s="428" t="s">
        <v>377</v>
      </c>
      <c r="D32" s="429">
        <v>218</v>
      </c>
      <c r="E32" s="429">
        <v>218</v>
      </c>
      <c r="F32" s="429">
        <v>222</v>
      </c>
      <c r="G32" s="429">
        <v>225</v>
      </c>
      <c r="H32" s="429">
        <v>227</v>
      </c>
      <c r="I32" s="429">
        <v>229</v>
      </c>
      <c r="J32" s="429">
        <v>234</v>
      </c>
      <c r="K32" s="429">
        <v>236</v>
      </c>
      <c r="L32" s="429">
        <v>244</v>
      </c>
      <c r="M32" s="429">
        <v>248</v>
      </c>
      <c r="N32" s="429">
        <v>252</v>
      </c>
      <c r="O32" s="429">
        <v>252</v>
      </c>
      <c r="P32" s="429">
        <v>2805</v>
      </c>
    </row>
    <row r="33" spans="2:16" x14ac:dyDescent="0.25">
      <c r="B33" s="428" t="s">
        <v>378</v>
      </c>
      <c r="C33" s="428" t="s">
        <v>379</v>
      </c>
      <c r="D33" s="429">
        <v>0</v>
      </c>
      <c r="E33" s="429">
        <v>0</v>
      </c>
      <c r="F33" s="429">
        <v>1</v>
      </c>
      <c r="G33" s="429">
        <v>0</v>
      </c>
      <c r="H33" s="429">
        <v>0</v>
      </c>
      <c r="I33" s="429">
        <v>1</v>
      </c>
      <c r="J33" s="429">
        <v>0</v>
      </c>
      <c r="K33" s="429">
        <v>0</v>
      </c>
      <c r="L33" s="429">
        <v>0</v>
      </c>
      <c r="M33" s="429">
        <v>0</v>
      </c>
      <c r="N33" s="429">
        <v>0</v>
      </c>
      <c r="O33" s="429">
        <v>0</v>
      </c>
      <c r="P33" s="429">
        <v>2</v>
      </c>
    </row>
    <row r="34" spans="2:16" x14ac:dyDescent="0.25">
      <c r="B34" s="428" t="s">
        <v>380</v>
      </c>
      <c r="C34" s="428" t="s">
        <v>379</v>
      </c>
      <c r="D34" s="429">
        <v>1</v>
      </c>
      <c r="E34" s="429">
        <v>0</v>
      </c>
      <c r="F34" s="429">
        <v>1</v>
      </c>
      <c r="G34" s="429">
        <v>0</v>
      </c>
      <c r="H34" s="429">
        <v>0</v>
      </c>
      <c r="I34" s="429">
        <v>0</v>
      </c>
      <c r="J34" s="429">
        <v>0</v>
      </c>
      <c r="K34" s="429">
        <v>0</v>
      </c>
      <c r="L34" s="429">
        <v>0</v>
      </c>
      <c r="M34" s="429">
        <v>0</v>
      </c>
      <c r="N34" s="429">
        <v>0</v>
      </c>
      <c r="O34" s="429">
        <v>0</v>
      </c>
      <c r="P34" s="429">
        <v>2</v>
      </c>
    </row>
    <row r="35" spans="2:16" x14ac:dyDescent="0.25">
      <c r="B35" s="428" t="s">
        <v>387</v>
      </c>
      <c r="C35" s="428" t="s">
        <v>388</v>
      </c>
      <c r="D35" s="429">
        <v>0</v>
      </c>
      <c r="E35" s="429">
        <v>0</v>
      </c>
      <c r="F35" s="429">
        <v>0</v>
      </c>
      <c r="G35" s="429">
        <v>0</v>
      </c>
      <c r="H35" s="429">
        <v>0</v>
      </c>
      <c r="I35" s="429">
        <v>0</v>
      </c>
      <c r="J35" s="429">
        <v>0</v>
      </c>
      <c r="K35" s="429">
        <v>0</v>
      </c>
      <c r="L35" s="429">
        <v>0</v>
      </c>
      <c r="M35" s="429">
        <v>0</v>
      </c>
      <c r="N35" s="429">
        <v>0</v>
      </c>
      <c r="O35" s="429">
        <v>1</v>
      </c>
      <c r="P35" s="429">
        <v>1</v>
      </c>
    </row>
    <row r="36" spans="2:16" x14ac:dyDescent="0.25">
      <c r="B36" s="428" t="s">
        <v>87</v>
      </c>
      <c r="C36" s="428" t="s">
        <v>381</v>
      </c>
      <c r="D36" s="429">
        <v>1</v>
      </c>
      <c r="E36" s="429">
        <v>0</v>
      </c>
      <c r="F36" s="429">
        <v>1</v>
      </c>
      <c r="G36" s="429">
        <v>0</v>
      </c>
      <c r="H36" s="429">
        <v>1</v>
      </c>
      <c r="I36" s="429">
        <v>2</v>
      </c>
      <c r="J36" s="429">
        <v>0</v>
      </c>
      <c r="K36" s="429">
        <v>1</v>
      </c>
      <c r="L36" s="429">
        <v>0</v>
      </c>
      <c r="M36" s="429">
        <v>0</v>
      </c>
      <c r="N36" s="429">
        <v>0</v>
      </c>
      <c r="O36" s="429">
        <v>0</v>
      </c>
      <c r="P36" s="429">
        <v>6</v>
      </c>
    </row>
    <row r="37" spans="2:16" x14ac:dyDescent="0.25">
      <c r="B37" s="428" t="s">
        <v>389</v>
      </c>
      <c r="C37" s="428" t="s">
        <v>390</v>
      </c>
      <c r="D37" s="429">
        <v>0</v>
      </c>
      <c r="E37" s="429">
        <v>1</v>
      </c>
      <c r="F37" s="429">
        <v>0</v>
      </c>
      <c r="G37" s="429">
        <v>0</v>
      </c>
      <c r="H37" s="429">
        <v>0</v>
      </c>
      <c r="I37" s="429">
        <v>0</v>
      </c>
      <c r="J37" s="429">
        <v>0</v>
      </c>
      <c r="K37" s="429">
        <v>0</v>
      </c>
      <c r="L37" s="429">
        <v>0</v>
      </c>
      <c r="M37" s="429">
        <v>1</v>
      </c>
      <c r="N37" s="429">
        <v>0</v>
      </c>
      <c r="O37" s="429">
        <v>0</v>
      </c>
      <c r="P37" s="429">
        <v>2</v>
      </c>
    </row>
    <row r="38" spans="2:16" x14ac:dyDescent="0.25">
      <c r="B38" s="428" t="s">
        <v>382</v>
      </c>
      <c r="C38" s="428" t="s">
        <v>383</v>
      </c>
      <c r="D38" s="429">
        <v>0</v>
      </c>
      <c r="E38" s="429">
        <v>1</v>
      </c>
      <c r="F38" s="429">
        <v>0</v>
      </c>
      <c r="G38" s="429">
        <v>1</v>
      </c>
      <c r="H38" s="429">
        <v>0</v>
      </c>
      <c r="I38" s="429">
        <v>0</v>
      </c>
      <c r="J38" s="429">
        <v>0</v>
      </c>
      <c r="K38" s="429">
        <v>0</v>
      </c>
      <c r="L38" s="433">
        <v>1</v>
      </c>
      <c r="M38" s="434">
        <v>0</v>
      </c>
      <c r="N38" s="435">
        <v>1</v>
      </c>
      <c r="O38" s="436">
        <v>1</v>
      </c>
      <c r="P38" s="429">
        <v>5</v>
      </c>
    </row>
    <row r="39" spans="2:16" x14ac:dyDescent="0.25">
      <c r="B39" s="428" t="s">
        <v>384</v>
      </c>
      <c r="C39" s="428" t="s">
        <v>385</v>
      </c>
      <c r="D39" s="429">
        <v>1</v>
      </c>
      <c r="E39" s="429">
        <v>1</v>
      </c>
      <c r="F39" s="429">
        <v>0</v>
      </c>
      <c r="G39" s="429">
        <v>1</v>
      </c>
      <c r="H39" s="429">
        <v>0</v>
      </c>
      <c r="I39" s="429">
        <v>1</v>
      </c>
      <c r="J39" s="429">
        <v>1</v>
      </c>
      <c r="K39" s="429">
        <v>0</v>
      </c>
      <c r="L39" s="437">
        <v>2</v>
      </c>
      <c r="M39" s="429">
        <v>2</v>
      </c>
      <c r="N39" s="429">
        <v>3</v>
      </c>
      <c r="O39" s="429">
        <v>1</v>
      </c>
      <c r="P39" s="429">
        <v>13</v>
      </c>
    </row>
    <row r="40" spans="2:16" x14ac:dyDescent="0.25">
      <c r="B40" s="428" t="s">
        <v>391</v>
      </c>
      <c r="C40" s="428" t="s">
        <v>392</v>
      </c>
      <c r="D40" s="429">
        <v>0</v>
      </c>
      <c r="E40" s="429">
        <v>1</v>
      </c>
      <c r="F40" s="429">
        <v>3</v>
      </c>
      <c r="G40" s="429">
        <v>3</v>
      </c>
      <c r="H40" s="429">
        <v>1</v>
      </c>
      <c r="I40" s="429">
        <v>0</v>
      </c>
      <c r="J40" s="429">
        <v>0</v>
      </c>
      <c r="K40" s="429">
        <v>0</v>
      </c>
      <c r="L40" s="438">
        <v>2</v>
      </c>
      <c r="M40" s="439">
        <v>1</v>
      </c>
      <c r="N40" s="429">
        <v>0</v>
      </c>
      <c r="O40" s="429">
        <v>1</v>
      </c>
      <c r="P40" s="429">
        <v>12</v>
      </c>
    </row>
    <row r="41" spans="2:16" x14ac:dyDescent="0.25">
      <c r="B41" s="428" t="s">
        <v>201</v>
      </c>
      <c r="C41" s="428" t="s">
        <v>393</v>
      </c>
      <c r="D41" s="429">
        <v>0</v>
      </c>
      <c r="E41" s="429">
        <v>3</v>
      </c>
      <c r="F41" s="429">
        <v>2</v>
      </c>
      <c r="G41" s="429">
        <v>0</v>
      </c>
      <c r="H41" s="429">
        <v>1</v>
      </c>
      <c r="I41" s="429">
        <v>1</v>
      </c>
      <c r="J41" s="429">
        <v>0</v>
      </c>
      <c r="K41" s="429">
        <v>0</v>
      </c>
      <c r="L41" s="429">
        <v>0</v>
      </c>
      <c r="M41" s="429">
        <v>0</v>
      </c>
      <c r="N41" s="429">
        <v>0</v>
      </c>
      <c r="O41" s="429">
        <v>0</v>
      </c>
      <c r="P41" s="429">
        <v>7</v>
      </c>
    </row>
    <row r="42" spans="2:16" x14ac:dyDescent="0.25">
      <c r="B42" s="440" t="s">
        <v>364</v>
      </c>
      <c r="C42" s="441" t="s">
        <v>365</v>
      </c>
      <c r="D42" s="442">
        <v>43466</v>
      </c>
      <c r="E42" s="442">
        <v>43497</v>
      </c>
      <c r="F42" s="442">
        <v>43525</v>
      </c>
      <c r="G42" s="442">
        <v>43556</v>
      </c>
      <c r="H42" s="442">
        <v>43586</v>
      </c>
      <c r="I42" s="442">
        <v>43617</v>
      </c>
      <c r="J42" s="442">
        <v>43647</v>
      </c>
      <c r="K42" s="442">
        <v>43678</v>
      </c>
      <c r="L42" s="442">
        <v>43709</v>
      </c>
      <c r="M42" s="442">
        <v>43739</v>
      </c>
      <c r="N42" s="442">
        <v>43770</v>
      </c>
      <c r="O42" s="442">
        <v>43800</v>
      </c>
      <c r="P42" s="443" t="s">
        <v>749</v>
      </c>
    </row>
    <row r="43" spans="2:16" x14ac:dyDescent="0.25">
      <c r="B43" s="428" t="s">
        <v>366</v>
      </c>
      <c r="C43" s="428" t="s">
        <v>367</v>
      </c>
      <c r="D43" s="429">
        <v>437</v>
      </c>
      <c r="E43" s="429">
        <v>201.5</v>
      </c>
      <c r="F43" s="429">
        <v>155</v>
      </c>
      <c r="G43" s="429">
        <v>332.5</v>
      </c>
      <c r="H43" s="429">
        <v>218</v>
      </c>
      <c r="I43" s="429">
        <v>233.5</v>
      </c>
      <c r="J43" s="429">
        <v>312.5</v>
      </c>
      <c r="K43" s="429">
        <v>454</v>
      </c>
      <c r="L43" s="429">
        <v>608.5</v>
      </c>
      <c r="M43" s="429">
        <v>497</v>
      </c>
      <c r="N43" s="429">
        <v>413.3</v>
      </c>
      <c r="O43" s="429">
        <v>515.70000000000005</v>
      </c>
      <c r="P43" s="429">
        <v>4378.5</v>
      </c>
    </row>
    <row r="44" spans="2:16" x14ac:dyDescent="0.25">
      <c r="B44" s="428" t="s">
        <v>368</v>
      </c>
      <c r="C44" s="428" t="s">
        <v>367</v>
      </c>
      <c r="D44" s="429">
        <v>11</v>
      </c>
      <c r="E44" s="429">
        <v>10</v>
      </c>
      <c r="F44" s="429">
        <v>7</v>
      </c>
      <c r="G44" s="429">
        <v>11</v>
      </c>
      <c r="H44" s="429">
        <v>3</v>
      </c>
      <c r="I44" s="429">
        <v>2</v>
      </c>
      <c r="J44" s="429">
        <v>7</v>
      </c>
      <c r="K44" s="429">
        <v>9</v>
      </c>
      <c r="L44" s="429">
        <v>10</v>
      </c>
      <c r="M44" s="429">
        <v>8</v>
      </c>
      <c r="N44" s="429">
        <v>9</v>
      </c>
      <c r="O44" s="429">
        <v>20</v>
      </c>
      <c r="P44" s="429">
        <v>107</v>
      </c>
    </row>
    <row r="45" spans="2:16" x14ac:dyDescent="0.25">
      <c r="B45" s="428" t="s">
        <v>386</v>
      </c>
      <c r="C45" s="428" t="s">
        <v>367</v>
      </c>
      <c r="D45" s="429">
        <v>22</v>
      </c>
      <c r="E45" s="429">
        <v>15</v>
      </c>
      <c r="F45" s="429">
        <v>31</v>
      </c>
      <c r="G45" s="429">
        <v>29.5</v>
      </c>
      <c r="H45" s="429">
        <v>19</v>
      </c>
      <c r="I45" s="429">
        <v>22</v>
      </c>
      <c r="J45" s="429">
        <v>23</v>
      </c>
      <c r="K45" s="429">
        <v>27</v>
      </c>
      <c r="L45" s="429">
        <v>17</v>
      </c>
      <c r="M45" s="429">
        <v>17.5</v>
      </c>
      <c r="N45" s="429">
        <v>4</v>
      </c>
      <c r="O45" s="429">
        <v>39</v>
      </c>
      <c r="P45" s="429">
        <v>266</v>
      </c>
    </row>
    <row r="46" spans="2:16" x14ac:dyDescent="0.25">
      <c r="B46" s="428" t="s">
        <v>370</v>
      </c>
      <c r="C46" s="428" t="s">
        <v>367</v>
      </c>
      <c r="D46" s="429">
        <v>0</v>
      </c>
      <c r="E46" s="429">
        <v>0</v>
      </c>
      <c r="F46" s="429">
        <v>0</v>
      </c>
      <c r="G46" s="429">
        <v>0</v>
      </c>
      <c r="H46" s="429">
        <v>0</v>
      </c>
      <c r="I46" s="429">
        <v>12</v>
      </c>
      <c r="J46" s="429">
        <v>0</v>
      </c>
      <c r="K46" s="429">
        <v>5</v>
      </c>
      <c r="L46" s="429">
        <v>0</v>
      </c>
      <c r="M46" s="429">
        <v>0</v>
      </c>
      <c r="N46" s="429">
        <v>0</v>
      </c>
      <c r="O46" s="429">
        <v>2</v>
      </c>
      <c r="P46" s="429">
        <v>19</v>
      </c>
    </row>
    <row r="47" spans="2:16" x14ac:dyDescent="0.25">
      <c r="B47" s="428" t="s">
        <v>371</v>
      </c>
      <c r="C47" s="428" t="s">
        <v>367</v>
      </c>
      <c r="D47" s="429">
        <v>0</v>
      </c>
      <c r="E47" s="429">
        <v>5</v>
      </c>
      <c r="F47" s="429">
        <v>0</v>
      </c>
      <c r="G47" s="429">
        <v>0</v>
      </c>
      <c r="H47" s="429">
        <v>1</v>
      </c>
      <c r="I47" s="429">
        <v>3</v>
      </c>
      <c r="J47" s="429">
        <v>2</v>
      </c>
      <c r="K47" s="429">
        <v>0</v>
      </c>
      <c r="L47" s="429">
        <v>0</v>
      </c>
      <c r="M47" s="429">
        <v>0</v>
      </c>
      <c r="N47" s="429">
        <v>0</v>
      </c>
      <c r="O47" s="429">
        <v>6</v>
      </c>
      <c r="P47" s="429">
        <v>17</v>
      </c>
    </row>
    <row r="48" spans="2:16" x14ac:dyDescent="0.25">
      <c r="B48" s="428" t="s">
        <v>372</v>
      </c>
      <c r="C48" s="428" t="s">
        <v>373</v>
      </c>
      <c r="D48" s="429">
        <v>1</v>
      </c>
      <c r="E48" s="429">
        <v>1</v>
      </c>
      <c r="F48" s="429">
        <v>1</v>
      </c>
      <c r="G48" s="429">
        <v>2</v>
      </c>
      <c r="H48" s="429">
        <v>2</v>
      </c>
      <c r="I48" s="429">
        <v>1</v>
      </c>
      <c r="J48" s="429">
        <v>0</v>
      </c>
      <c r="K48" s="429">
        <v>1</v>
      </c>
      <c r="L48" s="429">
        <v>2</v>
      </c>
      <c r="M48" s="429">
        <v>2</v>
      </c>
      <c r="N48" s="429">
        <v>1</v>
      </c>
      <c r="O48" s="429">
        <v>3</v>
      </c>
      <c r="P48" s="429">
        <v>17</v>
      </c>
    </row>
    <row r="49" spans="2:16" x14ac:dyDescent="0.25">
      <c r="B49" s="428" t="s">
        <v>372</v>
      </c>
      <c r="C49" s="428" t="s">
        <v>367</v>
      </c>
      <c r="D49" s="429">
        <v>31</v>
      </c>
      <c r="E49" s="429">
        <v>10</v>
      </c>
      <c r="F49" s="429">
        <v>13</v>
      </c>
      <c r="G49" s="429">
        <v>42</v>
      </c>
      <c r="H49" s="429">
        <v>62</v>
      </c>
      <c r="I49" s="429">
        <v>49</v>
      </c>
      <c r="J49" s="429">
        <v>0</v>
      </c>
      <c r="K49" s="429">
        <v>5</v>
      </c>
      <c r="L49" s="429">
        <v>45</v>
      </c>
      <c r="M49" s="429">
        <v>60</v>
      </c>
      <c r="N49" s="429">
        <v>30</v>
      </c>
      <c r="O49" s="429">
        <v>83</v>
      </c>
      <c r="P49" s="429">
        <v>430</v>
      </c>
    </row>
    <row r="50" spans="2:16" x14ac:dyDescent="0.25">
      <c r="B50" s="428" t="s">
        <v>374</v>
      </c>
      <c r="C50" s="428" t="s">
        <v>375</v>
      </c>
      <c r="D50" s="429">
        <v>0</v>
      </c>
      <c r="E50" s="429">
        <v>0</v>
      </c>
      <c r="F50" s="429">
        <v>0</v>
      </c>
      <c r="G50" s="429">
        <v>0</v>
      </c>
      <c r="H50" s="429">
        <v>0</v>
      </c>
      <c r="I50" s="429">
        <v>0</v>
      </c>
      <c r="J50" s="429">
        <v>0</v>
      </c>
      <c r="K50" s="429">
        <v>1</v>
      </c>
      <c r="L50" s="429">
        <v>1</v>
      </c>
      <c r="M50" s="429">
        <v>0</v>
      </c>
      <c r="N50" s="429">
        <v>0</v>
      </c>
      <c r="O50" s="429">
        <v>0</v>
      </c>
      <c r="P50" s="429">
        <v>2</v>
      </c>
    </row>
    <row r="51" spans="2:16" x14ac:dyDescent="0.25">
      <c r="B51" s="428" t="s">
        <v>376</v>
      </c>
      <c r="C51" s="428" t="s">
        <v>377</v>
      </c>
      <c r="D51" s="429">
        <v>254</v>
      </c>
      <c r="E51" s="429">
        <v>258</v>
      </c>
      <c r="F51" s="429">
        <v>261</v>
      </c>
      <c r="G51" s="429">
        <v>262</v>
      </c>
      <c r="H51" s="429">
        <v>264</v>
      </c>
      <c r="I51" s="429">
        <v>260</v>
      </c>
      <c r="J51" s="429">
        <v>264</v>
      </c>
      <c r="K51" s="429">
        <v>262</v>
      </c>
      <c r="L51" s="429">
        <v>263</v>
      </c>
      <c r="M51" s="429">
        <v>263</v>
      </c>
      <c r="N51" s="429">
        <v>265</v>
      </c>
      <c r="O51" s="429">
        <v>262</v>
      </c>
      <c r="P51" s="429">
        <v>261.5</v>
      </c>
    </row>
    <row r="52" spans="2:16" x14ac:dyDescent="0.25">
      <c r="B52" s="428" t="s">
        <v>378</v>
      </c>
      <c r="C52" s="428" t="s">
        <v>379</v>
      </c>
      <c r="D52" s="429">
        <v>0</v>
      </c>
      <c r="E52" s="429">
        <v>1</v>
      </c>
      <c r="F52" s="429">
        <v>0</v>
      </c>
      <c r="G52" s="429">
        <v>0</v>
      </c>
      <c r="H52" s="429">
        <v>0</v>
      </c>
      <c r="I52" s="429">
        <v>0</v>
      </c>
      <c r="J52" s="429">
        <v>0</v>
      </c>
      <c r="K52" s="429">
        <v>0</v>
      </c>
      <c r="L52" s="429">
        <v>0</v>
      </c>
      <c r="M52" s="429">
        <v>0</v>
      </c>
      <c r="N52" s="429">
        <v>0</v>
      </c>
      <c r="O52" s="429">
        <v>0</v>
      </c>
      <c r="P52" s="429">
        <v>1</v>
      </c>
    </row>
    <row r="53" spans="2:16" x14ac:dyDescent="0.25">
      <c r="B53" s="428" t="s">
        <v>380</v>
      </c>
      <c r="C53" s="428" t="s">
        <v>379</v>
      </c>
      <c r="D53" s="429">
        <v>0</v>
      </c>
      <c r="E53" s="429">
        <v>0</v>
      </c>
      <c r="F53" s="429">
        <v>1</v>
      </c>
      <c r="G53" s="429">
        <v>0</v>
      </c>
      <c r="H53" s="429">
        <v>0</v>
      </c>
      <c r="I53" s="429">
        <v>0</v>
      </c>
      <c r="J53" s="429">
        <v>0</v>
      </c>
      <c r="K53" s="429">
        <v>0</v>
      </c>
      <c r="L53" s="429">
        <v>0</v>
      </c>
      <c r="M53" s="429">
        <v>0</v>
      </c>
      <c r="N53" s="429">
        <v>0</v>
      </c>
      <c r="O53" s="429">
        <v>0</v>
      </c>
      <c r="P53" s="429">
        <v>1</v>
      </c>
    </row>
    <row r="54" spans="2:16" x14ac:dyDescent="0.25">
      <c r="B54" s="428" t="s">
        <v>387</v>
      </c>
      <c r="C54" s="428" t="s">
        <v>388</v>
      </c>
      <c r="D54" s="429">
        <v>0</v>
      </c>
      <c r="E54" s="429">
        <v>0</v>
      </c>
      <c r="F54" s="429">
        <v>0</v>
      </c>
      <c r="G54" s="429">
        <v>0</v>
      </c>
      <c r="H54" s="429">
        <v>0</v>
      </c>
      <c r="I54" s="429">
        <v>2</v>
      </c>
      <c r="J54" s="429">
        <v>0</v>
      </c>
      <c r="K54" s="429">
        <v>0</v>
      </c>
      <c r="L54" s="429">
        <v>0</v>
      </c>
      <c r="M54" s="429">
        <v>0</v>
      </c>
      <c r="N54" s="429">
        <v>0</v>
      </c>
      <c r="O54" s="429">
        <v>3</v>
      </c>
      <c r="P54" s="429">
        <v>5</v>
      </c>
    </row>
    <row r="55" spans="2:16" x14ac:dyDescent="0.25">
      <c r="B55" s="428" t="s">
        <v>87</v>
      </c>
      <c r="C55" s="428" t="s">
        <v>381</v>
      </c>
      <c r="D55" s="429">
        <v>1</v>
      </c>
      <c r="E55" s="429">
        <v>0</v>
      </c>
      <c r="F55" s="429">
        <v>0</v>
      </c>
      <c r="G55" s="429">
        <v>0</v>
      </c>
      <c r="H55" s="429">
        <v>0</v>
      </c>
      <c r="I55" s="429">
        <v>1</v>
      </c>
      <c r="J55" s="429">
        <v>0</v>
      </c>
      <c r="K55" s="429">
        <v>3</v>
      </c>
      <c r="L55" s="429">
        <v>1</v>
      </c>
      <c r="M55" s="429">
        <v>1</v>
      </c>
      <c r="N55" s="429">
        <v>0</v>
      </c>
      <c r="O55" s="429">
        <v>1</v>
      </c>
      <c r="P55" s="429">
        <v>8</v>
      </c>
    </row>
    <row r="56" spans="2:16" x14ac:dyDescent="0.25">
      <c r="B56" s="428" t="s">
        <v>382</v>
      </c>
      <c r="C56" s="428" t="s">
        <v>383</v>
      </c>
      <c r="D56" s="429">
        <v>0</v>
      </c>
      <c r="E56" s="429">
        <v>1</v>
      </c>
      <c r="F56" s="429">
        <v>0</v>
      </c>
      <c r="G56" s="429">
        <v>0</v>
      </c>
      <c r="H56" s="429">
        <v>0</v>
      </c>
      <c r="I56" s="429">
        <v>0</v>
      </c>
      <c r="J56" s="429">
        <v>0</v>
      </c>
      <c r="K56" s="429">
        <v>0</v>
      </c>
      <c r="L56" s="429">
        <v>0</v>
      </c>
      <c r="M56" s="429">
        <v>0</v>
      </c>
      <c r="N56" s="429">
        <v>0</v>
      </c>
      <c r="O56" s="429">
        <v>0</v>
      </c>
      <c r="P56" s="429">
        <v>1</v>
      </c>
    </row>
    <row r="57" spans="2:16" x14ac:dyDescent="0.25">
      <c r="B57" s="428" t="s">
        <v>394</v>
      </c>
      <c r="C57" s="428" t="s">
        <v>395</v>
      </c>
      <c r="D57" s="429">
        <v>0</v>
      </c>
      <c r="E57" s="429">
        <v>0</v>
      </c>
      <c r="F57" s="429">
        <v>0</v>
      </c>
      <c r="G57" s="429">
        <v>0</v>
      </c>
      <c r="H57" s="429">
        <v>0</v>
      </c>
      <c r="I57" s="429">
        <v>1</v>
      </c>
      <c r="J57" s="429">
        <v>0</v>
      </c>
      <c r="K57" s="429">
        <v>0</v>
      </c>
      <c r="L57" s="429">
        <v>0</v>
      </c>
      <c r="M57" s="429">
        <v>0</v>
      </c>
      <c r="N57" s="429">
        <v>0</v>
      </c>
      <c r="O57" s="429">
        <v>1</v>
      </c>
      <c r="P57" s="429">
        <v>2</v>
      </c>
    </row>
    <row r="58" spans="2:16" x14ac:dyDescent="0.25">
      <c r="B58" s="428" t="s">
        <v>384</v>
      </c>
      <c r="C58" s="428" t="s">
        <v>385</v>
      </c>
      <c r="D58" s="429">
        <v>1</v>
      </c>
      <c r="E58" s="429">
        <v>1</v>
      </c>
      <c r="F58" s="429">
        <v>2</v>
      </c>
      <c r="G58" s="429">
        <v>4</v>
      </c>
      <c r="H58" s="429">
        <v>4</v>
      </c>
      <c r="I58" s="429">
        <v>3</v>
      </c>
      <c r="J58" s="429">
        <v>7</v>
      </c>
      <c r="K58" s="429">
        <v>8</v>
      </c>
      <c r="L58" s="429">
        <v>7</v>
      </c>
      <c r="M58" s="429">
        <v>6</v>
      </c>
      <c r="N58" s="429">
        <v>5</v>
      </c>
      <c r="O58" s="429">
        <v>7</v>
      </c>
      <c r="P58" s="429">
        <v>55</v>
      </c>
    </row>
    <row r="59" spans="2:16" x14ac:dyDescent="0.25">
      <c r="B59" s="428" t="s">
        <v>391</v>
      </c>
      <c r="C59" s="428" t="s">
        <v>392</v>
      </c>
      <c r="D59" s="429">
        <v>0</v>
      </c>
      <c r="E59" s="429">
        <v>0</v>
      </c>
      <c r="F59" s="429">
        <v>0</v>
      </c>
      <c r="G59" s="429">
        <v>0</v>
      </c>
      <c r="H59" s="429">
        <v>0</v>
      </c>
      <c r="I59" s="429">
        <v>3</v>
      </c>
      <c r="J59" s="429">
        <v>0</v>
      </c>
      <c r="K59" s="429">
        <v>0</v>
      </c>
      <c r="L59" s="429">
        <v>1</v>
      </c>
      <c r="M59" s="429">
        <v>0</v>
      </c>
      <c r="N59" s="429">
        <v>0</v>
      </c>
      <c r="O59" s="429">
        <v>1</v>
      </c>
      <c r="P59" s="429">
        <v>5</v>
      </c>
    </row>
    <row r="60" spans="2:16" x14ac:dyDescent="0.25">
      <c r="B60" s="428" t="s">
        <v>201</v>
      </c>
      <c r="C60" s="428" t="s">
        <v>393</v>
      </c>
      <c r="D60" s="429">
        <v>2</v>
      </c>
      <c r="E60" s="429">
        <v>4</v>
      </c>
      <c r="F60" s="429">
        <v>0</v>
      </c>
      <c r="G60" s="429">
        <v>0</v>
      </c>
      <c r="H60" s="429">
        <v>0</v>
      </c>
      <c r="I60" s="429">
        <v>0</v>
      </c>
      <c r="J60" s="429">
        <v>0</v>
      </c>
      <c r="K60" s="429">
        <v>1</v>
      </c>
      <c r="L60" s="429">
        <v>2</v>
      </c>
      <c r="M60" s="429">
        <v>0</v>
      </c>
      <c r="N60" s="429">
        <v>0</v>
      </c>
      <c r="O60" s="429">
        <v>0</v>
      </c>
      <c r="P60" s="429">
        <v>9</v>
      </c>
    </row>
    <row r="61" spans="2:16" x14ac:dyDescent="0.25">
      <c r="B61" s="444" t="s">
        <v>364</v>
      </c>
      <c r="C61" s="445" t="s">
        <v>365</v>
      </c>
      <c r="D61" s="426">
        <v>43831</v>
      </c>
      <c r="E61" s="426">
        <v>43862</v>
      </c>
      <c r="F61" s="426">
        <v>43891</v>
      </c>
      <c r="G61" s="426">
        <v>43922</v>
      </c>
      <c r="H61" s="426">
        <v>43952</v>
      </c>
      <c r="I61" s="426">
        <v>43983</v>
      </c>
      <c r="J61" s="426">
        <v>44013</v>
      </c>
      <c r="K61" s="426">
        <v>44044</v>
      </c>
      <c r="L61" s="426">
        <v>44075</v>
      </c>
      <c r="M61" s="426">
        <v>44105</v>
      </c>
      <c r="N61" s="426">
        <v>44136</v>
      </c>
      <c r="O61" s="426">
        <v>44166</v>
      </c>
      <c r="P61" s="427" t="s">
        <v>8</v>
      </c>
    </row>
    <row r="62" spans="2:16" x14ac:dyDescent="0.25">
      <c r="B62" s="428" t="s">
        <v>396</v>
      </c>
      <c r="C62" s="446" t="s">
        <v>367</v>
      </c>
      <c r="D62" s="429">
        <v>450</v>
      </c>
      <c r="E62" s="429">
        <v>195.5</v>
      </c>
      <c r="F62" s="429">
        <v>255.5</v>
      </c>
      <c r="G62" s="429">
        <v>861</v>
      </c>
      <c r="H62" s="429">
        <v>565.5</v>
      </c>
      <c r="I62" s="429">
        <v>651.5</v>
      </c>
      <c r="J62" s="429">
        <v>658.5</v>
      </c>
      <c r="K62" s="429">
        <v>273</v>
      </c>
      <c r="L62" s="429">
        <v>290</v>
      </c>
      <c r="M62" s="429">
        <v>322.5</v>
      </c>
      <c r="N62" s="429">
        <v>328.5</v>
      </c>
      <c r="O62" s="429">
        <v>509</v>
      </c>
      <c r="P62" s="429">
        <v>5360.5</v>
      </c>
    </row>
    <row r="63" spans="2:16" x14ac:dyDescent="0.25">
      <c r="B63" s="428" t="s">
        <v>368</v>
      </c>
      <c r="C63" s="446" t="s">
        <v>367</v>
      </c>
      <c r="D63" s="429">
        <v>9</v>
      </c>
      <c r="E63" s="429">
        <v>7</v>
      </c>
      <c r="F63" s="429">
        <v>9</v>
      </c>
      <c r="G63" s="429">
        <v>0</v>
      </c>
      <c r="H63" s="429">
        <v>3</v>
      </c>
      <c r="I63" s="429">
        <v>6</v>
      </c>
      <c r="J63" s="429">
        <v>4</v>
      </c>
      <c r="K63" s="429">
        <v>8</v>
      </c>
      <c r="L63" s="429">
        <v>14</v>
      </c>
      <c r="M63" s="429">
        <v>13</v>
      </c>
      <c r="N63" s="429">
        <v>12</v>
      </c>
      <c r="O63" s="429">
        <v>2</v>
      </c>
      <c r="P63" s="429">
        <v>87</v>
      </c>
    </row>
    <row r="64" spans="2:16" ht="54" x14ac:dyDescent="0.25">
      <c r="B64" s="446" t="s">
        <v>386</v>
      </c>
      <c r="C64" s="446" t="s">
        <v>367</v>
      </c>
      <c r="D64" s="335">
        <v>43</v>
      </c>
      <c r="E64" s="335">
        <v>19</v>
      </c>
      <c r="F64" s="335">
        <v>13</v>
      </c>
      <c r="G64" s="447" t="s">
        <v>397</v>
      </c>
      <c r="H64" s="335">
        <v>26</v>
      </c>
      <c r="I64" s="448">
        <v>22</v>
      </c>
      <c r="J64" s="448">
        <v>588</v>
      </c>
      <c r="K64" s="448">
        <v>673</v>
      </c>
      <c r="L64" s="335">
        <v>48</v>
      </c>
      <c r="M64" s="335">
        <v>44</v>
      </c>
      <c r="N64" s="335">
        <v>11</v>
      </c>
      <c r="O64" s="335">
        <v>19</v>
      </c>
      <c r="P64" s="335">
        <v>1506</v>
      </c>
    </row>
    <row r="65" spans="2:16" x14ac:dyDescent="0.25">
      <c r="B65" s="428" t="s">
        <v>370</v>
      </c>
      <c r="C65" s="446" t="s">
        <v>367</v>
      </c>
      <c r="D65" s="429">
        <v>0</v>
      </c>
      <c r="E65" s="429">
        <v>0</v>
      </c>
      <c r="F65" s="429">
        <v>3</v>
      </c>
      <c r="G65" s="429">
        <v>0</v>
      </c>
      <c r="H65" s="429">
        <v>0</v>
      </c>
      <c r="I65" s="429">
        <v>0</v>
      </c>
      <c r="J65" s="429">
        <v>5</v>
      </c>
      <c r="K65" s="429">
        <v>27</v>
      </c>
      <c r="L65" s="429">
        <v>0</v>
      </c>
      <c r="M65" s="429">
        <v>0</v>
      </c>
      <c r="N65" s="429">
        <v>0</v>
      </c>
      <c r="O65" s="429">
        <v>2</v>
      </c>
      <c r="P65" s="429">
        <v>37</v>
      </c>
    </row>
    <row r="66" spans="2:16" x14ac:dyDescent="0.25">
      <c r="B66" s="428" t="s">
        <v>371</v>
      </c>
      <c r="C66" s="446" t="s">
        <v>367</v>
      </c>
      <c r="D66" s="429">
        <v>0</v>
      </c>
      <c r="E66" s="429">
        <v>3</v>
      </c>
      <c r="F66" s="429">
        <v>3</v>
      </c>
      <c r="G66" s="429">
        <v>0</v>
      </c>
      <c r="H66" s="429">
        <v>0</v>
      </c>
      <c r="I66" s="429">
        <v>0</v>
      </c>
      <c r="J66" s="429">
        <v>1</v>
      </c>
      <c r="K66" s="429">
        <v>2</v>
      </c>
      <c r="L66" s="429">
        <v>4</v>
      </c>
      <c r="M66" s="429">
        <v>4</v>
      </c>
      <c r="N66" s="429">
        <v>4</v>
      </c>
      <c r="O66" s="429">
        <v>4</v>
      </c>
      <c r="P66" s="429">
        <v>25</v>
      </c>
    </row>
    <row r="67" spans="2:16" x14ac:dyDescent="0.25">
      <c r="B67" s="428" t="s">
        <v>372</v>
      </c>
      <c r="C67" s="446" t="s">
        <v>373</v>
      </c>
      <c r="D67" s="429">
        <v>2</v>
      </c>
      <c r="E67" s="429">
        <v>2</v>
      </c>
      <c r="F67" s="429">
        <v>2</v>
      </c>
      <c r="G67" s="429">
        <v>3</v>
      </c>
      <c r="H67" s="429">
        <v>2</v>
      </c>
      <c r="I67" s="429">
        <v>2</v>
      </c>
      <c r="J67" s="429">
        <v>2</v>
      </c>
      <c r="K67" s="429">
        <v>4</v>
      </c>
      <c r="L67" s="429">
        <v>2</v>
      </c>
      <c r="M67" s="429">
        <v>3</v>
      </c>
      <c r="N67" s="429">
        <v>3</v>
      </c>
      <c r="O67" s="429">
        <v>3</v>
      </c>
      <c r="P67" s="429"/>
    </row>
    <row r="68" spans="2:16" x14ac:dyDescent="0.25">
      <c r="B68" s="428" t="s">
        <v>372</v>
      </c>
      <c r="C68" s="446" t="s">
        <v>367</v>
      </c>
      <c r="D68" s="429">
        <v>37</v>
      </c>
      <c r="E68" s="429">
        <v>49</v>
      </c>
      <c r="F68" s="429">
        <v>60</v>
      </c>
      <c r="G68" s="429">
        <v>65</v>
      </c>
      <c r="H68" s="429">
        <v>15</v>
      </c>
      <c r="I68" s="429">
        <v>60</v>
      </c>
      <c r="J68" s="429">
        <v>60</v>
      </c>
      <c r="K68" s="429">
        <v>75</v>
      </c>
      <c r="L68" s="429">
        <v>60</v>
      </c>
      <c r="M68" s="429">
        <v>80</v>
      </c>
      <c r="N68" s="429">
        <v>70</v>
      </c>
      <c r="O68" s="429">
        <v>90</v>
      </c>
      <c r="P68" s="429">
        <v>721</v>
      </c>
    </row>
    <row r="69" spans="2:16" x14ac:dyDescent="0.25">
      <c r="B69" s="428" t="s">
        <v>374</v>
      </c>
      <c r="C69" s="446" t="s">
        <v>375</v>
      </c>
      <c r="D69" s="429">
        <v>0</v>
      </c>
      <c r="E69" s="429">
        <v>0</v>
      </c>
      <c r="F69" s="429">
        <v>0</v>
      </c>
      <c r="G69" s="429">
        <v>0</v>
      </c>
      <c r="H69" s="429">
        <v>0</v>
      </c>
      <c r="I69" s="429">
        <v>0</v>
      </c>
      <c r="J69" s="429">
        <v>0</v>
      </c>
      <c r="K69" s="429">
        <v>0</v>
      </c>
      <c r="L69" s="429">
        <v>0</v>
      </c>
      <c r="M69" s="429">
        <v>0</v>
      </c>
      <c r="N69" s="429">
        <v>0</v>
      </c>
      <c r="O69" s="429">
        <v>0</v>
      </c>
      <c r="P69" s="429">
        <v>0</v>
      </c>
    </row>
    <row r="70" spans="2:16" x14ac:dyDescent="0.25">
      <c r="B70" s="428" t="s">
        <v>376</v>
      </c>
      <c r="C70" s="446" t="s">
        <v>377</v>
      </c>
      <c r="D70" s="429">
        <v>264</v>
      </c>
      <c r="E70" s="429">
        <v>270</v>
      </c>
      <c r="F70" s="429">
        <v>273</v>
      </c>
      <c r="G70" s="429">
        <v>270</v>
      </c>
      <c r="H70" s="429">
        <v>264</v>
      </c>
      <c r="I70" s="429">
        <v>263</v>
      </c>
      <c r="J70" s="429">
        <v>263</v>
      </c>
      <c r="K70" s="429">
        <v>263</v>
      </c>
      <c r="L70" s="429">
        <v>263</v>
      </c>
      <c r="M70" s="429">
        <v>265</v>
      </c>
      <c r="N70" s="429">
        <v>263</v>
      </c>
      <c r="O70" s="429">
        <v>263</v>
      </c>
      <c r="P70" s="429"/>
    </row>
    <row r="71" spans="2:16" x14ac:dyDescent="0.25">
      <c r="B71" s="428" t="s">
        <v>378</v>
      </c>
      <c r="C71" s="446" t="s">
        <v>379</v>
      </c>
      <c r="D71" s="449">
        <v>0</v>
      </c>
      <c r="E71" s="449">
        <v>0</v>
      </c>
      <c r="F71" s="449">
        <v>0</v>
      </c>
      <c r="G71" s="449">
        <v>0</v>
      </c>
      <c r="H71" s="449">
        <v>0</v>
      </c>
      <c r="I71" s="449">
        <v>0</v>
      </c>
      <c r="J71" s="449">
        <v>0</v>
      </c>
      <c r="K71" s="449">
        <v>0</v>
      </c>
      <c r="L71" s="429">
        <v>0</v>
      </c>
      <c r="M71" s="429">
        <v>0</v>
      </c>
      <c r="N71" s="429">
        <v>0</v>
      </c>
      <c r="O71" s="429">
        <v>0</v>
      </c>
      <c r="P71" s="429">
        <v>0</v>
      </c>
    </row>
    <row r="72" spans="2:16" x14ac:dyDescent="0.25">
      <c r="B72" s="428" t="s">
        <v>380</v>
      </c>
      <c r="C72" s="446" t="s">
        <v>379</v>
      </c>
      <c r="D72" s="449">
        <v>0</v>
      </c>
      <c r="E72" s="449">
        <v>1</v>
      </c>
      <c r="F72" s="449">
        <v>1</v>
      </c>
      <c r="G72" s="449">
        <v>0</v>
      </c>
      <c r="H72" s="449">
        <v>0</v>
      </c>
      <c r="I72" s="449">
        <v>0</v>
      </c>
      <c r="J72" s="449">
        <v>0</v>
      </c>
      <c r="K72" s="449">
        <v>0</v>
      </c>
      <c r="L72" s="429">
        <v>0</v>
      </c>
      <c r="M72" s="429">
        <v>0</v>
      </c>
      <c r="N72" s="429">
        <v>0</v>
      </c>
      <c r="O72" s="429">
        <v>0</v>
      </c>
      <c r="P72" s="429">
        <v>2</v>
      </c>
    </row>
    <row r="73" spans="2:16" x14ac:dyDescent="0.25">
      <c r="B73" s="428" t="s">
        <v>387</v>
      </c>
      <c r="C73" s="446" t="s">
        <v>388</v>
      </c>
      <c r="D73" s="449">
        <v>0</v>
      </c>
      <c r="E73" s="449">
        <v>0</v>
      </c>
      <c r="F73" s="449">
        <v>0</v>
      </c>
      <c r="G73" s="449">
        <v>0</v>
      </c>
      <c r="H73" s="449">
        <v>4</v>
      </c>
      <c r="I73" s="449">
        <v>1</v>
      </c>
      <c r="J73" s="449">
        <v>0</v>
      </c>
      <c r="K73" s="449">
        <v>0</v>
      </c>
      <c r="L73" s="429">
        <v>0</v>
      </c>
      <c r="M73" s="429">
        <v>0</v>
      </c>
      <c r="N73" s="429">
        <v>1</v>
      </c>
      <c r="O73" s="429">
        <v>0</v>
      </c>
      <c r="P73" s="429">
        <v>6</v>
      </c>
    </row>
    <row r="74" spans="2:16" x14ac:dyDescent="0.25">
      <c r="B74" s="428" t="s">
        <v>87</v>
      </c>
      <c r="C74" s="446" t="s">
        <v>381</v>
      </c>
      <c r="D74" s="449">
        <v>0</v>
      </c>
      <c r="E74" s="449">
        <v>0</v>
      </c>
      <c r="F74" s="449">
        <v>0</v>
      </c>
      <c r="G74" s="449">
        <v>0</v>
      </c>
      <c r="H74" s="449">
        <v>1</v>
      </c>
      <c r="I74" s="449">
        <v>0</v>
      </c>
      <c r="J74" s="449">
        <v>0</v>
      </c>
      <c r="K74" s="449">
        <v>0</v>
      </c>
      <c r="L74" s="429">
        <v>0</v>
      </c>
      <c r="M74" s="429">
        <v>0</v>
      </c>
      <c r="N74" s="429">
        <v>1</v>
      </c>
      <c r="O74" s="429">
        <v>0</v>
      </c>
      <c r="P74" s="429">
        <v>2</v>
      </c>
    </row>
    <row r="75" spans="2:16" x14ac:dyDescent="0.25">
      <c r="B75" s="428" t="s">
        <v>382</v>
      </c>
      <c r="C75" s="446" t="s">
        <v>383</v>
      </c>
      <c r="D75" s="449">
        <v>0</v>
      </c>
      <c r="E75" s="449">
        <v>0</v>
      </c>
      <c r="F75" s="449">
        <v>0</v>
      </c>
      <c r="G75" s="449">
        <v>0</v>
      </c>
      <c r="H75" s="449">
        <v>0</v>
      </c>
      <c r="I75" s="449">
        <v>0</v>
      </c>
      <c r="J75" s="449">
        <v>0</v>
      </c>
      <c r="K75" s="449">
        <v>0</v>
      </c>
      <c r="L75" s="429">
        <v>0</v>
      </c>
      <c r="M75" s="429">
        <v>0</v>
      </c>
      <c r="N75" s="429">
        <v>0</v>
      </c>
      <c r="O75" s="429">
        <v>0</v>
      </c>
      <c r="P75" s="429">
        <v>0</v>
      </c>
    </row>
    <row r="76" spans="2:16" x14ac:dyDescent="0.25">
      <c r="B76" s="428" t="s">
        <v>398</v>
      </c>
      <c r="C76" s="446" t="s">
        <v>395</v>
      </c>
      <c r="D76" s="449">
        <v>0</v>
      </c>
      <c r="E76" s="449">
        <v>1</v>
      </c>
      <c r="F76" s="449">
        <v>4</v>
      </c>
      <c r="G76" s="449">
        <v>2</v>
      </c>
      <c r="H76" s="449">
        <v>1</v>
      </c>
      <c r="I76" s="449">
        <v>1</v>
      </c>
      <c r="J76" s="449">
        <v>0</v>
      </c>
      <c r="K76" s="449">
        <v>0</v>
      </c>
      <c r="L76" s="429">
        <v>1</v>
      </c>
      <c r="M76" s="429">
        <v>0</v>
      </c>
      <c r="N76" s="429">
        <v>0</v>
      </c>
      <c r="O76" s="429">
        <v>1</v>
      </c>
      <c r="P76" s="429">
        <v>11</v>
      </c>
    </row>
    <row r="77" spans="2:16" x14ac:dyDescent="0.25">
      <c r="B77" s="428" t="s">
        <v>399</v>
      </c>
      <c r="C77" s="446"/>
      <c r="D77" s="449">
        <v>0</v>
      </c>
      <c r="E77" s="450">
        <v>0</v>
      </c>
      <c r="F77" s="449">
        <v>1</v>
      </c>
      <c r="G77" s="449">
        <v>0</v>
      </c>
      <c r="H77" s="449">
        <v>0</v>
      </c>
      <c r="I77" s="449">
        <v>0</v>
      </c>
      <c r="J77" s="449">
        <v>0</v>
      </c>
      <c r="K77" s="449">
        <v>0</v>
      </c>
      <c r="L77" s="429">
        <v>0</v>
      </c>
      <c r="M77" s="429">
        <v>0</v>
      </c>
      <c r="N77" s="429">
        <v>0</v>
      </c>
      <c r="O77" s="429">
        <v>0</v>
      </c>
      <c r="P77" s="429">
        <v>1</v>
      </c>
    </row>
    <row r="78" spans="2:16" x14ac:dyDescent="0.25">
      <c r="B78" s="428" t="s">
        <v>384</v>
      </c>
      <c r="C78" s="446" t="s">
        <v>385</v>
      </c>
      <c r="D78" s="429">
        <v>5</v>
      </c>
      <c r="E78" s="429">
        <v>5</v>
      </c>
      <c r="F78" s="429">
        <v>5</v>
      </c>
      <c r="G78" s="429">
        <v>8</v>
      </c>
      <c r="H78" s="429">
        <v>5</v>
      </c>
      <c r="I78" s="429">
        <v>4</v>
      </c>
      <c r="J78" s="429">
        <v>3</v>
      </c>
      <c r="K78" s="429">
        <v>3</v>
      </c>
      <c r="L78" s="429">
        <v>3</v>
      </c>
      <c r="M78" s="429">
        <v>5</v>
      </c>
      <c r="N78" s="429">
        <v>5</v>
      </c>
      <c r="O78" s="429">
        <v>4</v>
      </c>
      <c r="P78" s="429">
        <v>55</v>
      </c>
    </row>
    <row r="79" spans="2:16" x14ac:dyDescent="0.25">
      <c r="B79" s="428" t="s">
        <v>391</v>
      </c>
      <c r="C79" s="446" t="s">
        <v>392</v>
      </c>
      <c r="D79" s="429">
        <v>1</v>
      </c>
      <c r="E79" s="429">
        <v>0</v>
      </c>
      <c r="F79" s="429">
        <v>0</v>
      </c>
      <c r="G79" s="429">
        <v>0</v>
      </c>
      <c r="H79" s="429">
        <v>0</v>
      </c>
      <c r="I79" s="429">
        <v>0</v>
      </c>
      <c r="J79" s="429">
        <v>0</v>
      </c>
      <c r="K79" s="429">
        <v>3</v>
      </c>
      <c r="L79" s="429">
        <v>0</v>
      </c>
      <c r="M79" s="429">
        <v>1</v>
      </c>
      <c r="N79" s="429">
        <v>0</v>
      </c>
      <c r="O79" s="429">
        <v>0</v>
      </c>
      <c r="P79" s="429">
        <v>5</v>
      </c>
    </row>
    <row r="80" spans="2:16" x14ac:dyDescent="0.25">
      <c r="B80" s="428" t="s">
        <v>201</v>
      </c>
      <c r="C80" s="446" t="s">
        <v>393</v>
      </c>
      <c r="D80" s="429">
        <v>0</v>
      </c>
      <c r="E80" s="429">
        <v>1</v>
      </c>
      <c r="F80" s="429">
        <v>0</v>
      </c>
      <c r="G80" s="429">
        <v>0</v>
      </c>
      <c r="H80" s="429">
        <v>0</v>
      </c>
      <c r="I80" s="429">
        <v>1</v>
      </c>
      <c r="J80" s="429">
        <v>0</v>
      </c>
      <c r="K80" s="429">
        <v>0</v>
      </c>
      <c r="L80" s="429">
        <v>0</v>
      </c>
      <c r="M80" s="429">
        <v>0</v>
      </c>
      <c r="N80" s="429">
        <v>0</v>
      </c>
      <c r="O80" s="429">
        <v>0</v>
      </c>
      <c r="P80" s="429">
        <v>2</v>
      </c>
    </row>
    <row r="81" spans="2:16" x14ac:dyDescent="0.25">
      <c r="B81" s="425" t="s">
        <v>364</v>
      </c>
      <c r="C81" s="425" t="s">
        <v>365</v>
      </c>
      <c r="D81" s="426">
        <v>44197</v>
      </c>
      <c r="E81" s="426">
        <v>44228</v>
      </c>
      <c r="F81" s="426">
        <v>44256</v>
      </c>
      <c r="G81" s="426">
        <v>44287</v>
      </c>
      <c r="H81" s="426">
        <v>44317</v>
      </c>
      <c r="I81" s="426">
        <v>44348</v>
      </c>
      <c r="J81" s="426">
        <v>44378</v>
      </c>
      <c r="K81" s="426">
        <v>44409</v>
      </c>
      <c r="L81" s="426">
        <v>44440</v>
      </c>
      <c r="M81" s="426">
        <v>44470</v>
      </c>
      <c r="N81" s="426">
        <v>44501</v>
      </c>
      <c r="O81" s="426">
        <v>44531</v>
      </c>
      <c r="P81" s="427" t="s">
        <v>8</v>
      </c>
    </row>
    <row r="82" spans="2:16" x14ac:dyDescent="0.25">
      <c r="B82" s="428" t="s">
        <v>396</v>
      </c>
      <c r="C82" s="446" t="s">
        <v>367</v>
      </c>
      <c r="D82" s="429">
        <v>330.5</v>
      </c>
      <c r="E82" s="429">
        <v>238.8</v>
      </c>
      <c r="F82" s="429">
        <v>340.5</v>
      </c>
      <c r="G82" s="429">
        <v>569</v>
      </c>
      <c r="H82" s="429">
        <v>274.5</v>
      </c>
      <c r="I82" s="429">
        <v>331.5</v>
      </c>
      <c r="J82" s="429">
        <v>438</v>
      </c>
      <c r="K82" s="429">
        <v>670</v>
      </c>
      <c r="L82" s="429">
        <v>509.5</v>
      </c>
      <c r="M82" s="429">
        <v>393</v>
      </c>
      <c r="N82" s="429">
        <v>346</v>
      </c>
      <c r="O82" s="429">
        <v>767</v>
      </c>
      <c r="P82" s="429">
        <v>5208.3</v>
      </c>
    </row>
    <row r="83" spans="2:16" x14ac:dyDescent="0.25">
      <c r="B83" s="428" t="s">
        <v>368</v>
      </c>
      <c r="C83" s="446" t="s">
        <v>367</v>
      </c>
      <c r="D83" s="429">
        <v>18</v>
      </c>
      <c r="E83" s="429">
        <v>5</v>
      </c>
      <c r="F83" s="429">
        <v>6</v>
      </c>
      <c r="G83" s="429">
        <v>19</v>
      </c>
      <c r="H83" s="429">
        <v>13</v>
      </c>
      <c r="I83" s="429">
        <v>16</v>
      </c>
      <c r="J83" s="429">
        <v>25</v>
      </c>
      <c r="K83" s="429">
        <v>14</v>
      </c>
      <c r="L83" s="429">
        <v>10</v>
      </c>
      <c r="M83" s="429">
        <v>22</v>
      </c>
      <c r="N83" s="429">
        <v>9</v>
      </c>
      <c r="O83" s="429">
        <v>14.5</v>
      </c>
      <c r="P83" s="429">
        <v>171.5</v>
      </c>
    </row>
    <row r="84" spans="2:16" x14ac:dyDescent="0.25">
      <c r="B84" s="446" t="s">
        <v>386</v>
      </c>
      <c r="C84" s="446" t="s">
        <v>367</v>
      </c>
      <c r="D84" s="335">
        <v>13</v>
      </c>
      <c r="E84" s="335">
        <v>59</v>
      </c>
      <c r="F84" s="335">
        <v>44</v>
      </c>
      <c r="G84" s="451">
        <v>449</v>
      </c>
      <c r="H84" s="335">
        <v>103</v>
      </c>
      <c r="I84" s="335">
        <v>89</v>
      </c>
      <c r="J84" s="335">
        <v>24</v>
      </c>
      <c r="K84" s="335">
        <v>44.5</v>
      </c>
      <c r="L84" s="335">
        <v>95</v>
      </c>
      <c r="M84" s="335">
        <v>29.5</v>
      </c>
      <c r="N84" s="335">
        <v>50</v>
      </c>
      <c r="O84" s="335">
        <v>141</v>
      </c>
      <c r="P84" s="429">
        <v>1141</v>
      </c>
    </row>
    <row r="85" spans="2:16" x14ac:dyDescent="0.25">
      <c r="B85" s="428" t="s">
        <v>370</v>
      </c>
      <c r="C85" s="446" t="s">
        <v>367</v>
      </c>
      <c r="D85" s="429">
        <v>3</v>
      </c>
      <c r="E85" s="429">
        <v>4</v>
      </c>
      <c r="F85" s="429">
        <v>0</v>
      </c>
      <c r="G85" s="429">
        <v>4</v>
      </c>
      <c r="H85" s="429">
        <v>0</v>
      </c>
      <c r="I85" s="429">
        <v>0</v>
      </c>
      <c r="J85" s="429">
        <v>0</v>
      </c>
      <c r="K85" s="429">
        <v>5</v>
      </c>
      <c r="L85" s="429">
        <v>0</v>
      </c>
      <c r="M85" s="429">
        <v>4</v>
      </c>
      <c r="N85" s="429">
        <v>2</v>
      </c>
      <c r="O85" s="429">
        <v>5</v>
      </c>
      <c r="P85" s="429">
        <v>27</v>
      </c>
    </row>
    <row r="86" spans="2:16" x14ac:dyDescent="0.25">
      <c r="B86" s="428" t="s">
        <v>371</v>
      </c>
      <c r="C86" s="446" t="s">
        <v>367</v>
      </c>
      <c r="D86" s="429">
        <v>3</v>
      </c>
      <c r="E86" s="429">
        <v>3</v>
      </c>
      <c r="F86" s="429">
        <v>3</v>
      </c>
      <c r="G86" s="429">
        <v>3</v>
      </c>
      <c r="H86" s="429">
        <v>3</v>
      </c>
      <c r="I86" s="429">
        <v>8</v>
      </c>
      <c r="J86" s="429">
        <v>4</v>
      </c>
      <c r="K86" s="429">
        <v>4</v>
      </c>
      <c r="L86" s="429">
        <v>7</v>
      </c>
      <c r="M86" s="429">
        <v>6</v>
      </c>
      <c r="N86" s="429">
        <v>10</v>
      </c>
      <c r="O86" s="429">
        <v>11</v>
      </c>
      <c r="P86" s="429">
        <v>65</v>
      </c>
    </row>
    <row r="87" spans="2:16" x14ac:dyDescent="0.25">
      <c r="B87" s="428" t="s">
        <v>372</v>
      </c>
      <c r="C87" s="446" t="s">
        <v>373</v>
      </c>
      <c r="D87" s="429">
        <v>2</v>
      </c>
      <c r="E87" s="429">
        <v>2</v>
      </c>
      <c r="F87" s="429">
        <v>2</v>
      </c>
      <c r="G87" s="429">
        <v>2</v>
      </c>
      <c r="H87" s="429">
        <v>2</v>
      </c>
      <c r="I87" s="429">
        <v>4</v>
      </c>
      <c r="J87" s="429">
        <v>6</v>
      </c>
      <c r="K87" s="429">
        <v>6</v>
      </c>
      <c r="L87" s="429">
        <v>6</v>
      </c>
      <c r="M87" s="429">
        <v>6</v>
      </c>
      <c r="N87" s="429">
        <v>4</v>
      </c>
      <c r="O87" s="429">
        <v>3</v>
      </c>
      <c r="P87" s="429">
        <v>45</v>
      </c>
    </row>
    <row r="88" spans="2:16" x14ac:dyDescent="0.25">
      <c r="B88" s="428" t="s">
        <v>372</v>
      </c>
      <c r="C88" s="446" t="s">
        <v>367</v>
      </c>
      <c r="D88" s="429">
        <v>60</v>
      </c>
      <c r="E88" s="429">
        <v>19</v>
      </c>
      <c r="F88" s="429">
        <v>60</v>
      </c>
      <c r="G88" s="429">
        <v>65</v>
      </c>
      <c r="H88" s="429">
        <v>14</v>
      </c>
      <c r="I88" s="429">
        <v>82</v>
      </c>
      <c r="J88" s="429">
        <v>159</v>
      </c>
      <c r="K88" s="429">
        <v>170</v>
      </c>
      <c r="L88" s="429">
        <v>145</v>
      </c>
      <c r="M88" s="429">
        <v>201</v>
      </c>
      <c r="N88" s="429">
        <v>84</v>
      </c>
      <c r="O88" s="429">
        <v>79</v>
      </c>
      <c r="P88" s="429">
        <v>1138</v>
      </c>
    </row>
    <row r="89" spans="2:16" x14ac:dyDescent="0.25">
      <c r="B89" s="428" t="s">
        <v>374</v>
      </c>
      <c r="C89" s="446" t="s">
        <v>375</v>
      </c>
      <c r="D89" s="429">
        <v>0</v>
      </c>
      <c r="E89" s="429">
        <v>0</v>
      </c>
      <c r="F89" s="429">
        <v>0</v>
      </c>
      <c r="G89" s="429">
        <v>0</v>
      </c>
      <c r="H89" s="429">
        <v>0</v>
      </c>
      <c r="I89" s="429">
        <v>2</v>
      </c>
      <c r="J89" s="429">
        <v>0</v>
      </c>
      <c r="K89" s="429">
        <v>0</v>
      </c>
      <c r="L89" s="429">
        <v>0</v>
      </c>
      <c r="M89" s="429">
        <v>0</v>
      </c>
      <c r="N89" s="429">
        <v>0</v>
      </c>
      <c r="O89" s="429">
        <v>1</v>
      </c>
      <c r="P89" s="429">
        <v>3</v>
      </c>
    </row>
    <row r="90" spans="2:16" x14ac:dyDescent="0.25">
      <c r="B90" s="428" t="s">
        <v>376</v>
      </c>
      <c r="C90" s="446" t="s">
        <v>377</v>
      </c>
      <c r="D90" s="429">
        <v>264</v>
      </c>
      <c r="E90" s="429">
        <v>261</v>
      </c>
      <c r="F90" s="429">
        <v>261</v>
      </c>
      <c r="G90" s="429">
        <v>261</v>
      </c>
      <c r="H90" s="429">
        <v>258</v>
      </c>
      <c r="I90" s="429">
        <v>257</v>
      </c>
      <c r="J90" s="429">
        <v>256</v>
      </c>
      <c r="K90" s="429">
        <v>257</v>
      </c>
      <c r="L90" s="429">
        <v>260</v>
      </c>
      <c r="M90" s="429">
        <v>261</v>
      </c>
      <c r="N90" s="429">
        <v>262</v>
      </c>
      <c r="O90" s="429">
        <v>261</v>
      </c>
      <c r="P90" s="429">
        <v>3119</v>
      </c>
    </row>
    <row r="91" spans="2:16" x14ac:dyDescent="0.25">
      <c r="B91" s="428" t="s">
        <v>378</v>
      </c>
      <c r="C91" s="446" t="s">
        <v>379</v>
      </c>
      <c r="D91" s="449">
        <v>0</v>
      </c>
      <c r="E91" s="449">
        <v>0</v>
      </c>
      <c r="F91" s="449">
        <v>0</v>
      </c>
      <c r="G91" s="449">
        <v>0</v>
      </c>
      <c r="H91" s="449">
        <v>0</v>
      </c>
      <c r="I91" s="449">
        <v>0</v>
      </c>
      <c r="J91" s="449">
        <v>0</v>
      </c>
      <c r="K91" s="449">
        <v>0</v>
      </c>
      <c r="L91" s="429">
        <v>0</v>
      </c>
      <c r="M91" s="429">
        <v>0</v>
      </c>
      <c r="N91" s="429">
        <v>0</v>
      </c>
      <c r="O91" s="429">
        <v>0</v>
      </c>
      <c r="P91" s="429">
        <v>0</v>
      </c>
    </row>
    <row r="92" spans="2:16" x14ac:dyDescent="0.25">
      <c r="B92" s="428" t="s">
        <v>380</v>
      </c>
      <c r="C92" s="446" t="s">
        <v>379</v>
      </c>
      <c r="D92" s="449">
        <v>0</v>
      </c>
      <c r="E92" s="449">
        <v>0</v>
      </c>
      <c r="F92" s="449">
        <v>0</v>
      </c>
      <c r="G92" s="449">
        <v>0</v>
      </c>
      <c r="H92" s="449">
        <v>0</v>
      </c>
      <c r="I92" s="449">
        <v>1</v>
      </c>
      <c r="J92" s="449">
        <v>0</v>
      </c>
      <c r="K92" s="449">
        <v>0</v>
      </c>
      <c r="L92" s="429">
        <v>0</v>
      </c>
      <c r="M92" s="429">
        <v>0</v>
      </c>
      <c r="N92" s="429">
        <v>0</v>
      </c>
      <c r="O92" s="429">
        <v>0</v>
      </c>
      <c r="P92" s="429">
        <v>1</v>
      </c>
    </row>
    <row r="93" spans="2:16" x14ac:dyDescent="0.25">
      <c r="B93" s="428" t="s">
        <v>387</v>
      </c>
      <c r="C93" s="446" t="s">
        <v>388</v>
      </c>
      <c r="D93" s="449">
        <v>0</v>
      </c>
      <c r="E93" s="449">
        <v>1</v>
      </c>
      <c r="F93" s="449">
        <v>2</v>
      </c>
      <c r="G93" s="449">
        <v>0</v>
      </c>
      <c r="H93" s="449">
        <v>0</v>
      </c>
      <c r="I93" s="449">
        <v>1</v>
      </c>
      <c r="J93" s="449">
        <v>0</v>
      </c>
      <c r="K93" s="449">
        <v>0</v>
      </c>
      <c r="L93" s="429">
        <v>0</v>
      </c>
      <c r="M93" s="429">
        <v>0</v>
      </c>
      <c r="N93" s="429">
        <v>0</v>
      </c>
      <c r="O93" s="429">
        <v>2</v>
      </c>
      <c r="P93" s="429">
        <v>6</v>
      </c>
    </row>
    <row r="94" spans="2:16" x14ac:dyDescent="0.25">
      <c r="B94" s="428" t="s">
        <v>87</v>
      </c>
      <c r="C94" s="446" t="s">
        <v>381</v>
      </c>
      <c r="D94" s="449">
        <v>0</v>
      </c>
      <c r="E94" s="449">
        <v>2</v>
      </c>
      <c r="F94" s="449">
        <v>1</v>
      </c>
      <c r="G94" s="449">
        <v>0</v>
      </c>
      <c r="H94" s="449">
        <v>0</v>
      </c>
      <c r="I94" s="449">
        <v>1</v>
      </c>
      <c r="J94" s="449">
        <v>0</v>
      </c>
      <c r="K94" s="449">
        <v>0</v>
      </c>
      <c r="L94" s="429">
        <v>0</v>
      </c>
      <c r="M94" s="429">
        <v>1</v>
      </c>
      <c r="N94" s="429">
        <v>1</v>
      </c>
      <c r="O94" s="429">
        <v>0</v>
      </c>
      <c r="P94" s="429">
        <v>6</v>
      </c>
    </row>
    <row r="95" spans="2:16" x14ac:dyDescent="0.25">
      <c r="B95" s="428" t="s">
        <v>382</v>
      </c>
      <c r="C95" s="446" t="s">
        <v>383</v>
      </c>
      <c r="D95" s="449">
        <v>0</v>
      </c>
      <c r="E95" s="449">
        <v>0</v>
      </c>
      <c r="F95" s="449">
        <v>0</v>
      </c>
      <c r="G95" s="449">
        <v>0</v>
      </c>
      <c r="H95" s="449">
        <v>1</v>
      </c>
      <c r="I95" s="449">
        <v>0</v>
      </c>
      <c r="J95" s="449">
        <v>0</v>
      </c>
      <c r="K95" s="449">
        <v>0</v>
      </c>
      <c r="L95" s="429">
        <v>0</v>
      </c>
      <c r="M95" s="429">
        <v>0</v>
      </c>
      <c r="N95" s="429">
        <v>0</v>
      </c>
      <c r="O95" s="429">
        <v>0</v>
      </c>
      <c r="P95" s="429">
        <v>1</v>
      </c>
    </row>
    <row r="96" spans="2:16" x14ac:dyDescent="0.25">
      <c r="B96" s="428" t="s">
        <v>398</v>
      </c>
      <c r="C96" s="446" t="s">
        <v>395</v>
      </c>
      <c r="D96" s="449">
        <v>0</v>
      </c>
      <c r="E96" s="449">
        <v>0</v>
      </c>
      <c r="F96" s="449">
        <v>0</v>
      </c>
      <c r="G96" s="449">
        <v>0</v>
      </c>
      <c r="H96" s="449">
        <v>1</v>
      </c>
      <c r="I96" s="449">
        <v>0</v>
      </c>
      <c r="J96" s="449">
        <v>1</v>
      </c>
      <c r="K96" s="449">
        <v>0</v>
      </c>
      <c r="L96" s="429">
        <v>0</v>
      </c>
      <c r="M96" s="429">
        <v>0</v>
      </c>
      <c r="N96" s="429">
        <v>0</v>
      </c>
      <c r="O96" s="429">
        <v>1</v>
      </c>
      <c r="P96" s="429">
        <v>3</v>
      </c>
    </row>
    <row r="97" spans="2:16" x14ac:dyDescent="0.25">
      <c r="B97" s="428" t="s">
        <v>399</v>
      </c>
      <c r="C97" s="446"/>
      <c r="D97" s="449">
        <v>0</v>
      </c>
      <c r="E97" s="450">
        <v>0</v>
      </c>
      <c r="F97" s="449">
        <v>0</v>
      </c>
      <c r="G97" s="449">
        <v>0</v>
      </c>
      <c r="H97" s="449">
        <v>0</v>
      </c>
      <c r="I97" s="449">
        <v>0</v>
      </c>
      <c r="J97" s="449">
        <v>0</v>
      </c>
      <c r="K97" s="449">
        <v>0</v>
      </c>
      <c r="L97" s="429">
        <v>0</v>
      </c>
      <c r="M97" s="429">
        <v>0</v>
      </c>
      <c r="N97" s="429">
        <v>0</v>
      </c>
      <c r="O97" s="429">
        <v>0</v>
      </c>
      <c r="P97" s="429">
        <v>0</v>
      </c>
    </row>
    <row r="98" spans="2:16" x14ac:dyDescent="0.25">
      <c r="B98" s="428" t="s">
        <v>384</v>
      </c>
      <c r="C98" s="446" t="s">
        <v>385</v>
      </c>
      <c r="D98" s="429">
        <v>5</v>
      </c>
      <c r="E98" s="429">
        <v>4</v>
      </c>
      <c r="F98" s="429">
        <v>8</v>
      </c>
      <c r="G98" s="429">
        <v>7</v>
      </c>
      <c r="H98" s="429">
        <v>5</v>
      </c>
      <c r="I98" s="429">
        <v>4</v>
      </c>
      <c r="J98" s="429">
        <v>6</v>
      </c>
      <c r="K98" s="429">
        <v>10</v>
      </c>
      <c r="L98" s="429">
        <v>9</v>
      </c>
      <c r="M98" s="429">
        <v>6</v>
      </c>
      <c r="N98" s="429">
        <v>5</v>
      </c>
      <c r="O98" s="429">
        <v>5</v>
      </c>
      <c r="P98" s="429">
        <v>74</v>
      </c>
    </row>
    <row r="99" spans="2:16" x14ac:dyDescent="0.25">
      <c r="B99" s="428" t="s">
        <v>391</v>
      </c>
      <c r="C99" s="446" t="s">
        <v>392</v>
      </c>
      <c r="D99" s="429">
        <v>0</v>
      </c>
      <c r="E99" s="429">
        <v>1</v>
      </c>
      <c r="F99" s="429">
        <v>1</v>
      </c>
      <c r="G99" s="429">
        <v>10</v>
      </c>
      <c r="H99" s="429">
        <v>34</v>
      </c>
      <c r="I99" s="429">
        <v>0</v>
      </c>
      <c r="J99" s="429">
        <v>2</v>
      </c>
      <c r="K99" s="429">
        <v>0</v>
      </c>
      <c r="L99" s="429">
        <v>0</v>
      </c>
      <c r="M99" s="429">
        <v>0</v>
      </c>
      <c r="N99" s="429">
        <v>0</v>
      </c>
      <c r="O99" s="429">
        <v>0</v>
      </c>
      <c r="P99" s="429">
        <v>48</v>
      </c>
    </row>
    <row r="100" spans="2:16" x14ac:dyDescent="0.25">
      <c r="B100" s="428" t="s">
        <v>201</v>
      </c>
      <c r="C100" s="446" t="s">
        <v>393</v>
      </c>
      <c r="D100" s="429">
        <v>0</v>
      </c>
      <c r="E100" s="429">
        <v>0</v>
      </c>
      <c r="F100" s="429">
        <v>0</v>
      </c>
      <c r="G100" s="429">
        <v>0</v>
      </c>
      <c r="H100" s="429">
        <v>0</v>
      </c>
      <c r="I100" s="429">
        <v>0</v>
      </c>
      <c r="J100" s="429">
        <v>0</v>
      </c>
      <c r="K100" s="429">
        <v>1</v>
      </c>
      <c r="L100" s="429">
        <v>0</v>
      </c>
      <c r="M100" s="429">
        <v>2</v>
      </c>
      <c r="N100" s="429">
        <v>0</v>
      </c>
      <c r="O100" s="429">
        <v>0</v>
      </c>
      <c r="P100" s="429">
        <v>3</v>
      </c>
    </row>
    <row r="101" spans="2:16" x14ac:dyDescent="0.25">
      <c r="B101" s="425" t="s">
        <v>364</v>
      </c>
      <c r="C101" s="425" t="s">
        <v>365</v>
      </c>
      <c r="D101" s="426">
        <v>44562</v>
      </c>
      <c r="E101" s="426">
        <v>44593</v>
      </c>
      <c r="F101" s="426">
        <v>44621</v>
      </c>
      <c r="G101" s="426">
        <v>44652</v>
      </c>
      <c r="H101" s="426">
        <v>44682</v>
      </c>
      <c r="I101" s="426">
        <v>44713</v>
      </c>
      <c r="J101" s="426">
        <v>44743</v>
      </c>
      <c r="K101" s="426">
        <v>44774</v>
      </c>
      <c r="L101" s="426">
        <v>44805</v>
      </c>
      <c r="M101" s="426">
        <v>44835</v>
      </c>
      <c r="N101" s="426">
        <v>44866</v>
      </c>
      <c r="O101" s="426">
        <v>44896</v>
      </c>
      <c r="P101" s="427" t="s">
        <v>8</v>
      </c>
    </row>
    <row r="102" spans="2:16" x14ac:dyDescent="0.25">
      <c r="B102" s="428" t="s">
        <v>396</v>
      </c>
      <c r="C102" s="446" t="s">
        <v>367</v>
      </c>
      <c r="D102" s="429">
        <v>537.5</v>
      </c>
      <c r="E102" s="429">
        <v>256</v>
      </c>
      <c r="F102" s="429">
        <v>338</v>
      </c>
      <c r="G102" s="429">
        <v>383.5</v>
      </c>
      <c r="H102" s="429">
        <v>216</v>
      </c>
      <c r="I102" s="429">
        <v>286</v>
      </c>
      <c r="J102" s="429">
        <v>524.5</v>
      </c>
      <c r="K102" s="429">
        <v>772.5</v>
      </c>
      <c r="L102" s="429">
        <v>540</v>
      </c>
      <c r="M102" s="429">
        <v>309</v>
      </c>
      <c r="N102" s="429">
        <v>327</v>
      </c>
      <c r="O102" s="429">
        <v>598</v>
      </c>
      <c r="P102" s="429">
        <v>5088</v>
      </c>
    </row>
    <row r="103" spans="2:16" x14ac:dyDescent="0.25">
      <c r="B103" s="428" t="s">
        <v>368</v>
      </c>
      <c r="C103" s="446" t="s">
        <v>367</v>
      </c>
      <c r="D103" s="429">
        <v>5</v>
      </c>
      <c r="E103" s="429">
        <v>10</v>
      </c>
      <c r="F103" s="429">
        <v>15</v>
      </c>
      <c r="G103" s="429">
        <v>17</v>
      </c>
      <c r="H103" s="429">
        <v>8</v>
      </c>
      <c r="I103" s="429">
        <v>34</v>
      </c>
      <c r="J103" s="429">
        <v>27</v>
      </c>
      <c r="K103" s="429">
        <v>9</v>
      </c>
      <c r="L103" s="429">
        <v>21</v>
      </c>
      <c r="M103" s="429">
        <v>16.5</v>
      </c>
      <c r="N103" s="429">
        <v>7</v>
      </c>
      <c r="O103" s="429">
        <v>12</v>
      </c>
      <c r="P103" s="429">
        <v>181.5</v>
      </c>
    </row>
    <row r="104" spans="2:16" x14ac:dyDescent="0.25">
      <c r="B104" s="446" t="s">
        <v>386</v>
      </c>
      <c r="C104" s="446" t="s">
        <v>367</v>
      </c>
      <c r="D104" s="335">
        <v>373</v>
      </c>
      <c r="E104" s="335">
        <v>157.5</v>
      </c>
      <c r="F104" s="335">
        <v>110</v>
      </c>
      <c r="G104" s="451">
        <v>22</v>
      </c>
      <c r="H104" s="335">
        <v>71</v>
      </c>
      <c r="I104" s="335">
        <v>107</v>
      </c>
      <c r="J104" s="335">
        <v>70</v>
      </c>
      <c r="K104" s="335">
        <v>72</v>
      </c>
      <c r="L104" s="335">
        <v>73</v>
      </c>
      <c r="M104" s="335">
        <v>54</v>
      </c>
      <c r="N104" s="335">
        <v>91</v>
      </c>
      <c r="O104" s="335">
        <v>111</v>
      </c>
      <c r="P104" s="429">
        <v>1311.5</v>
      </c>
    </row>
    <row r="105" spans="2:16" x14ac:dyDescent="0.25">
      <c r="B105" s="428" t="s">
        <v>370</v>
      </c>
      <c r="C105" s="446" t="s">
        <v>367</v>
      </c>
      <c r="D105" s="429">
        <v>0</v>
      </c>
      <c r="E105" s="429">
        <v>0</v>
      </c>
      <c r="F105" s="429">
        <v>0</v>
      </c>
      <c r="G105" s="429">
        <v>0</v>
      </c>
      <c r="H105" s="429">
        <v>6</v>
      </c>
      <c r="I105" s="429">
        <v>32</v>
      </c>
      <c r="J105" s="429">
        <v>0</v>
      </c>
      <c r="K105" s="429">
        <v>5</v>
      </c>
      <c r="L105" s="429">
        <v>0</v>
      </c>
      <c r="M105" s="429">
        <v>1</v>
      </c>
      <c r="N105" s="429">
        <v>0</v>
      </c>
      <c r="O105" s="429">
        <v>8</v>
      </c>
      <c r="P105" s="429">
        <v>52</v>
      </c>
    </row>
    <row r="106" spans="2:16" x14ac:dyDescent="0.25">
      <c r="B106" s="428" t="s">
        <v>371</v>
      </c>
      <c r="C106" s="446" t="s">
        <v>367</v>
      </c>
      <c r="D106" s="429">
        <v>4.5</v>
      </c>
      <c r="E106" s="429">
        <v>4</v>
      </c>
      <c r="F106" s="429">
        <v>6</v>
      </c>
      <c r="G106" s="429">
        <v>4</v>
      </c>
      <c r="H106" s="429">
        <v>5</v>
      </c>
      <c r="I106" s="429">
        <v>14</v>
      </c>
      <c r="J106" s="429">
        <v>6</v>
      </c>
      <c r="K106" s="429">
        <v>10</v>
      </c>
      <c r="L106" s="429">
        <v>9</v>
      </c>
      <c r="M106" s="429">
        <v>6</v>
      </c>
      <c r="N106" s="429">
        <v>24.5</v>
      </c>
      <c r="O106" s="429">
        <v>7</v>
      </c>
      <c r="P106" s="429">
        <v>100</v>
      </c>
    </row>
    <row r="107" spans="2:16" x14ac:dyDescent="0.25">
      <c r="B107" s="428" t="s">
        <v>372</v>
      </c>
      <c r="C107" s="446" t="s">
        <v>373</v>
      </c>
      <c r="D107" s="429">
        <v>2</v>
      </c>
      <c r="E107" s="429">
        <v>2</v>
      </c>
      <c r="F107" s="429">
        <v>3</v>
      </c>
      <c r="G107" s="429">
        <v>5</v>
      </c>
      <c r="H107" s="429">
        <v>5</v>
      </c>
      <c r="I107" s="429">
        <v>4</v>
      </c>
      <c r="J107" s="429">
        <v>4</v>
      </c>
      <c r="K107" s="429">
        <v>2</v>
      </c>
      <c r="L107" s="429">
        <v>5</v>
      </c>
      <c r="M107" s="429">
        <v>8</v>
      </c>
      <c r="N107" s="429">
        <v>6</v>
      </c>
      <c r="O107" s="429">
        <v>4</v>
      </c>
      <c r="P107" s="429">
        <v>50</v>
      </c>
    </row>
    <row r="108" spans="2:16" x14ac:dyDescent="0.25">
      <c r="B108" s="428" t="s">
        <v>372</v>
      </c>
      <c r="C108" s="446" t="s">
        <v>367</v>
      </c>
      <c r="D108" s="429">
        <v>31</v>
      </c>
      <c r="E108" s="429">
        <v>56</v>
      </c>
      <c r="F108" s="429">
        <v>82</v>
      </c>
      <c r="G108" s="429">
        <v>104</v>
      </c>
      <c r="H108" s="429">
        <v>163</v>
      </c>
      <c r="I108" s="429">
        <v>120</v>
      </c>
      <c r="J108" s="429">
        <v>120</v>
      </c>
      <c r="K108" s="429">
        <v>59</v>
      </c>
      <c r="L108" s="429">
        <v>115</v>
      </c>
      <c r="M108" s="429">
        <v>150</v>
      </c>
      <c r="N108" s="429">
        <v>250</v>
      </c>
      <c r="O108" s="429">
        <v>156</v>
      </c>
      <c r="P108" s="429">
        <v>1406</v>
      </c>
    </row>
    <row r="109" spans="2:16" x14ac:dyDescent="0.25">
      <c r="B109" s="428" t="s">
        <v>374</v>
      </c>
      <c r="C109" s="446" t="s">
        <v>375</v>
      </c>
      <c r="D109" s="429">
        <v>0</v>
      </c>
      <c r="E109" s="429">
        <v>0</v>
      </c>
      <c r="F109" s="429">
        <v>0</v>
      </c>
      <c r="G109" s="429">
        <v>0</v>
      </c>
      <c r="H109" s="429">
        <v>0</v>
      </c>
      <c r="I109" s="429">
        <v>0</v>
      </c>
      <c r="J109" s="429">
        <v>0</v>
      </c>
      <c r="K109" s="429">
        <v>0</v>
      </c>
      <c r="L109" s="429">
        <v>0</v>
      </c>
      <c r="M109" s="429">
        <v>0</v>
      </c>
      <c r="N109" s="429">
        <v>0</v>
      </c>
      <c r="O109" s="429">
        <v>0</v>
      </c>
      <c r="P109" s="429">
        <v>0</v>
      </c>
    </row>
    <row r="110" spans="2:16" x14ac:dyDescent="0.25">
      <c r="B110" s="428" t="s">
        <v>376</v>
      </c>
      <c r="C110" s="446" t="s">
        <v>377</v>
      </c>
      <c r="D110" s="429">
        <v>255</v>
      </c>
      <c r="E110" s="429">
        <v>250</v>
      </c>
      <c r="F110" s="429">
        <v>251</v>
      </c>
      <c r="G110" s="429">
        <v>247</v>
      </c>
      <c r="H110" s="429">
        <v>247</v>
      </c>
      <c r="I110" s="429">
        <v>250</v>
      </c>
      <c r="J110" s="429">
        <v>257</v>
      </c>
      <c r="K110" s="429">
        <v>256</v>
      </c>
      <c r="L110" s="429">
        <v>255</v>
      </c>
      <c r="M110" s="429">
        <v>253</v>
      </c>
      <c r="N110" s="429">
        <v>255</v>
      </c>
      <c r="O110" s="429">
        <v>258</v>
      </c>
      <c r="P110" s="429">
        <v>3034</v>
      </c>
    </row>
    <row r="111" spans="2:16" x14ac:dyDescent="0.25">
      <c r="B111" s="428" t="s">
        <v>378</v>
      </c>
      <c r="C111" s="446" t="s">
        <v>379</v>
      </c>
      <c r="D111" s="449">
        <v>0</v>
      </c>
      <c r="E111" s="449">
        <v>1</v>
      </c>
      <c r="F111" s="449">
        <v>0</v>
      </c>
      <c r="G111" s="449">
        <v>0</v>
      </c>
      <c r="H111" s="449">
        <v>0</v>
      </c>
      <c r="I111" s="449">
        <v>0</v>
      </c>
      <c r="J111" s="449">
        <v>0</v>
      </c>
      <c r="K111" s="449">
        <v>0</v>
      </c>
      <c r="L111" s="429">
        <v>1</v>
      </c>
      <c r="M111" s="429">
        <v>0</v>
      </c>
      <c r="N111" s="429">
        <v>0</v>
      </c>
      <c r="O111" s="429">
        <v>0</v>
      </c>
      <c r="P111" s="429">
        <v>2</v>
      </c>
    </row>
    <row r="112" spans="2:16" x14ac:dyDescent="0.25">
      <c r="B112" s="428" t="s">
        <v>380</v>
      </c>
      <c r="C112" s="446" t="s">
        <v>379</v>
      </c>
      <c r="D112" s="449">
        <v>0</v>
      </c>
      <c r="E112" s="449">
        <v>0</v>
      </c>
      <c r="F112" s="449">
        <v>0</v>
      </c>
      <c r="G112" s="449">
        <v>0</v>
      </c>
      <c r="H112" s="449">
        <v>0</v>
      </c>
      <c r="I112" s="449">
        <v>0</v>
      </c>
      <c r="J112" s="449">
        <v>0</v>
      </c>
      <c r="K112" s="449">
        <v>0</v>
      </c>
      <c r="L112" s="429">
        <v>0</v>
      </c>
      <c r="M112" s="429">
        <v>0</v>
      </c>
      <c r="N112" s="429">
        <v>0</v>
      </c>
      <c r="O112" s="429">
        <v>0</v>
      </c>
      <c r="P112" s="429">
        <v>0</v>
      </c>
    </row>
    <row r="113" spans="2:16" x14ac:dyDescent="0.25">
      <c r="B113" s="428" t="s">
        <v>387</v>
      </c>
      <c r="C113" s="446" t="s">
        <v>388</v>
      </c>
      <c r="D113" s="449">
        <v>0</v>
      </c>
      <c r="E113" s="449">
        <v>0</v>
      </c>
      <c r="F113" s="449">
        <v>0</v>
      </c>
      <c r="G113" s="449">
        <v>0</v>
      </c>
      <c r="H113" s="449">
        <v>0</v>
      </c>
      <c r="I113" s="449">
        <v>0</v>
      </c>
      <c r="J113" s="449">
        <v>1</v>
      </c>
      <c r="K113" s="449">
        <v>0</v>
      </c>
      <c r="L113" s="429">
        <v>0</v>
      </c>
      <c r="M113" s="429">
        <v>0</v>
      </c>
      <c r="N113" s="429">
        <v>0</v>
      </c>
      <c r="O113" s="429">
        <v>4</v>
      </c>
      <c r="P113" s="429">
        <v>5</v>
      </c>
    </row>
    <row r="114" spans="2:16" x14ac:dyDescent="0.25">
      <c r="B114" s="428" t="s">
        <v>87</v>
      </c>
      <c r="C114" s="446" t="s">
        <v>381</v>
      </c>
      <c r="D114" s="449">
        <v>3</v>
      </c>
      <c r="E114" s="449">
        <v>3</v>
      </c>
      <c r="F114" s="449">
        <v>3</v>
      </c>
      <c r="G114" s="449">
        <v>5</v>
      </c>
      <c r="H114" s="449">
        <v>2</v>
      </c>
      <c r="I114" s="449">
        <v>1</v>
      </c>
      <c r="J114" s="449">
        <v>0</v>
      </c>
      <c r="K114" s="449">
        <v>2</v>
      </c>
      <c r="L114" s="429">
        <v>1</v>
      </c>
      <c r="M114" s="429">
        <v>2</v>
      </c>
      <c r="N114" s="429">
        <v>0</v>
      </c>
      <c r="O114" s="429">
        <v>0</v>
      </c>
      <c r="P114" s="429">
        <v>22</v>
      </c>
    </row>
    <row r="115" spans="2:16" x14ac:dyDescent="0.25">
      <c r="B115" s="428" t="s">
        <v>382</v>
      </c>
      <c r="C115" s="446" t="s">
        <v>383</v>
      </c>
      <c r="D115" s="449">
        <v>0</v>
      </c>
      <c r="E115" s="449">
        <v>0</v>
      </c>
      <c r="F115" s="449">
        <v>0</v>
      </c>
      <c r="G115" s="449">
        <v>0</v>
      </c>
      <c r="H115" s="449">
        <v>0</v>
      </c>
      <c r="I115" s="449">
        <v>0</v>
      </c>
      <c r="J115" s="449">
        <v>0</v>
      </c>
      <c r="K115" s="449">
        <v>0</v>
      </c>
      <c r="L115" s="429">
        <v>0</v>
      </c>
      <c r="M115" s="429">
        <v>0</v>
      </c>
      <c r="N115" s="429">
        <v>0</v>
      </c>
      <c r="O115" s="429">
        <v>0</v>
      </c>
      <c r="P115" s="429">
        <v>0</v>
      </c>
    </row>
    <row r="116" spans="2:16" x14ac:dyDescent="0.25">
      <c r="B116" s="428" t="s">
        <v>398</v>
      </c>
      <c r="C116" s="446" t="s">
        <v>395</v>
      </c>
      <c r="D116" s="449">
        <v>2</v>
      </c>
      <c r="E116" s="449">
        <v>1</v>
      </c>
      <c r="F116" s="449">
        <v>0</v>
      </c>
      <c r="G116" s="449">
        <v>0</v>
      </c>
      <c r="H116" s="449">
        <v>0</v>
      </c>
      <c r="I116" s="449">
        <v>0</v>
      </c>
      <c r="J116" s="449">
        <v>0</v>
      </c>
      <c r="K116" s="449">
        <v>0</v>
      </c>
      <c r="L116" s="429">
        <v>0</v>
      </c>
      <c r="M116" s="429">
        <v>0</v>
      </c>
      <c r="N116" s="429">
        <v>0</v>
      </c>
      <c r="O116" s="429">
        <v>0</v>
      </c>
      <c r="P116" s="429">
        <v>3</v>
      </c>
    </row>
    <row r="117" spans="2:16" x14ac:dyDescent="0.25">
      <c r="B117" s="428" t="s">
        <v>399</v>
      </c>
      <c r="C117" s="446"/>
      <c r="D117" s="449">
        <v>0</v>
      </c>
      <c r="E117" s="450">
        <v>0</v>
      </c>
      <c r="F117" s="449">
        <v>0</v>
      </c>
      <c r="G117" s="449">
        <v>0</v>
      </c>
      <c r="H117" s="449">
        <v>0</v>
      </c>
      <c r="I117" s="449">
        <v>0</v>
      </c>
      <c r="J117" s="449">
        <v>0</v>
      </c>
      <c r="K117" s="449">
        <v>0</v>
      </c>
      <c r="L117" s="429">
        <v>0</v>
      </c>
      <c r="M117" s="429">
        <v>0</v>
      </c>
      <c r="N117" s="429">
        <v>0</v>
      </c>
      <c r="O117" s="429">
        <v>0</v>
      </c>
      <c r="P117" s="429">
        <v>0</v>
      </c>
    </row>
    <row r="118" spans="2:16" x14ac:dyDescent="0.25">
      <c r="B118" s="428" t="s">
        <v>384</v>
      </c>
      <c r="C118" s="446" t="s">
        <v>385</v>
      </c>
      <c r="D118" s="429">
        <v>5</v>
      </c>
      <c r="E118" s="429">
        <v>7</v>
      </c>
      <c r="F118" s="429">
        <v>10</v>
      </c>
      <c r="G118" s="429">
        <v>10</v>
      </c>
      <c r="H118" s="429">
        <v>15</v>
      </c>
      <c r="I118" s="429">
        <v>15</v>
      </c>
      <c r="J118" s="429">
        <v>19</v>
      </c>
      <c r="K118" s="429">
        <v>15</v>
      </c>
      <c r="L118" s="429">
        <v>15</v>
      </c>
      <c r="M118" s="429">
        <v>17</v>
      </c>
      <c r="N118" s="429">
        <v>19</v>
      </c>
      <c r="O118" s="429">
        <v>20</v>
      </c>
      <c r="P118" s="429">
        <v>167</v>
      </c>
    </row>
    <row r="119" spans="2:16" x14ac:dyDescent="0.25">
      <c r="B119" s="428" t="s">
        <v>391</v>
      </c>
      <c r="C119" s="446" t="s">
        <v>392</v>
      </c>
      <c r="D119" s="429">
        <v>0</v>
      </c>
      <c r="E119" s="429">
        <v>1</v>
      </c>
      <c r="F119" s="429">
        <v>0</v>
      </c>
      <c r="G119" s="429">
        <v>57</v>
      </c>
      <c r="H119" s="429">
        <v>2</v>
      </c>
      <c r="I119" s="429">
        <v>0</v>
      </c>
      <c r="J119" s="429">
        <v>0</v>
      </c>
      <c r="K119" s="429">
        <v>0</v>
      </c>
      <c r="L119" s="429">
        <v>0</v>
      </c>
      <c r="M119" s="429">
        <v>0</v>
      </c>
      <c r="N119" s="429">
        <v>0</v>
      </c>
      <c r="O119" s="429">
        <v>0</v>
      </c>
      <c r="P119" s="429">
        <v>60</v>
      </c>
    </row>
    <row r="120" spans="2:16" x14ac:dyDescent="0.25">
      <c r="B120" s="428" t="s">
        <v>201</v>
      </c>
      <c r="C120" s="446" t="s">
        <v>393</v>
      </c>
      <c r="D120" s="429">
        <v>0</v>
      </c>
      <c r="E120" s="429">
        <v>0</v>
      </c>
      <c r="F120" s="429">
        <v>0</v>
      </c>
      <c r="G120" s="429">
        <v>7</v>
      </c>
      <c r="H120" s="429">
        <v>0</v>
      </c>
      <c r="I120" s="429">
        <v>0</v>
      </c>
      <c r="J120" s="429">
        <v>1</v>
      </c>
      <c r="K120" s="429">
        <v>1</v>
      </c>
      <c r="L120" s="429">
        <v>2</v>
      </c>
      <c r="M120" s="429">
        <v>1</v>
      </c>
      <c r="N120" s="429">
        <v>1</v>
      </c>
      <c r="O120" s="429">
        <v>2</v>
      </c>
      <c r="P120" s="429">
        <v>15</v>
      </c>
    </row>
    <row r="121" spans="2:16" x14ac:dyDescent="0.25">
      <c r="B121" s="425" t="s">
        <v>364</v>
      </c>
      <c r="C121" s="425" t="s">
        <v>365</v>
      </c>
      <c r="D121" s="426">
        <v>44927</v>
      </c>
      <c r="E121" s="426">
        <v>44958</v>
      </c>
      <c r="F121" s="426">
        <v>44986</v>
      </c>
      <c r="G121" s="426">
        <v>45017</v>
      </c>
      <c r="H121" s="426">
        <v>45047</v>
      </c>
      <c r="I121" s="426">
        <v>45078</v>
      </c>
      <c r="J121" s="426">
        <v>45108</v>
      </c>
      <c r="K121" s="426">
        <v>45139</v>
      </c>
      <c r="L121" s="426">
        <v>45170</v>
      </c>
      <c r="M121" s="426">
        <v>45200</v>
      </c>
      <c r="N121" s="426">
        <v>45231</v>
      </c>
      <c r="O121" s="426">
        <v>45261</v>
      </c>
      <c r="P121" s="427" t="s">
        <v>8</v>
      </c>
    </row>
    <row r="122" spans="2:16" x14ac:dyDescent="0.25">
      <c r="B122" s="428" t="s">
        <v>396</v>
      </c>
      <c r="C122" s="446" t="s">
        <v>367</v>
      </c>
      <c r="D122" s="429">
        <v>412.5</v>
      </c>
      <c r="E122" s="429">
        <v>191.5</v>
      </c>
      <c r="F122" s="429">
        <v>279.5</v>
      </c>
      <c r="G122" s="429">
        <v>350.5</v>
      </c>
      <c r="H122" s="429">
        <v>270</v>
      </c>
      <c r="I122" s="429">
        <v>346.5</v>
      </c>
      <c r="J122" s="429">
        <v>411</v>
      </c>
      <c r="K122" s="429">
        <v>795.5</v>
      </c>
      <c r="L122" s="429">
        <v>399</v>
      </c>
      <c r="M122" s="429">
        <v>274</v>
      </c>
      <c r="N122" s="429">
        <v>260.5</v>
      </c>
      <c r="O122" s="429">
        <v>507.5</v>
      </c>
      <c r="P122" s="429">
        <v>4498</v>
      </c>
    </row>
    <row r="123" spans="2:16" x14ac:dyDescent="0.25">
      <c r="B123" s="428" t="s">
        <v>368</v>
      </c>
      <c r="C123" s="446" t="s">
        <v>367</v>
      </c>
      <c r="D123" s="429">
        <v>4.5</v>
      </c>
      <c r="E123" s="429">
        <v>14</v>
      </c>
      <c r="F123" s="429">
        <v>5</v>
      </c>
      <c r="G123" s="429">
        <v>17</v>
      </c>
      <c r="H123" s="429">
        <v>4</v>
      </c>
      <c r="I123" s="429">
        <v>14</v>
      </c>
      <c r="J123" s="429">
        <v>24</v>
      </c>
      <c r="K123" s="429">
        <v>6</v>
      </c>
      <c r="L123" s="429">
        <v>11</v>
      </c>
      <c r="M123" s="429">
        <v>9</v>
      </c>
      <c r="N123" s="429">
        <v>18</v>
      </c>
      <c r="O123" s="429">
        <v>9</v>
      </c>
      <c r="P123" s="429">
        <v>135.5</v>
      </c>
    </row>
    <row r="124" spans="2:16" x14ac:dyDescent="0.25">
      <c r="B124" s="446" t="s">
        <v>386</v>
      </c>
      <c r="C124" s="446" t="s">
        <v>367</v>
      </c>
      <c r="D124" s="335">
        <v>40</v>
      </c>
      <c r="E124" s="335">
        <v>18.5</v>
      </c>
      <c r="F124" s="335">
        <v>24</v>
      </c>
      <c r="G124" s="451">
        <v>23</v>
      </c>
      <c r="H124" s="335">
        <v>35</v>
      </c>
      <c r="I124" s="335">
        <v>24</v>
      </c>
      <c r="J124" s="335">
        <v>42</v>
      </c>
      <c r="K124" s="335">
        <v>40</v>
      </c>
      <c r="L124" s="335">
        <v>21.5</v>
      </c>
      <c r="M124" s="335">
        <v>71.5</v>
      </c>
      <c r="N124" s="335">
        <v>45</v>
      </c>
      <c r="O124" s="335">
        <v>68</v>
      </c>
      <c r="P124" s="429">
        <v>452.5</v>
      </c>
    </row>
    <row r="125" spans="2:16" x14ac:dyDescent="0.25">
      <c r="B125" s="428" t="s">
        <v>370</v>
      </c>
      <c r="C125" s="446" t="s">
        <v>367</v>
      </c>
      <c r="D125" s="429">
        <v>6</v>
      </c>
      <c r="E125" s="429">
        <v>0</v>
      </c>
      <c r="F125" s="429">
        <v>0</v>
      </c>
      <c r="G125" s="429">
        <v>0</v>
      </c>
      <c r="H125" s="429">
        <v>1</v>
      </c>
      <c r="I125" s="429">
        <v>0</v>
      </c>
      <c r="J125" s="429">
        <v>0</v>
      </c>
      <c r="K125" s="429">
        <v>2</v>
      </c>
      <c r="L125" s="429">
        <v>0</v>
      </c>
      <c r="M125" s="429">
        <v>18</v>
      </c>
      <c r="N125" s="429">
        <v>0</v>
      </c>
      <c r="O125" s="429">
        <v>2</v>
      </c>
      <c r="P125" s="429">
        <v>29</v>
      </c>
    </row>
    <row r="126" spans="2:16" x14ac:dyDescent="0.25">
      <c r="B126" s="428" t="s">
        <v>371</v>
      </c>
      <c r="C126" s="446" t="s">
        <v>367</v>
      </c>
      <c r="D126" s="429">
        <v>7</v>
      </c>
      <c r="E126" s="429">
        <v>8</v>
      </c>
      <c r="F126" s="429">
        <v>16</v>
      </c>
      <c r="G126" s="429">
        <v>4</v>
      </c>
      <c r="H126" s="429">
        <v>3</v>
      </c>
      <c r="I126" s="429">
        <v>11</v>
      </c>
      <c r="J126" s="429">
        <v>7</v>
      </c>
      <c r="K126" s="429">
        <v>12</v>
      </c>
      <c r="L126" s="429">
        <v>4</v>
      </c>
      <c r="M126" s="429">
        <v>11.5</v>
      </c>
      <c r="N126" s="429">
        <v>14</v>
      </c>
      <c r="O126" s="429">
        <v>11</v>
      </c>
      <c r="P126" s="429">
        <v>108.5</v>
      </c>
    </row>
    <row r="127" spans="2:16" x14ac:dyDescent="0.25">
      <c r="B127" s="428" t="s">
        <v>372</v>
      </c>
      <c r="C127" s="446" t="s">
        <v>373</v>
      </c>
      <c r="D127" s="429">
        <v>3</v>
      </c>
      <c r="E127" s="429">
        <v>2</v>
      </c>
      <c r="F127" s="429">
        <v>0</v>
      </c>
      <c r="G127" s="429">
        <v>1</v>
      </c>
      <c r="H127" s="429">
        <v>1</v>
      </c>
      <c r="I127" s="429">
        <v>2</v>
      </c>
      <c r="J127" s="429">
        <v>2</v>
      </c>
      <c r="K127" s="429">
        <v>2</v>
      </c>
      <c r="L127" s="429">
        <v>3</v>
      </c>
      <c r="M127" s="429">
        <v>3</v>
      </c>
      <c r="N127" s="429">
        <v>4</v>
      </c>
      <c r="O127" s="429">
        <v>3</v>
      </c>
      <c r="P127" s="429">
        <v>26</v>
      </c>
    </row>
    <row r="128" spans="2:16" x14ac:dyDescent="0.25">
      <c r="B128" s="428" t="s">
        <v>372</v>
      </c>
      <c r="C128" s="446" t="s">
        <v>367</v>
      </c>
      <c r="D128" s="429">
        <v>93</v>
      </c>
      <c r="E128" s="429">
        <v>36</v>
      </c>
      <c r="F128" s="429">
        <v>0</v>
      </c>
      <c r="G128" s="429">
        <v>12</v>
      </c>
      <c r="H128" s="429">
        <v>30</v>
      </c>
      <c r="I128" s="429">
        <v>37</v>
      </c>
      <c r="J128" s="429">
        <v>60</v>
      </c>
      <c r="K128" s="429">
        <v>38</v>
      </c>
      <c r="L128" s="429">
        <v>73</v>
      </c>
      <c r="M128" s="429">
        <v>75</v>
      </c>
      <c r="N128" s="429">
        <v>104</v>
      </c>
      <c r="O128" s="429">
        <v>85</v>
      </c>
      <c r="P128" s="429">
        <v>643</v>
      </c>
    </row>
    <row r="129" spans="2:16" x14ac:dyDescent="0.25">
      <c r="B129" s="428" t="s">
        <v>374</v>
      </c>
      <c r="C129" s="446" t="s">
        <v>375</v>
      </c>
      <c r="D129" s="429">
        <v>0</v>
      </c>
      <c r="E129" s="429">
        <v>1</v>
      </c>
      <c r="F129" s="429">
        <v>0</v>
      </c>
      <c r="G129" s="429">
        <v>0</v>
      </c>
      <c r="H129" s="429">
        <v>0</v>
      </c>
      <c r="I129" s="429">
        <v>0</v>
      </c>
      <c r="J129" s="429">
        <v>0</v>
      </c>
      <c r="K129" s="429">
        <v>0</v>
      </c>
      <c r="L129" s="429">
        <v>0</v>
      </c>
      <c r="M129" s="429">
        <v>0</v>
      </c>
      <c r="N129" s="429">
        <v>1</v>
      </c>
      <c r="O129" s="429">
        <v>0</v>
      </c>
      <c r="P129" s="429">
        <v>2</v>
      </c>
    </row>
    <row r="130" spans="2:16" x14ac:dyDescent="0.25">
      <c r="B130" s="428" t="s">
        <v>376</v>
      </c>
      <c r="C130" s="446" t="s">
        <v>377</v>
      </c>
      <c r="D130" s="429">
        <v>257</v>
      </c>
      <c r="E130" s="429">
        <v>256</v>
      </c>
      <c r="F130" s="429">
        <v>258</v>
      </c>
      <c r="G130" s="429">
        <v>258</v>
      </c>
      <c r="H130" s="429">
        <v>259</v>
      </c>
      <c r="I130" s="429">
        <v>260</v>
      </c>
      <c r="J130" s="429">
        <v>259</v>
      </c>
      <c r="K130" s="429">
        <v>259</v>
      </c>
      <c r="L130" s="429">
        <v>261</v>
      </c>
      <c r="M130" s="429">
        <v>265</v>
      </c>
      <c r="N130" s="429">
        <v>266</v>
      </c>
      <c r="O130" s="429">
        <v>265</v>
      </c>
      <c r="P130" s="429"/>
    </row>
    <row r="131" spans="2:16" x14ac:dyDescent="0.25">
      <c r="B131" s="428" t="s">
        <v>378</v>
      </c>
      <c r="C131" s="446" t="s">
        <v>379</v>
      </c>
      <c r="D131" s="449">
        <v>0</v>
      </c>
      <c r="E131" s="449">
        <v>0</v>
      </c>
      <c r="F131" s="449">
        <v>0</v>
      </c>
      <c r="G131" s="449">
        <v>1</v>
      </c>
      <c r="H131" s="449">
        <v>0</v>
      </c>
      <c r="I131" s="449">
        <v>0</v>
      </c>
      <c r="J131" s="449">
        <v>0</v>
      </c>
      <c r="K131" s="449">
        <v>0</v>
      </c>
      <c r="L131" s="429">
        <v>0</v>
      </c>
      <c r="M131" s="429">
        <v>0</v>
      </c>
      <c r="N131" s="429">
        <v>0</v>
      </c>
      <c r="O131" s="429">
        <v>0</v>
      </c>
      <c r="P131" s="429">
        <v>1</v>
      </c>
    </row>
    <row r="132" spans="2:16" x14ac:dyDescent="0.25">
      <c r="B132" s="428" t="s">
        <v>380</v>
      </c>
      <c r="C132" s="446" t="s">
        <v>379</v>
      </c>
      <c r="D132" s="449">
        <v>0</v>
      </c>
      <c r="E132" s="449">
        <v>0</v>
      </c>
      <c r="F132" s="449">
        <v>0</v>
      </c>
      <c r="G132" s="449">
        <v>0</v>
      </c>
      <c r="H132" s="449">
        <v>0</v>
      </c>
      <c r="I132" s="449">
        <v>0</v>
      </c>
      <c r="J132" s="449">
        <v>0</v>
      </c>
      <c r="K132" s="449">
        <v>0</v>
      </c>
      <c r="L132" s="429">
        <v>2</v>
      </c>
      <c r="M132" s="429">
        <v>0</v>
      </c>
      <c r="N132" s="429">
        <v>0</v>
      </c>
      <c r="O132" s="429">
        <v>0</v>
      </c>
      <c r="P132" s="429">
        <v>2</v>
      </c>
    </row>
    <row r="133" spans="2:16" x14ac:dyDescent="0.25">
      <c r="B133" s="428" t="s">
        <v>387</v>
      </c>
      <c r="C133" s="446" t="s">
        <v>388</v>
      </c>
      <c r="D133" s="449">
        <v>0</v>
      </c>
      <c r="E133" s="449">
        <v>0</v>
      </c>
      <c r="F133" s="449">
        <v>0</v>
      </c>
      <c r="G133" s="449">
        <v>0</v>
      </c>
      <c r="H133" s="449">
        <v>0</v>
      </c>
      <c r="I133" s="449">
        <v>1</v>
      </c>
      <c r="J133" s="449">
        <v>0</v>
      </c>
      <c r="K133" s="449">
        <v>0</v>
      </c>
      <c r="L133" s="429">
        <v>0</v>
      </c>
      <c r="M133" s="429">
        <v>0</v>
      </c>
      <c r="N133" s="429">
        <v>0</v>
      </c>
      <c r="O133" s="429">
        <v>2</v>
      </c>
      <c r="P133" s="429">
        <v>3</v>
      </c>
    </row>
    <row r="134" spans="2:16" x14ac:dyDescent="0.25">
      <c r="B134" s="428" t="s">
        <v>87</v>
      </c>
      <c r="C134" s="446" t="s">
        <v>381</v>
      </c>
      <c r="D134" s="449">
        <v>0</v>
      </c>
      <c r="E134" s="449">
        <v>1</v>
      </c>
      <c r="F134" s="449">
        <v>1</v>
      </c>
      <c r="G134" s="449">
        <v>0</v>
      </c>
      <c r="H134" s="449">
        <v>0</v>
      </c>
      <c r="I134" s="449">
        <v>2</v>
      </c>
      <c r="J134" s="449">
        <v>0</v>
      </c>
      <c r="K134" s="449">
        <v>3</v>
      </c>
      <c r="L134" s="429">
        <v>2</v>
      </c>
      <c r="M134" s="429">
        <v>0</v>
      </c>
      <c r="N134" s="429">
        <v>0</v>
      </c>
      <c r="O134" s="429">
        <v>1</v>
      </c>
      <c r="P134" s="429">
        <v>10</v>
      </c>
    </row>
    <row r="135" spans="2:16" x14ac:dyDescent="0.25">
      <c r="B135" s="428" t="s">
        <v>382</v>
      </c>
      <c r="C135" s="446" t="s">
        <v>383</v>
      </c>
      <c r="D135" s="449">
        <v>0</v>
      </c>
      <c r="E135" s="449">
        <v>0</v>
      </c>
      <c r="F135" s="449">
        <v>0</v>
      </c>
      <c r="G135" s="449">
        <v>1</v>
      </c>
      <c r="H135" s="449">
        <v>0</v>
      </c>
      <c r="I135" s="449">
        <v>0</v>
      </c>
      <c r="J135" s="449">
        <v>0</v>
      </c>
      <c r="K135" s="449">
        <v>0</v>
      </c>
      <c r="L135" s="429">
        <v>0</v>
      </c>
      <c r="M135" s="429">
        <v>0</v>
      </c>
      <c r="N135" s="429">
        <v>0</v>
      </c>
      <c r="O135" s="429">
        <v>0</v>
      </c>
      <c r="P135" s="429">
        <v>1</v>
      </c>
    </row>
    <row r="136" spans="2:16" x14ac:dyDescent="0.25">
      <c r="B136" s="428" t="s">
        <v>398</v>
      </c>
      <c r="C136" s="446" t="s">
        <v>395</v>
      </c>
      <c r="D136" s="449">
        <v>1</v>
      </c>
      <c r="E136" s="449">
        <v>0</v>
      </c>
      <c r="F136" s="449">
        <v>0</v>
      </c>
      <c r="G136" s="449">
        <v>0</v>
      </c>
      <c r="H136" s="449">
        <v>0</v>
      </c>
      <c r="I136" s="449">
        <v>1</v>
      </c>
      <c r="J136" s="449">
        <v>1</v>
      </c>
      <c r="K136" s="449">
        <v>0</v>
      </c>
      <c r="L136" s="429">
        <v>0</v>
      </c>
      <c r="M136" s="429">
        <v>0</v>
      </c>
      <c r="N136" s="429">
        <v>0</v>
      </c>
      <c r="O136" s="429">
        <v>1</v>
      </c>
      <c r="P136" s="429">
        <v>4</v>
      </c>
    </row>
    <row r="137" spans="2:16" x14ac:dyDescent="0.25">
      <c r="B137" s="428" t="s">
        <v>399</v>
      </c>
      <c r="C137" s="446"/>
      <c r="D137" s="449">
        <v>0</v>
      </c>
      <c r="E137" s="450">
        <v>0</v>
      </c>
      <c r="F137" s="449">
        <v>0</v>
      </c>
      <c r="G137" s="449">
        <v>0</v>
      </c>
      <c r="H137" s="449">
        <v>0</v>
      </c>
      <c r="I137" s="449">
        <v>0</v>
      </c>
      <c r="J137" s="449">
        <v>0</v>
      </c>
      <c r="K137" s="449">
        <v>1</v>
      </c>
      <c r="L137" s="429">
        <v>0</v>
      </c>
      <c r="M137" s="429">
        <v>0</v>
      </c>
      <c r="N137" s="429">
        <v>0</v>
      </c>
      <c r="O137" s="429">
        <v>0</v>
      </c>
      <c r="P137" s="429">
        <v>1</v>
      </c>
    </row>
    <row r="138" spans="2:16" x14ac:dyDescent="0.25">
      <c r="B138" s="428" t="s">
        <v>384</v>
      </c>
      <c r="C138" s="446" t="s">
        <v>385</v>
      </c>
      <c r="D138" s="429">
        <v>15</v>
      </c>
      <c r="E138" s="429">
        <v>16</v>
      </c>
      <c r="F138" s="429">
        <v>11</v>
      </c>
      <c r="G138" s="429">
        <v>7</v>
      </c>
      <c r="H138" s="429">
        <v>6</v>
      </c>
      <c r="I138" s="429">
        <v>8</v>
      </c>
      <c r="J138" s="429">
        <v>9</v>
      </c>
      <c r="K138" s="429">
        <v>14</v>
      </c>
      <c r="L138" s="429">
        <v>12</v>
      </c>
      <c r="M138" s="429">
        <v>12</v>
      </c>
      <c r="N138" s="429">
        <v>12</v>
      </c>
      <c r="O138" s="429">
        <v>12</v>
      </c>
      <c r="P138" s="429">
        <v>134</v>
      </c>
    </row>
    <row r="139" spans="2:16" x14ac:dyDescent="0.25">
      <c r="B139" s="428" t="s">
        <v>391</v>
      </c>
      <c r="C139" s="446" t="s">
        <v>392</v>
      </c>
      <c r="D139" s="429">
        <v>2</v>
      </c>
      <c r="E139" s="429">
        <v>1</v>
      </c>
      <c r="F139" s="429">
        <v>0</v>
      </c>
      <c r="G139" s="429">
        <v>3</v>
      </c>
      <c r="H139" s="429">
        <v>0</v>
      </c>
      <c r="I139" s="429">
        <v>0</v>
      </c>
      <c r="J139" s="429">
        <v>0</v>
      </c>
      <c r="K139" s="429">
        <v>1</v>
      </c>
      <c r="L139" s="429">
        <v>0</v>
      </c>
      <c r="M139" s="429">
        <v>0</v>
      </c>
      <c r="N139" s="429">
        <v>0</v>
      </c>
      <c r="O139" s="429">
        <v>0</v>
      </c>
      <c r="P139" s="429">
        <v>7</v>
      </c>
    </row>
    <row r="140" spans="2:16" x14ac:dyDescent="0.25">
      <c r="B140" s="428" t="s">
        <v>201</v>
      </c>
      <c r="C140" s="446" t="s">
        <v>393</v>
      </c>
      <c r="D140" s="429">
        <v>1</v>
      </c>
      <c r="E140" s="429">
        <v>6</v>
      </c>
      <c r="F140" s="429">
        <v>6</v>
      </c>
      <c r="G140" s="429">
        <v>1</v>
      </c>
      <c r="H140" s="429">
        <v>1</v>
      </c>
      <c r="I140" s="429">
        <v>1</v>
      </c>
      <c r="J140" s="429">
        <v>0</v>
      </c>
      <c r="K140" s="429">
        <v>4</v>
      </c>
      <c r="L140" s="429">
        <v>2</v>
      </c>
      <c r="M140" s="429">
        <v>0</v>
      </c>
      <c r="N140" s="429">
        <v>2</v>
      </c>
      <c r="O140" s="429">
        <v>0</v>
      </c>
      <c r="P140" s="429">
        <v>24</v>
      </c>
    </row>
    <row r="141" spans="2:16" x14ac:dyDescent="0.25">
      <c r="B141" s="425" t="s">
        <v>364</v>
      </c>
      <c r="C141" s="425" t="s">
        <v>365</v>
      </c>
      <c r="D141" s="426">
        <v>45292</v>
      </c>
      <c r="E141" s="426">
        <v>45323</v>
      </c>
      <c r="F141" s="426">
        <v>45352</v>
      </c>
      <c r="G141" s="426">
        <v>45383</v>
      </c>
      <c r="H141" s="426">
        <v>45413</v>
      </c>
      <c r="I141" s="426">
        <v>45444</v>
      </c>
      <c r="J141" s="426">
        <v>45474</v>
      </c>
      <c r="K141" s="426">
        <v>45505</v>
      </c>
      <c r="L141" s="426">
        <v>45536</v>
      </c>
      <c r="M141" s="426">
        <v>45566</v>
      </c>
      <c r="N141" s="426">
        <v>45597</v>
      </c>
      <c r="O141" s="426">
        <v>45627</v>
      </c>
      <c r="P141" s="427" t="s">
        <v>8</v>
      </c>
    </row>
    <row r="142" spans="2:16" x14ac:dyDescent="0.25">
      <c r="B142" s="428" t="s">
        <v>396</v>
      </c>
      <c r="C142" s="446" t="s">
        <v>367</v>
      </c>
      <c r="D142" s="429">
        <v>510</v>
      </c>
      <c r="E142" s="429">
        <v>385</v>
      </c>
      <c r="F142" s="429">
        <v>309</v>
      </c>
      <c r="G142" s="429">
        <v>448</v>
      </c>
      <c r="H142" s="429">
        <v>457.5</v>
      </c>
      <c r="I142" s="429">
        <v>398</v>
      </c>
      <c r="J142" s="429">
        <v>265</v>
      </c>
      <c r="K142" s="429">
        <v>1151</v>
      </c>
      <c r="L142" s="429">
        <v>616</v>
      </c>
      <c r="M142" s="429">
        <v>487</v>
      </c>
      <c r="N142" s="429">
        <v>369.5</v>
      </c>
      <c r="O142" s="429">
        <v>584.5</v>
      </c>
      <c r="P142" s="429">
        <v>5980.5</v>
      </c>
    </row>
    <row r="143" spans="2:16" x14ac:dyDescent="0.25">
      <c r="B143" s="428" t="s">
        <v>368</v>
      </c>
      <c r="C143" s="446" t="s">
        <v>367</v>
      </c>
      <c r="D143" s="429">
        <v>0</v>
      </c>
      <c r="E143" s="429">
        <v>22</v>
      </c>
      <c r="F143" s="429">
        <v>20</v>
      </c>
      <c r="G143" s="429">
        <v>21</v>
      </c>
      <c r="H143" s="429">
        <v>12</v>
      </c>
      <c r="I143" s="429">
        <v>31</v>
      </c>
      <c r="J143" s="429">
        <v>10</v>
      </c>
      <c r="K143" s="429">
        <v>12</v>
      </c>
      <c r="L143" s="429">
        <v>13.5</v>
      </c>
      <c r="M143" s="429">
        <v>2</v>
      </c>
      <c r="N143" s="429">
        <v>18</v>
      </c>
      <c r="O143" s="429">
        <v>3</v>
      </c>
      <c r="P143" s="429">
        <v>164.5</v>
      </c>
    </row>
    <row r="144" spans="2:16" x14ac:dyDescent="0.25">
      <c r="B144" s="446" t="s">
        <v>386</v>
      </c>
      <c r="C144" s="446" t="s">
        <v>367</v>
      </c>
      <c r="D144" s="335">
        <v>67.5</v>
      </c>
      <c r="E144" s="335">
        <v>20</v>
      </c>
      <c r="F144" s="335">
        <v>53</v>
      </c>
      <c r="G144" s="451">
        <v>72</v>
      </c>
      <c r="H144" s="335">
        <v>57</v>
      </c>
      <c r="I144" s="335">
        <v>56.5</v>
      </c>
      <c r="J144" s="335">
        <v>24.5</v>
      </c>
      <c r="K144" s="335">
        <v>19</v>
      </c>
      <c r="L144" s="335">
        <v>38.5</v>
      </c>
      <c r="M144" s="335">
        <v>55.5</v>
      </c>
      <c r="N144" s="335">
        <v>29</v>
      </c>
      <c r="O144" s="335">
        <v>52.5</v>
      </c>
      <c r="P144" s="429">
        <v>545</v>
      </c>
    </row>
    <row r="145" spans="2:16" x14ac:dyDescent="0.25">
      <c r="B145" s="428" t="s">
        <v>370</v>
      </c>
      <c r="C145" s="446" t="s">
        <v>367</v>
      </c>
      <c r="D145" s="429">
        <v>18</v>
      </c>
      <c r="E145" s="429">
        <v>2</v>
      </c>
      <c r="F145" s="429">
        <v>1</v>
      </c>
      <c r="G145" s="429">
        <v>4</v>
      </c>
      <c r="H145" s="429">
        <v>11</v>
      </c>
      <c r="I145" s="429">
        <v>0</v>
      </c>
      <c r="J145" s="429">
        <v>2</v>
      </c>
      <c r="K145" s="429">
        <v>0</v>
      </c>
      <c r="L145" s="429">
        <v>0</v>
      </c>
      <c r="M145" s="429">
        <v>0</v>
      </c>
      <c r="N145" s="429">
        <v>0</v>
      </c>
      <c r="O145" s="429">
        <v>0</v>
      </c>
      <c r="P145" s="429">
        <v>38</v>
      </c>
    </row>
    <row r="146" spans="2:16" x14ac:dyDescent="0.25">
      <c r="B146" s="428" t="s">
        <v>371</v>
      </c>
      <c r="C146" s="446" t="s">
        <v>367</v>
      </c>
      <c r="D146" s="429">
        <v>4</v>
      </c>
      <c r="E146" s="429">
        <v>6</v>
      </c>
      <c r="F146" s="429">
        <v>4</v>
      </c>
      <c r="G146" s="429">
        <v>8</v>
      </c>
      <c r="H146" s="429">
        <v>10</v>
      </c>
      <c r="I146" s="429">
        <v>22</v>
      </c>
      <c r="J146" s="429">
        <v>11</v>
      </c>
      <c r="K146" s="429">
        <v>1</v>
      </c>
      <c r="L146" s="429">
        <v>5</v>
      </c>
      <c r="M146" s="429">
        <v>2</v>
      </c>
      <c r="N146" s="429">
        <v>5</v>
      </c>
      <c r="O146" s="429">
        <v>1</v>
      </c>
      <c r="P146" s="429">
        <v>79</v>
      </c>
    </row>
    <row r="147" spans="2:16" x14ac:dyDescent="0.25">
      <c r="B147" s="428" t="s">
        <v>372</v>
      </c>
      <c r="C147" s="446" t="s">
        <v>373</v>
      </c>
      <c r="D147" s="429">
        <v>3</v>
      </c>
      <c r="E147" s="429">
        <v>4</v>
      </c>
      <c r="F147" s="429">
        <v>2</v>
      </c>
      <c r="G147" s="429">
        <v>3</v>
      </c>
      <c r="H147" s="429">
        <v>2</v>
      </c>
      <c r="I147" s="429">
        <v>1</v>
      </c>
      <c r="J147" s="429">
        <v>1</v>
      </c>
      <c r="K147" s="429">
        <v>0</v>
      </c>
      <c r="L147" s="429">
        <v>1</v>
      </c>
      <c r="M147" s="429">
        <v>2</v>
      </c>
      <c r="N147" s="429">
        <v>3</v>
      </c>
      <c r="O147" s="429">
        <v>4</v>
      </c>
      <c r="P147" s="429">
        <v>26</v>
      </c>
    </row>
    <row r="148" spans="2:16" x14ac:dyDescent="0.25">
      <c r="B148" s="428" t="s">
        <v>372</v>
      </c>
      <c r="C148" s="446" t="s">
        <v>367</v>
      </c>
      <c r="D148" s="429">
        <v>63</v>
      </c>
      <c r="E148" s="429">
        <v>91</v>
      </c>
      <c r="F148" s="429">
        <v>60</v>
      </c>
      <c r="G148" s="429">
        <v>79</v>
      </c>
      <c r="H148" s="429">
        <v>41</v>
      </c>
      <c r="I148" s="429">
        <v>30</v>
      </c>
      <c r="J148" s="429">
        <v>12</v>
      </c>
      <c r="K148" s="429">
        <v>0</v>
      </c>
      <c r="L148" s="429">
        <v>21</v>
      </c>
      <c r="M148" s="429">
        <v>42</v>
      </c>
      <c r="N148" s="429">
        <v>65</v>
      </c>
      <c r="O148" s="429">
        <v>92</v>
      </c>
      <c r="P148" s="429">
        <v>596</v>
      </c>
    </row>
    <row r="149" spans="2:16" x14ac:dyDescent="0.25">
      <c r="B149" s="428" t="s">
        <v>374</v>
      </c>
      <c r="C149" s="446" t="s">
        <v>375</v>
      </c>
      <c r="D149" s="429">
        <v>0</v>
      </c>
      <c r="E149" s="429">
        <v>0</v>
      </c>
      <c r="F149" s="429">
        <v>0</v>
      </c>
      <c r="G149" s="429">
        <v>1</v>
      </c>
      <c r="H149" s="429">
        <v>0</v>
      </c>
      <c r="I149" s="429">
        <v>0</v>
      </c>
      <c r="J149" s="429">
        <v>0</v>
      </c>
      <c r="K149" s="429">
        <v>0</v>
      </c>
      <c r="L149" s="429">
        <v>0</v>
      </c>
      <c r="M149" s="429">
        <v>0</v>
      </c>
      <c r="N149" s="429">
        <v>0</v>
      </c>
      <c r="O149" s="429">
        <v>0</v>
      </c>
      <c r="P149" s="429">
        <v>1</v>
      </c>
    </row>
    <row r="150" spans="2:16" x14ac:dyDescent="0.25">
      <c r="B150" s="428" t="s">
        <v>376</v>
      </c>
      <c r="C150" s="446" t="s">
        <v>377</v>
      </c>
      <c r="D150" s="429">
        <v>269</v>
      </c>
      <c r="E150" s="429">
        <v>269</v>
      </c>
      <c r="F150" s="429">
        <v>271</v>
      </c>
      <c r="G150" s="429">
        <v>269</v>
      </c>
      <c r="H150" s="429">
        <v>269</v>
      </c>
      <c r="I150" s="429">
        <v>272</v>
      </c>
      <c r="J150" s="429">
        <v>268</v>
      </c>
      <c r="K150" s="429">
        <v>272</v>
      </c>
      <c r="L150" s="429">
        <v>272</v>
      </c>
      <c r="M150" s="429">
        <v>272</v>
      </c>
      <c r="N150" s="429">
        <v>275</v>
      </c>
      <c r="O150" s="429">
        <v>270</v>
      </c>
      <c r="P150" s="429"/>
    </row>
    <row r="151" spans="2:16" x14ac:dyDescent="0.25">
      <c r="B151" s="428" t="s">
        <v>378</v>
      </c>
      <c r="C151" s="446" t="s">
        <v>379</v>
      </c>
      <c r="D151" s="449">
        <v>0</v>
      </c>
      <c r="E151" s="449">
        <v>0</v>
      </c>
      <c r="F151" s="449">
        <v>0</v>
      </c>
      <c r="G151" s="449">
        <v>0</v>
      </c>
      <c r="H151" s="449">
        <v>0</v>
      </c>
      <c r="I151" s="449">
        <v>0</v>
      </c>
      <c r="J151" s="449">
        <v>0</v>
      </c>
      <c r="K151" s="449">
        <v>0</v>
      </c>
      <c r="L151" s="429">
        <v>0</v>
      </c>
      <c r="M151" s="429">
        <v>0</v>
      </c>
      <c r="N151" s="429">
        <v>1</v>
      </c>
      <c r="O151" s="429">
        <v>0</v>
      </c>
      <c r="P151" s="429">
        <v>1</v>
      </c>
    </row>
    <row r="152" spans="2:16" x14ac:dyDescent="0.25">
      <c r="B152" s="428" t="s">
        <v>380</v>
      </c>
      <c r="C152" s="446" t="s">
        <v>379</v>
      </c>
      <c r="D152" s="449">
        <v>0</v>
      </c>
      <c r="E152" s="449">
        <v>0</v>
      </c>
      <c r="F152" s="449">
        <v>0</v>
      </c>
      <c r="G152" s="449">
        <v>0</v>
      </c>
      <c r="H152" s="449">
        <v>0</v>
      </c>
      <c r="I152" s="449">
        <v>0</v>
      </c>
      <c r="J152" s="449">
        <v>0</v>
      </c>
      <c r="K152" s="449">
        <v>0</v>
      </c>
      <c r="L152" s="429">
        <v>0</v>
      </c>
      <c r="M152" s="429">
        <v>0</v>
      </c>
      <c r="N152" s="429">
        <v>0</v>
      </c>
      <c r="O152" s="429">
        <v>0</v>
      </c>
      <c r="P152" s="429">
        <v>0</v>
      </c>
    </row>
    <row r="153" spans="2:16" x14ac:dyDescent="0.25">
      <c r="B153" s="428" t="s">
        <v>387</v>
      </c>
      <c r="C153" s="446" t="s">
        <v>388</v>
      </c>
      <c r="D153" s="449">
        <v>0</v>
      </c>
      <c r="E153" s="449">
        <v>0</v>
      </c>
      <c r="F153" s="449">
        <v>0</v>
      </c>
      <c r="G153" s="449">
        <v>0</v>
      </c>
      <c r="H153" s="449">
        <v>0</v>
      </c>
      <c r="I153" s="449">
        <v>4</v>
      </c>
      <c r="J153" s="449">
        <v>0</v>
      </c>
      <c r="K153" s="449">
        <v>0</v>
      </c>
      <c r="L153" s="429">
        <v>0</v>
      </c>
      <c r="M153" s="429">
        <v>0</v>
      </c>
      <c r="N153" s="429">
        <v>0</v>
      </c>
      <c r="O153" s="429">
        <v>1</v>
      </c>
      <c r="P153" s="429">
        <v>5</v>
      </c>
    </row>
    <row r="154" spans="2:16" x14ac:dyDescent="0.25">
      <c r="B154" s="428" t="s">
        <v>87</v>
      </c>
      <c r="C154" s="446" t="s">
        <v>381</v>
      </c>
      <c r="D154" s="449">
        <v>0</v>
      </c>
      <c r="E154" s="449">
        <v>2</v>
      </c>
      <c r="F154" s="449">
        <v>0</v>
      </c>
      <c r="G154" s="449">
        <v>1</v>
      </c>
      <c r="H154" s="449">
        <v>1</v>
      </c>
      <c r="I154" s="449">
        <v>1</v>
      </c>
      <c r="J154" s="452">
        <v>0</v>
      </c>
      <c r="K154" s="449">
        <v>1</v>
      </c>
      <c r="L154" s="429">
        <v>0</v>
      </c>
      <c r="M154" s="429">
        <v>1</v>
      </c>
      <c r="N154" s="429">
        <v>1</v>
      </c>
      <c r="O154" s="429">
        <v>3</v>
      </c>
      <c r="P154" s="429">
        <v>11</v>
      </c>
    </row>
    <row r="155" spans="2:16" x14ac:dyDescent="0.25">
      <c r="B155" s="428" t="s">
        <v>382</v>
      </c>
      <c r="C155" s="446" t="s">
        <v>383</v>
      </c>
      <c r="D155" s="449">
        <v>0</v>
      </c>
      <c r="E155" s="449">
        <v>0</v>
      </c>
      <c r="F155" s="449">
        <v>0</v>
      </c>
      <c r="G155" s="449">
        <v>0</v>
      </c>
      <c r="H155" s="449">
        <v>0</v>
      </c>
      <c r="I155" s="449">
        <v>0</v>
      </c>
      <c r="J155" s="449">
        <v>0</v>
      </c>
      <c r="K155" s="449">
        <v>0</v>
      </c>
      <c r="L155" s="429">
        <v>0</v>
      </c>
      <c r="M155" s="429">
        <v>0</v>
      </c>
      <c r="N155" s="429">
        <v>0</v>
      </c>
      <c r="O155" s="429">
        <v>1</v>
      </c>
      <c r="P155" s="429">
        <v>1</v>
      </c>
    </row>
    <row r="156" spans="2:16" x14ac:dyDescent="0.25">
      <c r="B156" s="428" t="s">
        <v>398</v>
      </c>
      <c r="C156" s="446" t="s">
        <v>395</v>
      </c>
      <c r="D156" s="449">
        <v>0</v>
      </c>
      <c r="E156" s="449">
        <v>1</v>
      </c>
      <c r="F156" s="449">
        <v>2</v>
      </c>
      <c r="G156" s="449">
        <v>1</v>
      </c>
      <c r="H156" s="449">
        <v>1</v>
      </c>
      <c r="I156" s="449">
        <v>1</v>
      </c>
      <c r="J156" s="449">
        <v>1</v>
      </c>
      <c r="K156" s="449">
        <v>0</v>
      </c>
      <c r="L156" s="429">
        <v>0</v>
      </c>
      <c r="M156" s="429">
        <v>0</v>
      </c>
      <c r="N156" s="429">
        <v>0</v>
      </c>
      <c r="O156" s="429">
        <v>2</v>
      </c>
      <c r="P156" s="429">
        <v>9</v>
      </c>
    </row>
    <row r="157" spans="2:16" x14ac:dyDescent="0.25">
      <c r="B157" s="428" t="s">
        <v>399</v>
      </c>
      <c r="C157" s="446"/>
      <c r="D157" s="449">
        <v>0</v>
      </c>
      <c r="E157" s="450">
        <v>0</v>
      </c>
      <c r="F157" s="449">
        <v>0</v>
      </c>
      <c r="G157" s="449">
        <v>1</v>
      </c>
      <c r="H157" s="449">
        <v>0</v>
      </c>
      <c r="I157" s="449">
        <v>0</v>
      </c>
      <c r="J157" s="449">
        <v>0</v>
      </c>
      <c r="K157" s="449">
        <v>0</v>
      </c>
      <c r="L157" s="429">
        <v>0</v>
      </c>
      <c r="M157" s="429">
        <v>0</v>
      </c>
      <c r="N157" s="429">
        <v>0</v>
      </c>
      <c r="O157" s="429">
        <v>0</v>
      </c>
      <c r="P157" s="429">
        <v>1</v>
      </c>
    </row>
    <row r="158" spans="2:16" x14ac:dyDescent="0.25">
      <c r="B158" s="428" t="s">
        <v>384</v>
      </c>
      <c r="C158" s="446" t="s">
        <v>385</v>
      </c>
      <c r="D158" s="429">
        <v>13</v>
      </c>
      <c r="E158" s="429">
        <v>14</v>
      </c>
      <c r="F158" s="429">
        <v>13</v>
      </c>
      <c r="G158" s="429">
        <v>11</v>
      </c>
      <c r="H158" s="429">
        <v>14</v>
      </c>
      <c r="I158" s="429">
        <v>20</v>
      </c>
      <c r="J158" s="429">
        <v>21</v>
      </c>
      <c r="K158" s="429">
        <v>23</v>
      </c>
      <c r="L158" s="429">
        <v>23</v>
      </c>
      <c r="M158" s="429">
        <v>20</v>
      </c>
      <c r="N158" s="429">
        <v>19</v>
      </c>
      <c r="O158" s="429">
        <v>15</v>
      </c>
      <c r="P158" s="429">
        <v>206</v>
      </c>
    </row>
    <row r="159" spans="2:16" x14ac:dyDescent="0.25">
      <c r="B159" s="428" t="s">
        <v>391</v>
      </c>
      <c r="C159" s="446" t="s">
        <v>392</v>
      </c>
      <c r="D159" s="429">
        <v>6</v>
      </c>
      <c r="E159" s="429">
        <v>2</v>
      </c>
      <c r="F159" s="429">
        <v>5</v>
      </c>
      <c r="G159" s="429">
        <v>41</v>
      </c>
      <c r="H159" s="429">
        <v>0</v>
      </c>
      <c r="I159" s="429">
        <v>0</v>
      </c>
      <c r="J159" s="429">
        <v>0</v>
      </c>
      <c r="K159" s="429">
        <v>0</v>
      </c>
      <c r="L159" s="429">
        <v>0</v>
      </c>
      <c r="M159" s="429">
        <v>0</v>
      </c>
      <c r="N159" s="429">
        <v>0</v>
      </c>
      <c r="O159" s="429">
        <v>20</v>
      </c>
      <c r="P159" s="429">
        <v>74</v>
      </c>
    </row>
    <row r="160" spans="2:16" x14ac:dyDescent="0.25">
      <c r="B160" s="428" t="s">
        <v>201</v>
      </c>
      <c r="C160" s="446" t="s">
        <v>393</v>
      </c>
      <c r="D160" s="429">
        <v>2</v>
      </c>
      <c r="E160" s="429">
        <v>0</v>
      </c>
      <c r="F160" s="429">
        <v>7</v>
      </c>
      <c r="G160" s="429">
        <v>3</v>
      </c>
      <c r="H160" s="429">
        <v>2</v>
      </c>
      <c r="I160" s="429">
        <v>0</v>
      </c>
      <c r="J160" s="429">
        <v>2</v>
      </c>
      <c r="K160" s="429">
        <v>0</v>
      </c>
      <c r="L160" s="429">
        <v>0</v>
      </c>
      <c r="M160" s="429">
        <v>9</v>
      </c>
      <c r="N160" s="429">
        <v>0</v>
      </c>
      <c r="O160" s="429">
        <v>1</v>
      </c>
      <c r="P160" s="429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858F-7A4D-48BC-91FE-D1B5D44BD6E0}">
  <sheetPr codeName="Feuil12">
    <tabColor theme="0" tint="-0.14999847407452621"/>
  </sheetPr>
  <dimension ref="B2:DC11"/>
  <sheetViews>
    <sheetView workbookViewId="0">
      <pane xSplit="2" ySplit="3" topLeftCell="C4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A4" sqref="A4:B11"/>
    </sheetView>
  </sheetViews>
  <sheetFormatPr baseColWidth="10" defaultColWidth="11.5703125" defaultRowHeight="13.5" x14ac:dyDescent="0.25"/>
  <cols>
    <col min="1" max="1" width="11.5703125" style="225"/>
    <col min="2" max="2" width="61.7109375" style="225" bestFit="1" customWidth="1"/>
    <col min="3" max="107" width="8.7109375" style="225" bestFit="1" customWidth="1"/>
    <col min="108" max="16384" width="11.5703125" style="225"/>
  </cols>
  <sheetData>
    <row r="2" spans="2:107" x14ac:dyDescent="0.25">
      <c r="H2" s="453"/>
    </row>
    <row r="3" spans="2:107" s="454" customFormat="1" ht="12.75" x14ac:dyDescent="0.2">
      <c r="C3" s="455">
        <v>42766</v>
      </c>
      <c r="D3" s="456" t="s">
        <v>745</v>
      </c>
      <c r="E3" s="455">
        <v>42825</v>
      </c>
      <c r="F3" s="455">
        <v>42855</v>
      </c>
      <c r="G3" s="455">
        <v>42886</v>
      </c>
      <c r="H3" s="455">
        <v>42916</v>
      </c>
      <c r="I3" s="455">
        <v>42947</v>
      </c>
      <c r="J3" s="455">
        <v>42978</v>
      </c>
      <c r="K3" s="455">
        <v>43008</v>
      </c>
      <c r="L3" s="455">
        <v>43039</v>
      </c>
      <c r="M3" s="455">
        <v>43069</v>
      </c>
      <c r="N3" s="455">
        <v>43100</v>
      </c>
      <c r="O3" s="455">
        <v>43131</v>
      </c>
      <c r="P3" s="455">
        <v>43159</v>
      </c>
      <c r="Q3" s="455">
        <v>43190</v>
      </c>
      <c r="R3" s="455">
        <v>43220</v>
      </c>
      <c r="S3" s="455">
        <v>43251</v>
      </c>
      <c r="T3" s="455">
        <v>43281</v>
      </c>
      <c r="U3" s="455">
        <v>43312</v>
      </c>
      <c r="V3" s="455">
        <v>43343</v>
      </c>
      <c r="W3" s="455">
        <v>43373</v>
      </c>
      <c r="X3" s="455">
        <v>43404</v>
      </c>
      <c r="Y3" s="455">
        <v>43434</v>
      </c>
      <c r="Z3" s="455">
        <v>43465</v>
      </c>
      <c r="AA3" s="455">
        <v>43496</v>
      </c>
      <c r="AB3" s="455">
        <v>43524</v>
      </c>
      <c r="AC3" s="455">
        <v>43555</v>
      </c>
      <c r="AD3" s="455">
        <v>43585</v>
      </c>
      <c r="AE3" s="455">
        <v>43616</v>
      </c>
      <c r="AF3" s="455">
        <v>43646</v>
      </c>
      <c r="AG3" s="455">
        <v>43677</v>
      </c>
      <c r="AH3" s="455">
        <v>43708</v>
      </c>
      <c r="AI3" s="455">
        <v>43738</v>
      </c>
      <c r="AJ3" s="455">
        <v>43769</v>
      </c>
      <c r="AK3" s="455">
        <v>43799</v>
      </c>
      <c r="AL3" s="455">
        <v>43830</v>
      </c>
      <c r="AM3" s="455">
        <v>43861</v>
      </c>
      <c r="AN3" s="455">
        <v>43890</v>
      </c>
      <c r="AO3" s="455">
        <v>43921</v>
      </c>
      <c r="AP3" s="455">
        <v>43951</v>
      </c>
      <c r="AQ3" s="455">
        <v>43982</v>
      </c>
      <c r="AR3" s="455">
        <v>44012</v>
      </c>
      <c r="AS3" s="455">
        <v>44043</v>
      </c>
      <c r="AT3" s="455">
        <v>44074</v>
      </c>
      <c r="AU3" s="455">
        <v>44104</v>
      </c>
      <c r="AV3" s="455">
        <v>44135</v>
      </c>
      <c r="AW3" s="455">
        <v>44165</v>
      </c>
      <c r="AX3" s="455">
        <v>44196</v>
      </c>
      <c r="AY3" s="455">
        <v>44227</v>
      </c>
      <c r="AZ3" s="455">
        <v>44255</v>
      </c>
      <c r="BA3" s="455">
        <v>44286</v>
      </c>
      <c r="BB3" s="455">
        <v>44316</v>
      </c>
      <c r="BC3" s="455">
        <v>44347</v>
      </c>
      <c r="BD3" s="455">
        <v>44377</v>
      </c>
      <c r="BE3" s="455">
        <v>44408</v>
      </c>
      <c r="BF3" s="455">
        <v>44439</v>
      </c>
      <c r="BG3" s="455">
        <v>44469</v>
      </c>
      <c r="BH3" s="455">
        <v>44500</v>
      </c>
      <c r="BI3" s="455">
        <v>44530</v>
      </c>
      <c r="BJ3" s="455">
        <v>44561</v>
      </c>
      <c r="BK3" s="455">
        <v>44592</v>
      </c>
      <c r="BL3" s="455">
        <v>44620</v>
      </c>
      <c r="BM3" s="455">
        <v>44651</v>
      </c>
      <c r="BN3" s="455">
        <v>44681</v>
      </c>
      <c r="BO3" s="455">
        <v>44712</v>
      </c>
      <c r="BP3" s="455">
        <v>44742</v>
      </c>
      <c r="BQ3" s="455">
        <v>44773</v>
      </c>
      <c r="BR3" s="455">
        <v>44804</v>
      </c>
      <c r="BS3" s="455">
        <v>44834</v>
      </c>
      <c r="BT3" s="455">
        <v>44865</v>
      </c>
      <c r="BU3" s="455">
        <v>44895</v>
      </c>
      <c r="BV3" s="455">
        <v>44926</v>
      </c>
      <c r="BW3" s="455">
        <v>44957</v>
      </c>
      <c r="BX3" s="455">
        <v>44985</v>
      </c>
      <c r="BY3" s="455">
        <v>45016</v>
      </c>
      <c r="BZ3" s="455">
        <v>45046</v>
      </c>
      <c r="CA3" s="455">
        <v>45077</v>
      </c>
      <c r="CB3" s="455">
        <v>45107</v>
      </c>
      <c r="CC3" s="455">
        <v>45138</v>
      </c>
      <c r="CD3" s="455">
        <v>45169</v>
      </c>
      <c r="CE3" s="455">
        <v>45199</v>
      </c>
      <c r="CF3" s="455">
        <v>45230</v>
      </c>
      <c r="CG3" s="455">
        <v>45260</v>
      </c>
      <c r="CH3" s="455">
        <v>45291</v>
      </c>
      <c r="CI3" s="455">
        <v>45322</v>
      </c>
      <c r="CJ3" s="455">
        <v>45351</v>
      </c>
      <c r="CK3" s="455">
        <v>45382</v>
      </c>
      <c r="CL3" s="455">
        <v>45412</v>
      </c>
      <c r="CM3" s="455">
        <v>45443</v>
      </c>
      <c r="CN3" s="455">
        <v>45473</v>
      </c>
      <c r="CO3" s="455">
        <v>45504</v>
      </c>
      <c r="CP3" s="455">
        <v>45535</v>
      </c>
      <c r="CQ3" s="455">
        <v>45565</v>
      </c>
      <c r="CR3" s="455">
        <v>45596</v>
      </c>
      <c r="CS3" s="455">
        <v>45626</v>
      </c>
      <c r="CT3" s="455">
        <v>45657</v>
      </c>
      <c r="CU3" s="455">
        <v>45688</v>
      </c>
      <c r="CV3" s="455">
        <v>45716</v>
      </c>
      <c r="CW3" s="455">
        <v>45747</v>
      </c>
      <c r="CX3" s="455">
        <v>45777</v>
      </c>
      <c r="CY3" s="455">
        <v>45808</v>
      </c>
      <c r="CZ3" s="455">
        <v>45838</v>
      </c>
      <c r="DA3" s="455">
        <v>45869</v>
      </c>
      <c r="DB3" s="455">
        <v>45900</v>
      </c>
      <c r="DC3" s="455">
        <v>45930</v>
      </c>
    </row>
    <row r="4" spans="2:107" x14ac:dyDescent="0.25">
      <c r="B4" s="457" t="s">
        <v>750</v>
      </c>
      <c r="C4" s="458">
        <v>111</v>
      </c>
      <c r="D4" s="458">
        <v>109</v>
      </c>
      <c r="E4" s="458">
        <v>108</v>
      </c>
      <c r="F4" s="458">
        <v>108</v>
      </c>
      <c r="G4" s="458">
        <v>107</v>
      </c>
      <c r="H4" s="458">
        <v>107</v>
      </c>
      <c r="I4" s="458">
        <v>105</v>
      </c>
      <c r="J4" s="458">
        <v>105</v>
      </c>
      <c r="K4" s="458">
        <v>107</v>
      </c>
      <c r="L4" s="458">
        <v>107</v>
      </c>
      <c r="M4" s="458">
        <v>108</v>
      </c>
      <c r="N4" s="458">
        <v>107</v>
      </c>
    </row>
    <row r="5" spans="2:107" x14ac:dyDescent="0.25">
      <c r="B5" s="457" t="s">
        <v>751</v>
      </c>
      <c r="C5" s="458">
        <v>153</v>
      </c>
      <c r="D5" s="458">
        <v>152</v>
      </c>
      <c r="E5" s="458">
        <v>153</v>
      </c>
      <c r="F5" s="458">
        <v>153</v>
      </c>
      <c r="G5" s="458">
        <v>151</v>
      </c>
      <c r="H5" s="458">
        <v>150</v>
      </c>
      <c r="I5" s="458">
        <v>151</v>
      </c>
      <c r="J5" s="458">
        <v>152</v>
      </c>
      <c r="K5" s="458">
        <v>153</v>
      </c>
      <c r="L5" s="458">
        <v>154</v>
      </c>
      <c r="M5" s="458">
        <v>154</v>
      </c>
      <c r="N5" s="458">
        <v>154</v>
      </c>
    </row>
    <row r="6" spans="2:107" x14ac:dyDescent="0.25">
      <c r="B6" s="457" t="s">
        <v>752</v>
      </c>
      <c r="C6" s="458">
        <v>4</v>
      </c>
      <c r="D6" s="458">
        <v>4</v>
      </c>
      <c r="E6" s="458">
        <v>4</v>
      </c>
      <c r="F6" s="458">
        <v>4</v>
      </c>
      <c r="G6" s="458">
        <v>4</v>
      </c>
      <c r="H6" s="458">
        <v>4</v>
      </c>
      <c r="I6" s="458">
        <v>4</v>
      </c>
      <c r="J6" s="458">
        <v>4</v>
      </c>
      <c r="K6" s="458">
        <v>4</v>
      </c>
      <c r="L6" s="458">
        <v>4</v>
      </c>
      <c r="M6" s="458">
        <v>4</v>
      </c>
      <c r="N6" s="458">
        <v>4</v>
      </c>
    </row>
    <row r="7" spans="2:107" x14ac:dyDescent="0.25">
      <c r="B7" s="457" t="s">
        <v>753</v>
      </c>
      <c r="C7" s="458">
        <v>5</v>
      </c>
      <c r="D7" s="458">
        <v>5</v>
      </c>
      <c r="E7" s="458">
        <v>5</v>
      </c>
      <c r="F7" s="458">
        <v>5</v>
      </c>
      <c r="G7" s="458">
        <v>4</v>
      </c>
      <c r="H7" s="458">
        <v>4</v>
      </c>
      <c r="I7" s="458">
        <v>5</v>
      </c>
      <c r="J7" s="458">
        <v>5</v>
      </c>
      <c r="K7" s="458">
        <v>4</v>
      </c>
      <c r="L7" s="458">
        <v>4</v>
      </c>
      <c r="M7" s="458">
        <v>4</v>
      </c>
      <c r="N7" s="458">
        <v>4</v>
      </c>
    </row>
    <row r="8" spans="2:107" x14ac:dyDescent="0.25">
      <c r="B8" s="457" t="s">
        <v>754</v>
      </c>
      <c r="C8" s="458">
        <v>1</v>
      </c>
      <c r="D8" s="458">
        <v>0</v>
      </c>
      <c r="E8" s="458">
        <v>0</v>
      </c>
      <c r="F8" s="458">
        <v>0</v>
      </c>
      <c r="G8" s="458">
        <v>0</v>
      </c>
      <c r="H8" s="458">
        <v>0</v>
      </c>
      <c r="I8" s="458">
        <v>0</v>
      </c>
      <c r="J8" s="458">
        <v>0</v>
      </c>
      <c r="K8" s="458">
        <v>2</v>
      </c>
      <c r="L8" s="458">
        <v>0</v>
      </c>
      <c r="M8" s="458">
        <v>2</v>
      </c>
      <c r="N8" s="458">
        <v>0</v>
      </c>
    </row>
    <row r="9" spans="2:107" x14ac:dyDescent="0.25">
      <c r="B9" s="457" t="s">
        <v>755</v>
      </c>
      <c r="C9" s="458">
        <v>0</v>
      </c>
      <c r="D9" s="458">
        <v>0</v>
      </c>
      <c r="E9" s="458">
        <v>3</v>
      </c>
      <c r="F9" s="458">
        <v>0</v>
      </c>
      <c r="G9" s="458">
        <v>0</v>
      </c>
      <c r="H9" s="458">
        <v>0</v>
      </c>
      <c r="I9" s="458">
        <v>3</v>
      </c>
      <c r="J9" s="458">
        <v>1</v>
      </c>
      <c r="K9" s="458">
        <v>1</v>
      </c>
      <c r="L9" s="458">
        <v>1</v>
      </c>
      <c r="M9" s="458">
        <v>1</v>
      </c>
      <c r="N9" s="458">
        <v>0</v>
      </c>
    </row>
    <row r="10" spans="2:107" x14ac:dyDescent="0.25">
      <c r="B10" s="457" t="s">
        <v>756</v>
      </c>
      <c r="C10" s="458">
        <v>0</v>
      </c>
      <c r="D10" s="458">
        <v>0</v>
      </c>
      <c r="E10" s="458">
        <v>0</v>
      </c>
      <c r="F10" s="458">
        <v>0</v>
      </c>
      <c r="G10" s="458">
        <v>0</v>
      </c>
      <c r="H10" s="458">
        <v>0</v>
      </c>
      <c r="I10" s="458">
        <v>0</v>
      </c>
      <c r="J10" s="458">
        <v>0</v>
      </c>
      <c r="K10" s="458">
        <v>0</v>
      </c>
      <c r="L10" s="458">
        <v>0</v>
      </c>
      <c r="M10" s="458">
        <v>0</v>
      </c>
      <c r="N10" s="458">
        <v>0</v>
      </c>
    </row>
    <row r="11" spans="2:107" x14ac:dyDescent="0.25">
      <c r="B11" s="457" t="s">
        <v>757</v>
      </c>
      <c r="C11" s="458">
        <v>0</v>
      </c>
      <c r="D11" s="458">
        <v>0</v>
      </c>
      <c r="E11" s="458">
        <v>0</v>
      </c>
      <c r="F11" s="458">
        <v>0</v>
      </c>
      <c r="G11" s="458">
        <v>0</v>
      </c>
      <c r="H11" s="458">
        <v>0</v>
      </c>
      <c r="I11" s="458">
        <v>0</v>
      </c>
      <c r="J11" s="458">
        <v>1</v>
      </c>
      <c r="K11" s="458">
        <v>1</v>
      </c>
      <c r="L11" s="458">
        <v>0</v>
      </c>
      <c r="M11" s="458">
        <v>0</v>
      </c>
      <c r="N11" s="458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B635-74FA-4E56-AB61-3A841446A4F5}">
  <sheetPr codeName="Feuil13">
    <tabColor theme="0" tint="-0.14999847407452621"/>
  </sheetPr>
  <dimension ref="A1:AD34"/>
  <sheetViews>
    <sheetView showGridLines="0" zoomScaleNormal="100" workbookViewId="0">
      <selection activeCell="B2" sqref="B2:M2"/>
    </sheetView>
  </sheetViews>
  <sheetFormatPr baseColWidth="10" defaultColWidth="0" defaultRowHeight="15.75" x14ac:dyDescent="0.3"/>
  <cols>
    <col min="1" max="3" width="11.5703125" customWidth="1"/>
    <col min="4" max="11" width="8.28515625" customWidth="1"/>
    <col min="12" max="13" width="9.42578125" customWidth="1"/>
    <col min="14" max="16" width="1.140625" style="225" customWidth="1"/>
    <col min="17" max="17" width="10.5703125" style="459" customWidth="1"/>
    <col min="18" max="18" width="26.140625" style="225" customWidth="1"/>
    <col min="19" max="21" width="7.42578125" style="225" customWidth="1"/>
    <col min="22" max="22" width="26.7109375" hidden="1" customWidth="1"/>
    <col min="23" max="23" width="16.140625" hidden="1" customWidth="1"/>
    <col min="24" max="24" width="11.5703125" hidden="1" customWidth="1"/>
    <col min="25" max="30" width="10.85546875" hidden="1" customWidth="1"/>
    <col min="31" max="16384" width="11.5703125" hidden="1"/>
  </cols>
  <sheetData>
    <row r="1" spans="2:30" x14ac:dyDescent="0.3">
      <c r="R1" s="459"/>
      <c r="S1" s="459"/>
      <c r="T1" s="459"/>
      <c r="U1" s="459"/>
    </row>
    <row r="2" spans="2:30" ht="16.5" x14ac:dyDescent="0.3">
      <c r="B2" s="652" t="s">
        <v>758</v>
      </c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R2" s="459"/>
      <c r="S2" s="459"/>
      <c r="T2" s="459"/>
      <c r="U2" s="459"/>
      <c r="X2" s="2"/>
      <c r="Y2" s="460" t="s">
        <v>298</v>
      </c>
      <c r="Z2" s="460" t="s">
        <v>759</v>
      </c>
      <c r="AA2" s="460" t="s">
        <v>760</v>
      </c>
      <c r="AB2" s="460" t="s">
        <v>761</v>
      </c>
      <c r="AC2" s="460" t="s">
        <v>296</v>
      </c>
      <c r="AD2" s="460" t="s">
        <v>762</v>
      </c>
    </row>
    <row r="3" spans="2:30" ht="16.5" x14ac:dyDescent="0.3">
      <c r="D3" s="461" t="s">
        <v>763</v>
      </c>
      <c r="E3" s="461" t="s">
        <v>763</v>
      </c>
      <c r="F3" s="461" t="s">
        <v>763</v>
      </c>
      <c r="G3" s="461" t="s">
        <v>763</v>
      </c>
      <c r="H3" s="461" t="s">
        <v>764</v>
      </c>
      <c r="I3" s="461" t="s">
        <v>764</v>
      </c>
      <c r="J3" s="461" t="s">
        <v>764</v>
      </c>
      <c r="K3" s="461" t="s">
        <v>764</v>
      </c>
      <c r="R3" s="459"/>
      <c r="S3" s="459"/>
      <c r="T3" s="459"/>
      <c r="U3" s="459"/>
      <c r="X3" s="335" t="s">
        <v>765</v>
      </c>
      <c r="Y3" s="66">
        <v>86</v>
      </c>
      <c r="Z3" s="66">
        <v>38</v>
      </c>
      <c r="AA3" s="66">
        <v>48</v>
      </c>
      <c r="AB3" s="66">
        <v>81</v>
      </c>
      <c r="AC3" s="66">
        <v>5</v>
      </c>
      <c r="AD3" s="66">
        <v>14</v>
      </c>
    </row>
    <row r="4" spans="2:30" ht="16.5" x14ac:dyDescent="0.3">
      <c r="B4" s="462"/>
      <c r="C4" s="462"/>
      <c r="D4" s="461" t="s">
        <v>766</v>
      </c>
      <c r="E4" s="461" t="s">
        <v>766</v>
      </c>
      <c r="F4" s="461" t="s">
        <v>767</v>
      </c>
      <c r="G4" s="461" t="s">
        <v>767</v>
      </c>
      <c r="H4" s="461" t="s">
        <v>766</v>
      </c>
      <c r="I4" s="461" t="s">
        <v>766</v>
      </c>
      <c r="J4" s="461" t="s">
        <v>767</v>
      </c>
      <c r="K4" s="461" t="s">
        <v>767</v>
      </c>
      <c r="L4" s="462"/>
      <c r="M4" s="462"/>
      <c r="R4" s="459"/>
      <c r="S4" s="459"/>
      <c r="T4" s="459"/>
      <c r="U4" s="459"/>
      <c r="X4" s="335" t="s">
        <v>768</v>
      </c>
      <c r="Y4" s="66">
        <v>196</v>
      </c>
      <c r="Z4" s="66">
        <v>70</v>
      </c>
      <c r="AA4" s="66">
        <v>126</v>
      </c>
      <c r="AB4" s="66">
        <v>196</v>
      </c>
      <c r="AC4" s="66">
        <v>0</v>
      </c>
      <c r="AD4" s="66">
        <v>84</v>
      </c>
    </row>
    <row r="5" spans="2:30" ht="16.5" thickBot="1" x14ac:dyDescent="0.35">
      <c r="B5" s="462"/>
      <c r="C5" s="462"/>
      <c r="L5" s="462"/>
      <c r="M5" s="462"/>
      <c r="R5" s="459"/>
      <c r="S5" s="459"/>
      <c r="T5" s="459"/>
      <c r="U5" s="459"/>
      <c r="X5" s="335"/>
      <c r="Y5" s="460">
        <v>282</v>
      </c>
      <c r="Z5" s="460">
        <v>108</v>
      </c>
      <c r="AA5" s="460">
        <v>174</v>
      </c>
      <c r="AB5" s="460">
        <v>277</v>
      </c>
      <c r="AC5" s="460">
        <v>5</v>
      </c>
      <c r="AD5" s="460">
        <v>98</v>
      </c>
    </row>
    <row r="6" spans="2:30" ht="16.5" thickBot="1" x14ac:dyDescent="0.35">
      <c r="D6" s="653" t="s">
        <v>763</v>
      </c>
      <c r="E6" s="654"/>
      <c r="F6" s="654"/>
      <c r="G6" s="655"/>
      <c r="H6" s="656" t="s">
        <v>764</v>
      </c>
      <c r="I6" s="657"/>
      <c r="J6" s="657"/>
      <c r="K6" s="658"/>
      <c r="R6" s="459"/>
      <c r="S6" s="459"/>
      <c r="T6" s="459"/>
      <c r="U6" s="459"/>
    </row>
    <row r="7" spans="2:30" ht="16.5" thickBot="1" x14ac:dyDescent="0.35">
      <c r="D7" s="636" t="s">
        <v>766</v>
      </c>
      <c r="E7" s="637"/>
      <c r="F7" s="638" t="s">
        <v>767</v>
      </c>
      <c r="G7" s="639"/>
      <c r="H7" s="640" t="s">
        <v>766</v>
      </c>
      <c r="I7" s="641"/>
      <c r="J7" s="642" t="s">
        <v>767</v>
      </c>
      <c r="K7" s="643"/>
      <c r="R7" s="459"/>
      <c r="S7" s="459"/>
      <c r="T7" s="459"/>
      <c r="U7" s="459"/>
    </row>
    <row r="8" spans="2:30" ht="16.5" thickBot="1" x14ac:dyDescent="0.35">
      <c r="C8" s="393"/>
      <c r="D8" s="463" t="s">
        <v>292</v>
      </c>
      <c r="E8" s="464" t="s">
        <v>294</v>
      </c>
      <c r="F8" s="463" t="s">
        <v>292</v>
      </c>
      <c r="G8" s="464" t="s">
        <v>294</v>
      </c>
      <c r="H8" s="463" t="s">
        <v>292</v>
      </c>
      <c r="I8" s="464" t="s">
        <v>294</v>
      </c>
      <c r="J8" s="463" t="s">
        <v>292</v>
      </c>
      <c r="K8" s="464" t="s">
        <v>294</v>
      </c>
      <c r="L8" s="644" t="s">
        <v>8</v>
      </c>
      <c r="M8" s="645"/>
      <c r="R8" s="459"/>
      <c r="S8" s="459"/>
      <c r="T8" s="459"/>
      <c r="U8" s="459"/>
      <c r="X8" s="219"/>
      <c r="Y8" s="219"/>
      <c r="Z8" s="219"/>
      <c r="AA8" s="219"/>
      <c r="AB8" s="219"/>
      <c r="AC8" s="219"/>
      <c r="AD8" s="219"/>
    </row>
    <row r="9" spans="2:30" ht="16.5" thickBot="1" x14ac:dyDescent="0.35">
      <c r="B9" s="650">
        <v>45777</v>
      </c>
      <c r="C9" s="465" t="s">
        <v>769</v>
      </c>
      <c r="D9" s="466">
        <v>1</v>
      </c>
      <c r="E9" s="466">
        <v>0</v>
      </c>
      <c r="F9" s="466">
        <v>4</v>
      </c>
      <c r="G9" s="466">
        <v>0</v>
      </c>
      <c r="H9" s="466">
        <v>96</v>
      </c>
      <c r="I9" s="466">
        <v>10</v>
      </c>
      <c r="J9" s="466">
        <v>141</v>
      </c>
      <c r="K9" s="466">
        <v>23</v>
      </c>
      <c r="L9" s="467">
        <v>275</v>
      </c>
      <c r="M9" s="648">
        <v>281</v>
      </c>
      <c r="R9" s="459"/>
      <c r="S9" s="459"/>
      <c r="T9" s="459"/>
      <c r="U9" s="459"/>
    </row>
    <row r="10" spans="2:30" ht="16.5" thickBot="1" x14ac:dyDescent="0.35">
      <c r="B10" s="651"/>
      <c r="C10" s="465" t="s">
        <v>770</v>
      </c>
      <c r="D10" s="466">
        <v>0</v>
      </c>
      <c r="E10" s="466">
        <v>0</v>
      </c>
      <c r="F10" s="466">
        <v>0</v>
      </c>
      <c r="G10" s="466">
        <v>0</v>
      </c>
      <c r="H10" s="466">
        <v>2</v>
      </c>
      <c r="I10" s="466">
        <v>0</v>
      </c>
      <c r="J10" s="466">
        <v>4</v>
      </c>
      <c r="K10" s="466">
        <v>0</v>
      </c>
      <c r="L10" s="467">
        <v>6</v>
      </c>
      <c r="M10" s="649"/>
      <c r="R10" s="459"/>
      <c r="S10" s="459"/>
      <c r="T10" s="459"/>
      <c r="U10" s="459"/>
    </row>
    <row r="11" spans="2:30" x14ac:dyDescent="0.3">
      <c r="R11" s="459"/>
      <c r="S11" s="459"/>
      <c r="T11" s="459"/>
      <c r="U11" s="459"/>
    </row>
    <row r="12" spans="2:30" x14ac:dyDescent="0.3">
      <c r="B12" s="219"/>
      <c r="C12" s="219" t="s">
        <v>7</v>
      </c>
      <c r="D12" s="468">
        <v>109</v>
      </c>
      <c r="E12" s="469">
        <v>0.38652482269503546</v>
      </c>
      <c r="F12" s="219"/>
      <c r="G12" s="219"/>
      <c r="H12" s="219"/>
      <c r="I12" s="219"/>
      <c r="J12" s="219"/>
      <c r="K12" s="219"/>
      <c r="L12" s="219"/>
      <c r="M12" s="219"/>
    </row>
    <row r="13" spans="2:30" x14ac:dyDescent="0.3">
      <c r="B13" s="219"/>
      <c r="C13" s="219" t="s">
        <v>771</v>
      </c>
      <c r="D13" s="468">
        <v>172</v>
      </c>
      <c r="E13" s="469">
        <v>0.60992907801418439</v>
      </c>
      <c r="F13" s="219"/>
      <c r="G13" s="219"/>
      <c r="H13" s="219"/>
      <c r="I13" s="219"/>
      <c r="J13" s="219"/>
      <c r="K13" s="219"/>
      <c r="L13" s="219"/>
      <c r="M13" s="219"/>
    </row>
    <row r="14" spans="2:30" x14ac:dyDescent="0.3">
      <c r="B14" s="219"/>
      <c r="C14" s="219"/>
      <c r="D14" s="468">
        <v>281</v>
      </c>
      <c r="E14" s="470">
        <v>0.99645390070921991</v>
      </c>
      <c r="F14" s="219"/>
      <c r="G14" s="219"/>
      <c r="H14" s="219"/>
      <c r="I14" s="219"/>
      <c r="J14" s="219"/>
      <c r="K14" s="219"/>
      <c r="L14" s="219"/>
      <c r="M14" s="219"/>
    </row>
    <row r="15" spans="2:30" x14ac:dyDescent="0.3">
      <c r="B15" s="219"/>
      <c r="C15" s="219"/>
      <c r="D15" s="468"/>
      <c r="E15" s="219"/>
      <c r="F15" s="219"/>
      <c r="G15" s="219"/>
      <c r="H15" s="219"/>
      <c r="I15" s="219"/>
      <c r="J15" s="219"/>
      <c r="K15" s="219"/>
      <c r="L15" s="219"/>
      <c r="M15" s="219"/>
    </row>
    <row r="16" spans="2:30" x14ac:dyDescent="0.3">
      <c r="B16" s="219"/>
      <c r="C16" s="219" t="s">
        <v>772</v>
      </c>
      <c r="D16" s="468">
        <v>5</v>
      </c>
      <c r="E16" s="219"/>
      <c r="F16" s="219"/>
      <c r="G16" s="219"/>
      <c r="H16" s="219"/>
      <c r="I16" s="219"/>
      <c r="J16" s="219"/>
      <c r="K16" s="219"/>
      <c r="L16" s="219"/>
      <c r="M16" s="219"/>
    </row>
    <row r="17" spans="2:30" x14ac:dyDescent="0.3">
      <c r="B17" s="219"/>
      <c r="C17" s="219" t="s">
        <v>748</v>
      </c>
      <c r="D17" s="468">
        <v>276</v>
      </c>
      <c r="E17" s="219"/>
      <c r="F17" s="219"/>
      <c r="G17" s="219"/>
      <c r="H17" s="219"/>
      <c r="I17" s="219"/>
      <c r="J17" s="219"/>
      <c r="K17" s="219"/>
      <c r="L17" s="219"/>
      <c r="M17" s="219"/>
    </row>
    <row r="19" spans="2:30" x14ac:dyDescent="0.3">
      <c r="B19" s="652" t="s">
        <v>758</v>
      </c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</row>
    <row r="20" spans="2:30" hidden="1" x14ac:dyDescent="0.3">
      <c r="D20" s="461" t="s">
        <v>763</v>
      </c>
      <c r="E20" s="461" t="s">
        <v>763</v>
      </c>
      <c r="F20" s="461" t="s">
        <v>763</v>
      </c>
      <c r="G20" s="461" t="s">
        <v>763</v>
      </c>
      <c r="H20" s="461" t="s">
        <v>764</v>
      </c>
      <c r="I20" s="461" t="s">
        <v>764</v>
      </c>
      <c r="J20" s="461" t="s">
        <v>764</v>
      </c>
      <c r="K20" s="461" t="s">
        <v>764</v>
      </c>
    </row>
    <row r="21" spans="2:30" hidden="1" x14ac:dyDescent="0.3">
      <c r="B21" s="462"/>
      <c r="C21" s="462"/>
      <c r="D21" s="461" t="s">
        <v>766</v>
      </c>
      <c r="E21" s="461" t="s">
        <v>766</v>
      </c>
      <c r="F21" s="461" t="s">
        <v>767</v>
      </c>
      <c r="G21" s="461" t="s">
        <v>767</v>
      </c>
      <c r="H21" s="461" t="s">
        <v>766</v>
      </c>
      <c r="I21" s="461" t="s">
        <v>766</v>
      </c>
      <c r="J21" s="461" t="s">
        <v>767</v>
      </c>
      <c r="K21" s="461" t="s">
        <v>767</v>
      </c>
      <c r="L21" s="462"/>
      <c r="M21" s="462"/>
    </row>
    <row r="22" spans="2:30" ht="6.6" customHeight="1" thickBot="1" x14ac:dyDescent="0.35">
      <c r="B22" s="462"/>
      <c r="C22" s="462"/>
      <c r="L22" s="462"/>
      <c r="M22" s="462"/>
      <c r="W22" s="2"/>
    </row>
    <row r="23" spans="2:30" ht="17.25" thickBot="1" x14ac:dyDescent="0.35">
      <c r="D23" s="653" t="s">
        <v>763</v>
      </c>
      <c r="E23" s="654"/>
      <c r="F23" s="654"/>
      <c r="G23" s="655"/>
      <c r="H23" s="656" t="s">
        <v>764</v>
      </c>
      <c r="I23" s="657"/>
      <c r="J23" s="657"/>
      <c r="K23" s="658"/>
      <c r="Q23" s="471">
        <v>45777</v>
      </c>
      <c r="R23" s="472"/>
      <c r="S23" s="473" t="s">
        <v>769</v>
      </c>
      <c r="T23" s="473" t="s">
        <v>770</v>
      </c>
      <c r="U23" s="473" t="s">
        <v>8</v>
      </c>
      <c r="V23" s="474"/>
      <c r="W23" s="475"/>
    </row>
    <row r="24" spans="2:30" ht="17.25" thickBot="1" x14ac:dyDescent="0.35">
      <c r="D24" s="636" t="s">
        <v>766</v>
      </c>
      <c r="E24" s="637"/>
      <c r="F24" s="638" t="s">
        <v>767</v>
      </c>
      <c r="G24" s="639"/>
      <c r="H24" s="640" t="s">
        <v>766</v>
      </c>
      <c r="I24" s="641"/>
      <c r="J24" s="642" t="s">
        <v>767</v>
      </c>
      <c r="K24" s="643"/>
      <c r="Q24" s="471">
        <v>45778</v>
      </c>
      <c r="R24" s="476" t="s">
        <v>777</v>
      </c>
      <c r="S24" s="477">
        <v>275</v>
      </c>
      <c r="T24" s="477">
        <v>6</v>
      </c>
      <c r="U24" s="478">
        <v>281</v>
      </c>
      <c r="V24" s="479"/>
      <c r="W24" s="475"/>
      <c r="X24" s="2"/>
      <c r="Y24" s="460" t="s">
        <v>298</v>
      </c>
      <c r="Z24" s="460" t="s">
        <v>759</v>
      </c>
      <c r="AA24" s="460" t="s">
        <v>760</v>
      </c>
      <c r="AB24" s="460" t="s">
        <v>761</v>
      </c>
      <c r="AC24" s="460" t="s">
        <v>296</v>
      </c>
      <c r="AD24" s="460" t="s">
        <v>762</v>
      </c>
    </row>
    <row r="25" spans="2:30" ht="17.25" thickBot="1" x14ac:dyDescent="0.35">
      <c r="C25" s="393"/>
      <c r="D25" s="463" t="s">
        <v>292</v>
      </c>
      <c r="E25" s="464" t="s">
        <v>294</v>
      </c>
      <c r="F25" s="463" t="s">
        <v>292</v>
      </c>
      <c r="G25" s="464" t="s">
        <v>294</v>
      </c>
      <c r="H25" s="463" t="s">
        <v>292</v>
      </c>
      <c r="I25" s="464" t="s">
        <v>294</v>
      </c>
      <c r="J25" s="463" t="s">
        <v>292</v>
      </c>
      <c r="K25" s="464" t="s">
        <v>294</v>
      </c>
      <c r="L25" s="644" t="s">
        <v>8</v>
      </c>
      <c r="M25" s="645"/>
      <c r="R25" s="480" t="s">
        <v>773</v>
      </c>
      <c r="S25" s="481">
        <v>1</v>
      </c>
      <c r="T25" s="481">
        <v>2</v>
      </c>
      <c r="U25" s="481">
        <v>3</v>
      </c>
      <c r="V25" s="482"/>
      <c r="W25" s="483"/>
      <c r="X25" s="335" t="s">
        <v>765</v>
      </c>
      <c r="Y25" s="66">
        <v>86</v>
      </c>
      <c r="Z25" s="66">
        <v>38</v>
      </c>
      <c r="AA25" s="66">
        <v>48</v>
      </c>
      <c r="AB25" s="66">
        <v>81</v>
      </c>
      <c r="AC25" s="66">
        <v>5</v>
      </c>
      <c r="AD25" s="66">
        <v>14</v>
      </c>
    </row>
    <row r="26" spans="2:30" ht="17.25" thickBot="1" x14ac:dyDescent="0.35">
      <c r="B26" s="646">
        <v>45808</v>
      </c>
      <c r="C26" s="465" t="s">
        <v>769</v>
      </c>
      <c r="D26" s="466">
        <v>1</v>
      </c>
      <c r="E26" s="466">
        <v>0</v>
      </c>
      <c r="F26" s="466">
        <v>4</v>
      </c>
      <c r="G26" s="466">
        <v>0</v>
      </c>
      <c r="H26" s="466">
        <v>95</v>
      </c>
      <c r="I26" s="466">
        <v>10</v>
      </c>
      <c r="J26" s="466">
        <v>142</v>
      </c>
      <c r="K26" s="466">
        <v>23</v>
      </c>
      <c r="L26" s="467">
        <v>275</v>
      </c>
      <c r="M26" s="648">
        <v>282</v>
      </c>
      <c r="Q26" s="471">
        <v>45808</v>
      </c>
      <c r="R26" s="484" t="s">
        <v>774</v>
      </c>
      <c r="S26" s="485">
        <v>1</v>
      </c>
      <c r="T26" s="485">
        <v>1</v>
      </c>
      <c r="U26" s="485">
        <v>2</v>
      </c>
      <c r="V26" s="486"/>
      <c r="W26" s="475"/>
      <c r="X26" s="335" t="s">
        <v>768</v>
      </c>
      <c r="Y26" s="66">
        <v>196</v>
      </c>
      <c r="Z26" s="66">
        <v>70</v>
      </c>
      <c r="AA26" s="66">
        <v>126</v>
      </c>
      <c r="AB26" s="66">
        <v>196</v>
      </c>
      <c r="AC26" s="66">
        <v>0</v>
      </c>
      <c r="AD26" s="66">
        <v>84</v>
      </c>
    </row>
    <row r="27" spans="2:30" ht="17.25" thickBot="1" x14ac:dyDescent="0.35">
      <c r="B27" s="647"/>
      <c r="C27" s="465" t="s">
        <v>770</v>
      </c>
      <c r="D27" s="466">
        <v>0</v>
      </c>
      <c r="E27" s="466">
        <v>0</v>
      </c>
      <c r="F27" s="466">
        <v>0</v>
      </c>
      <c r="G27" s="466">
        <v>0</v>
      </c>
      <c r="H27" s="466">
        <v>2</v>
      </c>
      <c r="I27" s="466">
        <v>0</v>
      </c>
      <c r="J27" s="466">
        <v>5</v>
      </c>
      <c r="K27" s="466">
        <v>0</v>
      </c>
      <c r="L27" s="467">
        <v>7</v>
      </c>
      <c r="M27" s="649"/>
      <c r="R27" s="487" t="s">
        <v>778</v>
      </c>
      <c r="S27" s="488">
        <v>275</v>
      </c>
      <c r="T27" s="488">
        <v>7</v>
      </c>
      <c r="U27" s="488">
        <v>282</v>
      </c>
      <c r="V27" s="479" t="s">
        <v>775</v>
      </c>
      <c r="W27" s="475"/>
      <c r="X27" s="335"/>
      <c r="Y27" s="460">
        <v>282</v>
      </c>
      <c r="Z27" s="460">
        <v>108</v>
      </c>
      <c r="AA27" s="460">
        <v>174</v>
      </c>
      <c r="AB27" s="460">
        <v>277</v>
      </c>
      <c r="AC27" s="460">
        <v>5</v>
      </c>
      <c r="AD27" s="460">
        <v>98</v>
      </c>
    </row>
    <row r="28" spans="2:30" x14ac:dyDescent="0.3">
      <c r="R28" s="489" t="s">
        <v>776</v>
      </c>
      <c r="S28" s="490">
        <v>7.4300000000000005E-2</v>
      </c>
      <c r="T28" s="491"/>
      <c r="U28" s="491"/>
      <c r="V28" s="492"/>
    </row>
    <row r="29" spans="2:30" x14ac:dyDescent="0.3">
      <c r="B29" s="219"/>
      <c r="C29" s="219" t="s">
        <v>7</v>
      </c>
      <c r="D29" s="468">
        <v>108</v>
      </c>
      <c r="E29" s="469">
        <v>0.38297872340425532</v>
      </c>
      <c r="F29" s="219"/>
      <c r="G29" s="219"/>
      <c r="H29" s="219"/>
      <c r="I29" s="219"/>
      <c r="J29" s="219"/>
      <c r="K29" s="219"/>
      <c r="L29" s="219"/>
      <c r="M29" s="219"/>
    </row>
    <row r="30" spans="2:30" x14ac:dyDescent="0.3">
      <c r="B30" s="219"/>
      <c r="C30" s="219" t="s">
        <v>771</v>
      </c>
      <c r="D30" s="468">
        <v>174</v>
      </c>
      <c r="E30" s="469">
        <v>0.61702127659574468</v>
      </c>
      <c r="F30" s="219"/>
      <c r="G30" s="219"/>
      <c r="H30" s="219"/>
      <c r="I30" s="219"/>
      <c r="J30" s="219"/>
      <c r="K30" s="219"/>
      <c r="L30" s="219"/>
      <c r="M30" s="219"/>
    </row>
    <row r="31" spans="2:30" x14ac:dyDescent="0.3">
      <c r="B31" s="219"/>
      <c r="C31" s="219"/>
      <c r="D31" s="468">
        <v>282</v>
      </c>
      <c r="E31" s="470">
        <v>1</v>
      </c>
      <c r="F31" s="219"/>
      <c r="G31" s="219"/>
      <c r="H31" s="219"/>
      <c r="I31" s="219"/>
      <c r="J31" s="219"/>
      <c r="K31" s="219"/>
      <c r="L31" s="219"/>
      <c r="M31" s="219"/>
    </row>
    <row r="32" spans="2:30" x14ac:dyDescent="0.3">
      <c r="B32" s="219"/>
      <c r="C32" s="219"/>
      <c r="D32" s="468"/>
      <c r="E32" s="219"/>
      <c r="F32" s="219"/>
      <c r="G32" s="219"/>
      <c r="H32" s="219"/>
      <c r="I32" s="219"/>
      <c r="J32" s="219"/>
      <c r="K32" s="219"/>
      <c r="L32" s="219"/>
      <c r="M32" s="219"/>
    </row>
    <row r="33" spans="2:13" x14ac:dyDescent="0.3">
      <c r="B33" s="219"/>
      <c r="C33" s="219" t="s">
        <v>772</v>
      </c>
      <c r="D33" s="468">
        <v>5</v>
      </c>
      <c r="E33" s="219"/>
      <c r="F33" s="219"/>
      <c r="G33" s="219"/>
      <c r="H33" s="219"/>
      <c r="I33" s="219"/>
      <c r="J33" s="219"/>
      <c r="K33" s="219"/>
      <c r="L33" s="219"/>
      <c r="M33" s="219"/>
    </row>
    <row r="34" spans="2:13" x14ac:dyDescent="0.3">
      <c r="B34" s="219"/>
      <c r="C34" s="219" t="s">
        <v>748</v>
      </c>
      <c r="D34" s="468">
        <v>277</v>
      </c>
      <c r="E34" s="219"/>
      <c r="F34" s="219"/>
      <c r="G34" s="219"/>
      <c r="H34" s="219"/>
      <c r="I34" s="219"/>
      <c r="J34" s="219"/>
      <c r="K34" s="219"/>
      <c r="L34" s="219"/>
      <c r="M34" s="219"/>
    </row>
  </sheetData>
  <mergeCells count="20">
    <mergeCell ref="B2:M2"/>
    <mergeCell ref="D6:G6"/>
    <mergeCell ref="H6:K6"/>
    <mergeCell ref="D7:E7"/>
    <mergeCell ref="F7:G7"/>
    <mergeCell ref="H7:I7"/>
    <mergeCell ref="J7:K7"/>
    <mergeCell ref="B26:B27"/>
    <mergeCell ref="M26:M27"/>
    <mergeCell ref="L8:M8"/>
    <mergeCell ref="B9:B10"/>
    <mergeCell ref="M9:M10"/>
    <mergeCell ref="B19:M19"/>
    <mergeCell ref="D23:G23"/>
    <mergeCell ref="H23:K23"/>
    <mergeCell ref="D24:E24"/>
    <mergeCell ref="F24:G24"/>
    <mergeCell ref="H24:I24"/>
    <mergeCell ref="J24:K24"/>
    <mergeCell ref="L25:M2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544B-D964-42A1-BD0D-927E49694BF2}">
  <sheetPr codeName="Feuil14"/>
  <dimension ref="A1:M2"/>
  <sheetViews>
    <sheetView showGridLines="0" zoomScale="85" zoomScaleNormal="85" workbookViewId="0">
      <selection activeCell="N32" sqref="N32"/>
    </sheetView>
  </sheetViews>
  <sheetFormatPr baseColWidth="10" defaultColWidth="11.5703125" defaultRowHeight="16.5" x14ac:dyDescent="0.3"/>
  <cols>
    <col min="1" max="1" width="24.140625" style="2" bestFit="1" customWidth="1"/>
    <col min="2" max="16384" width="11.5703125" style="2"/>
  </cols>
  <sheetData>
    <row r="1" spans="1:13" s="225" customFormat="1" ht="13.5" x14ac:dyDescent="0.25">
      <c r="B1" s="495" t="s">
        <v>779</v>
      </c>
      <c r="C1" s="495" t="s">
        <v>780</v>
      </c>
      <c r="D1" s="495" t="s">
        <v>781</v>
      </c>
      <c r="E1" s="495" t="s">
        <v>782</v>
      </c>
      <c r="F1" s="495" t="s">
        <v>783</v>
      </c>
      <c r="G1" s="495" t="s">
        <v>784</v>
      </c>
      <c r="H1" s="495" t="s">
        <v>785</v>
      </c>
      <c r="I1" s="495" t="s">
        <v>786</v>
      </c>
      <c r="J1" s="495" t="s">
        <v>787</v>
      </c>
      <c r="K1" s="495" t="s">
        <v>788</v>
      </c>
      <c r="L1" s="495" t="s">
        <v>789</v>
      </c>
      <c r="M1" s="495" t="s">
        <v>790</v>
      </c>
    </row>
    <row r="2" spans="1:13" s="225" customFormat="1" ht="13.5" x14ac:dyDescent="0.25">
      <c r="A2" s="225" t="s">
        <v>791</v>
      </c>
      <c r="B2" s="219">
        <v>271</v>
      </c>
      <c r="C2" s="219">
        <v>275</v>
      </c>
      <c r="D2" s="219">
        <v>281</v>
      </c>
      <c r="E2" s="219">
        <v>281</v>
      </c>
      <c r="F2" s="219">
        <v>282</v>
      </c>
      <c r="G2" s="219"/>
      <c r="H2" s="219"/>
      <c r="I2" s="219"/>
      <c r="J2" s="219"/>
      <c r="K2" s="219"/>
      <c r="L2" s="219"/>
      <c r="M2" s="219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02AA-9E29-4156-BF55-2A2079486366}">
  <sheetPr codeName="Feuil15"/>
  <dimension ref="A1:AK15"/>
  <sheetViews>
    <sheetView showGridLines="0" zoomScale="130" zoomScaleNormal="130" workbookViewId="0">
      <selection activeCell="F3" sqref="F3"/>
    </sheetView>
  </sheetViews>
  <sheetFormatPr baseColWidth="10" defaultRowHeight="15" x14ac:dyDescent="0.25"/>
  <cols>
    <col min="1" max="1" width="28.7109375" customWidth="1"/>
    <col min="2" max="2" width="8.7109375" hidden="1" customWidth="1"/>
    <col min="3" max="3" width="8.140625" hidden="1" customWidth="1"/>
    <col min="4" max="4" width="9.28515625" hidden="1" customWidth="1"/>
    <col min="5" max="5" width="7.7109375" hidden="1" customWidth="1"/>
    <col min="6" max="6" width="8" hidden="1" customWidth="1"/>
    <col min="7" max="7" width="8.140625" hidden="1" customWidth="1"/>
    <col min="8" max="8" width="7.5703125" hidden="1" customWidth="1"/>
    <col min="9" max="10" width="8.85546875" hidden="1" customWidth="1"/>
    <col min="11" max="11" width="7.85546875" hidden="1" customWidth="1"/>
    <col min="12" max="13" width="8.140625" hidden="1" customWidth="1"/>
    <col min="14" max="14" width="8.7109375" hidden="1" customWidth="1"/>
    <col min="15" max="15" width="8.140625" hidden="1" customWidth="1"/>
    <col min="16" max="16" width="9.28515625" hidden="1" customWidth="1"/>
    <col min="17" max="17" width="7.7109375" hidden="1" customWidth="1"/>
    <col min="18" max="18" width="8" hidden="1" customWidth="1"/>
    <col min="19" max="19" width="8.140625" hidden="1" customWidth="1"/>
    <col min="20" max="20" width="7.5703125" hidden="1" customWidth="1"/>
    <col min="21" max="22" width="8.85546875" hidden="1" customWidth="1"/>
    <col min="23" max="23" width="7.85546875" hidden="1" customWidth="1"/>
    <col min="24" max="25" width="8.140625" hidden="1" customWidth="1"/>
    <col min="26" max="37" width="6.28515625" customWidth="1"/>
  </cols>
  <sheetData>
    <row r="1" spans="1:37" s="496" customFormat="1" ht="13.5" x14ac:dyDescent="0.25">
      <c r="B1" s="497">
        <v>44562</v>
      </c>
      <c r="C1" s="497">
        <v>44593</v>
      </c>
      <c r="D1" s="497">
        <v>44621</v>
      </c>
      <c r="E1" s="497">
        <v>44652</v>
      </c>
      <c r="F1" s="497">
        <v>44682</v>
      </c>
      <c r="G1" s="497">
        <v>44713</v>
      </c>
      <c r="H1" s="497">
        <v>44743</v>
      </c>
      <c r="I1" s="497">
        <v>44774</v>
      </c>
      <c r="J1" s="497">
        <v>44805</v>
      </c>
      <c r="K1" s="497">
        <v>44835</v>
      </c>
      <c r="L1" s="497">
        <v>44866</v>
      </c>
      <c r="M1" s="497">
        <v>44896</v>
      </c>
      <c r="N1" s="497">
        <v>44927</v>
      </c>
      <c r="O1" s="497">
        <v>44958</v>
      </c>
      <c r="P1" s="497">
        <v>44986</v>
      </c>
      <c r="Q1" s="497">
        <v>45017</v>
      </c>
      <c r="R1" s="497">
        <v>45047</v>
      </c>
      <c r="S1" s="497">
        <v>45078</v>
      </c>
      <c r="T1" s="497">
        <v>45108</v>
      </c>
      <c r="U1" s="497">
        <v>45139</v>
      </c>
      <c r="V1" s="497">
        <v>45170</v>
      </c>
      <c r="W1" s="497">
        <v>45200</v>
      </c>
      <c r="X1" s="497">
        <v>45231</v>
      </c>
      <c r="Y1" s="497">
        <v>45261</v>
      </c>
      <c r="Z1" s="497">
        <v>45658</v>
      </c>
      <c r="AA1" s="497">
        <v>45689</v>
      </c>
      <c r="AB1" s="497">
        <v>45717</v>
      </c>
      <c r="AC1" s="497">
        <v>45748</v>
      </c>
      <c r="AD1" s="497">
        <v>45778</v>
      </c>
      <c r="AE1" s="497">
        <v>45809</v>
      </c>
      <c r="AF1" s="497">
        <v>45839</v>
      </c>
      <c r="AG1" s="497">
        <v>45870</v>
      </c>
      <c r="AH1" s="497">
        <v>45901</v>
      </c>
      <c r="AI1" s="497">
        <v>45931</v>
      </c>
      <c r="AJ1" s="497">
        <v>45962</v>
      </c>
      <c r="AK1" s="497">
        <v>45992</v>
      </c>
    </row>
    <row r="2" spans="1:37" s="225" customFormat="1" ht="13.5" hidden="1" x14ac:dyDescent="0.25">
      <c r="A2" s="225" t="s">
        <v>792</v>
      </c>
      <c r="B2" s="498">
        <v>260</v>
      </c>
      <c r="C2" s="498">
        <v>256</v>
      </c>
      <c r="D2" s="498">
        <v>251</v>
      </c>
      <c r="E2" s="498">
        <v>251</v>
      </c>
      <c r="F2" s="498">
        <v>248</v>
      </c>
      <c r="G2" s="498">
        <v>247</v>
      </c>
      <c r="H2" s="498">
        <v>251</v>
      </c>
      <c r="I2" s="498">
        <v>257</v>
      </c>
      <c r="J2" s="498">
        <v>256</v>
      </c>
      <c r="K2" s="498">
        <v>256</v>
      </c>
      <c r="L2" s="498">
        <v>254</v>
      </c>
      <c r="M2" s="498">
        <v>256</v>
      </c>
      <c r="N2" s="498">
        <v>254</v>
      </c>
      <c r="O2" s="498">
        <v>257</v>
      </c>
      <c r="P2" s="498">
        <v>256</v>
      </c>
      <c r="Q2" s="498">
        <v>259</v>
      </c>
      <c r="R2" s="498">
        <v>258</v>
      </c>
      <c r="S2" s="498">
        <v>259</v>
      </c>
      <c r="T2" s="498">
        <v>260</v>
      </c>
      <c r="U2" s="498">
        <v>259</v>
      </c>
      <c r="V2" s="498">
        <v>259</v>
      </c>
      <c r="W2" s="498">
        <v>261</v>
      </c>
      <c r="X2" s="498">
        <v>265</v>
      </c>
      <c r="Y2" s="498">
        <v>265</v>
      </c>
      <c r="Z2" s="498">
        <v>263</v>
      </c>
      <c r="AA2" s="498">
        <v>269</v>
      </c>
      <c r="AB2" s="498">
        <v>269</v>
      </c>
      <c r="AC2" s="498">
        <v>270</v>
      </c>
      <c r="AD2" s="498">
        <v>269</v>
      </c>
      <c r="AE2" s="498">
        <v>269</v>
      </c>
      <c r="AF2" s="498">
        <v>267</v>
      </c>
      <c r="AG2" s="498">
        <v>268</v>
      </c>
      <c r="AJ2" s="499"/>
      <c r="AK2" s="500"/>
    </row>
    <row r="3" spans="1:37" s="501" customFormat="1" ht="13.5" hidden="1" x14ac:dyDescent="0.25">
      <c r="A3" s="501" t="s">
        <v>793</v>
      </c>
      <c r="B3" s="502">
        <v>1</v>
      </c>
      <c r="C3" s="502">
        <v>0</v>
      </c>
      <c r="D3" s="502">
        <v>1</v>
      </c>
      <c r="E3" s="502">
        <v>2</v>
      </c>
      <c r="F3" s="502">
        <v>1</v>
      </c>
      <c r="G3" s="502">
        <v>5</v>
      </c>
      <c r="H3" s="502">
        <v>5</v>
      </c>
      <c r="I3" s="502">
        <v>2</v>
      </c>
      <c r="J3" s="502">
        <v>2</v>
      </c>
      <c r="K3" s="502">
        <v>0</v>
      </c>
      <c r="L3" s="502">
        <v>2</v>
      </c>
      <c r="M3" s="502">
        <v>2</v>
      </c>
      <c r="N3" s="502">
        <v>3</v>
      </c>
      <c r="O3" s="502">
        <v>1</v>
      </c>
      <c r="P3" s="502">
        <v>1</v>
      </c>
      <c r="Q3" s="502">
        <v>0</v>
      </c>
      <c r="R3" s="502">
        <v>2</v>
      </c>
      <c r="S3" s="502">
        <v>4</v>
      </c>
      <c r="T3" s="502">
        <v>1</v>
      </c>
      <c r="U3" s="502">
        <v>3</v>
      </c>
      <c r="V3" s="502">
        <v>4</v>
      </c>
      <c r="W3" s="502">
        <v>2</v>
      </c>
      <c r="X3" s="502">
        <v>1</v>
      </c>
      <c r="Y3" s="502">
        <v>1</v>
      </c>
      <c r="Z3" s="502">
        <v>1</v>
      </c>
      <c r="AA3" s="502">
        <v>2</v>
      </c>
      <c r="AB3" s="502">
        <v>2</v>
      </c>
      <c r="AC3" s="502">
        <v>2</v>
      </c>
      <c r="AD3" s="502">
        <v>0</v>
      </c>
      <c r="AE3" s="502">
        <v>3</v>
      </c>
      <c r="AF3" s="502">
        <v>2</v>
      </c>
      <c r="AG3" s="502"/>
      <c r="AJ3" s="503"/>
      <c r="AK3" s="504"/>
    </row>
    <row r="4" spans="1:37" s="505" customFormat="1" ht="13.5" hidden="1" x14ac:dyDescent="0.25">
      <c r="A4" s="505" t="s">
        <v>85</v>
      </c>
      <c r="B4" s="506">
        <v>3</v>
      </c>
      <c r="C4" s="506">
        <v>4</v>
      </c>
      <c r="D4" s="506">
        <v>1</v>
      </c>
      <c r="E4" s="506">
        <v>5</v>
      </c>
      <c r="F4" s="506">
        <v>2</v>
      </c>
      <c r="G4" s="506">
        <v>1</v>
      </c>
      <c r="H4" s="506">
        <v>0</v>
      </c>
      <c r="I4" s="506">
        <v>3</v>
      </c>
      <c r="J4" s="506">
        <v>2</v>
      </c>
      <c r="K4" s="506">
        <v>1</v>
      </c>
      <c r="L4" s="506">
        <v>0</v>
      </c>
      <c r="M4" s="506">
        <v>0</v>
      </c>
      <c r="N4" s="506">
        <v>0</v>
      </c>
      <c r="O4" s="506">
        <v>1</v>
      </c>
      <c r="P4" s="506">
        <v>1</v>
      </c>
      <c r="Q4" s="506">
        <v>1</v>
      </c>
      <c r="R4" s="506">
        <v>0</v>
      </c>
      <c r="S4" s="506">
        <v>2</v>
      </c>
      <c r="T4" s="506">
        <v>0</v>
      </c>
      <c r="U4" s="506">
        <v>3</v>
      </c>
      <c r="V4" s="506">
        <v>4</v>
      </c>
      <c r="W4" s="506">
        <v>0</v>
      </c>
      <c r="X4" s="506">
        <v>0</v>
      </c>
      <c r="Y4" s="506">
        <v>1</v>
      </c>
      <c r="Z4" s="506">
        <v>0</v>
      </c>
      <c r="AA4" s="506">
        <v>2</v>
      </c>
      <c r="AB4" s="506">
        <v>0</v>
      </c>
      <c r="AC4" s="506">
        <v>1</v>
      </c>
      <c r="AD4" s="506">
        <v>1</v>
      </c>
      <c r="AE4" s="506">
        <v>1</v>
      </c>
      <c r="AF4" s="506">
        <v>0</v>
      </c>
      <c r="AG4" s="506">
        <v>268</v>
      </c>
      <c r="AJ4" s="507"/>
      <c r="AK4" s="508"/>
    </row>
    <row r="5" spans="1:37" s="501" customFormat="1" ht="13.5" hidden="1" x14ac:dyDescent="0.25">
      <c r="A5" s="501" t="s">
        <v>794</v>
      </c>
      <c r="B5" s="502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2">
        <f>SUM(B3:M3)</f>
        <v>23</v>
      </c>
      <c r="N5" s="502">
        <f>SUM(C3:N3)</f>
        <v>25</v>
      </c>
      <c r="O5" s="502">
        <f t="shared" ref="O5:AG5" si="0">SUM(D3:O3)</f>
        <v>26</v>
      </c>
      <c r="P5" s="502">
        <f t="shared" si="0"/>
        <v>26</v>
      </c>
      <c r="Q5" s="502">
        <f t="shared" si="0"/>
        <v>24</v>
      </c>
      <c r="R5" s="502">
        <f t="shared" si="0"/>
        <v>25</v>
      </c>
      <c r="S5" s="502">
        <f t="shared" si="0"/>
        <v>24</v>
      </c>
      <c r="T5" s="502">
        <f t="shared" si="0"/>
        <v>20</v>
      </c>
      <c r="U5" s="502">
        <f t="shared" si="0"/>
        <v>21</v>
      </c>
      <c r="V5" s="502">
        <f t="shared" si="0"/>
        <v>23</v>
      </c>
      <c r="W5" s="502">
        <f t="shared" si="0"/>
        <v>25</v>
      </c>
      <c r="X5" s="502">
        <f t="shared" si="0"/>
        <v>24</v>
      </c>
      <c r="Y5" s="502">
        <f t="shared" si="0"/>
        <v>23</v>
      </c>
      <c r="Z5" s="502">
        <f t="shared" si="0"/>
        <v>21</v>
      </c>
      <c r="AA5" s="502">
        <f t="shared" si="0"/>
        <v>22</v>
      </c>
      <c r="AB5" s="502">
        <f t="shared" si="0"/>
        <v>23</v>
      </c>
      <c r="AC5" s="502">
        <f t="shared" si="0"/>
        <v>25</v>
      </c>
      <c r="AD5" s="502">
        <f t="shared" si="0"/>
        <v>23</v>
      </c>
      <c r="AE5" s="502">
        <f t="shared" si="0"/>
        <v>22</v>
      </c>
      <c r="AF5" s="502">
        <f t="shared" si="0"/>
        <v>23</v>
      </c>
      <c r="AG5" s="502">
        <f t="shared" si="0"/>
        <v>20</v>
      </c>
      <c r="AH5" s="502">
        <f>SUM(W3:AH3)</f>
        <v>16</v>
      </c>
      <c r="AI5" s="502"/>
      <c r="AJ5" s="503"/>
      <c r="AK5" s="504"/>
    </row>
    <row r="6" spans="1:37" s="505" customFormat="1" ht="13.5" hidden="1" x14ac:dyDescent="0.25">
      <c r="A6" s="505" t="s">
        <v>795</v>
      </c>
      <c r="B6" s="506"/>
      <c r="C6" s="506"/>
      <c r="D6" s="506"/>
      <c r="E6" s="506"/>
      <c r="F6" s="506"/>
      <c r="G6" s="506"/>
      <c r="H6" s="506"/>
      <c r="I6" s="506"/>
      <c r="J6" s="506"/>
      <c r="K6" s="506"/>
      <c r="L6" s="506"/>
      <c r="M6" s="506">
        <f>SUM(B4:M4)</f>
        <v>22</v>
      </c>
      <c r="N6" s="506">
        <f t="shared" ref="N6:AH6" si="1">SUM(C4:N4)</f>
        <v>19</v>
      </c>
      <c r="O6" s="506">
        <f t="shared" si="1"/>
        <v>16</v>
      </c>
      <c r="P6" s="506">
        <f t="shared" si="1"/>
        <v>16</v>
      </c>
      <c r="Q6" s="506">
        <f t="shared" si="1"/>
        <v>12</v>
      </c>
      <c r="R6" s="506">
        <f t="shared" si="1"/>
        <v>10</v>
      </c>
      <c r="S6" s="506">
        <f t="shared" si="1"/>
        <v>11</v>
      </c>
      <c r="T6" s="506">
        <f t="shared" si="1"/>
        <v>11</v>
      </c>
      <c r="U6" s="506">
        <f t="shared" si="1"/>
        <v>11</v>
      </c>
      <c r="V6" s="506">
        <f t="shared" si="1"/>
        <v>13</v>
      </c>
      <c r="W6" s="506">
        <f t="shared" si="1"/>
        <v>12</v>
      </c>
      <c r="X6" s="506">
        <f t="shared" si="1"/>
        <v>12</v>
      </c>
      <c r="Y6" s="506">
        <f t="shared" si="1"/>
        <v>13</v>
      </c>
      <c r="Z6" s="506">
        <f t="shared" si="1"/>
        <v>13</v>
      </c>
      <c r="AA6" s="506">
        <f t="shared" si="1"/>
        <v>14</v>
      </c>
      <c r="AB6" s="506">
        <f t="shared" si="1"/>
        <v>13</v>
      </c>
      <c r="AC6" s="506">
        <f t="shared" si="1"/>
        <v>13</v>
      </c>
      <c r="AD6" s="506">
        <f t="shared" si="1"/>
        <v>14</v>
      </c>
      <c r="AE6" s="506">
        <f t="shared" si="1"/>
        <v>13</v>
      </c>
      <c r="AF6" s="506">
        <f t="shared" si="1"/>
        <v>13</v>
      </c>
      <c r="AG6" s="506">
        <f t="shared" si="1"/>
        <v>278</v>
      </c>
      <c r="AH6" s="506">
        <f t="shared" si="1"/>
        <v>274</v>
      </c>
      <c r="AI6" s="506"/>
      <c r="AJ6" s="507"/>
      <c r="AK6" s="508"/>
    </row>
    <row r="7" spans="1:37" s="509" customFormat="1" ht="13.5" hidden="1" x14ac:dyDescent="0.25">
      <c r="A7" s="509" t="s">
        <v>796</v>
      </c>
      <c r="B7" s="510"/>
      <c r="C7" s="510"/>
      <c r="D7" s="510"/>
      <c r="E7" s="510"/>
      <c r="F7" s="510"/>
      <c r="G7" s="510"/>
      <c r="H7" s="510"/>
      <c r="I7" s="510"/>
      <c r="J7" s="510"/>
      <c r="K7" s="510"/>
      <c r="L7" s="510"/>
      <c r="M7" s="511">
        <f>((M5+M6)/2)/B2</f>
        <v>8.6538461538461536E-2</v>
      </c>
      <c r="N7" s="511">
        <f t="shared" ref="N7:AH7" si="2">((N5+N6)/2)/C2</f>
        <v>8.59375E-2</v>
      </c>
      <c r="O7" s="511">
        <f t="shared" si="2"/>
        <v>8.3665338645418322E-2</v>
      </c>
      <c r="P7" s="511">
        <f t="shared" si="2"/>
        <v>8.3665338645418322E-2</v>
      </c>
      <c r="Q7" s="511">
        <f t="shared" si="2"/>
        <v>7.2580645161290328E-2</v>
      </c>
      <c r="R7" s="511">
        <f t="shared" si="2"/>
        <v>7.08502024291498E-2</v>
      </c>
      <c r="S7" s="511">
        <f t="shared" si="2"/>
        <v>6.9721115537848599E-2</v>
      </c>
      <c r="T7" s="511">
        <f t="shared" si="2"/>
        <v>6.0311284046692608E-2</v>
      </c>
      <c r="U7" s="511">
        <f t="shared" si="2"/>
        <v>6.25E-2</v>
      </c>
      <c r="V7" s="511">
        <f t="shared" si="2"/>
        <v>7.03125E-2</v>
      </c>
      <c r="W7" s="511">
        <f t="shared" si="2"/>
        <v>7.2834645669291334E-2</v>
      </c>
      <c r="X7" s="511">
        <f t="shared" si="2"/>
        <v>7.03125E-2</v>
      </c>
      <c r="Y7" s="511">
        <f t="shared" si="2"/>
        <v>7.0866141732283464E-2</v>
      </c>
      <c r="Z7" s="511">
        <f t="shared" si="2"/>
        <v>6.6147859922178989E-2</v>
      </c>
      <c r="AA7" s="511">
        <f t="shared" si="2"/>
        <v>7.03125E-2</v>
      </c>
      <c r="AB7" s="511">
        <f t="shared" si="2"/>
        <v>6.9498069498069498E-2</v>
      </c>
      <c r="AC7" s="511">
        <f t="shared" si="2"/>
        <v>7.3643410852713184E-2</v>
      </c>
      <c r="AD7" s="511">
        <f t="shared" si="2"/>
        <v>7.1428571428571425E-2</v>
      </c>
      <c r="AE7" s="511">
        <f t="shared" si="2"/>
        <v>6.7307692307692304E-2</v>
      </c>
      <c r="AF7" s="511">
        <f t="shared" si="2"/>
        <v>6.9498069498069498E-2</v>
      </c>
      <c r="AG7" s="511">
        <f t="shared" si="2"/>
        <v>0.57528957528957525</v>
      </c>
      <c r="AH7" s="511">
        <f t="shared" si="2"/>
        <v>0.55555555555555558</v>
      </c>
      <c r="AI7" s="511"/>
      <c r="AJ7" s="512"/>
      <c r="AK7" s="513"/>
    </row>
    <row r="8" spans="1:37" s="225" customFormat="1" ht="13.5" x14ac:dyDescent="0.25">
      <c r="A8" s="225" t="s">
        <v>797</v>
      </c>
      <c r="T8" s="469">
        <v>6.0311284046692608E-2</v>
      </c>
      <c r="U8" s="469">
        <v>6.25E-2</v>
      </c>
      <c r="V8" s="469">
        <v>7.03125E-2</v>
      </c>
      <c r="W8" s="469">
        <v>7.2834645669291334E-2</v>
      </c>
      <c r="X8" s="469">
        <v>7.03125E-2</v>
      </c>
      <c r="Y8" s="469">
        <v>7.0866141732283464E-2</v>
      </c>
      <c r="Z8" s="469">
        <v>6.3200000000000006E-2</v>
      </c>
      <c r="AA8" s="469">
        <v>6.6900000000000001E-2</v>
      </c>
      <c r="AB8" s="469">
        <v>7.4099999999999999E-2</v>
      </c>
      <c r="AC8" s="469">
        <v>7.2499999999999995E-2</v>
      </c>
      <c r="AD8" s="469">
        <v>7.4300000000000005E-2</v>
      </c>
      <c r="AE8" s="469"/>
      <c r="AF8" s="514"/>
      <c r="AG8" s="514"/>
      <c r="AH8" s="515"/>
      <c r="AI8" s="515"/>
      <c r="AJ8" s="516"/>
      <c r="AK8" s="516"/>
    </row>
    <row r="9" spans="1:37" s="225" customFormat="1" ht="13.5" x14ac:dyDescent="0.25">
      <c r="A9" s="225" t="s">
        <v>798</v>
      </c>
      <c r="T9" s="219">
        <v>1</v>
      </c>
      <c r="U9" s="219">
        <v>3</v>
      </c>
      <c r="V9" s="219">
        <v>4</v>
      </c>
      <c r="W9" s="219">
        <v>2</v>
      </c>
      <c r="X9" s="219">
        <v>1</v>
      </c>
      <c r="Y9" s="219">
        <v>1</v>
      </c>
      <c r="Z9" s="219">
        <v>2</v>
      </c>
      <c r="AA9" s="219">
        <v>5</v>
      </c>
      <c r="AB9" s="219">
        <v>5</v>
      </c>
      <c r="AC9" s="219">
        <v>1</v>
      </c>
      <c r="AD9" s="219">
        <v>3</v>
      </c>
      <c r="AE9" s="219"/>
      <c r="AF9" s="219"/>
      <c r="AG9" s="219"/>
      <c r="AJ9" s="499"/>
      <c r="AK9" s="516"/>
    </row>
    <row r="10" spans="1:37" s="225" customFormat="1" ht="13.5" x14ac:dyDescent="0.25">
      <c r="A10" s="225" t="s">
        <v>799</v>
      </c>
      <c r="T10" s="219">
        <v>0</v>
      </c>
      <c r="U10" s="219">
        <v>3</v>
      </c>
      <c r="V10" s="219">
        <v>4</v>
      </c>
      <c r="W10" s="219">
        <v>0</v>
      </c>
      <c r="X10" s="219">
        <v>0</v>
      </c>
      <c r="Y10" s="219">
        <v>1</v>
      </c>
      <c r="Z10" s="219">
        <v>1</v>
      </c>
      <c r="AA10" s="219">
        <v>1</v>
      </c>
      <c r="AB10" s="219">
        <v>1</v>
      </c>
      <c r="AC10" s="219">
        <v>1</v>
      </c>
      <c r="AD10" s="219">
        <v>2</v>
      </c>
      <c r="AE10" s="219"/>
      <c r="AF10" s="517"/>
      <c r="AG10" s="517"/>
      <c r="AJ10" s="499"/>
      <c r="AK10" s="516"/>
    </row>
    <row r="11" spans="1:37" s="225" customFormat="1" ht="13.5" x14ac:dyDescent="0.25"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J11" s="499"/>
      <c r="AK11" s="516"/>
    </row>
    <row r="15" spans="1:37" x14ac:dyDescent="0.25">
      <c r="A15" t="s">
        <v>800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20BC-5B20-4A78-A585-68FE2A2BCF7C}">
  <sheetPr codeName="Feuil16"/>
  <dimension ref="A1:M2"/>
  <sheetViews>
    <sheetView showGridLines="0" zoomScaleNormal="100" workbookViewId="0">
      <selection activeCell="F3" sqref="F3"/>
    </sheetView>
  </sheetViews>
  <sheetFormatPr baseColWidth="10" defaultRowHeight="15" x14ac:dyDescent="0.25"/>
  <cols>
    <col min="1" max="1" width="24.140625" bestFit="1" customWidth="1"/>
    <col min="2" max="12" width="10.28515625" customWidth="1"/>
    <col min="13" max="13" width="11.7109375" customWidth="1"/>
  </cols>
  <sheetData>
    <row r="1" spans="1:13" s="225" customFormat="1" ht="13.5" x14ac:dyDescent="0.25">
      <c r="B1" s="495" t="s">
        <v>779</v>
      </c>
      <c r="C1" s="495" t="s">
        <v>780</v>
      </c>
      <c r="D1" s="495" t="s">
        <v>781</v>
      </c>
      <c r="E1" s="495" t="s">
        <v>782</v>
      </c>
      <c r="F1" s="495" t="s">
        <v>783</v>
      </c>
      <c r="G1" s="495" t="s">
        <v>784</v>
      </c>
      <c r="H1" s="495" t="s">
        <v>785</v>
      </c>
      <c r="I1" s="495" t="s">
        <v>786</v>
      </c>
      <c r="J1" s="495" t="s">
        <v>787</v>
      </c>
      <c r="K1" s="495" t="s">
        <v>788</v>
      </c>
      <c r="L1" s="495" t="s">
        <v>789</v>
      </c>
      <c r="M1" s="495" t="s">
        <v>790</v>
      </c>
    </row>
    <row r="2" spans="1:13" s="225" customFormat="1" ht="13.5" x14ac:dyDescent="0.25">
      <c r="A2" s="225" t="s">
        <v>801</v>
      </c>
      <c r="B2" s="518">
        <v>1432.36</v>
      </c>
      <c r="C2" s="518">
        <v>1869.48</v>
      </c>
      <c r="D2" s="518">
        <v>1011.11</v>
      </c>
      <c r="E2" s="518">
        <v>1205.7000000000003</v>
      </c>
      <c r="F2" s="518">
        <v>1818.38</v>
      </c>
      <c r="G2" s="518"/>
      <c r="H2" s="519"/>
      <c r="I2" s="519"/>
      <c r="J2" s="518"/>
      <c r="K2" s="518"/>
      <c r="L2" s="518"/>
      <c r="M2" s="51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03CF-F30D-48BE-9AE4-B42E800803B2}">
  <sheetPr codeName="Feuil17">
    <tabColor rgb="FF0070C0"/>
  </sheetPr>
  <dimension ref="B2:I68"/>
  <sheetViews>
    <sheetView showGridLines="0" zoomScale="90" zoomScaleNormal="90" workbookViewId="0">
      <selection activeCell="G32" sqref="G32"/>
    </sheetView>
  </sheetViews>
  <sheetFormatPr baseColWidth="10" defaultColWidth="11.42578125" defaultRowHeight="14.25" x14ac:dyDescent="0.2"/>
  <cols>
    <col min="1" max="1" width="11.42578125" style="396"/>
    <col min="2" max="2" width="18.140625" style="396" bestFit="1" customWidth="1"/>
    <col min="3" max="3" width="13.42578125" style="396" bestFit="1" customWidth="1"/>
    <col min="4" max="4" width="27.140625" style="396" bestFit="1" customWidth="1"/>
    <col min="5" max="5" width="24.5703125" style="395" bestFit="1" customWidth="1"/>
    <col min="6" max="16384" width="11.42578125" style="396"/>
  </cols>
  <sheetData>
    <row r="2" spans="2:9" ht="15" x14ac:dyDescent="0.25">
      <c r="B2" s="395" t="s">
        <v>957</v>
      </c>
      <c r="E2" s="1" t="s">
        <v>803</v>
      </c>
      <c r="F2" s="415"/>
      <c r="G2" s="415" t="s">
        <v>804</v>
      </c>
      <c r="H2" s="415"/>
      <c r="I2" s="520">
        <f>'[4]BILAN SOCIAL 2025'!$E$6</f>
        <v>45821</v>
      </c>
    </row>
    <row r="4" spans="2:9" ht="18" customHeight="1" x14ac:dyDescent="0.25">
      <c r="B4" s="532" t="s">
        <v>958</v>
      </c>
      <c r="C4" s="532" t="s">
        <v>959</v>
      </c>
      <c r="D4" s="532" t="s">
        <v>808</v>
      </c>
      <c r="E4" s="532" t="s">
        <v>960</v>
      </c>
      <c r="F4" s="532" t="s">
        <v>809</v>
      </c>
      <c r="G4" s="532" t="s">
        <v>961</v>
      </c>
      <c r="H4" s="532" t="s">
        <v>811</v>
      </c>
    </row>
    <row r="5" spans="2:9" s="393" customFormat="1" ht="29.25" x14ac:dyDescent="0.25">
      <c r="B5" s="528" t="s">
        <v>962</v>
      </c>
      <c r="C5" s="533" t="s">
        <v>963</v>
      </c>
      <c r="D5" s="534" t="s">
        <v>964</v>
      </c>
      <c r="E5" s="535" t="s">
        <v>965</v>
      </c>
      <c r="F5" s="536">
        <v>45659</v>
      </c>
      <c r="G5" s="536">
        <v>45660</v>
      </c>
      <c r="H5" s="380">
        <v>2</v>
      </c>
    </row>
    <row r="6" spans="2:9" s="393" customFormat="1" ht="15" x14ac:dyDescent="0.25">
      <c r="B6" s="528" t="s">
        <v>966</v>
      </c>
      <c r="C6" s="533" t="s">
        <v>967</v>
      </c>
      <c r="D6" s="380" t="s">
        <v>968</v>
      </c>
      <c r="E6" s="404" t="s">
        <v>965</v>
      </c>
      <c r="F6" s="536">
        <v>45672</v>
      </c>
      <c r="G6" s="536">
        <v>45672</v>
      </c>
      <c r="H6" s="380">
        <v>0.5</v>
      </c>
    </row>
    <row r="7" spans="2:9" s="393" customFormat="1" ht="29.25" x14ac:dyDescent="0.25">
      <c r="B7" s="528" t="s">
        <v>969</v>
      </c>
      <c r="C7" s="533" t="s">
        <v>970</v>
      </c>
      <c r="D7" s="534" t="s">
        <v>971</v>
      </c>
      <c r="E7" s="535" t="s">
        <v>965</v>
      </c>
      <c r="F7" s="536">
        <v>45674</v>
      </c>
      <c r="G7" s="536">
        <v>45674</v>
      </c>
      <c r="H7" s="380">
        <v>1</v>
      </c>
    </row>
    <row r="8" spans="2:9" s="393" customFormat="1" ht="29.25" x14ac:dyDescent="0.25">
      <c r="B8" s="528" t="s">
        <v>972</v>
      </c>
      <c r="C8" s="533" t="s">
        <v>973</v>
      </c>
      <c r="D8" s="534" t="s">
        <v>974</v>
      </c>
      <c r="E8" s="535" t="s">
        <v>965</v>
      </c>
      <c r="F8" s="536">
        <v>45660</v>
      </c>
      <c r="G8" s="536">
        <v>45670</v>
      </c>
      <c r="H8" s="380">
        <v>7</v>
      </c>
    </row>
    <row r="9" spans="2:9" s="393" customFormat="1" ht="29.25" x14ac:dyDescent="0.25">
      <c r="B9" s="528" t="s">
        <v>975</v>
      </c>
      <c r="C9" s="533" t="s">
        <v>976</v>
      </c>
      <c r="D9" s="534" t="s">
        <v>977</v>
      </c>
      <c r="E9" s="535" t="s">
        <v>965</v>
      </c>
      <c r="F9" s="536">
        <v>45659</v>
      </c>
      <c r="G9" s="536">
        <v>45660</v>
      </c>
      <c r="H9" s="380">
        <v>2</v>
      </c>
    </row>
    <row r="10" spans="2:9" s="393" customFormat="1" ht="29.25" x14ac:dyDescent="0.25">
      <c r="B10" s="528" t="s">
        <v>978</v>
      </c>
      <c r="C10" s="533" t="s">
        <v>856</v>
      </c>
      <c r="D10" s="534" t="s">
        <v>857</v>
      </c>
      <c r="E10" s="535" t="s">
        <v>965</v>
      </c>
      <c r="F10" s="536">
        <v>45671</v>
      </c>
      <c r="G10" s="536">
        <v>45671</v>
      </c>
      <c r="H10" s="380">
        <v>0.5</v>
      </c>
    </row>
    <row r="11" spans="2:9" s="393" customFormat="1" ht="29.25" x14ac:dyDescent="0.25">
      <c r="B11" s="528" t="s">
        <v>979</v>
      </c>
      <c r="C11" s="533" t="s">
        <v>980</v>
      </c>
      <c r="D11" s="534" t="s">
        <v>981</v>
      </c>
      <c r="E11" s="535" t="s">
        <v>965</v>
      </c>
      <c r="F11" s="536">
        <v>45666</v>
      </c>
      <c r="G11" s="536">
        <v>45666</v>
      </c>
      <c r="H11" s="380">
        <v>0.5</v>
      </c>
    </row>
    <row r="12" spans="2:9" s="393" customFormat="1" ht="29.25" x14ac:dyDescent="0.25">
      <c r="B12" s="528">
        <v>5</v>
      </c>
      <c r="C12" s="533" t="s">
        <v>908</v>
      </c>
      <c r="D12" s="534" t="s">
        <v>909</v>
      </c>
      <c r="E12" s="535" t="s">
        <v>965</v>
      </c>
      <c r="F12" s="536">
        <v>45715</v>
      </c>
      <c r="G12" s="536">
        <v>45715</v>
      </c>
      <c r="H12" s="380">
        <v>1</v>
      </c>
    </row>
    <row r="13" spans="2:9" s="393" customFormat="1" ht="29.25" x14ac:dyDescent="0.25">
      <c r="B13" s="528">
        <v>24</v>
      </c>
      <c r="C13" s="533" t="s">
        <v>963</v>
      </c>
      <c r="D13" s="534" t="s">
        <v>982</v>
      </c>
      <c r="E13" s="535" t="s">
        <v>965</v>
      </c>
      <c r="F13" s="536">
        <v>45694</v>
      </c>
      <c r="G13" s="536">
        <v>45695</v>
      </c>
      <c r="H13" s="380">
        <v>2</v>
      </c>
    </row>
    <row r="14" spans="2:9" s="393" customFormat="1" ht="29.25" x14ac:dyDescent="0.25">
      <c r="B14" s="528">
        <v>261</v>
      </c>
      <c r="C14" s="533" t="s">
        <v>983</v>
      </c>
      <c r="D14" s="534" t="s">
        <v>984</v>
      </c>
      <c r="E14" s="535" t="s">
        <v>965</v>
      </c>
      <c r="F14" s="536">
        <v>45700</v>
      </c>
      <c r="G14" s="536">
        <v>45700</v>
      </c>
      <c r="H14" s="380">
        <v>1</v>
      </c>
    </row>
    <row r="15" spans="2:9" s="393" customFormat="1" ht="29.25" x14ac:dyDescent="0.25">
      <c r="B15" s="528">
        <v>300</v>
      </c>
      <c r="C15" s="533" t="s">
        <v>970</v>
      </c>
      <c r="D15" s="534" t="s">
        <v>971</v>
      </c>
      <c r="E15" s="535" t="s">
        <v>965</v>
      </c>
      <c r="F15" s="536">
        <v>45699</v>
      </c>
      <c r="G15" s="536">
        <v>45699</v>
      </c>
      <c r="H15" s="380">
        <v>1</v>
      </c>
    </row>
    <row r="16" spans="2:9" s="393" customFormat="1" ht="29.25" x14ac:dyDescent="0.25">
      <c r="B16" s="528">
        <v>305</v>
      </c>
      <c r="C16" s="533" t="s">
        <v>985</v>
      </c>
      <c r="D16" s="534" t="s">
        <v>986</v>
      </c>
      <c r="E16" s="535" t="s">
        <v>965</v>
      </c>
      <c r="F16" s="536">
        <v>45695</v>
      </c>
      <c r="G16" s="536">
        <v>45695</v>
      </c>
      <c r="H16" s="380">
        <v>0.5</v>
      </c>
    </row>
    <row r="17" spans="2:8" s="393" customFormat="1" ht="29.25" x14ac:dyDescent="0.25">
      <c r="B17" s="528">
        <v>324</v>
      </c>
      <c r="C17" s="533" t="s">
        <v>835</v>
      </c>
      <c r="D17" s="534" t="s">
        <v>836</v>
      </c>
      <c r="E17" s="535" t="s">
        <v>965</v>
      </c>
      <c r="F17" s="536">
        <v>45713</v>
      </c>
      <c r="G17" s="536">
        <v>45714</v>
      </c>
      <c r="H17" s="380">
        <v>1</v>
      </c>
    </row>
    <row r="18" spans="2:8" s="393" customFormat="1" ht="29.25" x14ac:dyDescent="0.25">
      <c r="B18" s="528">
        <v>388</v>
      </c>
      <c r="C18" s="533" t="s">
        <v>860</v>
      </c>
      <c r="D18" s="534" t="s">
        <v>861</v>
      </c>
      <c r="E18" s="535" t="s">
        <v>965</v>
      </c>
      <c r="F18" s="536">
        <v>45698</v>
      </c>
      <c r="G18" s="536">
        <v>45698</v>
      </c>
      <c r="H18" s="380">
        <v>1</v>
      </c>
    </row>
    <row r="19" spans="2:8" s="393" customFormat="1" ht="29.25" x14ac:dyDescent="0.25">
      <c r="B19" s="528" t="s">
        <v>951</v>
      </c>
      <c r="C19" s="533" t="s">
        <v>952</v>
      </c>
      <c r="D19" s="534" t="s">
        <v>953</v>
      </c>
      <c r="E19" s="535" t="s">
        <v>965</v>
      </c>
      <c r="F19" s="536">
        <v>45743</v>
      </c>
      <c r="G19" s="536">
        <v>45744</v>
      </c>
      <c r="H19" s="380">
        <v>2</v>
      </c>
    </row>
    <row r="20" spans="2:8" s="393" customFormat="1" ht="29.25" x14ac:dyDescent="0.25">
      <c r="B20" s="528" t="s">
        <v>834</v>
      </c>
      <c r="C20" s="533" t="s">
        <v>835</v>
      </c>
      <c r="D20" s="534" t="s">
        <v>836</v>
      </c>
      <c r="E20" s="535" t="s">
        <v>965</v>
      </c>
      <c r="F20" s="536">
        <v>45733</v>
      </c>
      <c r="G20" s="536">
        <v>45734</v>
      </c>
      <c r="H20" s="380">
        <v>2</v>
      </c>
    </row>
    <row r="21" spans="2:8" s="393" customFormat="1" ht="29.25" x14ac:dyDescent="0.25">
      <c r="B21" s="528" t="s">
        <v>932</v>
      </c>
      <c r="C21" s="533" t="s">
        <v>862</v>
      </c>
      <c r="D21" s="534" t="s">
        <v>863</v>
      </c>
      <c r="E21" s="535" t="s">
        <v>965</v>
      </c>
      <c r="F21" s="536">
        <v>45719</v>
      </c>
      <c r="G21" s="536">
        <v>45720</v>
      </c>
      <c r="H21" s="380">
        <v>2</v>
      </c>
    </row>
    <row r="22" spans="2:8" s="393" customFormat="1" ht="29.25" x14ac:dyDescent="0.25">
      <c r="B22" s="528" t="s">
        <v>987</v>
      </c>
      <c r="C22" s="533" t="s">
        <v>988</v>
      </c>
      <c r="D22" s="534" t="s">
        <v>989</v>
      </c>
      <c r="E22" s="535" t="s">
        <v>965</v>
      </c>
      <c r="F22" s="536">
        <v>45755</v>
      </c>
      <c r="G22" s="536">
        <v>45763</v>
      </c>
      <c r="H22" s="380">
        <v>7</v>
      </c>
    </row>
    <row r="23" spans="2:8" s="393" customFormat="1" ht="29.25" x14ac:dyDescent="0.25">
      <c r="B23" s="528" t="s">
        <v>969</v>
      </c>
      <c r="C23" s="533" t="s">
        <v>970</v>
      </c>
      <c r="D23" s="534" t="s">
        <v>971</v>
      </c>
      <c r="E23" s="535" t="s">
        <v>965</v>
      </c>
      <c r="F23" s="536">
        <v>45758</v>
      </c>
      <c r="G23" s="536">
        <v>45758</v>
      </c>
      <c r="H23" s="380">
        <v>0.5</v>
      </c>
    </row>
    <row r="24" spans="2:8" s="393" customFormat="1" ht="29.25" x14ac:dyDescent="0.25">
      <c r="B24" s="528" t="s">
        <v>834</v>
      </c>
      <c r="C24" s="533" t="s">
        <v>835</v>
      </c>
      <c r="D24" s="534" t="s">
        <v>836</v>
      </c>
      <c r="E24" s="535" t="s">
        <v>965</v>
      </c>
      <c r="F24" s="536">
        <v>45761</v>
      </c>
      <c r="G24" s="536">
        <v>45762</v>
      </c>
      <c r="H24" s="380">
        <v>2</v>
      </c>
    </row>
    <row r="25" spans="2:8" s="393" customFormat="1" ht="29.25" x14ac:dyDescent="0.25">
      <c r="B25" s="528" t="s">
        <v>837</v>
      </c>
      <c r="C25" s="533" t="s">
        <v>838</v>
      </c>
      <c r="D25" s="534" t="s">
        <v>839</v>
      </c>
      <c r="E25" s="535" t="s">
        <v>965</v>
      </c>
      <c r="F25" s="536">
        <v>45756</v>
      </c>
      <c r="G25" s="536">
        <v>45758</v>
      </c>
      <c r="H25" s="380">
        <v>3</v>
      </c>
    </row>
    <row r="26" spans="2:8" s="393" customFormat="1" ht="29.25" x14ac:dyDescent="0.25">
      <c r="B26" s="528" t="s">
        <v>837</v>
      </c>
      <c r="C26" s="533" t="s">
        <v>838</v>
      </c>
      <c r="D26" s="534" t="s">
        <v>839</v>
      </c>
      <c r="E26" s="535" t="s">
        <v>965</v>
      </c>
      <c r="F26" s="536">
        <v>45763</v>
      </c>
      <c r="G26" s="536">
        <v>45765</v>
      </c>
      <c r="H26" s="380">
        <v>3</v>
      </c>
    </row>
    <row r="27" spans="2:8" s="393" customFormat="1" ht="29.25" x14ac:dyDescent="0.25">
      <c r="B27" s="528" t="s">
        <v>837</v>
      </c>
      <c r="C27" s="533" t="s">
        <v>838</v>
      </c>
      <c r="D27" s="534" t="s">
        <v>839</v>
      </c>
      <c r="E27" s="535" t="s">
        <v>965</v>
      </c>
      <c r="F27" s="536">
        <v>45769</v>
      </c>
      <c r="G27" s="536">
        <v>45770</v>
      </c>
      <c r="H27" s="380">
        <v>1</v>
      </c>
    </row>
    <row r="28" spans="2:8" s="393" customFormat="1" ht="29.25" x14ac:dyDescent="0.25">
      <c r="B28" s="528" t="s">
        <v>915</v>
      </c>
      <c r="C28" s="533" t="s">
        <v>916</v>
      </c>
      <c r="D28" s="534" t="s">
        <v>917</v>
      </c>
      <c r="E28" s="535" t="s">
        <v>965</v>
      </c>
      <c r="F28" s="536">
        <v>45778</v>
      </c>
      <c r="G28" s="536">
        <v>45783</v>
      </c>
      <c r="H28" s="380">
        <v>3</v>
      </c>
    </row>
    <row r="29" spans="2:8" s="393" customFormat="1" ht="29.25" x14ac:dyDescent="0.25">
      <c r="B29" s="528" t="s">
        <v>990</v>
      </c>
      <c r="C29" s="533" t="s">
        <v>991</v>
      </c>
      <c r="D29" s="534" t="s">
        <v>992</v>
      </c>
      <c r="E29" s="535" t="s">
        <v>965</v>
      </c>
      <c r="F29" s="536">
        <v>45778</v>
      </c>
      <c r="G29" s="536">
        <v>45785</v>
      </c>
      <c r="H29" s="380">
        <v>4</v>
      </c>
    </row>
    <row r="30" spans="2:8" s="393" customFormat="1" ht="29.25" x14ac:dyDescent="0.25">
      <c r="B30" s="528" t="s">
        <v>834</v>
      </c>
      <c r="C30" s="533" t="s">
        <v>835</v>
      </c>
      <c r="D30" s="534" t="s">
        <v>836</v>
      </c>
      <c r="E30" s="535" t="s">
        <v>965</v>
      </c>
      <c r="F30" s="536">
        <v>45789</v>
      </c>
      <c r="G30" s="536">
        <v>45790</v>
      </c>
      <c r="H30" s="380">
        <v>2</v>
      </c>
    </row>
    <row r="31" spans="2:8" s="393" customFormat="1" ht="29.25" x14ac:dyDescent="0.25">
      <c r="B31" s="528" t="s">
        <v>993</v>
      </c>
      <c r="C31" s="533" t="s">
        <v>994</v>
      </c>
      <c r="D31" s="534" t="s">
        <v>995</v>
      </c>
      <c r="E31" s="535" t="s">
        <v>965</v>
      </c>
      <c r="F31" s="536">
        <v>45803</v>
      </c>
      <c r="G31" s="536">
        <v>45805</v>
      </c>
      <c r="H31" s="380">
        <v>3</v>
      </c>
    </row>
    <row r="32" spans="2:8" s="393" customFormat="1" ht="15" x14ac:dyDescent="0.25">
      <c r="B32" s="528"/>
      <c r="C32" s="533"/>
      <c r="D32" s="534"/>
      <c r="E32" s="535"/>
      <c r="F32" s="536"/>
      <c r="G32" s="536"/>
      <c r="H32" s="380"/>
    </row>
    <row r="33" spans="2:8" s="393" customFormat="1" ht="15" x14ac:dyDescent="0.25">
      <c r="B33" s="528"/>
      <c r="C33" s="533"/>
      <c r="D33" s="534"/>
      <c r="E33" s="535"/>
      <c r="F33" s="536"/>
      <c r="G33" s="536"/>
      <c r="H33" s="380"/>
    </row>
    <row r="34" spans="2:8" s="393" customFormat="1" ht="15" x14ac:dyDescent="0.25">
      <c r="B34" s="528"/>
      <c r="C34" s="533"/>
      <c r="D34" s="534"/>
      <c r="E34" s="535"/>
      <c r="F34" s="536"/>
      <c r="G34" s="536"/>
      <c r="H34" s="380"/>
    </row>
    <row r="35" spans="2:8" s="393" customFormat="1" ht="15" x14ac:dyDescent="0.25">
      <c r="B35" s="528"/>
      <c r="C35" s="533"/>
      <c r="D35" s="534"/>
      <c r="E35" s="535"/>
      <c r="F35" s="536"/>
      <c r="G35" s="536"/>
      <c r="H35" s="380"/>
    </row>
    <row r="36" spans="2:8" s="393" customFormat="1" ht="15" x14ac:dyDescent="0.25">
      <c r="B36" s="528"/>
      <c r="C36" s="533"/>
      <c r="D36" s="534"/>
      <c r="E36" s="535"/>
      <c r="F36" s="536"/>
      <c r="G36" s="536"/>
      <c r="H36" s="380"/>
    </row>
    <row r="37" spans="2:8" s="393" customFormat="1" ht="15" x14ac:dyDescent="0.25">
      <c r="B37" s="528"/>
      <c r="C37" s="533"/>
      <c r="D37" s="534"/>
      <c r="E37" s="535"/>
      <c r="F37" s="536"/>
      <c r="G37" s="536"/>
      <c r="H37" s="380"/>
    </row>
    <row r="38" spans="2:8" s="393" customFormat="1" ht="15" x14ac:dyDescent="0.25">
      <c r="B38" s="528"/>
      <c r="C38" s="533"/>
      <c r="D38" s="534"/>
      <c r="E38" s="535"/>
      <c r="F38" s="536"/>
      <c r="G38" s="536"/>
      <c r="H38" s="380"/>
    </row>
    <row r="39" spans="2:8" s="393" customFormat="1" ht="15" x14ac:dyDescent="0.25">
      <c r="B39" s="528"/>
      <c r="C39" s="533"/>
      <c r="D39" s="534"/>
      <c r="E39" s="535"/>
      <c r="F39" s="536"/>
      <c r="G39" s="536"/>
      <c r="H39" s="380"/>
    </row>
    <row r="40" spans="2:8" s="393" customFormat="1" ht="15" x14ac:dyDescent="0.25">
      <c r="B40" s="528"/>
      <c r="C40" s="533"/>
      <c r="D40" s="534"/>
      <c r="E40" s="535"/>
      <c r="F40" s="536"/>
      <c r="G40" s="536"/>
      <c r="H40" s="380"/>
    </row>
    <row r="41" spans="2:8" s="393" customFormat="1" ht="15" x14ac:dyDescent="0.25">
      <c r="B41" s="528"/>
      <c r="C41" s="533"/>
      <c r="D41" s="534"/>
      <c r="E41" s="535"/>
      <c r="F41" s="536"/>
      <c r="G41" s="536"/>
      <c r="H41" s="380"/>
    </row>
    <row r="42" spans="2:8" s="393" customFormat="1" ht="15" x14ac:dyDescent="0.25">
      <c r="B42" s="528"/>
      <c r="C42" s="533"/>
      <c r="D42" s="534"/>
      <c r="E42" s="535"/>
      <c r="F42" s="536"/>
      <c r="G42" s="536"/>
      <c r="H42" s="380"/>
    </row>
    <row r="43" spans="2:8" s="393" customFormat="1" ht="15" x14ac:dyDescent="0.25">
      <c r="B43" s="528"/>
      <c r="C43" s="533"/>
      <c r="D43" s="534"/>
      <c r="E43" s="535"/>
      <c r="F43" s="536"/>
      <c r="G43" s="536"/>
      <c r="H43" s="380"/>
    </row>
    <row r="44" spans="2:8" s="393" customFormat="1" ht="15" x14ac:dyDescent="0.25">
      <c r="B44" s="528"/>
      <c r="C44" s="533"/>
      <c r="D44" s="534"/>
      <c r="E44" s="535"/>
      <c r="F44" s="536"/>
      <c r="G44" s="536"/>
      <c r="H44" s="380"/>
    </row>
    <row r="45" spans="2:8" s="393" customFormat="1" ht="15" x14ac:dyDescent="0.25">
      <c r="B45" s="528"/>
      <c r="C45" s="533"/>
      <c r="D45" s="534"/>
      <c r="E45" s="535"/>
      <c r="F45" s="536"/>
      <c r="G45" s="536"/>
      <c r="H45" s="380"/>
    </row>
    <row r="46" spans="2:8" s="393" customFormat="1" ht="15" x14ac:dyDescent="0.25">
      <c r="B46" s="528"/>
      <c r="C46" s="533"/>
      <c r="D46" s="534"/>
      <c r="E46" s="535"/>
      <c r="F46" s="536"/>
      <c r="G46" s="536"/>
      <c r="H46" s="380"/>
    </row>
    <row r="47" spans="2:8" s="393" customFormat="1" ht="15" x14ac:dyDescent="0.25">
      <c r="B47" s="528"/>
      <c r="C47" s="533"/>
      <c r="D47" s="534"/>
      <c r="E47" s="535"/>
      <c r="F47" s="536"/>
      <c r="G47" s="536"/>
      <c r="H47" s="380"/>
    </row>
    <row r="48" spans="2:8" s="393" customFormat="1" ht="15" x14ac:dyDescent="0.25">
      <c r="B48" s="528"/>
      <c r="C48" s="533"/>
      <c r="D48" s="534"/>
      <c r="E48" s="535"/>
      <c r="F48" s="536"/>
      <c r="G48" s="536"/>
      <c r="H48" s="380"/>
    </row>
    <row r="49" spans="2:8" s="393" customFormat="1" ht="15" x14ac:dyDescent="0.25">
      <c r="B49" s="528"/>
      <c r="C49" s="533"/>
      <c r="D49" s="534"/>
      <c r="E49" s="535"/>
      <c r="F49" s="536"/>
      <c r="G49" s="536"/>
      <c r="H49" s="380"/>
    </row>
    <row r="50" spans="2:8" s="393" customFormat="1" ht="15" x14ac:dyDescent="0.25">
      <c r="B50" s="528"/>
      <c r="C50" s="533"/>
      <c r="D50" s="534"/>
      <c r="E50" s="535"/>
      <c r="F50" s="536"/>
      <c r="G50" s="536"/>
      <c r="H50" s="380"/>
    </row>
    <row r="51" spans="2:8" s="393" customFormat="1" ht="15" x14ac:dyDescent="0.25">
      <c r="B51" s="528"/>
      <c r="C51" s="533"/>
      <c r="D51" s="534"/>
      <c r="E51" s="535"/>
      <c r="F51" s="536"/>
      <c r="G51" s="536"/>
      <c r="H51" s="380"/>
    </row>
    <row r="52" spans="2:8" s="393" customFormat="1" ht="15" x14ac:dyDescent="0.25">
      <c r="B52" s="528"/>
      <c r="C52" s="533"/>
      <c r="D52" s="534"/>
      <c r="E52" s="535"/>
      <c r="F52" s="536"/>
      <c r="G52" s="536"/>
      <c r="H52" s="380"/>
    </row>
    <row r="53" spans="2:8" s="393" customFormat="1" ht="15" x14ac:dyDescent="0.25">
      <c r="B53" s="528"/>
      <c r="C53" s="533"/>
      <c r="D53" s="534"/>
      <c r="E53" s="535"/>
      <c r="F53" s="536"/>
      <c r="G53" s="536"/>
      <c r="H53" s="380"/>
    </row>
    <row r="54" spans="2:8" s="393" customFormat="1" ht="15" x14ac:dyDescent="0.25">
      <c r="B54" s="528"/>
      <c r="C54" s="533"/>
      <c r="D54" s="534"/>
      <c r="E54" s="535"/>
      <c r="F54" s="536"/>
      <c r="G54" s="536"/>
      <c r="H54" s="380"/>
    </row>
    <row r="55" spans="2:8" s="393" customFormat="1" ht="15" x14ac:dyDescent="0.25">
      <c r="B55" s="528"/>
      <c r="C55" s="533"/>
      <c r="D55" s="534"/>
      <c r="E55" s="535"/>
      <c r="F55" s="536"/>
      <c r="G55" s="536"/>
      <c r="H55" s="380"/>
    </row>
    <row r="56" spans="2:8" s="393" customFormat="1" ht="15" x14ac:dyDescent="0.25">
      <c r="B56" s="528"/>
      <c r="C56" s="533"/>
      <c r="D56" s="534"/>
      <c r="E56" s="535"/>
      <c r="F56" s="536"/>
      <c r="G56" s="536"/>
      <c r="H56" s="380"/>
    </row>
    <row r="57" spans="2:8" s="393" customFormat="1" ht="15" x14ac:dyDescent="0.25">
      <c r="B57" s="528"/>
      <c r="C57" s="533"/>
      <c r="D57" s="534"/>
      <c r="E57" s="535"/>
      <c r="F57" s="536"/>
      <c r="G57" s="536"/>
      <c r="H57" s="380"/>
    </row>
    <row r="58" spans="2:8" s="393" customFormat="1" ht="15" x14ac:dyDescent="0.25">
      <c r="B58" s="528"/>
      <c r="C58" s="533"/>
      <c r="D58" s="534"/>
      <c r="E58" s="535"/>
      <c r="F58" s="536"/>
      <c r="G58" s="536"/>
      <c r="H58" s="380"/>
    </row>
    <row r="59" spans="2:8" s="393" customFormat="1" ht="15" x14ac:dyDescent="0.25">
      <c r="B59" s="528"/>
      <c r="C59" s="533"/>
      <c r="D59" s="534"/>
      <c r="E59" s="535"/>
      <c r="F59" s="536"/>
      <c r="G59" s="536"/>
      <c r="H59" s="380"/>
    </row>
    <row r="60" spans="2:8" s="393" customFormat="1" ht="15" x14ac:dyDescent="0.25">
      <c r="B60" s="528"/>
      <c r="C60" s="533"/>
      <c r="D60" s="534"/>
      <c r="E60" s="535"/>
      <c r="F60" s="536"/>
      <c r="G60" s="536"/>
      <c r="H60" s="380"/>
    </row>
    <row r="61" spans="2:8" s="393" customFormat="1" ht="15" x14ac:dyDescent="0.25">
      <c r="B61" s="528"/>
      <c r="C61" s="533"/>
      <c r="D61" s="534"/>
      <c r="E61" s="535"/>
      <c r="F61" s="536"/>
      <c r="G61" s="536"/>
      <c r="H61" s="380"/>
    </row>
    <row r="62" spans="2:8" s="393" customFormat="1" ht="15" x14ac:dyDescent="0.25">
      <c r="B62" s="528"/>
      <c r="C62" s="533"/>
      <c r="D62" s="534"/>
      <c r="E62" s="535"/>
      <c r="F62" s="536"/>
      <c r="G62" s="536"/>
      <c r="H62" s="380"/>
    </row>
    <row r="63" spans="2:8" s="393" customFormat="1" ht="15" x14ac:dyDescent="0.25">
      <c r="B63" s="528"/>
      <c r="C63" s="533"/>
      <c r="D63" s="534"/>
      <c r="E63" s="535"/>
      <c r="F63" s="536"/>
      <c r="G63" s="536"/>
      <c r="H63" s="380"/>
    </row>
    <row r="64" spans="2:8" s="393" customFormat="1" ht="15" x14ac:dyDescent="0.25">
      <c r="B64" s="528"/>
      <c r="C64" s="533"/>
      <c r="D64" s="534"/>
      <c r="E64" s="535"/>
      <c r="F64" s="536"/>
      <c r="G64" s="536"/>
      <c r="H64" s="380"/>
    </row>
    <row r="65" spans="2:8" s="393" customFormat="1" ht="15" x14ac:dyDescent="0.25">
      <c r="B65" s="528"/>
      <c r="C65" s="533"/>
      <c r="D65" s="534"/>
      <c r="E65" s="535"/>
      <c r="F65" s="536"/>
      <c r="G65" s="536"/>
      <c r="H65" s="380"/>
    </row>
    <row r="66" spans="2:8" s="393" customFormat="1" ht="15" x14ac:dyDescent="0.25">
      <c r="B66" s="528"/>
      <c r="C66" s="533"/>
      <c r="D66" s="534"/>
      <c r="E66" s="535"/>
      <c r="F66" s="536"/>
      <c r="G66" s="536"/>
      <c r="H66" s="380"/>
    </row>
    <row r="67" spans="2:8" s="393" customFormat="1" ht="15" x14ac:dyDescent="0.25">
      <c r="B67" s="528"/>
      <c r="C67" s="533"/>
      <c r="D67" s="534"/>
      <c r="E67" s="535"/>
      <c r="F67" s="536"/>
      <c r="G67" s="536"/>
      <c r="H67" s="380"/>
    </row>
    <row r="68" spans="2:8" s="393" customFormat="1" ht="15" x14ac:dyDescent="0.25">
      <c r="B68" s="528"/>
      <c r="C68" s="533"/>
      <c r="D68" s="534"/>
      <c r="E68" s="535"/>
      <c r="F68" s="536"/>
      <c r="G68" s="536"/>
      <c r="H68" s="380"/>
    </row>
  </sheetData>
  <autoFilter ref="B4:E49" xr:uid="{00000000-0009-0000-0000-000004000000}">
    <sortState xmlns:xlrd2="http://schemas.microsoft.com/office/spreadsheetml/2017/richdata2" ref="B5:E49">
      <sortCondition ref="C4:C49"/>
    </sortState>
  </autoFilter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AFC7-4E31-4A7E-8F46-816BE99A9C75}">
  <sheetPr codeName="Feuil19">
    <tabColor theme="9"/>
  </sheetPr>
  <dimension ref="B2:G22"/>
  <sheetViews>
    <sheetView showGridLines="0" zoomScale="90" zoomScaleNormal="90" workbookViewId="0">
      <selection activeCell="B5" sqref="B5"/>
    </sheetView>
  </sheetViews>
  <sheetFormatPr baseColWidth="10" defaultRowHeight="15" x14ac:dyDescent="0.25"/>
  <cols>
    <col min="2" max="2" width="26.85546875" style="393" bestFit="1" customWidth="1"/>
    <col min="3" max="3" width="37.140625" style="393" customWidth="1"/>
    <col min="4" max="4" width="30.140625" bestFit="1" customWidth="1"/>
    <col min="5" max="5" width="23.7109375" bestFit="1" customWidth="1"/>
    <col min="6" max="6" width="20.7109375" bestFit="1" customWidth="1"/>
    <col min="7" max="7" width="21.28515625" bestFit="1" customWidth="1"/>
  </cols>
  <sheetData>
    <row r="2" spans="2:7" x14ac:dyDescent="0.25">
      <c r="B2" s="415" t="s">
        <v>996</v>
      </c>
      <c r="C2" s="415"/>
      <c r="D2" s="1" t="s">
        <v>803</v>
      </c>
      <c r="E2" s="415" t="s">
        <v>804</v>
      </c>
      <c r="F2" s="520">
        <f>'[4]BILAN SOCIAL 2025'!$E$6</f>
        <v>45821</v>
      </c>
    </row>
    <row r="3" spans="2:7" ht="15.75" thickBot="1" x14ac:dyDescent="0.3">
      <c r="B3" s="415"/>
      <c r="C3" s="415"/>
      <c r="D3" s="1"/>
    </row>
    <row r="4" spans="2:7" ht="15.75" thickBot="1" x14ac:dyDescent="0.3">
      <c r="B4" s="537">
        <f>SUBTOTAL(3,B7:B22)</f>
        <v>16</v>
      </c>
    </row>
    <row r="5" spans="2:7" ht="15.75" thickBot="1" x14ac:dyDescent="0.3">
      <c r="B5" s="538"/>
    </row>
    <row r="6" spans="2:7" ht="15.75" thickBot="1" x14ac:dyDescent="0.3">
      <c r="B6" s="539" t="s">
        <v>959</v>
      </c>
      <c r="C6" s="539" t="s">
        <v>997</v>
      </c>
      <c r="D6" s="539" t="s">
        <v>998</v>
      </c>
      <c r="E6" s="539" t="s">
        <v>998</v>
      </c>
      <c r="F6" s="539" t="s">
        <v>999</v>
      </c>
      <c r="G6" s="539" t="s">
        <v>1000</v>
      </c>
    </row>
    <row r="7" spans="2:7" x14ac:dyDescent="0.25">
      <c r="B7" s="540" t="s">
        <v>1001</v>
      </c>
      <c r="C7" s="540" t="s">
        <v>1002</v>
      </c>
      <c r="D7" s="540" t="s">
        <v>1003</v>
      </c>
      <c r="E7" s="541" t="s">
        <v>1004</v>
      </c>
      <c r="F7" s="541">
        <v>45580</v>
      </c>
      <c r="G7" s="541">
        <v>45943</v>
      </c>
    </row>
    <row r="8" spans="2:7" x14ac:dyDescent="0.25">
      <c r="B8" s="404" t="s">
        <v>1005</v>
      </c>
      <c r="C8" s="404" t="s">
        <v>1006</v>
      </c>
      <c r="D8" s="404" t="s">
        <v>1007</v>
      </c>
      <c r="E8" s="541" t="s">
        <v>1008</v>
      </c>
      <c r="F8" s="541">
        <v>45628</v>
      </c>
      <c r="G8" s="541">
        <v>45809</v>
      </c>
    </row>
    <row r="9" spans="2:7" x14ac:dyDescent="0.25">
      <c r="B9" s="404" t="s">
        <v>1009</v>
      </c>
      <c r="C9" s="404" t="s">
        <v>1010</v>
      </c>
      <c r="D9" s="404" t="s">
        <v>1011</v>
      </c>
      <c r="E9" s="541" t="s">
        <v>1012</v>
      </c>
      <c r="F9" s="541">
        <v>45639</v>
      </c>
      <c r="G9" s="541">
        <v>45820</v>
      </c>
    </row>
    <row r="10" spans="2:7" x14ac:dyDescent="0.25">
      <c r="B10" s="404" t="s">
        <v>1013</v>
      </c>
      <c r="C10" s="404" t="s">
        <v>1014</v>
      </c>
      <c r="D10" s="404" t="s">
        <v>1015</v>
      </c>
      <c r="E10" s="541" t="s">
        <v>1016</v>
      </c>
      <c r="F10" s="541">
        <v>45643</v>
      </c>
      <c r="G10" s="541">
        <v>45732</v>
      </c>
    </row>
    <row r="11" spans="2:7" x14ac:dyDescent="0.25">
      <c r="B11" s="404" t="s">
        <v>1017</v>
      </c>
      <c r="C11" s="404" t="s">
        <v>1018</v>
      </c>
      <c r="D11" s="404" t="s">
        <v>1019</v>
      </c>
      <c r="E11" s="541" t="s">
        <v>1020</v>
      </c>
      <c r="F11" s="541">
        <v>45649</v>
      </c>
      <c r="G11" s="541">
        <v>45830</v>
      </c>
    </row>
    <row r="12" spans="2:7" x14ac:dyDescent="0.25">
      <c r="B12" s="404" t="s">
        <v>1021</v>
      </c>
      <c r="C12" s="404" t="s">
        <v>1022</v>
      </c>
      <c r="D12" s="404" t="s">
        <v>1023</v>
      </c>
      <c r="E12" s="541" t="s">
        <v>1024</v>
      </c>
      <c r="F12" s="541">
        <v>45653</v>
      </c>
      <c r="G12" s="541">
        <v>45834</v>
      </c>
    </row>
    <row r="13" spans="2:7" x14ac:dyDescent="0.25">
      <c r="B13" s="404" t="s">
        <v>1025</v>
      </c>
      <c r="C13" s="404" t="s">
        <v>1026</v>
      </c>
      <c r="D13" s="404" t="s">
        <v>1027</v>
      </c>
      <c r="E13" s="541" t="s">
        <v>1028</v>
      </c>
      <c r="F13" s="541">
        <v>45664</v>
      </c>
      <c r="G13" s="541">
        <v>45844</v>
      </c>
    </row>
    <row r="14" spans="2:7" x14ac:dyDescent="0.25">
      <c r="B14" s="404" t="s">
        <v>1029</v>
      </c>
      <c r="C14" s="404" t="s">
        <v>1030</v>
      </c>
      <c r="D14" s="404" t="s">
        <v>1031</v>
      </c>
      <c r="E14" s="541" t="s">
        <v>1032</v>
      </c>
      <c r="F14" s="541">
        <v>45698</v>
      </c>
      <c r="G14" s="541">
        <v>45786</v>
      </c>
    </row>
    <row r="15" spans="2:7" x14ac:dyDescent="0.25">
      <c r="B15" s="404" t="s">
        <v>1033</v>
      </c>
      <c r="C15" s="404" t="s">
        <v>1034</v>
      </c>
      <c r="D15" s="404" t="s">
        <v>1035</v>
      </c>
      <c r="E15" s="541" t="s">
        <v>1036</v>
      </c>
      <c r="F15" s="541">
        <v>45726</v>
      </c>
      <c r="G15" s="541">
        <v>45817</v>
      </c>
    </row>
    <row r="16" spans="2:7" x14ac:dyDescent="0.25">
      <c r="B16" s="404" t="s">
        <v>1037</v>
      </c>
      <c r="C16" s="404" t="s">
        <v>1038</v>
      </c>
      <c r="D16" s="404" t="s">
        <v>1039</v>
      </c>
      <c r="E16" s="541" t="s">
        <v>1040</v>
      </c>
      <c r="F16" s="541">
        <v>45733</v>
      </c>
      <c r="G16" s="541">
        <v>45916</v>
      </c>
    </row>
    <row r="17" spans="2:7" x14ac:dyDescent="0.25">
      <c r="B17" s="404" t="s">
        <v>1041</v>
      </c>
      <c r="C17" s="404" t="s">
        <v>1042</v>
      </c>
      <c r="D17" s="404" t="s">
        <v>1043</v>
      </c>
      <c r="E17" s="541" t="s">
        <v>1040</v>
      </c>
      <c r="F17" s="541">
        <v>45733</v>
      </c>
      <c r="G17" s="541">
        <v>45824</v>
      </c>
    </row>
    <row r="18" spans="2:7" x14ac:dyDescent="0.25">
      <c r="B18" s="404" t="s">
        <v>1044</v>
      </c>
      <c r="C18" s="404" t="s">
        <v>1045</v>
      </c>
      <c r="D18" s="404" t="s">
        <v>1046</v>
      </c>
      <c r="E18" s="541" t="s">
        <v>1047</v>
      </c>
      <c r="F18" s="541">
        <v>45740</v>
      </c>
      <c r="G18" s="541">
        <v>45831</v>
      </c>
    </row>
    <row r="19" spans="2:7" x14ac:dyDescent="0.25">
      <c r="B19" s="404" t="s">
        <v>1048</v>
      </c>
      <c r="C19" s="404" t="s">
        <v>1049</v>
      </c>
      <c r="D19" s="404"/>
      <c r="E19" s="541"/>
      <c r="F19" s="541"/>
      <c r="G19" s="541"/>
    </row>
    <row r="20" spans="2:7" x14ac:dyDescent="0.25">
      <c r="B20" s="404" t="s">
        <v>1050</v>
      </c>
      <c r="C20" s="404" t="s">
        <v>1051</v>
      </c>
      <c r="D20" s="404" t="s">
        <v>1052</v>
      </c>
      <c r="E20" s="541" t="s">
        <v>1053</v>
      </c>
      <c r="F20" s="541">
        <v>45771</v>
      </c>
      <c r="G20" s="541">
        <v>45861</v>
      </c>
    </row>
    <row r="21" spans="2:7" x14ac:dyDescent="0.25">
      <c r="B21" s="404" t="s">
        <v>920</v>
      </c>
      <c r="C21" s="404" t="s">
        <v>1054</v>
      </c>
      <c r="D21" s="404" t="s">
        <v>1055</v>
      </c>
      <c r="E21" s="541" t="s">
        <v>1056</v>
      </c>
      <c r="F21" s="541">
        <v>45771</v>
      </c>
      <c r="G21" s="541">
        <v>45892</v>
      </c>
    </row>
    <row r="22" spans="2:7" x14ac:dyDescent="0.25">
      <c r="B22" s="404" t="s">
        <v>1057</v>
      </c>
      <c r="C22" s="404" t="s">
        <v>1058</v>
      </c>
      <c r="D22" s="404" t="s">
        <v>1059</v>
      </c>
      <c r="E22" s="541" t="s">
        <v>1060</v>
      </c>
      <c r="F22" s="541">
        <v>45775</v>
      </c>
      <c r="G22" s="541">
        <v>45957</v>
      </c>
    </row>
  </sheetData>
  <autoFilter ref="B6:G12" xr:uid="{00000000-0009-0000-0000-000007000000}">
    <sortState xmlns:xlrd2="http://schemas.microsoft.com/office/spreadsheetml/2017/richdata2" ref="B7:G8">
      <sortCondition ref="F6:F8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8DB6-E527-472E-8A34-10E8ACE10A4D}">
  <sheetPr codeName="Feuil1">
    <tabColor rgb="FF00B050"/>
  </sheetPr>
  <dimension ref="B2:J630"/>
  <sheetViews>
    <sheetView showGridLines="0" zoomScale="90" zoomScaleNormal="90" workbookViewId="0">
      <selection activeCell="F54" sqref="F54"/>
    </sheetView>
  </sheetViews>
  <sheetFormatPr baseColWidth="10" defaultColWidth="11.42578125" defaultRowHeight="14.25" x14ac:dyDescent="0.2"/>
  <cols>
    <col min="1" max="1" width="11.42578125" style="398"/>
    <col min="2" max="2" width="14" style="396" bestFit="1" customWidth="1"/>
    <col min="3" max="3" width="16.85546875" style="396" bestFit="1" customWidth="1"/>
    <col min="4" max="4" width="18.28515625" style="531" bestFit="1" customWidth="1"/>
    <col min="5" max="5" width="28.7109375" style="396" bestFit="1" customWidth="1"/>
    <col min="6" max="6" width="18.140625" style="396" bestFit="1" customWidth="1"/>
    <col min="7" max="16384" width="11.42578125" style="398"/>
  </cols>
  <sheetData>
    <row r="2" spans="2:9" ht="15" x14ac:dyDescent="0.25">
      <c r="C2" s="523" t="s">
        <v>806</v>
      </c>
      <c r="D2" s="524"/>
      <c r="E2" s="1" t="s">
        <v>803</v>
      </c>
      <c r="F2" s="415"/>
      <c r="G2" s="415" t="s">
        <v>804</v>
      </c>
      <c r="H2" s="415"/>
      <c r="I2" s="520">
        <f>'[4]BILAN SOCIAL 2025'!$E$6</f>
        <v>45821</v>
      </c>
    </row>
    <row r="4" spans="2:9" ht="15" x14ac:dyDescent="0.25">
      <c r="B4" s="525" t="s">
        <v>401</v>
      </c>
      <c r="C4" s="526" t="s">
        <v>807</v>
      </c>
      <c r="D4" s="527" t="s">
        <v>808</v>
      </c>
      <c r="E4" s="526" t="s">
        <v>405</v>
      </c>
      <c r="F4" s="422" t="s">
        <v>809</v>
      </c>
      <c r="G4" s="422" t="s">
        <v>810</v>
      </c>
      <c r="H4" s="422" t="s">
        <v>811</v>
      </c>
    </row>
    <row r="5" spans="2:9" ht="14.25" customHeight="1" x14ac:dyDescent="0.2">
      <c r="B5" s="528" t="s">
        <v>812</v>
      </c>
      <c r="C5" s="404" t="s">
        <v>813</v>
      </c>
      <c r="D5" s="404" t="s">
        <v>814</v>
      </c>
      <c r="E5" s="380" t="s">
        <v>815</v>
      </c>
      <c r="F5" s="405">
        <v>45678</v>
      </c>
      <c r="G5" s="405">
        <v>45680</v>
      </c>
      <c r="H5" s="529">
        <v>3</v>
      </c>
    </row>
    <row r="6" spans="2:9" ht="14.25" customHeight="1" x14ac:dyDescent="0.2">
      <c r="B6" s="528" t="s">
        <v>816</v>
      </c>
      <c r="C6" s="404" t="s">
        <v>817</v>
      </c>
      <c r="D6" s="404" t="s">
        <v>818</v>
      </c>
      <c r="E6" s="380" t="s">
        <v>815</v>
      </c>
      <c r="F6" s="405">
        <v>45661</v>
      </c>
      <c r="G6" s="405">
        <v>45663</v>
      </c>
      <c r="H6" s="529">
        <v>3</v>
      </c>
    </row>
    <row r="7" spans="2:9" ht="14.25" customHeight="1" x14ac:dyDescent="0.2">
      <c r="B7" s="528" t="s">
        <v>819</v>
      </c>
      <c r="C7" s="404" t="s">
        <v>820</v>
      </c>
      <c r="D7" s="404" t="s">
        <v>821</v>
      </c>
      <c r="E7" s="380" t="s">
        <v>822</v>
      </c>
      <c r="F7" s="405">
        <v>45666</v>
      </c>
      <c r="G7" s="405">
        <v>45668</v>
      </c>
      <c r="H7" s="529">
        <v>3</v>
      </c>
    </row>
    <row r="8" spans="2:9" ht="14.25" customHeight="1" x14ac:dyDescent="0.2">
      <c r="B8" s="528" t="s">
        <v>823</v>
      </c>
      <c r="C8" s="404" t="s">
        <v>824</v>
      </c>
      <c r="D8" s="404" t="s">
        <v>825</v>
      </c>
      <c r="E8" s="380" t="s">
        <v>822</v>
      </c>
      <c r="F8" s="405">
        <v>45671</v>
      </c>
      <c r="G8" s="405">
        <v>45672</v>
      </c>
      <c r="H8" s="529">
        <v>2</v>
      </c>
    </row>
    <row r="9" spans="2:9" ht="14.25" customHeight="1" x14ac:dyDescent="0.2">
      <c r="B9" s="528" t="s">
        <v>826</v>
      </c>
      <c r="C9" s="404" t="s">
        <v>827</v>
      </c>
      <c r="D9" s="404" t="s">
        <v>828</v>
      </c>
      <c r="E9" s="380" t="s">
        <v>822</v>
      </c>
      <c r="F9" s="405">
        <v>45659</v>
      </c>
      <c r="G9" s="405">
        <v>45661</v>
      </c>
      <c r="H9" s="529">
        <v>3</v>
      </c>
    </row>
    <row r="10" spans="2:9" ht="14.25" customHeight="1" x14ac:dyDescent="0.2">
      <c r="B10" s="528" t="s">
        <v>829</v>
      </c>
      <c r="C10" s="404" t="s">
        <v>830</v>
      </c>
      <c r="D10" s="404" t="s">
        <v>831</v>
      </c>
      <c r="E10" s="380" t="s">
        <v>822</v>
      </c>
      <c r="F10" s="405">
        <v>45670</v>
      </c>
      <c r="G10" s="405">
        <v>45670</v>
      </c>
      <c r="H10" s="529">
        <v>1</v>
      </c>
    </row>
    <row r="11" spans="2:9" ht="14.25" customHeight="1" x14ac:dyDescent="0.2">
      <c r="B11" s="528" t="s">
        <v>832</v>
      </c>
      <c r="C11" s="404" t="s">
        <v>651</v>
      </c>
      <c r="D11" s="404" t="s">
        <v>833</v>
      </c>
      <c r="E11" s="380" t="s">
        <v>822</v>
      </c>
      <c r="F11" s="405">
        <v>45659</v>
      </c>
      <c r="G11" s="405">
        <v>45660</v>
      </c>
      <c r="H11" s="529">
        <v>2</v>
      </c>
    </row>
    <row r="12" spans="2:9" ht="14.25" customHeight="1" x14ac:dyDescent="0.2">
      <c r="B12" s="528" t="s">
        <v>834</v>
      </c>
      <c r="C12" s="404" t="s">
        <v>835</v>
      </c>
      <c r="D12" s="404" t="s">
        <v>836</v>
      </c>
      <c r="E12" s="380" t="s">
        <v>822</v>
      </c>
      <c r="F12" s="405">
        <v>45657</v>
      </c>
      <c r="G12" s="405">
        <v>45658</v>
      </c>
      <c r="H12" s="529">
        <v>2</v>
      </c>
    </row>
    <row r="13" spans="2:9" ht="14.25" customHeight="1" x14ac:dyDescent="0.2">
      <c r="B13" s="528" t="s">
        <v>837</v>
      </c>
      <c r="C13" s="404" t="s">
        <v>838</v>
      </c>
      <c r="D13" s="404" t="s">
        <v>839</v>
      </c>
      <c r="E13" s="380" t="s">
        <v>822</v>
      </c>
      <c r="F13" s="405">
        <v>45670</v>
      </c>
      <c r="G13" s="405">
        <v>45671</v>
      </c>
      <c r="H13" s="529">
        <v>2</v>
      </c>
    </row>
    <row r="14" spans="2:9" ht="14.25" customHeight="1" x14ac:dyDescent="0.2">
      <c r="B14" s="528" t="s">
        <v>840</v>
      </c>
      <c r="C14" s="404" t="s">
        <v>841</v>
      </c>
      <c r="D14" s="404" t="s">
        <v>842</v>
      </c>
      <c r="E14" s="380" t="s">
        <v>822</v>
      </c>
      <c r="F14" s="405">
        <v>45705</v>
      </c>
      <c r="G14" s="405">
        <v>45705</v>
      </c>
      <c r="H14" s="529">
        <v>1</v>
      </c>
    </row>
    <row r="15" spans="2:9" ht="14.25" customHeight="1" x14ac:dyDescent="0.2">
      <c r="B15" s="528" t="s">
        <v>843</v>
      </c>
      <c r="C15" s="404" t="s">
        <v>844</v>
      </c>
      <c r="D15" s="404" t="s">
        <v>845</v>
      </c>
      <c r="E15" s="380" t="s">
        <v>822</v>
      </c>
      <c r="F15" s="405">
        <v>45706</v>
      </c>
      <c r="G15" s="405">
        <v>45706</v>
      </c>
      <c r="H15" s="529">
        <v>1</v>
      </c>
    </row>
    <row r="16" spans="2:9" ht="14.25" customHeight="1" x14ac:dyDescent="0.2">
      <c r="B16" s="528">
        <v>65</v>
      </c>
      <c r="C16" s="404" t="s">
        <v>846</v>
      </c>
      <c r="D16" s="404" t="s">
        <v>847</v>
      </c>
      <c r="E16" s="380" t="s">
        <v>822</v>
      </c>
      <c r="F16" s="405">
        <v>45695</v>
      </c>
      <c r="G16" s="405">
        <v>45695</v>
      </c>
      <c r="H16" s="529">
        <v>1</v>
      </c>
    </row>
    <row r="17" spans="2:8" ht="14.25" customHeight="1" x14ac:dyDescent="0.2">
      <c r="B17" s="528">
        <v>92</v>
      </c>
      <c r="C17" s="404" t="s">
        <v>848</v>
      </c>
      <c r="D17" s="404" t="s">
        <v>849</v>
      </c>
      <c r="E17" s="380" t="s">
        <v>822</v>
      </c>
      <c r="F17" s="405">
        <v>45713</v>
      </c>
      <c r="G17" s="405">
        <v>45713</v>
      </c>
      <c r="H17" s="529">
        <v>1</v>
      </c>
    </row>
    <row r="18" spans="2:8" x14ac:dyDescent="0.2">
      <c r="B18" s="528">
        <v>186</v>
      </c>
      <c r="C18" s="404" t="s">
        <v>850</v>
      </c>
      <c r="D18" s="404" t="s">
        <v>851</v>
      </c>
      <c r="E18" s="380" t="s">
        <v>822</v>
      </c>
      <c r="F18" s="405">
        <v>45691</v>
      </c>
      <c r="G18" s="405">
        <v>45693</v>
      </c>
      <c r="H18" s="529">
        <v>3</v>
      </c>
    </row>
    <row r="19" spans="2:8" x14ac:dyDescent="0.2">
      <c r="B19" s="528">
        <v>275</v>
      </c>
      <c r="C19" s="404" t="s">
        <v>852</v>
      </c>
      <c r="D19" s="404" t="s">
        <v>853</v>
      </c>
      <c r="E19" s="380" t="s">
        <v>822</v>
      </c>
      <c r="F19" s="405">
        <v>45694</v>
      </c>
      <c r="G19" s="405">
        <v>45695</v>
      </c>
      <c r="H19" s="529">
        <v>2</v>
      </c>
    </row>
    <row r="20" spans="2:8" ht="14.25" customHeight="1" x14ac:dyDescent="0.2">
      <c r="B20" s="528">
        <v>275</v>
      </c>
      <c r="C20" s="404" t="s">
        <v>852</v>
      </c>
      <c r="D20" s="404" t="s">
        <v>853</v>
      </c>
      <c r="E20" s="380" t="s">
        <v>822</v>
      </c>
      <c r="F20" s="405">
        <v>45712</v>
      </c>
      <c r="G20" s="405">
        <v>45712</v>
      </c>
      <c r="H20" s="529">
        <v>1</v>
      </c>
    </row>
    <row r="21" spans="2:8" x14ac:dyDescent="0.2">
      <c r="B21" s="528">
        <v>325</v>
      </c>
      <c r="C21" s="404" t="s">
        <v>854</v>
      </c>
      <c r="D21" s="404" t="s">
        <v>855</v>
      </c>
      <c r="E21" s="380" t="s">
        <v>822</v>
      </c>
      <c r="F21" s="405">
        <v>45707</v>
      </c>
      <c r="G21" s="405">
        <v>45710</v>
      </c>
      <c r="H21" s="529">
        <v>4</v>
      </c>
    </row>
    <row r="22" spans="2:8" x14ac:dyDescent="0.2">
      <c r="B22" s="528">
        <v>356</v>
      </c>
      <c r="C22" s="404" t="s">
        <v>856</v>
      </c>
      <c r="D22" s="404" t="s">
        <v>857</v>
      </c>
      <c r="E22" s="380" t="s">
        <v>822</v>
      </c>
      <c r="F22" s="405">
        <v>45693</v>
      </c>
      <c r="G22" s="405">
        <v>45693</v>
      </c>
      <c r="H22" s="529">
        <v>1</v>
      </c>
    </row>
    <row r="23" spans="2:8" ht="14.25" customHeight="1" x14ac:dyDescent="0.2">
      <c r="B23" s="528">
        <v>361</v>
      </c>
      <c r="C23" s="404" t="s">
        <v>858</v>
      </c>
      <c r="D23" s="404" t="s">
        <v>859</v>
      </c>
      <c r="E23" s="380" t="s">
        <v>822</v>
      </c>
      <c r="F23" s="405">
        <v>45689</v>
      </c>
      <c r="G23" s="405">
        <v>45692</v>
      </c>
      <c r="H23" s="529">
        <v>4</v>
      </c>
    </row>
    <row r="24" spans="2:8" x14ac:dyDescent="0.2">
      <c r="B24" s="528">
        <v>388</v>
      </c>
      <c r="C24" s="404" t="s">
        <v>860</v>
      </c>
      <c r="D24" s="404" t="s">
        <v>861</v>
      </c>
      <c r="E24" s="380" t="s">
        <v>822</v>
      </c>
      <c r="F24" s="405">
        <v>45705</v>
      </c>
      <c r="G24" s="405">
        <v>45705</v>
      </c>
      <c r="H24" s="529">
        <v>1</v>
      </c>
    </row>
    <row r="25" spans="2:8" x14ac:dyDescent="0.2">
      <c r="B25" s="528">
        <v>420</v>
      </c>
      <c r="C25" s="404" t="s">
        <v>862</v>
      </c>
      <c r="D25" s="404" t="s">
        <v>863</v>
      </c>
      <c r="E25" s="380" t="s">
        <v>822</v>
      </c>
      <c r="F25" s="405">
        <v>45712</v>
      </c>
      <c r="G25" s="405">
        <v>45712</v>
      </c>
      <c r="H25" s="529">
        <v>1</v>
      </c>
    </row>
    <row r="26" spans="2:8" ht="14.25" customHeight="1" x14ac:dyDescent="0.2">
      <c r="B26" s="528" t="s">
        <v>864</v>
      </c>
      <c r="C26" s="404" t="s">
        <v>865</v>
      </c>
      <c r="D26" s="404" t="s">
        <v>866</v>
      </c>
      <c r="E26" s="380" t="s">
        <v>822</v>
      </c>
      <c r="F26" s="405">
        <v>45720</v>
      </c>
      <c r="G26" s="405">
        <v>45720</v>
      </c>
      <c r="H26" s="529">
        <v>1</v>
      </c>
    </row>
    <row r="27" spans="2:8" x14ac:dyDescent="0.2">
      <c r="B27" s="528" t="s">
        <v>867</v>
      </c>
      <c r="C27" s="404" t="s">
        <v>653</v>
      </c>
      <c r="D27" s="404" t="s">
        <v>868</v>
      </c>
      <c r="E27" s="380" t="s">
        <v>822</v>
      </c>
      <c r="F27" s="405">
        <v>45722</v>
      </c>
      <c r="G27" s="405">
        <v>45723</v>
      </c>
      <c r="H27" s="529">
        <v>2</v>
      </c>
    </row>
    <row r="28" spans="2:8" ht="14.25" customHeight="1" x14ac:dyDescent="0.2">
      <c r="B28" s="528" t="s">
        <v>869</v>
      </c>
      <c r="C28" s="404" t="s">
        <v>870</v>
      </c>
      <c r="D28" s="404" t="s">
        <v>871</v>
      </c>
      <c r="E28" s="380" t="s">
        <v>822</v>
      </c>
      <c r="F28" s="405">
        <v>45728</v>
      </c>
      <c r="G28" s="405">
        <v>45729</v>
      </c>
      <c r="H28" s="529">
        <v>2</v>
      </c>
    </row>
    <row r="29" spans="2:8" x14ac:dyDescent="0.2">
      <c r="B29" s="528" t="s">
        <v>872</v>
      </c>
      <c r="C29" s="404" t="s">
        <v>873</v>
      </c>
      <c r="D29" s="404" t="s">
        <v>874</v>
      </c>
      <c r="E29" s="380" t="s">
        <v>822</v>
      </c>
      <c r="F29" s="405">
        <v>45727</v>
      </c>
      <c r="G29" s="405">
        <v>45729</v>
      </c>
      <c r="H29" s="529">
        <v>3</v>
      </c>
    </row>
    <row r="30" spans="2:8" x14ac:dyDescent="0.2">
      <c r="B30" s="528" t="s">
        <v>875</v>
      </c>
      <c r="C30" s="404" t="s">
        <v>629</v>
      </c>
      <c r="D30" s="404" t="s">
        <v>876</v>
      </c>
      <c r="E30" s="380" t="s">
        <v>822</v>
      </c>
      <c r="F30" s="405">
        <v>45726</v>
      </c>
      <c r="G30" s="405">
        <v>45726</v>
      </c>
      <c r="H30" s="529">
        <v>1</v>
      </c>
    </row>
    <row r="31" spans="2:8" x14ac:dyDescent="0.2">
      <c r="B31" s="528" t="s">
        <v>877</v>
      </c>
      <c r="C31" s="404" t="s">
        <v>878</v>
      </c>
      <c r="D31" s="404" t="s">
        <v>879</v>
      </c>
      <c r="E31" s="380" t="s">
        <v>822</v>
      </c>
      <c r="F31" s="405">
        <v>45733</v>
      </c>
      <c r="G31" s="405">
        <v>45733</v>
      </c>
      <c r="H31" s="529">
        <v>1</v>
      </c>
    </row>
    <row r="32" spans="2:8" x14ac:dyDescent="0.2">
      <c r="B32" s="528" t="s">
        <v>880</v>
      </c>
      <c r="C32" s="404" t="s">
        <v>881</v>
      </c>
      <c r="D32" s="404" t="s">
        <v>882</v>
      </c>
      <c r="E32" s="380" t="s">
        <v>822</v>
      </c>
      <c r="F32" s="405">
        <v>45719</v>
      </c>
      <c r="G32" s="405">
        <v>45721</v>
      </c>
      <c r="H32" s="529">
        <v>3</v>
      </c>
    </row>
    <row r="33" spans="2:8" ht="14.25" customHeight="1" x14ac:dyDescent="0.2">
      <c r="B33" s="528" t="s">
        <v>883</v>
      </c>
      <c r="C33" s="404" t="s">
        <v>884</v>
      </c>
      <c r="D33" s="404" t="s">
        <v>885</v>
      </c>
      <c r="E33" s="380" t="s">
        <v>822</v>
      </c>
      <c r="F33" s="405">
        <v>45733</v>
      </c>
      <c r="G33" s="405">
        <v>45733</v>
      </c>
      <c r="H33" s="529">
        <v>1</v>
      </c>
    </row>
    <row r="34" spans="2:8" ht="14.25" customHeight="1" x14ac:dyDescent="0.2">
      <c r="B34" s="528" t="s">
        <v>886</v>
      </c>
      <c r="C34" s="404" t="s">
        <v>887</v>
      </c>
      <c r="D34" s="404" t="s">
        <v>888</v>
      </c>
      <c r="E34" s="380" t="s">
        <v>822</v>
      </c>
      <c r="F34" s="405">
        <v>45722</v>
      </c>
      <c r="G34" s="405">
        <v>45722</v>
      </c>
      <c r="H34" s="529">
        <v>1</v>
      </c>
    </row>
    <row r="35" spans="2:8" ht="14.25" customHeight="1" x14ac:dyDescent="0.2">
      <c r="B35" s="528" t="s">
        <v>886</v>
      </c>
      <c r="C35" s="404" t="s">
        <v>887</v>
      </c>
      <c r="D35" s="404" t="s">
        <v>888</v>
      </c>
      <c r="E35" s="380" t="s">
        <v>822</v>
      </c>
      <c r="F35" s="405">
        <v>45729</v>
      </c>
      <c r="G35" s="405">
        <v>45729</v>
      </c>
      <c r="H35" s="529">
        <v>1</v>
      </c>
    </row>
    <row r="36" spans="2:8" ht="14.25" customHeight="1" x14ac:dyDescent="0.2">
      <c r="B36" s="528" t="s">
        <v>886</v>
      </c>
      <c r="C36" s="404" t="s">
        <v>887</v>
      </c>
      <c r="D36" s="404" t="s">
        <v>888</v>
      </c>
      <c r="E36" s="380" t="s">
        <v>822</v>
      </c>
      <c r="F36" s="405">
        <v>45736</v>
      </c>
      <c r="G36" s="405">
        <v>45736</v>
      </c>
      <c r="H36" s="529">
        <v>1</v>
      </c>
    </row>
    <row r="37" spans="2:8" x14ac:dyDescent="0.2">
      <c r="B37" s="528" t="s">
        <v>886</v>
      </c>
      <c r="C37" s="404" t="s">
        <v>887</v>
      </c>
      <c r="D37" s="404" t="s">
        <v>888</v>
      </c>
      <c r="E37" s="380" t="s">
        <v>822</v>
      </c>
      <c r="F37" s="405">
        <v>45743</v>
      </c>
      <c r="G37" s="405">
        <v>45743</v>
      </c>
      <c r="H37" s="529">
        <v>1</v>
      </c>
    </row>
    <row r="38" spans="2:8" x14ac:dyDescent="0.2">
      <c r="B38" s="528" t="s">
        <v>826</v>
      </c>
      <c r="C38" s="404" t="s">
        <v>827</v>
      </c>
      <c r="D38" s="404" t="s">
        <v>828</v>
      </c>
      <c r="E38" s="380" t="s">
        <v>822</v>
      </c>
      <c r="F38" s="405">
        <v>45719</v>
      </c>
      <c r="G38" s="405">
        <v>45719</v>
      </c>
      <c r="H38" s="529">
        <v>1</v>
      </c>
    </row>
    <row r="39" spans="2:8" ht="14.25" customHeight="1" x14ac:dyDescent="0.2">
      <c r="B39" s="528" t="s">
        <v>826</v>
      </c>
      <c r="C39" s="404" t="s">
        <v>827</v>
      </c>
      <c r="D39" s="404" t="s">
        <v>828</v>
      </c>
      <c r="E39" s="380" t="s">
        <v>822</v>
      </c>
      <c r="F39" s="405">
        <v>45725</v>
      </c>
      <c r="G39" s="405">
        <v>45727</v>
      </c>
      <c r="H39" s="529">
        <v>3</v>
      </c>
    </row>
    <row r="40" spans="2:8" x14ac:dyDescent="0.2">
      <c r="B40" s="528" t="s">
        <v>889</v>
      </c>
      <c r="C40" s="404" t="s">
        <v>890</v>
      </c>
      <c r="D40" s="404" t="s">
        <v>891</v>
      </c>
      <c r="E40" s="380" t="s">
        <v>822</v>
      </c>
      <c r="F40" s="405">
        <v>45733</v>
      </c>
      <c r="G40" s="405">
        <v>45734</v>
      </c>
      <c r="H40" s="529">
        <v>2</v>
      </c>
    </row>
    <row r="41" spans="2:8" x14ac:dyDescent="0.2">
      <c r="B41" s="528" t="s">
        <v>892</v>
      </c>
      <c r="C41" s="404" t="s">
        <v>893</v>
      </c>
      <c r="D41" s="404" t="s">
        <v>894</v>
      </c>
      <c r="E41" s="380" t="s">
        <v>822</v>
      </c>
      <c r="F41" s="405">
        <v>45724</v>
      </c>
      <c r="G41" s="405">
        <v>45724</v>
      </c>
      <c r="H41" s="529">
        <v>1</v>
      </c>
    </row>
    <row r="42" spans="2:8" ht="14.25" customHeight="1" x14ac:dyDescent="0.2">
      <c r="B42" s="528" t="s">
        <v>895</v>
      </c>
      <c r="C42" s="404" t="s">
        <v>896</v>
      </c>
      <c r="D42" s="404" t="s">
        <v>897</v>
      </c>
      <c r="E42" s="380" t="s">
        <v>822</v>
      </c>
      <c r="F42" s="405">
        <v>45720</v>
      </c>
      <c r="G42" s="405">
        <v>45721</v>
      </c>
      <c r="H42" s="529">
        <v>2</v>
      </c>
    </row>
    <row r="43" spans="2:8" x14ac:dyDescent="0.2">
      <c r="B43" s="528" t="s">
        <v>898</v>
      </c>
      <c r="C43" s="404" t="s">
        <v>899</v>
      </c>
      <c r="D43" s="404" t="s">
        <v>900</v>
      </c>
      <c r="E43" s="380" t="s">
        <v>815</v>
      </c>
      <c r="F43" s="405">
        <v>45734</v>
      </c>
      <c r="G43" s="405">
        <v>45741</v>
      </c>
      <c r="H43" s="529">
        <v>8</v>
      </c>
    </row>
    <row r="44" spans="2:8" x14ac:dyDescent="0.2">
      <c r="B44" s="528" t="s">
        <v>901</v>
      </c>
      <c r="C44" s="404" t="s">
        <v>902</v>
      </c>
      <c r="D44" s="404" t="s">
        <v>903</v>
      </c>
      <c r="E44" s="380" t="s">
        <v>822</v>
      </c>
      <c r="F44" s="405">
        <v>45731</v>
      </c>
      <c r="G44" s="405">
        <v>45733</v>
      </c>
      <c r="H44" s="529">
        <v>3</v>
      </c>
    </row>
    <row r="45" spans="2:8" ht="14.25" customHeight="1" x14ac:dyDescent="0.2">
      <c r="B45" s="528" t="s">
        <v>904</v>
      </c>
      <c r="C45" s="404" t="s">
        <v>905</v>
      </c>
      <c r="D45" s="404" t="s">
        <v>906</v>
      </c>
      <c r="E45" s="380" t="s">
        <v>822</v>
      </c>
      <c r="F45" s="405">
        <v>45723</v>
      </c>
      <c r="G45" s="405">
        <v>45729</v>
      </c>
      <c r="H45" s="529">
        <v>7</v>
      </c>
    </row>
    <row r="46" spans="2:8" ht="14.25" customHeight="1" x14ac:dyDescent="0.2">
      <c r="B46" s="528" t="s">
        <v>904</v>
      </c>
      <c r="C46" s="404" t="s">
        <v>905</v>
      </c>
      <c r="D46" s="404" t="s">
        <v>906</v>
      </c>
      <c r="E46" s="380" t="s">
        <v>822</v>
      </c>
      <c r="F46" s="405">
        <v>45733</v>
      </c>
      <c r="G46" s="405">
        <v>45739</v>
      </c>
      <c r="H46" s="529">
        <v>7</v>
      </c>
    </row>
    <row r="47" spans="2:8" ht="14.25" customHeight="1" x14ac:dyDescent="0.2">
      <c r="B47" s="528" t="s">
        <v>907</v>
      </c>
      <c r="C47" s="380" t="s">
        <v>908</v>
      </c>
      <c r="D47" s="404" t="s">
        <v>909</v>
      </c>
      <c r="E47" s="380" t="s">
        <v>822</v>
      </c>
      <c r="F47" s="405">
        <v>45761</v>
      </c>
      <c r="G47" s="405">
        <v>45763</v>
      </c>
      <c r="H47" s="529">
        <v>3</v>
      </c>
    </row>
    <row r="48" spans="2:8" ht="14.25" customHeight="1" x14ac:dyDescent="0.2">
      <c r="B48" s="528" t="s">
        <v>812</v>
      </c>
      <c r="C48" s="380" t="s">
        <v>813</v>
      </c>
      <c r="D48" s="404" t="s">
        <v>814</v>
      </c>
      <c r="E48" s="380" t="s">
        <v>815</v>
      </c>
      <c r="F48" s="405">
        <v>45746</v>
      </c>
      <c r="G48" s="405">
        <v>45769</v>
      </c>
      <c r="H48" s="529">
        <v>24</v>
      </c>
    </row>
    <row r="49" spans="2:8" ht="14.25" customHeight="1" x14ac:dyDescent="0.2">
      <c r="B49" s="528" t="s">
        <v>910</v>
      </c>
      <c r="C49" s="380" t="s">
        <v>911</v>
      </c>
      <c r="D49" s="404" t="s">
        <v>912</v>
      </c>
      <c r="E49" s="380" t="s">
        <v>822</v>
      </c>
      <c r="F49" s="405">
        <v>45761</v>
      </c>
      <c r="G49" s="405">
        <v>45761</v>
      </c>
      <c r="H49" s="529">
        <v>0.5</v>
      </c>
    </row>
    <row r="50" spans="2:8" ht="14.25" customHeight="1" x14ac:dyDescent="0.2">
      <c r="B50" s="528" t="s">
        <v>913</v>
      </c>
      <c r="C50" s="380" t="s">
        <v>848</v>
      </c>
      <c r="D50" s="404" t="s">
        <v>914</v>
      </c>
      <c r="E50" s="380" t="s">
        <v>822</v>
      </c>
      <c r="F50" s="405">
        <v>45756</v>
      </c>
      <c r="G50" s="405">
        <v>45756</v>
      </c>
      <c r="H50" s="529">
        <v>1</v>
      </c>
    </row>
    <row r="51" spans="2:8" ht="14.25" customHeight="1" x14ac:dyDescent="0.2">
      <c r="B51" s="528" t="s">
        <v>875</v>
      </c>
      <c r="C51" s="380" t="s">
        <v>629</v>
      </c>
      <c r="D51" s="404" t="s">
        <v>876</v>
      </c>
      <c r="E51" s="380" t="s">
        <v>822</v>
      </c>
      <c r="F51" s="405">
        <v>45756</v>
      </c>
      <c r="G51" s="405">
        <v>45756</v>
      </c>
      <c r="H51" s="529">
        <v>1</v>
      </c>
    </row>
    <row r="52" spans="2:8" ht="14.25" customHeight="1" x14ac:dyDescent="0.2">
      <c r="B52" s="528" t="s">
        <v>886</v>
      </c>
      <c r="C52" s="380" t="s">
        <v>887</v>
      </c>
      <c r="D52" s="404" t="s">
        <v>888</v>
      </c>
      <c r="E52" s="380" t="s">
        <v>822</v>
      </c>
      <c r="F52" s="405">
        <v>45750</v>
      </c>
      <c r="G52" s="405">
        <v>45750</v>
      </c>
      <c r="H52" s="529">
        <v>1</v>
      </c>
    </row>
    <row r="53" spans="2:8" ht="14.25" customHeight="1" x14ac:dyDescent="0.2">
      <c r="B53" s="528" t="s">
        <v>886</v>
      </c>
      <c r="C53" s="380" t="s">
        <v>887</v>
      </c>
      <c r="D53" s="404" t="s">
        <v>888</v>
      </c>
      <c r="E53" s="380" t="s">
        <v>822</v>
      </c>
      <c r="F53" s="405">
        <v>45764</v>
      </c>
      <c r="G53" s="405">
        <v>45764</v>
      </c>
      <c r="H53" s="529">
        <v>1</v>
      </c>
    </row>
    <row r="54" spans="2:8" ht="14.25" customHeight="1" x14ac:dyDescent="0.2">
      <c r="B54" s="528" t="s">
        <v>886</v>
      </c>
      <c r="C54" s="380" t="s">
        <v>887</v>
      </c>
      <c r="D54" s="404" t="s">
        <v>888</v>
      </c>
      <c r="E54" s="380" t="s">
        <v>822</v>
      </c>
      <c r="F54" s="405">
        <v>45771</v>
      </c>
      <c r="G54" s="405">
        <v>45771</v>
      </c>
      <c r="H54" s="529">
        <v>1</v>
      </c>
    </row>
    <row r="55" spans="2:8" ht="14.25" customHeight="1" x14ac:dyDescent="0.2">
      <c r="B55" s="528" t="s">
        <v>826</v>
      </c>
      <c r="C55" s="380" t="s">
        <v>827</v>
      </c>
      <c r="D55" s="404" t="s">
        <v>828</v>
      </c>
      <c r="E55" s="380" t="s">
        <v>822</v>
      </c>
      <c r="F55" s="405">
        <v>45740</v>
      </c>
      <c r="G55" s="405">
        <v>45769</v>
      </c>
      <c r="H55" s="529">
        <v>30</v>
      </c>
    </row>
    <row r="56" spans="2:8" ht="14.25" customHeight="1" x14ac:dyDescent="0.2">
      <c r="B56" s="528" t="s">
        <v>915</v>
      </c>
      <c r="C56" s="380" t="s">
        <v>916</v>
      </c>
      <c r="D56" s="404" t="s">
        <v>917</v>
      </c>
      <c r="E56" s="380" t="s">
        <v>822</v>
      </c>
      <c r="F56" s="405">
        <v>45757</v>
      </c>
      <c r="G56" s="405">
        <v>45758</v>
      </c>
      <c r="H56" s="529">
        <v>2</v>
      </c>
    </row>
    <row r="57" spans="2:8" ht="14.25" customHeight="1" x14ac:dyDescent="0.2">
      <c r="B57" s="528" t="s">
        <v>918</v>
      </c>
      <c r="C57" s="380" t="s">
        <v>852</v>
      </c>
      <c r="D57" s="404" t="s">
        <v>853</v>
      </c>
      <c r="E57" s="380" t="s">
        <v>822</v>
      </c>
      <c r="F57" s="405">
        <v>45750</v>
      </c>
      <c r="G57" s="405">
        <v>45750</v>
      </c>
      <c r="H57" s="529">
        <v>1</v>
      </c>
    </row>
    <row r="58" spans="2:8" ht="14.25" customHeight="1" x14ac:dyDescent="0.2">
      <c r="B58" s="528" t="s">
        <v>919</v>
      </c>
      <c r="C58" s="380" t="s">
        <v>920</v>
      </c>
      <c r="D58" s="404" t="s">
        <v>921</v>
      </c>
      <c r="E58" s="380" t="s">
        <v>822</v>
      </c>
      <c r="F58" s="405">
        <v>45747</v>
      </c>
      <c r="G58" s="405">
        <v>45748</v>
      </c>
      <c r="H58" s="529">
        <v>2</v>
      </c>
    </row>
    <row r="59" spans="2:8" ht="14.25" customHeight="1" x14ac:dyDescent="0.2">
      <c r="B59" s="528" t="s">
        <v>922</v>
      </c>
      <c r="C59" s="380" t="s">
        <v>923</v>
      </c>
      <c r="D59" s="404" t="s">
        <v>924</v>
      </c>
      <c r="E59" s="380" t="s">
        <v>822</v>
      </c>
      <c r="F59" s="405">
        <v>45759</v>
      </c>
      <c r="G59" s="405">
        <v>45759</v>
      </c>
      <c r="H59" s="529">
        <v>1</v>
      </c>
    </row>
    <row r="60" spans="2:8" ht="14.25" customHeight="1" x14ac:dyDescent="0.2">
      <c r="B60" s="528" t="s">
        <v>925</v>
      </c>
      <c r="C60" s="380" t="s">
        <v>860</v>
      </c>
      <c r="D60" s="404" t="s">
        <v>861</v>
      </c>
      <c r="E60" s="380" t="s">
        <v>822</v>
      </c>
      <c r="F60" s="405">
        <v>45754</v>
      </c>
      <c r="G60" s="405">
        <v>45755</v>
      </c>
      <c r="H60" s="529">
        <v>2</v>
      </c>
    </row>
    <row r="61" spans="2:8" ht="14.25" customHeight="1" x14ac:dyDescent="0.2">
      <c r="B61" s="528" t="s">
        <v>926</v>
      </c>
      <c r="C61" s="380" t="s">
        <v>927</v>
      </c>
      <c r="D61" s="404" t="s">
        <v>928</v>
      </c>
      <c r="E61" s="380" t="s">
        <v>822</v>
      </c>
      <c r="F61" s="405">
        <v>45754</v>
      </c>
      <c r="G61" s="405">
        <v>45755</v>
      </c>
      <c r="H61" s="529">
        <v>2</v>
      </c>
    </row>
    <row r="62" spans="2:8" ht="14.25" customHeight="1" x14ac:dyDescent="0.2">
      <c r="B62" s="528" t="s">
        <v>901</v>
      </c>
      <c r="C62" s="380" t="s">
        <v>902</v>
      </c>
      <c r="D62" s="404" t="s">
        <v>903</v>
      </c>
      <c r="E62" s="380" t="s">
        <v>822</v>
      </c>
      <c r="F62" s="405">
        <v>45752</v>
      </c>
      <c r="G62" s="405">
        <v>45752</v>
      </c>
      <c r="H62" s="529">
        <v>1</v>
      </c>
    </row>
    <row r="63" spans="2:8" ht="14.25" customHeight="1" x14ac:dyDescent="0.2">
      <c r="B63" s="528" t="s">
        <v>929</v>
      </c>
      <c r="C63" s="380" t="s">
        <v>930</v>
      </c>
      <c r="D63" s="404" t="s">
        <v>931</v>
      </c>
      <c r="E63" s="380" t="s">
        <v>822</v>
      </c>
      <c r="F63" s="405">
        <v>45748</v>
      </c>
      <c r="G63" s="405">
        <v>45749</v>
      </c>
      <c r="H63" s="529">
        <v>2</v>
      </c>
    </row>
    <row r="64" spans="2:8" ht="14.25" customHeight="1" x14ac:dyDescent="0.2">
      <c r="B64" s="528" t="s">
        <v>932</v>
      </c>
      <c r="C64" s="380" t="s">
        <v>862</v>
      </c>
      <c r="D64" s="404" t="s">
        <v>863</v>
      </c>
      <c r="E64" s="380" t="s">
        <v>822</v>
      </c>
      <c r="F64" s="405">
        <v>45756</v>
      </c>
      <c r="G64" s="405">
        <v>45756</v>
      </c>
      <c r="H64" s="529">
        <v>1</v>
      </c>
    </row>
    <row r="65" spans="2:8" ht="14.25" customHeight="1" x14ac:dyDescent="0.2">
      <c r="B65" s="528" t="s">
        <v>933</v>
      </c>
      <c r="C65" s="380" t="s">
        <v>934</v>
      </c>
      <c r="D65" s="404" t="s">
        <v>935</v>
      </c>
      <c r="E65" s="380" t="s">
        <v>822</v>
      </c>
      <c r="F65" s="405">
        <v>45752</v>
      </c>
      <c r="G65" s="405">
        <v>45755</v>
      </c>
      <c r="H65" s="529">
        <v>4</v>
      </c>
    </row>
    <row r="66" spans="2:8" ht="14.25" customHeight="1" x14ac:dyDescent="0.2">
      <c r="B66" s="528" t="s">
        <v>812</v>
      </c>
      <c r="C66" s="380" t="s">
        <v>813</v>
      </c>
      <c r="D66" s="404" t="s">
        <v>814</v>
      </c>
      <c r="E66" s="380" t="s">
        <v>815</v>
      </c>
      <c r="F66" s="405">
        <v>45769</v>
      </c>
      <c r="G66" s="405">
        <v>45783</v>
      </c>
      <c r="H66" s="529">
        <v>15</v>
      </c>
    </row>
    <row r="67" spans="2:8" ht="14.25" customHeight="1" x14ac:dyDescent="0.2">
      <c r="B67" s="528" t="s">
        <v>936</v>
      </c>
      <c r="C67" s="380" t="s">
        <v>937</v>
      </c>
      <c r="D67" s="404" t="s">
        <v>938</v>
      </c>
      <c r="E67" s="380" t="s">
        <v>822</v>
      </c>
      <c r="F67" s="405">
        <v>45785</v>
      </c>
      <c r="G67" s="405">
        <v>45785</v>
      </c>
      <c r="H67" s="529">
        <v>1</v>
      </c>
    </row>
    <row r="68" spans="2:8" ht="14.25" customHeight="1" x14ac:dyDescent="0.2">
      <c r="B68" s="528" t="s">
        <v>939</v>
      </c>
      <c r="C68" s="380" t="s">
        <v>940</v>
      </c>
      <c r="D68" s="404" t="s">
        <v>941</v>
      </c>
      <c r="E68" s="380" t="s">
        <v>822</v>
      </c>
      <c r="F68" s="405">
        <v>45777</v>
      </c>
      <c r="G68" s="405">
        <v>45779</v>
      </c>
      <c r="H68" s="529">
        <v>3</v>
      </c>
    </row>
    <row r="69" spans="2:8" ht="14.25" customHeight="1" x14ac:dyDescent="0.2">
      <c r="B69" s="528" t="s">
        <v>942</v>
      </c>
      <c r="C69" s="380" t="s">
        <v>943</v>
      </c>
      <c r="D69" s="404" t="s">
        <v>944</v>
      </c>
      <c r="E69" s="380" t="s">
        <v>822</v>
      </c>
      <c r="F69" s="405">
        <v>45783</v>
      </c>
      <c r="G69" s="405">
        <v>45784</v>
      </c>
      <c r="H69" s="529">
        <v>2</v>
      </c>
    </row>
    <row r="70" spans="2:8" ht="14.25" customHeight="1" x14ac:dyDescent="0.2">
      <c r="B70" s="528" t="s">
        <v>875</v>
      </c>
      <c r="C70" s="380" t="s">
        <v>629</v>
      </c>
      <c r="D70" s="404" t="s">
        <v>876</v>
      </c>
      <c r="E70" s="380" t="s">
        <v>822</v>
      </c>
      <c r="F70" s="405">
        <v>45792</v>
      </c>
      <c r="G70" s="405">
        <v>45792</v>
      </c>
      <c r="H70" s="529">
        <v>1</v>
      </c>
    </row>
    <row r="71" spans="2:8" ht="14.25" customHeight="1" x14ac:dyDescent="0.2">
      <c r="B71" s="528" t="s">
        <v>945</v>
      </c>
      <c r="C71" s="380" t="s">
        <v>946</v>
      </c>
      <c r="D71" s="404" t="s">
        <v>947</v>
      </c>
      <c r="E71" s="380" t="s">
        <v>822</v>
      </c>
      <c r="F71" s="405">
        <v>45796</v>
      </c>
      <c r="G71" s="405">
        <v>45796</v>
      </c>
      <c r="H71" s="529">
        <v>1</v>
      </c>
    </row>
    <row r="72" spans="2:8" ht="14.25" customHeight="1" x14ac:dyDescent="0.2">
      <c r="B72" s="528" t="s">
        <v>948</v>
      </c>
      <c r="C72" s="380" t="s">
        <v>949</v>
      </c>
      <c r="D72" s="404" t="s">
        <v>950</v>
      </c>
      <c r="E72" s="380" t="s">
        <v>822</v>
      </c>
      <c r="F72" s="405">
        <v>45784</v>
      </c>
      <c r="G72" s="405">
        <v>45786</v>
      </c>
      <c r="H72" s="529">
        <v>3</v>
      </c>
    </row>
    <row r="73" spans="2:8" ht="14.25" customHeight="1" x14ac:dyDescent="0.2">
      <c r="B73" s="528" t="s">
        <v>951</v>
      </c>
      <c r="C73" s="380" t="s">
        <v>952</v>
      </c>
      <c r="D73" s="404" t="s">
        <v>953</v>
      </c>
      <c r="E73" s="380" t="s">
        <v>822</v>
      </c>
      <c r="F73" s="405">
        <v>45796</v>
      </c>
      <c r="G73" s="405">
        <v>45798</v>
      </c>
      <c r="H73" s="529">
        <v>3</v>
      </c>
    </row>
    <row r="74" spans="2:8" ht="14.25" customHeight="1" x14ac:dyDescent="0.2">
      <c r="B74" s="528" t="s">
        <v>895</v>
      </c>
      <c r="C74" s="380" t="s">
        <v>896</v>
      </c>
      <c r="D74" s="404" t="s">
        <v>897</v>
      </c>
      <c r="E74" s="380" t="s">
        <v>822</v>
      </c>
      <c r="F74" s="405">
        <v>45784</v>
      </c>
      <c r="G74" s="405">
        <v>45785</v>
      </c>
      <c r="H74" s="529">
        <v>2</v>
      </c>
    </row>
    <row r="75" spans="2:8" ht="14.25" customHeight="1" x14ac:dyDescent="0.2">
      <c r="B75" s="528" t="s">
        <v>901</v>
      </c>
      <c r="C75" s="380" t="s">
        <v>902</v>
      </c>
      <c r="D75" s="404" t="s">
        <v>903</v>
      </c>
      <c r="E75" s="380" t="s">
        <v>822</v>
      </c>
      <c r="F75" s="405">
        <v>45789</v>
      </c>
      <c r="G75" s="405">
        <v>45790</v>
      </c>
      <c r="H75" s="529">
        <v>2</v>
      </c>
    </row>
    <row r="76" spans="2:8" ht="14.25" customHeight="1" x14ac:dyDescent="0.2">
      <c r="B76" s="528" t="s">
        <v>954</v>
      </c>
      <c r="C76" s="380" t="s">
        <v>955</v>
      </c>
      <c r="D76" s="404" t="s">
        <v>956</v>
      </c>
      <c r="E76" s="380" t="s">
        <v>822</v>
      </c>
      <c r="F76" s="405">
        <v>45791</v>
      </c>
      <c r="G76" s="405">
        <v>45791</v>
      </c>
      <c r="H76" s="529">
        <v>1</v>
      </c>
    </row>
    <row r="77" spans="2:8" ht="14.25" customHeight="1" x14ac:dyDescent="0.2">
      <c r="B77" s="528"/>
      <c r="C77" s="380"/>
      <c r="D77" s="404"/>
      <c r="E77" s="380"/>
      <c r="F77" s="405"/>
      <c r="G77" s="405"/>
      <c r="H77" s="528"/>
    </row>
    <row r="78" spans="2:8" ht="14.25" customHeight="1" x14ac:dyDescent="0.2">
      <c r="B78" s="528"/>
      <c r="C78" s="380"/>
      <c r="D78" s="404"/>
      <c r="E78" s="380"/>
      <c r="F78" s="405"/>
      <c r="G78" s="405"/>
      <c r="H78" s="528"/>
    </row>
    <row r="79" spans="2:8" ht="14.25" customHeight="1" x14ac:dyDescent="0.2">
      <c r="B79" s="528"/>
      <c r="C79" s="380"/>
      <c r="D79" s="404"/>
      <c r="E79" s="380"/>
      <c r="F79" s="405"/>
      <c r="G79" s="405"/>
      <c r="H79" s="528"/>
    </row>
    <row r="80" spans="2:8" ht="14.25" customHeight="1" x14ac:dyDescent="0.2">
      <c r="B80" s="528"/>
      <c r="C80" s="380"/>
      <c r="D80" s="404"/>
      <c r="E80" s="380"/>
      <c r="F80" s="405"/>
      <c r="G80" s="405"/>
      <c r="H80" s="528"/>
    </row>
    <row r="81" spans="2:8" ht="14.25" customHeight="1" x14ac:dyDescent="0.2">
      <c r="B81" s="528"/>
      <c r="C81" s="380"/>
      <c r="D81" s="404"/>
      <c r="E81" s="380"/>
      <c r="F81" s="405"/>
      <c r="G81" s="405"/>
      <c r="H81" s="528"/>
    </row>
    <row r="82" spans="2:8" ht="14.25" customHeight="1" x14ac:dyDescent="0.2">
      <c r="B82" s="528"/>
      <c r="C82" s="380"/>
      <c r="D82" s="404"/>
      <c r="E82" s="380"/>
      <c r="F82" s="405"/>
      <c r="G82" s="405"/>
      <c r="H82" s="528"/>
    </row>
    <row r="83" spans="2:8" ht="14.25" customHeight="1" x14ac:dyDescent="0.2">
      <c r="B83" s="528"/>
      <c r="C83" s="380"/>
      <c r="D83" s="404"/>
      <c r="E83" s="380"/>
      <c r="F83" s="405"/>
      <c r="G83" s="405"/>
      <c r="H83" s="528"/>
    </row>
    <row r="84" spans="2:8" ht="14.25" customHeight="1" x14ac:dyDescent="0.2">
      <c r="B84" s="528"/>
      <c r="C84" s="380"/>
      <c r="D84" s="404"/>
      <c r="E84" s="380"/>
      <c r="F84" s="405"/>
      <c r="G84" s="405"/>
      <c r="H84" s="528"/>
    </row>
    <row r="85" spans="2:8" ht="14.25" customHeight="1" x14ac:dyDescent="0.2">
      <c r="B85" s="528"/>
      <c r="C85" s="380"/>
      <c r="D85" s="404"/>
      <c r="E85" s="380"/>
      <c r="F85" s="405"/>
      <c r="G85" s="405"/>
      <c r="H85" s="528"/>
    </row>
    <row r="86" spans="2:8" ht="14.25" customHeight="1" x14ac:dyDescent="0.2">
      <c r="B86" s="528"/>
      <c r="C86" s="380"/>
      <c r="D86" s="404"/>
      <c r="E86" s="380"/>
      <c r="F86" s="405"/>
      <c r="G86" s="405"/>
      <c r="H86" s="528"/>
    </row>
    <row r="87" spans="2:8" ht="14.25" customHeight="1" x14ac:dyDescent="0.2">
      <c r="B87" s="528"/>
      <c r="C87" s="380"/>
      <c r="D87" s="404"/>
      <c r="E87" s="380"/>
      <c r="F87" s="405"/>
      <c r="G87" s="405"/>
      <c r="H87" s="528"/>
    </row>
    <row r="88" spans="2:8" ht="14.25" customHeight="1" x14ac:dyDescent="0.2">
      <c r="B88" s="528"/>
      <c r="C88" s="380"/>
      <c r="D88" s="404"/>
      <c r="E88" s="380"/>
      <c r="F88" s="405"/>
      <c r="G88" s="405"/>
      <c r="H88" s="528"/>
    </row>
    <row r="89" spans="2:8" ht="14.25" customHeight="1" x14ac:dyDescent="0.2">
      <c r="B89" s="528"/>
      <c r="C89" s="380"/>
      <c r="D89" s="404"/>
      <c r="E89" s="380"/>
      <c r="F89" s="405"/>
      <c r="G89" s="405"/>
      <c r="H89" s="528"/>
    </row>
    <row r="90" spans="2:8" ht="14.25" customHeight="1" x14ac:dyDescent="0.2">
      <c r="B90" s="528"/>
      <c r="C90" s="380"/>
      <c r="D90" s="404"/>
      <c r="E90" s="380"/>
      <c r="F90" s="405"/>
      <c r="G90" s="405"/>
      <c r="H90" s="528"/>
    </row>
    <row r="91" spans="2:8" ht="14.25" customHeight="1" x14ac:dyDescent="0.2">
      <c r="B91" s="528"/>
      <c r="C91" s="380"/>
      <c r="D91" s="404"/>
      <c r="E91" s="380"/>
      <c r="F91" s="405"/>
      <c r="G91" s="405"/>
      <c r="H91" s="528"/>
    </row>
    <row r="92" spans="2:8" ht="14.25" customHeight="1" x14ac:dyDescent="0.2">
      <c r="B92" s="528"/>
      <c r="C92" s="380"/>
      <c r="D92" s="404"/>
      <c r="E92" s="380"/>
      <c r="F92" s="405"/>
      <c r="G92" s="405"/>
      <c r="H92" s="528"/>
    </row>
    <row r="93" spans="2:8" ht="14.25" customHeight="1" x14ac:dyDescent="0.2">
      <c r="B93" s="528"/>
      <c r="C93" s="380"/>
      <c r="D93" s="404"/>
      <c r="E93" s="380"/>
      <c r="F93" s="405"/>
      <c r="G93" s="405"/>
      <c r="H93" s="528"/>
    </row>
    <row r="94" spans="2:8" ht="14.25" customHeight="1" x14ac:dyDescent="0.2">
      <c r="B94" s="528"/>
      <c r="C94" s="380"/>
      <c r="D94" s="404"/>
      <c r="E94" s="380"/>
      <c r="F94" s="405"/>
      <c r="G94" s="405"/>
      <c r="H94" s="528"/>
    </row>
    <row r="95" spans="2:8" ht="14.25" customHeight="1" x14ac:dyDescent="0.2">
      <c r="B95" s="528"/>
      <c r="C95" s="380"/>
      <c r="D95" s="404"/>
      <c r="E95" s="380"/>
      <c r="F95" s="405"/>
      <c r="G95" s="405"/>
      <c r="H95" s="528"/>
    </row>
    <row r="96" spans="2:8" ht="14.25" customHeight="1" x14ac:dyDescent="0.2">
      <c r="B96" s="528"/>
      <c r="C96" s="380"/>
      <c r="D96" s="404"/>
      <c r="E96" s="380"/>
      <c r="F96" s="405"/>
      <c r="G96" s="405"/>
      <c r="H96" s="528"/>
    </row>
    <row r="97" spans="2:8" ht="14.25" customHeight="1" x14ac:dyDescent="0.2">
      <c r="B97" s="528"/>
      <c r="C97" s="380"/>
      <c r="D97" s="404"/>
      <c r="E97" s="380"/>
      <c r="F97" s="405"/>
      <c r="G97" s="405"/>
      <c r="H97" s="528"/>
    </row>
    <row r="98" spans="2:8" ht="14.25" customHeight="1" x14ac:dyDescent="0.2">
      <c r="B98" s="528"/>
      <c r="C98" s="380"/>
      <c r="D98" s="404"/>
      <c r="E98" s="380"/>
      <c r="F98" s="405"/>
      <c r="G98" s="405"/>
      <c r="H98" s="528"/>
    </row>
    <row r="99" spans="2:8" ht="14.25" customHeight="1" x14ac:dyDescent="0.2">
      <c r="B99" s="528"/>
      <c r="C99" s="380"/>
      <c r="D99" s="404"/>
      <c r="E99" s="380"/>
      <c r="F99" s="405"/>
      <c r="G99" s="405"/>
      <c r="H99" s="528"/>
    </row>
    <row r="100" spans="2:8" ht="14.25" customHeight="1" x14ac:dyDescent="0.2">
      <c r="B100" s="528"/>
      <c r="C100" s="380"/>
      <c r="D100" s="404"/>
      <c r="E100" s="380"/>
      <c r="F100" s="405"/>
      <c r="G100" s="405"/>
      <c r="H100" s="528"/>
    </row>
    <row r="101" spans="2:8" ht="14.25" customHeight="1" x14ac:dyDescent="0.2">
      <c r="B101" s="528"/>
      <c r="C101" s="380"/>
      <c r="D101" s="404"/>
      <c r="E101" s="380"/>
      <c r="F101" s="405"/>
      <c r="G101" s="405"/>
      <c r="H101" s="528"/>
    </row>
    <row r="102" spans="2:8" ht="14.25" customHeight="1" x14ac:dyDescent="0.2">
      <c r="B102" s="528"/>
      <c r="C102" s="380"/>
      <c r="D102" s="404"/>
      <c r="E102" s="380"/>
      <c r="F102" s="405"/>
      <c r="G102" s="405"/>
      <c r="H102" s="528"/>
    </row>
    <row r="103" spans="2:8" ht="14.25" customHeight="1" x14ac:dyDescent="0.2">
      <c r="B103" s="528"/>
      <c r="C103" s="380"/>
      <c r="D103" s="404"/>
      <c r="E103" s="380"/>
      <c r="F103" s="405"/>
      <c r="G103" s="405"/>
      <c r="H103" s="528"/>
    </row>
    <row r="104" spans="2:8" ht="14.25" customHeight="1" x14ac:dyDescent="0.2">
      <c r="B104" s="528"/>
      <c r="C104" s="380"/>
      <c r="D104" s="404"/>
      <c r="E104" s="380"/>
      <c r="F104" s="405"/>
      <c r="G104" s="405"/>
      <c r="H104" s="528"/>
    </row>
    <row r="105" spans="2:8" ht="14.25" customHeight="1" x14ac:dyDescent="0.2">
      <c r="B105" s="528"/>
      <c r="C105" s="380"/>
      <c r="D105" s="404"/>
      <c r="E105" s="380"/>
      <c r="F105" s="405"/>
      <c r="G105" s="405"/>
      <c r="H105" s="528"/>
    </row>
    <row r="106" spans="2:8" ht="14.25" customHeight="1" x14ac:dyDescent="0.2">
      <c r="B106" s="528"/>
      <c r="C106" s="380"/>
      <c r="D106" s="404"/>
      <c r="E106" s="380"/>
      <c r="F106" s="405"/>
      <c r="G106" s="405"/>
      <c r="H106" s="528"/>
    </row>
    <row r="107" spans="2:8" ht="14.25" customHeight="1" x14ac:dyDescent="0.2">
      <c r="B107" s="528"/>
      <c r="C107" s="380"/>
      <c r="D107" s="404"/>
      <c r="E107" s="380"/>
      <c r="F107" s="405"/>
      <c r="G107" s="405"/>
      <c r="H107" s="528"/>
    </row>
    <row r="108" spans="2:8" ht="14.25" customHeight="1" x14ac:dyDescent="0.2">
      <c r="B108" s="528"/>
      <c r="C108" s="380"/>
      <c r="D108" s="404"/>
      <c r="E108" s="380"/>
      <c r="F108" s="405"/>
      <c r="G108" s="405"/>
      <c r="H108" s="528"/>
    </row>
    <row r="109" spans="2:8" ht="14.25" customHeight="1" x14ac:dyDescent="0.2">
      <c r="B109" s="528"/>
      <c r="C109" s="380"/>
      <c r="D109" s="404"/>
      <c r="E109" s="380"/>
      <c r="F109" s="405"/>
      <c r="G109" s="405"/>
      <c r="H109" s="528"/>
    </row>
    <row r="110" spans="2:8" ht="14.25" customHeight="1" x14ac:dyDescent="0.2">
      <c r="B110" s="528"/>
      <c r="C110" s="380"/>
      <c r="D110" s="404"/>
      <c r="E110" s="380"/>
      <c r="F110" s="405"/>
      <c r="G110" s="405"/>
      <c r="H110" s="528"/>
    </row>
    <row r="111" spans="2:8" ht="14.25" customHeight="1" x14ac:dyDescent="0.2">
      <c r="B111" s="528"/>
      <c r="C111" s="380"/>
      <c r="D111" s="404"/>
      <c r="E111" s="380"/>
      <c r="F111" s="405"/>
      <c r="G111" s="405"/>
      <c r="H111" s="528"/>
    </row>
    <row r="112" spans="2:8" ht="14.25" customHeight="1" x14ac:dyDescent="0.2">
      <c r="B112" s="528"/>
      <c r="C112" s="380"/>
      <c r="D112" s="404"/>
      <c r="E112" s="380"/>
      <c r="F112" s="405"/>
      <c r="G112" s="405"/>
      <c r="H112" s="528"/>
    </row>
    <row r="113" spans="2:8" ht="14.25" customHeight="1" x14ac:dyDescent="0.2">
      <c r="B113" s="528"/>
      <c r="C113" s="380"/>
      <c r="D113" s="404"/>
      <c r="E113" s="380"/>
      <c r="F113" s="405"/>
      <c r="G113" s="405"/>
      <c r="H113" s="528"/>
    </row>
    <row r="114" spans="2:8" ht="14.25" customHeight="1" x14ac:dyDescent="0.2">
      <c r="B114" s="528"/>
      <c r="C114" s="380"/>
      <c r="D114" s="404"/>
      <c r="E114" s="380"/>
      <c r="F114" s="405"/>
      <c r="G114" s="405"/>
      <c r="H114" s="528"/>
    </row>
    <row r="115" spans="2:8" ht="14.25" customHeight="1" x14ac:dyDescent="0.2">
      <c r="B115" s="528"/>
      <c r="C115" s="380"/>
      <c r="D115" s="404"/>
      <c r="E115" s="380"/>
      <c r="F115" s="405"/>
      <c r="G115" s="405"/>
      <c r="H115" s="528"/>
    </row>
    <row r="116" spans="2:8" ht="14.25" customHeight="1" x14ac:dyDescent="0.2">
      <c r="B116" s="528"/>
      <c r="C116" s="380"/>
      <c r="D116" s="404"/>
      <c r="E116" s="380"/>
      <c r="F116" s="405"/>
      <c r="G116" s="405"/>
      <c r="H116" s="528"/>
    </row>
    <row r="117" spans="2:8" ht="14.25" customHeight="1" x14ac:dyDescent="0.2">
      <c r="B117" s="528"/>
      <c r="C117" s="380"/>
      <c r="D117" s="404"/>
      <c r="E117" s="380"/>
      <c r="F117" s="405"/>
      <c r="G117" s="405"/>
      <c r="H117" s="528"/>
    </row>
    <row r="118" spans="2:8" ht="14.25" customHeight="1" x14ac:dyDescent="0.2">
      <c r="B118" s="528"/>
      <c r="C118" s="380"/>
      <c r="D118" s="404"/>
      <c r="E118" s="380"/>
      <c r="F118" s="405"/>
      <c r="G118" s="405"/>
      <c r="H118" s="528"/>
    </row>
    <row r="119" spans="2:8" ht="14.25" customHeight="1" x14ac:dyDescent="0.2">
      <c r="B119" s="528"/>
      <c r="C119" s="380"/>
      <c r="D119" s="404"/>
      <c r="E119" s="380"/>
      <c r="F119" s="405"/>
      <c r="G119" s="405"/>
      <c r="H119" s="528"/>
    </row>
    <row r="120" spans="2:8" ht="14.25" customHeight="1" x14ac:dyDescent="0.2">
      <c r="B120" s="528"/>
      <c r="C120" s="380"/>
      <c r="D120" s="404"/>
      <c r="E120" s="380"/>
      <c r="F120" s="405"/>
      <c r="G120" s="405"/>
      <c r="H120" s="528"/>
    </row>
    <row r="121" spans="2:8" ht="14.25" customHeight="1" x14ac:dyDescent="0.2">
      <c r="B121" s="528"/>
      <c r="C121" s="380"/>
      <c r="D121" s="404"/>
      <c r="E121" s="380"/>
      <c r="F121" s="405"/>
      <c r="G121" s="405"/>
      <c r="H121" s="528"/>
    </row>
    <row r="122" spans="2:8" ht="14.25" customHeight="1" x14ac:dyDescent="0.2">
      <c r="B122" s="528"/>
      <c r="C122" s="380"/>
      <c r="D122" s="404"/>
      <c r="E122" s="380"/>
      <c r="F122" s="405"/>
      <c r="G122" s="405"/>
      <c r="H122" s="528"/>
    </row>
    <row r="123" spans="2:8" ht="14.25" customHeight="1" x14ac:dyDescent="0.2">
      <c r="B123" s="528"/>
      <c r="C123" s="380"/>
      <c r="D123" s="404"/>
      <c r="E123" s="380"/>
      <c r="F123" s="405"/>
      <c r="G123" s="405"/>
      <c r="H123" s="528"/>
    </row>
    <row r="124" spans="2:8" ht="14.25" customHeight="1" x14ac:dyDescent="0.2">
      <c r="B124" s="528"/>
      <c r="C124" s="380"/>
      <c r="D124" s="404"/>
      <c r="E124" s="380"/>
      <c r="F124" s="405"/>
      <c r="G124" s="405"/>
      <c r="H124" s="528"/>
    </row>
    <row r="125" spans="2:8" ht="14.25" customHeight="1" x14ac:dyDescent="0.2">
      <c r="B125" s="528"/>
      <c r="C125" s="380"/>
      <c r="D125" s="404"/>
      <c r="E125" s="380"/>
      <c r="F125" s="405"/>
      <c r="G125" s="405"/>
      <c r="H125" s="528"/>
    </row>
    <row r="126" spans="2:8" ht="14.25" customHeight="1" x14ac:dyDescent="0.2">
      <c r="B126" s="528"/>
      <c r="C126" s="380"/>
      <c r="D126" s="404"/>
      <c r="E126" s="380"/>
      <c r="F126" s="405"/>
      <c r="G126" s="405"/>
      <c r="H126" s="528"/>
    </row>
    <row r="127" spans="2:8" ht="14.25" customHeight="1" x14ac:dyDescent="0.2">
      <c r="B127" s="528"/>
      <c r="C127" s="380"/>
      <c r="D127" s="404"/>
      <c r="E127" s="380"/>
      <c r="F127" s="405"/>
      <c r="G127" s="405"/>
      <c r="H127" s="528"/>
    </row>
    <row r="128" spans="2:8" ht="14.25" customHeight="1" x14ac:dyDescent="0.2">
      <c r="B128" s="528"/>
      <c r="C128" s="380"/>
      <c r="D128" s="404"/>
      <c r="E128" s="380"/>
      <c r="F128" s="405"/>
      <c r="G128" s="405"/>
      <c r="H128" s="528"/>
    </row>
    <row r="129" spans="2:8" ht="14.25" customHeight="1" x14ac:dyDescent="0.2">
      <c r="B129" s="528"/>
      <c r="C129" s="380"/>
      <c r="D129" s="404"/>
      <c r="E129" s="380"/>
      <c r="F129" s="405"/>
      <c r="G129" s="405"/>
      <c r="H129" s="528"/>
    </row>
    <row r="130" spans="2:8" ht="14.25" customHeight="1" x14ac:dyDescent="0.2">
      <c r="B130" s="528"/>
      <c r="C130" s="380"/>
      <c r="D130" s="404"/>
      <c r="E130" s="380"/>
      <c r="F130" s="405"/>
      <c r="G130" s="405"/>
      <c r="H130" s="528"/>
    </row>
    <row r="131" spans="2:8" ht="14.25" customHeight="1" x14ac:dyDescent="0.2">
      <c r="B131" s="528"/>
      <c r="C131" s="380"/>
      <c r="D131" s="404"/>
      <c r="E131" s="380"/>
      <c r="F131" s="405"/>
      <c r="G131" s="405"/>
      <c r="H131" s="528"/>
    </row>
    <row r="132" spans="2:8" ht="14.25" customHeight="1" x14ac:dyDescent="0.2">
      <c r="B132" s="528"/>
      <c r="C132" s="380"/>
      <c r="D132" s="404"/>
      <c r="E132" s="380"/>
      <c r="F132" s="405"/>
      <c r="G132" s="405"/>
      <c r="H132" s="528"/>
    </row>
    <row r="133" spans="2:8" ht="14.25" customHeight="1" x14ac:dyDescent="0.2">
      <c r="B133" s="528"/>
      <c r="C133" s="380"/>
      <c r="D133" s="404"/>
      <c r="E133" s="380"/>
      <c r="F133" s="405"/>
      <c r="G133" s="405"/>
      <c r="H133" s="528"/>
    </row>
    <row r="134" spans="2:8" ht="14.25" customHeight="1" x14ac:dyDescent="0.2">
      <c r="B134" s="528"/>
      <c r="C134" s="380"/>
      <c r="D134" s="404"/>
      <c r="E134" s="380"/>
      <c r="F134" s="405"/>
      <c r="G134" s="405"/>
      <c r="H134" s="528"/>
    </row>
    <row r="135" spans="2:8" ht="14.25" customHeight="1" x14ac:dyDescent="0.2">
      <c r="B135" s="528"/>
      <c r="C135" s="380"/>
      <c r="D135" s="404"/>
      <c r="E135" s="380"/>
      <c r="F135" s="405"/>
      <c r="G135" s="405"/>
      <c r="H135" s="528"/>
    </row>
    <row r="136" spans="2:8" ht="14.25" customHeight="1" x14ac:dyDescent="0.2">
      <c r="B136" s="528"/>
      <c r="C136" s="380"/>
      <c r="D136" s="404"/>
      <c r="E136" s="380"/>
      <c r="F136" s="405"/>
      <c r="G136" s="405"/>
      <c r="H136" s="528"/>
    </row>
    <row r="137" spans="2:8" ht="14.25" customHeight="1" x14ac:dyDescent="0.2">
      <c r="B137" s="528"/>
      <c r="C137" s="380"/>
      <c r="D137" s="404"/>
      <c r="E137" s="380"/>
      <c r="F137" s="405"/>
      <c r="G137" s="405"/>
      <c r="H137" s="528"/>
    </row>
    <row r="138" spans="2:8" ht="14.25" customHeight="1" x14ac:dyDescent="0.2">
      <c r="B138" s="528"/>
      <c r="C138" s="380"/>
      <c r="D138" s="404"/>
      <c r="E138" s="380"/>
      <c r="F138" s="405"/>
      <c r="G138" s="405"/>
      <c r="H138" s="528"/>
    </row>
    <row r="139" spans="2:8" ht="14.25" customHeight="1" x14ac:dyDescent="0.2">
      <c r="B139" s="528"/>
      <c r="C139" s="380"/>
      <c r="D139" s="404"/>
      <c r="E139" s="380"/>
      <c r="F139" s="405"/>
      <c r="G139" s="405"/>
      <c r="H139" s="528"/>
    </row>
    <row r="140" spans="2:8" ht="14.25" customHeight="1" x14ac:dyDescent="0.2">
      <c r="B140" s="528"/>
      <c r="C140" s="380"/>
      <c r="D140" s="404"/>
      <c r="E140" s="380"/>
      <c r="F140" s="405"/>
      <c r="G140" s="405"/>
      <c r="H140" s="528"/>
    </row>
    <row r="141" spans="2:8" ht="14.25" customHeight="1" x14ac:dyDescent="0.2">
      <c r="B141" s="528"/>
      <c r="C141" s="380"/>
      <c r="D141" s="404"/>
      <c r="E141" s="380"/>
      <c r="F141" s="405"/>
      <c r="G141" s="405"/>
      <c r="H141" s="528"/>
    </row>
    <row r="142" spans="2:8" ht="14.25" customHeight="1" x14ac:dyDescent="0.2">
      <c r="B142" s="528"/>
      <c r="C142" s="380"/>
      <c r="D142" s="404"/>
      <c r="E142" s="380"/>
      <c r="F142" s="405"/>
      <c r="G142" s="405"/>
      <c r="H142" s="528"/>
    </row>
    <row r="143" spans="2:8" ht="14.25" customHeight="1" x14ac:dyDescent="0.2">
      <c r="B143" s="528"/>
      <c r="C143" s="380"/>
      <c r="D143" s="404"/>
      <c r="E143" s="380"/>
      <c r="F143" s="405"/>
      <c r="G143" s="405"/>
      <c r="H143" s="528"/>
    </row>
    <row r="144" spans="2:8" ht="14.25" customHeight="1" x14ac:dyDescent="0.2">
      <c r="B144" s="528"/>
      <c r="C144" s="380"/>
      <c r="D144" s="404"/>
      <c r="E144" s="380"/>
      <c r="F144" s="405"/>
      <c r="G144" s="405"/>
      <c r="H144" s="528"/>
    </row>
    <row r="145" spans="2:8" ht="14.25" customHeight="1" x14ac:dyDescent="0.2">
      <c r="B145" s="528"/>
      <c r="C145" s="380"/>
      <c r="D145" s="404"/>
      <c r="E145" s="380"/>
      <c r="F145" s="405"/>
      <c r="G145" s="405"/>
      <c r="H145" s="528"/>
    </row>
    <row r="146" spans="2:8" ht="14.25" customHeight="1" x14ac:dyDescent="0.2">
      <c r="B146" s="528"/>
      <c r="C146" s="380"/>
      <c r="D146" s="404"/>
      <c r="E146" s="380"/>
      <c r="F146" s="405"/>
      <c r="G146" s="405"/>
      <c r="H146" s="528"/>
    </row>
    <row r="147" spans="2:8" ht="14.25" customHeight="1" x14ac:dyDescent="0.2">
      <c r="B147" s="528"/>
      <c r="C147" s="380"/>
      <c r="D147" s="404"/>
      <c r="E147" s="380"/>
      <c r="F147" s="405"/>
      <c r="G147" s="405"/>
      <c r="H147" s="528"/>
    </row>
    <row r="148" spans="2:8" ht="14.25" customHeight="1" x14ac:dyDescent="0.2">
      <c r="B148" s="528"/>
      <c r="C148" s="380"/>
      <c r="D148" s="404"/>
      <c r="E148" s="380"/>
      <c r="F148" s="405"/>
      <c r="G148" s="405"/>
      <c r="H148" s="528"/>
    </row>
    <row r="149" spans="2:8" ht="14.25" customHeight="1" x14ac:dyDescent="0.2">
      <c r="B149" s="528"/>
      <c r="C149" s="380"/>
      <c r="D149" s="404"/>
      <c r="E149" s="380"/>
      <c r="F149" s="405"/>
      <c r="G149" s="405"/>
      <c r="H149" s="528"/>
    </row>
    <row r="150" spans="2:8" ht="14.25" customHeight="1" x14ac:dyDescent="0.2">
      <c r="B150" s="528"/>
      <c r="C150" s="380"/>
      <c r="D150" s="404"/>
      <c r="E150" s="380"/>
      <c r="F150" s="405"/>
      <c r="G150" s="405"/>
      <c r="H150" s="528"/>
    </row>
    <row r="151" spans="2:8" ht="14.25" customHeight="1" x14ac:dyDescent="0.2">
      <c r="B151" s="528"/>
      <c r="C151" s="380"/>
      <c r="D151" s="404"/>
      <c r="E151" s="380"/>
      <c r="F151" s="405"/>
      <c r="G151" s="405"/>
      <c r="H151" s="528"/>
    </row>
    <row r="152" spans="2:8" ht="14.25" customHeight="1" x14ac:dyDescent="0.2">
      <c r="B152" s="528"/>
      <c r="C152" s="380"/>
      <c r="D152" s="404"/>
      <c r="E152" s="380"/>
      <c r="F152" s="405"/>
      <c r="G152" s="405"/>
      <c r="H152" s="528"/>
    </row>
    <row r="153" spans="2:8" ht="14.25" customHeight="1" x14ac:dyDescent="0.2">
      <c r="B153" s="528"/>
      <c r="C153" s="380"/>
      <c r="D153" s="404"/>
      <c r="E153" s="380"/>
      <c r="F153" s="405"/>
      <c r="G153" s="405"/>
      <c r="H153" s="528"/>
    </row>
    <row r="154" spans="2:8" ht="14.25" customHeight="1" x14ac:dyDescent="0.2">
      <c r="B154" s="528"/>
      <c r="C154" s="380"/>
      <c r="D154" s="404"/>
      <c r="E154" s="380"/>
      <c r="F154" s="405"/>
      <c r="G154" s="405"/>
      <c r="H154" s="528"/>
    </row>
    <row r="155" spans="2:8" ht="14.25" customHeight="1" x14ac:dyDescent="0.2">
      <c r="B155" s="528"/>
      <c r="C155" s="380"/>
      <c r="D155" s="404"/>
      <c r="E155" s="380"/>
      <c r="F155" s="405"/>
      <c r="G155" s="405"/>
      <c r="H155" s="528"/>
    </row>
    <row r="156" spans="2:8" ht="14.25" customHeight="1" x14ac:dyDescent="0.2">
      <c r="B156" s="528"/>
      <c r="C156" s="380"/>
      <c r="D156" s="404"/>
      <c r="E156" s="380"/>
      <c r="F156" s="405"/>
      <c r="G156" s="405"/>
      <c r="H156" s="528"/>
    </row>
    <row r="157" spans="2:8" ht="14.25" customHeight="1" x14ac:dyDescent="0.2">
      <c r="B157" s="528"/>
      <c r="C157" s="380"/>
      <c r="D157" s="404"/>
      <c r="E157" s="380"/>
      <c r="F157" s="405"/>
      <c r="G157" s="405"/>
      <c r="H157" s="528"/>
    </row>
    <row r="158" spans="2:8" ht="14.25" customHeight="1" x14ac:dyDescent="0.2">
      <c r="B158" s="528"/>
      <c r="C158" s="380"/>
      <c r="D158" s="404"/>
      <c r="E158" s="380"/>
      <c r="F158" s="405"/>
      <c r="G158" s="405"/>
      <c r="H158" s="528"/>
    </row>
    <row r="159" spans="2:8" ht="14.25" customHeight="1" x14ac:dyDescent="0.2">
      <c r="B159" s="528"/>
      <c r="C159" s="380"/>
      <c r="D159" s="404"/>
      <c r="E159" s="380"/>
      <c r="F159" s="405"/>
      <c r="G159" s="405"/>
      <c r="H159" s="528"/>
    </row>
    <row r="160" spans="2:8" ht="14.25" customHeight="1" x14ac:dyDescent="0.2">
      <c r="B160" s="528"/>
      <c r="C160" s="380"/>
      <c r="D160" s="404"/>
      <c r="E160" s="380"/>
      <c r="F160" s="405"/>
      <c r="G160" s="405"/>
      <c r="H160" s="528"/>
    </row>
    <row r="161" spans="2:8" ht="14.25" customHeight="1" x14ac:dyDescent="0.2">
      <c r="B161" s="528"/>
      <c r="C161" s="380"/>
      <c r="D161" s="404"/>
      <c r="E161" s="380"/>
      <c r="F161" s="405"/>
      <c r="G161" s="405"/>
      <c r="H161" s="528"/>
    </row>
    <row r="162" spans="2:8" ht="14.25" customHeight="1" x14ac:dyDescent="0.2">
      <c r="B162" s="528"/>
      <c r="C162" s="380"/>
      <c r="D162" s="404"/>
      <c r="E162" s="380"/>
      <c r="F162" s="405"/>
      <c r="G162" s="405"/>
      <c r="H162" s="528"/>
    </row>
    <row r="163" spans="2:8" ht="14.25" customHeight="1" x14ac:dyDescent="0.2">
      <c r="B163" s="528"/>
      <c r="C163" s="380"/>
      <c r="D163" s="404"/>
      <c r="E163" s="380"/>
      <c r="F163" s="405"/>
      <c r="G163" s="405"/>
      <c r="H163" s="528"/>
    </row>
    <row r="164" spans="2:8" ht="14.25" customHeight="1" x14ac:dyDescent="0.2">
      <c r="B164" s="528"/>
      <c r="C164" s="380"/>
      <c r="D164" s="404"/>
      <c r="E164" s="380"/>
      <c r="F164" s="405"/>
      <c r="G164" s="405"/>
      <c r="H164" s="528"/>
    </row>
    <row r="165" spans="2:8" ht="14.25" customHeight="1" x14ac:dyDescent="0.2">
      <c r="B165" s="528"/>
      <c r="C165" s="380"/>
      <c r="D165" s="404"/>
      <c r="E165" s="380"/>
      <c r="F165" s="405"/>
      <c r="G165" s="405"/>
      <c r="H165" s="528"/>
    </row>
    <row r="166" spans="2:8" ht="14.25" customHeight="1" x14ac:dyDescent="0.2">
      <c r="B166" s="528"/>
      <c r="C166" s="380"/>
      <c r="D166" s="404"/>
      <c r="E166" s="380"/>
      <c r="F166" s="405"/>
      <c r="G166" s="405"/>
      <c r="H166" s="528"/>
    </row>
    <row r="167" spans="2:8" ht="14.25" customHeight="1" x14ac:dyDescent="0.2">
      <c r="B167" s="528"/>
      <c r="C167" s="380"/>
      <c r="D167" s="404"/>
      <c r="E167" s="380"/>
      <c r="F167" s="405"/>
      <c r="G167" s="405"/>
      <c r="H167" s="528"/>
    </row>
    <row r="168" spans="2:8" ht="14.25" customHeight="1" x14ac:dyDescent="0.2">
      <c r="B168" s="528"/>
      <c r="C168" s="380"/>
      <c r="D168" s="404"/>
      <c r="E168" s="380"/>
      <c r="F168" s="405"/>
      <c r="G168" s="405"/>
      <c r="H168" s="528"/>
    </row>
    <row r="169" spans="2:8" ht="14.25" customHeight="1" x14ac:dyDescent="0.2">
      <c r="B169" s="528"/>
      <c r="C169" s="380"/>
      <c r="D169" s="404"/>
      <c r="E169" s="380"/>
      <c r="F169" s="405"/>
      <c r="G169" s="405"/>
      <c r="H169" s="528"/>
    </row>
    <row r="170" spans="2:8" ht="14.25" customHeight="1" x14ac:dyDescent="0.2">
      <c r="B170" s="528"/>
      <c r="C170" s="380"/>
      <c r="D170" s="404"/>
      <c r="E170" s="380"/>
      <c r="F170" s="405"/>
      <c r="G170" s="405"/>
      <c r="H170" s="528"/>
    </row>
    <row r="171" spans="2:8" ht="14.25" customHeight="1" x14ac:dyDescent="0.2">
      <c r="B171" s="528"/>
      <c r="C171" s="380"/>
      <c r="D171" s="404"/>
      <c r="E171" s="380"/>
      <c r="F171" s="405"/>
      <c r="G171" s="405"/>
      <c r="H171" s="528"/>
    </row>
    <row r="172" spans="2:8" ht="14.25" customHeight="1" x14ac:dyDescent="0.2">
      <c r="B172" s="528"/>
      <c r="C172" s="380"/>
      <c r="D172" s="404"/>
      <c r="E172" s="380"/>
      <c r="F172" s="405"/>
      <c r="G172" s="405"/>
      <c r="H172" s="528"/>
    </row>
    <row r="173" spans="2:8" ht="14.25" customHeight="1" x14ac:dyDescent="0.2">
      <c r="B173" s="528"/>
      <c r="C173" s="380"/>
      <c r="D173" s="404"/>
      <c r="E173" s="380"/>
      <c r="F173" s="405"/>
      <c r="G173" s="405"/>
      <c r="H173" s="528"/>
    </row>
    <row r="174" spans="2:8" ht="14.25" customHeight="1" x14ac:dyDescent="0.2">
      <c r="B174" s="528"/>
      <c r="C174" s="380"/>
      <c r="D174" s="404"/>
      <c r="E174" s="380"/>
      <c r="F174" s="405"/>
      <c r="G174" s="405"/>
      <c r="H174" s="528"/>
    </row>
    <row r="175" spans="2:8" ht="14.25" customHeight="1" x14ac:dyDescent="0.2">
      <c r="B175" s="528"/>
      <c r="C175" s="380"/>
      <c r="D175" s="404"/>
      <c r="E175" s="380"/>
      <c r="F175" s="405"/>
      <c r="G175" s="405"/>
      <c r="H175" s="528"/>
    </row>
    <row r="176" spans="2:8" ht="14.25" customHeight="1" x14ac:dyDescent="0.2">
      <c r="B176" s="528"/>
      <c r="C176" s="380"/>
      <c r="D176" s="404"/>
      <c r="E176" s="380"/>
      <c r="F176" s="405"/>
      <c r="G176" s="405"/>
      <c r="H176" s="528"/>
    </row>
    <row r="177" spans="2:8" ht="14.25" customHeight="1" x14ac:dyDescent="0.2">
      <c r="B177" s="528"/>
      <c r="C177" s="380"/>
      <c r="D177" s="404"/>
      <c r="E177" s="380"/>
      <c r="F177" s="405"/>
      <c r="G177" s="405"/>
      <c r="H177" s="528"/>
    </row>
    <row r="178" spans="2:8" ht="14.25" customHeight="1" x14ac:dyDescent="0.2">
      <c r="B178" s="528"/>
      <c r="C178" s="380"/>
      <c r="D178" s="404"/>
      <c r="E178" s="380"/>
      <c r="F178" s="405"/>
      <c r="G178" s="405"/>
      <c r="H178" s="528"/>
    </row>
    <row r="179" spans="2:8" ht="14.25" customHeight="1" x14ac:dyDescent="0.2">
      <c r="B179" s="528"/>
      <c r="C179" s="380"/>
      <c r="D179" s="404"/>
      <c r="E179" s="380"/>
      <c r="F179" s="405"/>
      <c r="G179" s="405"/>
      <c r="H179" s="528"/>
    </row>
    <row r="180" spans="2:8" ht="14.25" customHeight="1" x14ac:dyDescent="0.2">
      <c r="B180" s="528"/>
      <c r="C180" s="380"/>
      <c r="D180" s="404"/>
      <c r="E180" s="380"/>
      <c r="F180" s="405"/>
      <c r="G180" s="405"/>
      <c r="H180" s="528"/>
    </row>
    <row r="181" spans="2:8" ht="14.25" customHeight="1" x14ac:dyDescent="0.2">
      <c r="B181" s="528"/>
      <c r="C181" s="380"/>
      <c r="D181" s="404"/>
      <c r="E181" s="380"/>
      <c r="F181" s="405"/>
      <c r="G181" s="405"/>
      <c r="H181" s="528"/>
    </row>
    <row r="182" spans="2:8" ht="14.25" customHeight="1" x14ac:dyDescent="0.2">
      <c r="B182" s="528"/>
      <c r="C182" s="380"/>
      <c r="D182" s="404"/>
      <c r="E182" s="380"/>
      <c r="F182" s="405"/>
      <c r="G182" s="405"/>
      <c r="H182" s="528"/>
    </row>
    <row r="183" spans="2:8" ht="14.25" customHeight="1" x14ac:dyDescent="0.2">
      <c r="B183" s="528"/>
      <c r="C183" s="380"/>
      <c r="D183" s="404"/>
      <c r="E183" s="380"/>
      <c r="F183" s="405"/>
      <c r="G183" s="405"/>
      <c r="H183" s="528"/>
    </row>
    <row r="184" spans="2:8" ht="14.25" customHeight="1" x14ac:dyDescent="0.2">
      <c r="B184" s="528"/>
      <c r="C184" s="380"/>
      <c r="D184" s="404"/>
      <c r="E184" s="380"/>
      <c r="F184" s="405"/>
      <c r="G184" s="405"/>
      <c r="H184" s="528"/>
    </row>
    <row r="185" spans="2:8" ht="14.25" customHeight="1" x14ac:dyDescent="0.2">
      <c r="B185" s="528"/>
      <c r="C185" s="380"/>
      <c r="D185" s="404"/>
      <c r="E185" s="380"/>
      <c r="F185" s="405"/>
      <c r="G185" s="405"/>
      <c r="H185" s="528"/>
    </row>
    <row r="186" spans="2:8" ht="14.25" customHeight="1" x14ac:dyDescent="0.2">
      <c r="B186" s="528"/>
      <c r="C186" s="380"/>
      <c r="D186" s="404"/>
      <c r="E186" s="380"/>
      <c r="F186" s="405"/>
      <c r="G186" s="405"/>
      <c r="H186" s="528"/>
    </row>
    <row r="187" spans="2:8" ht="14.25" customHeight="1" x14ac:dyDescent="0.2">
      <c r="B187" s="528"/>
      <c r="C187" s="380"/>
      <c r="D187" s="404"/>
      <c r="E187" s="380"/>
      <c r="F187" s="405"/>
      <c r="G187" s="405"/>
      <c r="H187" s="528"/>
    </row>
    <row r="188" spans="2:8" ht="14.25" customHeight="1" x14ac:dyDescent="0.2">
      <c r="B188" s="528"/>
      <c r="C188" s="380"/>
      <c r="D188" s="404"/>
      <c r="E188" s="380"/>
      <c r="F188" s="405"/>
      <c r="G188" s="405"/>
      <c r="H188" s="528"/>
    </row>
    <row r="189" spans="2:8" ht="14.25" customHeight="1" x14ac:dyDescent="0.2">
      <c r="B189" s="528"/>
      <c r="C189" s="380"/>
      <c r="D189" s="404"/>
      <c r="E189" s="380"/>
      <c r="F189" s="405"/>
      <c r="G189" s="405"/>
      <c r="H189" s="528"/>
    </row>
    <row r="190" spans="2:8" ht="14.25" customHeight="1" x14ac:dyDescent="0.2">
      <c r="B190" s="528"/>
      <c r="C190" s="380"/>
      <c r="D190" s="404"/>
      <c r="E190" s="380"/>
      <c r="F190" s="405"/>
      <c r="G190" s="405"/>
      <c r="H190" s="528"/>
    </row>
    <row r="191" spans="2:8" ht="14.25" customHeight="1" x14ac:dyDescent="0.2">
      <c r="B191" s="528"/>
      <c r="C191" s="380"/>
      <c r="D191" s="404"/>
      <c r="E191" s="380"/>
      <c r="F191" s="405"/>
      <c r="G191" s="405"/>
      <c r="H191" s="528"/>
    </row>
    <row r="192" spans="2:8" ht="14.25" customHeight="1" x14ac:dyDescent="0.2">
      <c r="B192" s="528"/>
      <c r="C192" s="380"/>
      <c r="D192" s="404"/>
      <c r="E192" s="380"/>
      <c r="F192" s="405"/>
      <c r="G192" s="405"/>
      <c r="H192" s="528"/>
    </row>
    <row r="193" spans="2:10" ht="14.25" customHeight="1" x14ac:dyDescent="0.2">
      <c r="B193" s="528"/>
      <c r="C193" s="380"/>
      <c r="D193" s="404"/>
      <c r="E193" s="380"/>
      <c r="F193" s="405"/>
      <c r="G193" s="405"/>
      <c r="H193" s="528"/>
    </row>
    <row r="194" spans="2:10" ht="14.25" customHeight="1" x14ac:dyDescent="0.2">
      <c r="B194" s="528"/>
      <c r="C194" s="380"/>
      <c r="D194" s="404"/>
      <c r="E194" s="380"/>
      <c r="F194" s="405"/>
      <c r="G194" s="405"/>
      <c r="H194" s="528"/>
    </row>
    <row r="195" spans="2:10" ht="14.25" customHeight="1" x14ac:dyDescent="0.2">
      <c r="B195" s="528"/>
      <c r="C195" s="380"/>
      <c r="D195" s="404"/>
      <c r="E195" s="380"/>
      <c r="F195" s="405"/>
      <c r="G195" s="405"/>
      <c r="H195" s="528"/>
    </row>
    <row r="196" spans="2:10" ht="14.25" customHeight="1" x14ac:dyDescent="0.2">
      <c r="B196" s="528"/>
      <c r="C196" s="380"/>
      <c r="D196" s="404"/>
      <c r="E196" s="380"/>
      <c r="F196" s="405"/>
      <c r="G196" s="405"/>
      <c r="H196" s="528"/>
    </row>
    <row r="197" spans="2:10" ht="14.25" customHeight="1" x14ac:dyDescent="0.2">
      <c r="B197" s="528"/>
      <c r="C197" s="380"/>
      <c r="D197" s="404"/>
      <c r="E197" s="380"/>
      <c r="F197" s="405"/>
      <c r="G197" s="405"/>
      <c r="H197" s="528"/>
      <c r="I197" s="530"/>
      <c r="J197" s="530"/>
    </row>
    <row r="198" spans="2:10" ht="14.25" customHeight="1" x14ac:dyDescent="0.2">
      <c r="B198" s="528"/>
      <c r="C198" s="380"/>
      <c r="D198" s="404"/>
      <c r="E198" s="380"/>
      <c r="F198" s="405"/>
      <c r="G198" s="405"/>
      <c r="H198" s="528"/>
    </row>
    <row r="199" spans="2:10" ht="14.25" customHeight="1" x14ac:dyDescent="0.2">
      <c r="B199" s="528"/>
      <c r="C199" s="380"/>
      <c r="D199" s="404"/>
      <c r="E199" s="380"/>
      <c r="F199" s="405"/>
      <c r="G199" s="405"/>
      <c r="H199" s="528"/>
    </row>
    <row r="200" spans="2:10" ht="14.25" customHeight="1" x14ac:dyDescent="0.2">
      <c r="B200" s="528"/>
      <c r="C200" s="380"/>
      <c r="D200" s="404"/>
      <c r="E200" s="380"/>
      <c r="F200" s="405"/>
      <c r="G200" s="405"/>
      <c r="H200" s="528"/>
    </row>
    <row r="201" spans="2:10" ht="14.25" customHeight="1" x14ac:dyDescent="0.2">
      <c r="B201" s="528"/>
      <c r="C201" s="380"/>
      <c r="D201" s="404"/>
      <c r="E201" s="380"/>
      <c r="F201" s="405"/>
      <c r="G201" s="405"/>
      <c r="H201" s="528"/>
    </row>
    <row r="202" spans="2:10" ht="14.25" customHeight="1" x14ac:dyDescent="0.2">
      <c r="B202" s="528"/>
      <c r="C202" s="380"/>
      <c r="D202" s="404"/>
      <c r="E202" s="380"/>
      <c r="F202" s="405"/>
      <c r="G202" s="405"/>
      <c r="H202" s="528"/>
    </row>
    <row r="203" spans="2:10" ht="14.25" customHeight="1" x14ac:dyDescent="0.2">
      <c r="B203" s="528"/>
      <c r="C203" s="380"/>
      <c r="D203" s="404"/>
      <c r="E203" s="380"/>
      <c r="F203" s="405"/>
      <c r="G203" s="405"/>
      <c r="H203" s="528"/>
    </row>
    <row r="204" spans="2:10" ht="14.25" customHeight="1" x14ac:dyDescent="0.2">
      <c r="B204" s="528"/>
      <c r="C204" s="380"/>
      <c r="D204" s="404"/>
      <c r="E204" s="380"/>
      <c r="F204" s="405"/>
      <c r="G204" s="405"/>
      <c r="H204" s="528"/>
    </row>
    <row r="205" spans="2:10" ht="14.25" customHeight="1" x14ac:dyDescent="0.2">
      <c r="B205" s="528"/>
      <c r="C205" s="380"/>
      <c r="D205" s="404"/>
      <c r="E205" s="380"/>
      <c r="F205" s="405"/>
      <c r="G205" s="405"/>
      <c r="H205" s="528"/>
    </row>
    <row r="206" spans="2:10" ht="14.25" customHeight="1" x14ac:dyDescent="0.2">
      <c r="B206" s="528"/>
      <c r="C206" s="380"/>
      <c r="D206" s="404"/>
      <c r="E206" s="380"/>
      <c r="F206" s="405"/>
      <c r="G206" s="405"/>
      <c r="H206" s="528"/>
    </row>
    <row r="207" spans="2:10" ht="14.25" customHeight="1" x14ac:dyDescent="0.2">
      <c r="B207" s="528"/>
      <c r="C207" s="380"/>
      <c r="D207" s="404"/>
      <c r="E207" s="380"/>
      <c r="F207" s="405"/>
      <c r="G207" s="405"/>
      <c r="H207" s="528"/>
    </row>
    <row r="208" spans="2:10" ht="14.25" customHeight="1" x14ac:dyDescent="0.2">
      <c r="B208" s="528"/>
      <c r="C208" s="380"/>
      <c r="D208" s="404"/>
      <c r="E208" s="380"/>
      <c r="F208" s="405"/>
      <c r="G208" s="405"/>
      <c r="H208" s="528"/>
      <c r="I208" s="530"/>
      <c r="J208" s="530"/>
    </row>
    <row r="209" spans="2:8" ht="14.25" customHeight="1" x14ac:dyDescent="0.2">
      <c r="B209" s="528"/>
      <c r="C209" s="380"/>
      <c r="D209" s="404"/>
      <c r="E209" s="380"/>
      <c r="F209" s="405"/>
      <c r="G209" s="405"/>
      <c r="H209" s="528"/>
    </row>
    <row r="210" spans="2:8" ht="14.25" customHeight="1" x14ac:dyDescent="0.2">
      <c r="B210" s="528"/>
      <c r="C210" s="380"/>
      <c r="D210" s="404"/>
      <c r="E210" s="380"/>
      <c r="F210" s="405"/>
      <c r="G210" s="405"/>
      <c r="H210" s="528"/>
    </row>
    <row r="211" spans="2:8" ht="14.25" customHeight="1" x14ac:dyDescent="0.2">
      <c r="B211" s="528"/>
      <c r="C211" s="380"/>
      <c r="D211" s="404"/>
      <c r="E211" s="380"/>
      <c r="F211" s="405"/>
      <c r="G211" s="405"/>
      <c r="H211" s="528"/>
    </row>
    <row r="212" spans="2:8" ht="14.25" customHeight="1" x14ac:dyDescent="0.2">
      <c r="B212" s="528"/>
      <c r="C212" s="380"/>
      <c r="D212" s="404"/>
      <c r="E212" s="380"/>
      <c r="F212" s="405"/>
      <c r="G212" s="405"/>
      <c r="H212" s="528"/>
    </row>
    <row r="213" spans="2:8" ht="14.25" customHeight="1" x14ac:dyDescent="0.2">
      <c r="B213" s="528"/>
      <c r="C213" s="380"/>
      <c r="D213" s="404"/>
      <c r="E213" s="380"/>
      <c r="F213" s="405"/>
      <c r="G213" s="405"/>
      <c r="H213" s="528"/>
    </row>
    <row r="214" spans="2:8" ht="14.25" customHeight="1" x14ac:dyDescent="0.2">
      <c r="B214" s="528"/>
      <c r="C214" s="380"/>
      <c r="D214" s="404"/>
      <c r="E214" s="380"/>
      <c r="F214" s="405"/>
      <c r="G214" s="405"/>
      <c r="H214" s="528"/>
    </row>
    <row r="215" spans="2:8" ht="14.25" customHeight="1" x14ac:dyDescent="0.2">
      <c r="B215" s="528"/>
      <c r="C215" s="380"/>
      <c r="D215" s="404"/>
      <c r="E215" s="380"/>
      <c r="F215" s="405"/>
      <c r="G215" s="405"/>
      <c r="H215" s="528"/>
    </row>
    <row r="216" spans="2:8" ht="14.25" customHeight="1" x14ac:dyDescent="0.2">
      <c r="B216" s="528"/>
      <c r="C216" s="380"/>
      <c r="D216" s="404"/>
      <c r="E216" s="380"/>
      <c r="F216" s="405"/>
      <c r="G216" s="405"/>
      <c r="H216" s="528"/>
    </row>
    <row r="217" spans="2:8" ht="14.25" customHeight="1" x14ac:dyDescent="0.2">
      <c r="B217" s="528"/>
      <c r="C217" s="380"/>
      <c r="D217" s="404"/>
      <c r="E217" s="380"/>
      <c r="F217" s="405"/>
      <c r="G217" s="405"/>
      <c r="H217" s="528"/>
    </row>
    <row r="218" spans="2:8" ht="14.25" customHeight="1" x14ac:dyDescent="0.2">
      <c r="B218" s="528"/>
      <c r="C218" s="380"/>
      <c r="D218" s="404"/>
      <c r="E218" s="380"/>
      <c r="F218" s="405"/>
      <c r="G218" s="405"/>
      <c r="H218" s="528"/>
    </row>
    <row r="219" spans="2:8" ht="14.25" customHeight="1" x14ac:dyDescent="0.2">
      <c r="B219" s="528"/>
      <c r="C219" s="380"/>
      <c r="D219" s="404"/>
      <c r="E219" s="380"/>
      <c r="F219" s="405"/>
      <c r="G219" s="405"/>
      <c r="H219" s="528"/>
    </row>
    <row r="220" spans="2:8" ht="14.25" customHeight="1" x14ac:dyDescent="0.2">
      <c r="B220" s="528"/>
      <c r="C220" s="380"/>
      <c r="D220" s="404"/>
      <c r="E220" s="380"/>
      <c r="F220" s="405"/>
      <c r="G220" s="405"/>
      <c r="H220" s="528"/>
    </row>
    <row r="221" spans="2:8" ht="14.25" customHeight="1" x14ac:dyDescent="0.2">
      <c r="B221" s="528"/>
      <c r="C221" s="380"/>
      <c r="D221" s="404"/>
      <c r="E221" s="380"/>
      <c r="F221" s="405"/>
      <c r="G221" s="405"/>
      <c r="H221" s="528"/>
    </row>
    <row r="222" spans="2:8" ht="14.25" customHeight="1" x14ac:dyDescent="0.2">
      <c r="B222" s="528"/>
      <c r="C222" s="380"/>
      <c r="D222" s="404"/>
      <c r="E222" s="380"/>
      <c r="F222" s="405"/>
      <c r="G222" s="405"/>
      <c r="H222" s="528"/>
    </row>
    <row r="223" spans="2:8" ht="14.25" customHeight="1" x14ac:dyDescent="0.2">
      <c r="B223" s="528"/>
      <c r="C223" s="380"/>
      <c r="D223" s="404"/>
      <c r="E223" s="380"/>
      <c r="F223" s="405"/>
      <c r="G223" s="405"/>
      <c r="H223" s="528"/>
    </row>
    <row r="224" spans="2:8" ht="14.25" customHeight="1" x14ac:dyDescent="0.2">
      <c r="B224" s="528"/>
      <c r="C224" s="380"/>
      <c r="D224" s="404"/>
      <c r="E224" s="380"/>
      <c r="F224" s="405"/>
      <c r="G224" s="405"/>
      <c r="H224" s="528"/>
    </row>
    <row r="225" spans="2:8" ht="14.25" customHeight="1" x14ac:dyDescent="0.2">
      <c r="B225" s="528"/>
      <c r="C225" s="380"/>
      <c r="D225" s="404"/>
      <c r="E225" s="380"/>
      <c r="F225" s="405"/>
      <c r="G225" s="405"/>
      <c r="H225" s="528"/>
    </row>
    <row r="226" spans="2:8" ht="14.25" customHeight="1" x14ac:dyDescent="0.2">
      <c r="B226" s="528"/>
      <c r="C226" s="380"/>
      <c r="D226" s="404"/>
      <c r="E226" s="380"/>
      <c r="F226" s="405"/>
      <c r="G226" s="405"/>
      <c r="H226" s="528"/>
    </row>
    <row r="227" spans="2:8" ht="14.25" customHeight="1" x14ac:dyDescent="0.2">
      <c r="B227" s="528"/>
      <c r="C227" s="380"/>
      <c r="D227" s="404"/>
      <c r="E227" s="380"/>
      <c r="F227" s="405"/>
      <c r="G227" s="405"/>
      <c r="H227" s="528"/>
    </row>
    <row r="228" spans="2:8" ht="14.25" customHeight="1" x14ac:dyDescent="0.2">
      <c r="B228" s="528"/>
      <c r="C228" s="380"/>
      <c r="D228" s="404"/>
      <c r="E228" s="380"/>
      <c r="F228" s="405"/>
      <c r="G228" s="405"/>
      <c r="H228" s="528"/>
    </row>
    <row r="229" spans="2:8" ht="14.25" customHeight="1" x14ac:dyDescent="0.2">
      <c r="B229" s="528"/>
      <c r="C229" s="380"/>
      <c r="D229" s="404"/>
      <c r="E229" s="380"/>
      <c r="F229" s="405"/>
      <c r="G229" s="405"/>
      <c r="H229" s="528"/>
    </row>
    <row r="230" spans="2:8" ht="14.25" customHeight="1" x14ac:dyDescent="0.2">
      <c r="B230" s="528"/>
      <c r="C230" s="380"/>
      <c r="D230" s="404"/>
      <c r="E230" s="380"/>
      <c r="F230" s="405"/>
      <c r="G230" s="405"/>
      <c r="H230" s="528"/>
    </row>
    <row r="231" spans="2:8" ht="14.25" customHeight="1" x14ac:dyDescent="0.2">
      <c r="B231" s="528"/>
      <c r="C231" s="380"/>
      <c r="D231" s="404"/>
      <c r="E231" s="380"/>
      <c r="F231" s="405"/>
      <c r="G231" s="405"/>
      <c r="H231" s="528"/>
    </row>
    <row r="232" spans="2:8" ht="14.25" customHeight="1" x14ac:dyDescent="0.2">
      <c r="B232" s="528"/>
      <c r="C232" s="380"/>
      <c r="D232" s="404"/>
      <c r="E232" s="380"/>
      <c r="F232" s="405"/>
      <c r="G232" s="405"/>
      <c r="H232" s="528"/>
    </row>
    <row r="233" spans="2:8" ht="14.25" customHeight="1" x14ac:dyDescent="0.2">
      <c r="B233" s="528"/>
      <c r="C233" s="380"/>
      <c r="D233" s="404"/>
      <c r="E233" s="380"/>
      <c r="F233" s="405"/>
      <c r="G233" s="405"/>
      <c r="H233" s="528"/>
    </row>
    <row r="234" spans="2:8" ht="14.25" customHeight="1" x14ac:dyDescent="0.2">
      <c r="B234" s="528"/>
      <c r="C234" s="380"/>
      <c r="D234" s="404"/>
      <c r="E234" s="380"/>
      <c r="F234" s="405"/>
      <c r="G234" s="405"/>
      <c r="H234" s="528"/>
    </row>
    <row r="235" spans="2:8" ht="14.25" customHeight="1" x14ac:dyDescent="0.2">
      <c r="B235" s="528"/>
      <c r="C235" s="380"/>
      <c r="D235" s="404"/>
      <c r="E235" s="380"/>
      <c r="F235" s="405"/>
      <c r="G235" s="405"/>
      <c r="H235" s="528"/>
    </row>
    <row r="236" spans="2:8" ht="14.25" customHeight="1" x14ac:dyDescent="0.2">
      <c r="B236" s="528"/>
      <c r="C236" s="380"/>
      <c r="D236" s="404"/>
      <c r="E236" s="380"/>
      <c r="F236" s="405"/>
      <c r="G236" s="405"/>
      <c r="H236" s="528"/>
    </row>
    <row r="237" spans="2:8" ht="14.25" customHeight="1" x14ac:dyDescent="0.2">
      <c r="B237" s="528"/>
      <c r="C237" s="380"/>
      <c r="D237" s="404"/>
      <c r="E237" s="380"/>
      <c r="F237" s="405"/>
      <c r="G237" s="405"/>
      <c r="H237" s="528"/>
    </row>
    <row r="238" spans="2:8" ht="14.25" customHeight="1" x14ac:dyDescent="0.2">
      <c r="B238" s="528"/>
      <c r="C238" s="380"/>
      <c r="D238" s="404"/>
      <c r="E238" s="380"/>
      <c r="F238" s="405"/>
      <c r="G238" s="405"/>
      <c r="H238" s="528"/>
    </row>
    <row r="239" spans="2:8" ht="14.25" customHeight="1" x14ac:dyDescent="0.2">
      <c r="B239" s="528"/>
      <c r="C239" s="380"/>
      <c r="D239" s="404"/>
      <c r="E239" s="380"/>
      <c r="F239" s="405"/>
      <c r="G239" s="405"/>
      <c r="H239" s="528"/>
    </row>
    <row r="240" spans="2:8" ht="14.25" customHeight="1" x14ac:dyDescent="0.2">
      <c r="B240" s="528"/>
      <c r="C240" s="380"/>
      <c r="D240" s="404"/>
      <c r="E240" s="380"/>
      <c r="F240" s="405"/>
      <c r="G240" s="405"/>
      <c r="H240" s="528"/>
    </row>
    <row r="241" spans="2:8" ht="14.25" customHeight="1" x14ac:dyDescent="0.2">
      <c r="B241" s="528"/>
      <c r="C241" s="380"/>
      <c r="D241" s="404"/>
      <c r="E241" s="380"/>
      <c r="F241" s="405"/>
      <c r="G241" s="405"/>
      <c r="H241" s="528"/>
    </row>
    <row r="242" spans="2:8" ht="14.25" customHeight="1" x14ac:dyDescent="0.2">
      <c r="B242" s="528"/>
      <c r="C242" s="380"/>
      <c r="D242" s="404"/>
      <c r="E242" s="380"/>
      <c r="F242" s="405"/>
      <c r="G242" s="405"/>
      <c r="H242" s="528"/>
    </row>
    <row r="243" spans="2:8" ht="14.25" customHeight="1" x14ac:dyDescent="0.2">
      <c r="B243" s="528"/>
      <c r="C243" s="380"/>
      <c r="D243" s="404"/>
      <c r="E243" s="380"/>
      <c r="F243" s="405"/>
      <c r="G243" s="405"/>
      <c r="H243" s="528"/>
    </row>
    <row r="244" spans="2:8" ht="14.25" customHeight="1" x14ac:dyDescent="0.2">
      <c r="B244" s="528"/>
      <c r="C244" s="380"/>
      <c r="D244" s="404"/>
      <c r="E244" s="380"/>
      <c r="F244" s="405"/>
      <c r="G244" s="405"/>
      <c r="H244" s="528"/>
    </row>
    <row r="245" spans="2:8" ht="14.25" customHeight="1" x14ac:dyDescent="0.2">
      <c r="B245" s="528"/>
      <c r="C245" s="380"/>
      <c r="D245" s="404"/>
      <c r="E245" s="380"/>
      <c r="F245" s="405"/>
      <c r="G245" s="405"/>
      <c r="H245" s="528"/>
    </row>
    <row r="246" spans="2:8" ht="14.25" customHeight="1" x14ac:dyDescent="0.2">
      <c r="B246" s="528"/>
      <c r="C246" s="380"/>
      <c r="D246" s="404"/>
      <c r="E246" s="380"/>
      <c r="F246" s="405"/>
      <c r="G246" s="405"/>
      <c r="H246" s="528"/>
    </row>
    <row r="247" spans="2:8" ht="14.25" customHeight="1" x14ac:dyDescent="0.2">
      <c r="B247" s="528"/>
      <c r="C247" s="380"/>
      <c r="D247" s="404"/>
      <c r="E247" s="380"/>
      <c r="F247" s="405"/>
      <c r="G247" s="405"/>
      <c r="H247" s="528"/>
    </row>
    <row r="248" spans="2:8" ht="14.25" customHeight="1" x14ac:dyDescent="0.2">
      <c r="B248" s="528"/>
      <c r="C248" s="380"/>
      <c r="D248" s="404"/>
      <c r="E248" s="380"/>
      <c r="F248" s="405"/>
      <c r="G248" s="405"/>
      <c r="H248" s="528"/>
    </row>
    <row r="249" spans="2:8" ht="14.25" customHeight="1" x14ac:dyDescent="0.2">
      <c r="B249" s="528"/>
      <c r="C249" s="380"/>
      <c r="D249" s="404"/>
      <c r="E249" s="380"/>
      <c r="F249" s="405"/>
      <c r="G249" s="405"/>
      <c r="H249" s="528"/>
    </row>
    <row r="250" spans="2:8" ht="14.25" customHeight="1" x14ac:dyDescent="0.2">
      <c r="B250" s="528"/>
      <c r="C250" s="380"/>
      <c r="D250" s="404"/>
      <c r="E250" s="380"/>
      <c r="F250" s="405"/>
      <c r="G250" s="405"/>
      <c r="H250" s="528"/>
    </row>
    <row r="251" spans="2:8" ht="14.25" customHeight="1" x14ac:dyDescent="0.2">
      <c r="B251" s="528"/>
      <c r="C251" s="380"/>
      <c r="D251" s="404"/>
      <c r="E251" s="380"/>
      <c r="F251" s="405"/>
      <c r="G251" s="405"/>
      <c r="H251" s="528"/>
    </row>
    <row r="252" spans="2:8" ht="14.25" customHeight="1" x14ac:dyDescent="0.2">
      <c r="B252" s="528"/>
      <c r="C252" s="380"/>
      <c r="D252" s="404"/>
      <c r="E252" s="380"/>
      <c r="F252" s="405"/>
      <c r="G252" s="405"/>
      <c r="H252" s="528"/>
    </row>
    <row r="253" spans="2:8" ht="14.25" customHeight="1" x14ac:dyDescent="0.2">
      <c r="B253" s="528"/>
      <c r="C253" s="380"/>
      <c r="D253" s="404"/>
      <c r="E253" s="380"/>
      <c r="F253" s="405"/>
      <c r="G253" s="405"/>
      <c r="H253" s="528"/>
    </row>
    <row r="254" spans="2:8" ht="14.25" customHeight="1" x14ac:dyDescent="0.2">
      <c r="B254" s="528"/>
      <c r="C254" s="380"/>
      <c r="D254" s="404"/>
      <c r="E254" s="380"/>
      <c r="F254" s="405"/>
      <c r="G254" s="405"/>
      <c r="H254" s="528"/>
    </row>
    <row r="255" spans="2:8" ht="14.25" customHeight="1" x14ac:dyDescent="0.2">
      <c r="B255" s="528"/>
      <c r="C255" s="380"/>
      <c r="D255" s="404"/>
      <c r="E255" s="380"/>
      <c r="F255" s="405"/>
      <c r="G255" s="405"/>
      <c r="H255" s="528"/>
    </row>
    <row r="256" spans="2:8" ht="14.25" customHeight="1" x14ac:dyDescent="0.2">
      <c r="B256" s="528"/>
      <c r="C256" s="380"/>
      <c r="D256" s="404"/>
      <c r="E256" s="380"/>
      <c r="F256" s="405"/>
      <c r="G256" s="405"/>
      <c r="H256" s="528"/>
    </row>
    <row r="257" spans="2:8" ht="14.25" customHeight="1" x14ac:dyDescent="0.2">
      <c r="B257" s="528"/>
      <c r="C257" s="380"/>
      <c r="D257" s="404"/>
      <c r="E257" s="380"/>
      <c r="F257" s="405"/>
      <c r="G257" s="405"/>
      <c r="H257" s="528"/>
    </row>
    <row r="258" spans="2:8" ht="14.25" customHeight="1" x14ac:dyDescent="0.2">
      <c r="B258" s="528"/>
      <c r="C258" s="380"/>
      <c r="D258" s="404"/>
      <c r="E258" s="380"/>
      <c r="F258" s="405"/>
      <c r="G258" s="405"/>
      <c r="H258" s="528"/>
    </row>
    <row r="259" spans="2:8" ht="14.25" customHeight="1" x14ac:dyDescent="0.2">
      <c r="B259" s="528"/>
      <c r="C259" s="380"/>
      <c r="D259" s="404"/>
      <c r="E259" s="380"/>
      <c r="F259" s="405"/>
      <c r="G259" s="405"/>
      <c r="H259" s="528"/>
    </row>
    <row r="260" spans="2:8" ht="14.25" customHeight="1" x14ac:dyDescent="0.2">
      <c r="B260" s="528"/>
      <c r="C260" s="380"/>
      <c r="D260" s="404"/>
      <c r="E260" s="380"/>
      <c r="F260" s="405"/>
      <c r="G260" s="405"/>
      <c r="H260" s="528"/>
    </row>
    <row r="261" spans="2:8" ht="14.25" customHeight="1" x14ac:dyDescent="0.2">
      <c r="B261" s="528"/>
      <c r="C261" s="380"/>
      <c r="D261" s="404"/>
      <c r="E261" s="380"/>
      <c r="F261" s="405"/>
      <c r="G261" s="405"/>
      <c r="H261" s="528"/>
    </row>
    <row r="262" spans="2:8" ht="14.25" customHeight="1" x14ac:dyDescent="0.2">
      <c r="B262" s="528"/>
      <c r="C262" s="380"/>
      <c r="D262" s="404"/>
      <c r="E262" s="380"/>
      <c r="F262" s="405"/>
      <c r="G262" s="405"/>
      <c r="H262" s="528"/>
    </row>
    <row r="263" spans="2:8" ht="14.25" customHeight="1" x14ac:dyDescent="0.2">
      <c r="B263" s="528"/>
      <c r="C263" s="380"/>
      <c r="D263" s="404"/>
      <c r="E263" s="380"/>
      <c r="F263" s="405"/>
      <c r="G263" s="405"/>
      <c r="H263" s="528"/>
    </row>
    <row r="264" spans="2:8" ht="14.25" customHeight="1" x14ac:dyDescent="0.2">
      <c r="B264" s="528"/>
      <c r="C264" s="380"/>
      <c r="D264" s="404"/>
      <c r="E264" s="380"/>
      <c r="F264" s="405"/>
      <c r="G264" s="405"/>
      <c r="H264" s="528"/>
    </row>
    <row r="265" spans="2:8" ht="14.25" customHeight="1" x14ac:dyDescent="0.2">
      <c r="B265" s="528"/>
      <c r="C265" s="380"/>
      <c r="D265" s="404"/>
      <c r="E265" s="380"/>
      <c r="F265" s="405"/>
      <c r="G265" s="405"/>
      <c r="H265" s="528"/>
    </row>
    <row r="266" spans="2:8" ht="14.25" customHeight="1" x14ac:dyDescent="0.2">
      <c r="B266" s="528"/>
      <c r="C266" s="380"/>
      <c r="D266" s="404"/>
      <c r="E266" s="380"/>
      <c r="F266" s="405"/>
      <c r="G266" s="405"/>
      <c r="H266" s="528"/>
    </row>
    <row r="267" spans="2:8" ht="14.25" customHeight="1" x14ac:dyDescent="0.2">
      <c r="B267" s="528"/>
      <c r="C267" s="380"/>
      <c r="D267" s="404"/>
      <c r="E267" s="380"/>
      <c r="F267" s="405"/>
      <c r="G267" s="405"/>
      <c r="H267" s="528"/>
    </row>
    <row r="268" spans="2:8" ht="14.25" customHeight="1" x14ac:dyDescent="0.2">
      <c r="B268" s="528"/>
      <c r="C268" s="380"/>
      <c r="D268" s="404"/>
      <c r="E268" s="380"/>
      <c r="F268" s="405"/>
      <c r="G268" s="405"/>
      <c r="H268" s="528"/>
    </row>
    <row r="269" spans="2:8" ht="14.25" customHeight="1" x14ac:dyDescent="0.2">
      <c r="B269" s="528"/>
      <c r="C269" s="380"/>
      <c r="D269" s="404"/>
      <c r="E269" s="380"/>
      <c r="F269" s="405"/>
      <c r="G269" s="405"/>
      <c r="H269" s="528"/>
    </row>
    <row r="270" spans="2:8" ht="14.25" customHeight="1" x14ac:dyDescent="0.2">
      <c r="B270" s="528"/>
      <c r="C270" s="380"/>
      <c r="D270" s="404"/>
      <c r="E270" s="380"/>
      <c r="F270" s="405"/>
      <c r="G270" s="405"/>
      <c r="H270" s="528"/>
    </row>
    <row r="271" spans="2:8" ht="14.25" customHeight="1" x14ac:dyDescent="0.2">
      <c r="B271" s="528"/>
      <c r="C271" s="380"/>
      <c r="D271" s="404"/>
      <c r="E271" s="380"/>
      <c r="F271" s="405"/>
      <c r="G271" s="405"/>
      <c r="H271" s="528"/>
    </row>
    <row r="272" spans="2:8" ht="14.25" customHeight="1" x14ac:dyDescent="0.2">
      <c r="B272" s="528"/>
      <c r="C272" s="380"/>
      <c r="D272" s="404"/>
      <c r="E272" s="380"/>
      <c r="F272" s="405"/>
      <c r="G272" s="405"/>
      <c r="H272" s="528"/>
    </row>
    <row r="273" spans="2:8" ht="14.25" customHeight="1" x14ac:dyDescent="0.2">
      <c r="B273" s="528"/>
      <c r="C273" s="380"/>
      <c r="D273" s="404"/>
      <c r="E273" s="380"/>
      <c r="F273" s="405"/>
      <c r="G273" s="405"/>
      <c r="H273" s="528"/>
    </row>
    <row r="274" spans="2:8" ht="14.25" customHeight="1" x14ac:dyDescent="0.2">
      <c r="B274" s="528"/>
      <c r="C274" s="380"/>
      <c r="D274" s="404"/>
      <c r="E274" s="380"/>
      <c r="F274" s="405"/>
      <c r="G274" s="405"/>
      <c r="H274" s="528"/>
    </row>
    <row r="275" spans="2:8" ht="14.25" customHeight="1" x14ac:dyDescent="0.2">
      <c r="B275" s="528"/>
      <c r="C275" s="380"/>
      <c r="D275" s="404"/>
      <c r="E275" s="380"/>
      <c r="F275" s="405"/>
      <c r="G275" s="405"/>
      <c r="H275" s="528"/>
    </row>
    <row r="276" spans="2:8" ht="14.25" customHeight="1" x14ac:dyDescent="0.2">
      <c r="B276" s="528"/>
      <c r="C276" s="380"/>
      <c r="D276" s="404"/>
      <c r="E276" s="380"/>
      <c r="F276" s="405"/>
      <c r="G276" s="405"/>
      <c r="H276" s="528"/>
    </row>
    <row r="277" spans="2:8" ht="14.25" customHeight="1" x14ac:dyDescent="0.2">
      <c r="B277" s="528"/>
      <c r="C277" s="380"/>
      <c r="D277" s="404"/>
      <c r="E277" s="380"/>
      <c r="F277" s="405"/>
      <c r="G277" s="405"/>
      <c r="H277" s="528"/>
    </row>
    <row r="278" spans="2:8" ht="14.25" customHeight="1" x14ac:dyDescent="0.2">
      <c r="B278" s="528"/>
      <c r="C278" s="380"/>
      <c r="D278" s="404"/>
      <c r="E278" s="380"/>
      <c r="F278" s="405"/>
      <c r="G278" s="405"/>
      <c r="H278" s="528"/>
    </row>
    <row r="279" spans="2:8" ht="14.25" customHeight="1" x14ac:dyDescent="0.2">
      <c r="B279" s="528"/>
      <c r="C279" s="380"/>
      <c r="D279" s="404"/>
      <c r="E279" s="380"/>
      <c r="F279" s="405"/>
      <c r="G279" s="405"/>
      <c r="H279" s="528"/>
    </row>
    <row r="280" spans="2:8" ht="14.25" customHeight="1" x14ac:dyDescent="0.2">
      <c r="B280" s="528"/>
      <c r="C280" s="380"/>
      <c r="D280" s="404"/>
      <c r="E280" s="380"/>
      <c r="F280" s="405"/>
      <c r="G280" s="405"/>
      <c r="H280" s="528"/>
    </row>
    <row r="281" spans="2:8" ht="14.25" customHeight="1" x14ac:dyDescent="0.2">
      <c r="B281" s="528"/>
      <c r="C281" s="380"/>
      <c r="D281" s="404"/>
      <c r="E281" s="380"/>
      <c r="F281" s="405"/>
      <c r="G281" s="405"/>
      <c r="H281" s="528"/>
    </row>
    <row r="282" spans="2:8" ht="14.25" customHeight="1" x14ac:dyDescent="0.2">
      <c r="B282" s="528"/>
      <c r="C282" s="380"/>
      <c r="D282" s="404"/>
      <c r="E282" s="380"/>
      <c r="F282" s="405"/>
      <c r="G282" s="405"/>
      <c r="H282" s="528"/>
    </row>
    <row r="283" spans="2:8" ht="14.25" customHeight="1" x14ac:dyDescent="0.2">
      <c r="B283" s="528"/>
      <c r="C283" s="380"/>
      <c r="D283" s="404"/>
      <c r="E283" s="380"/>
      <c r="F283" s="405"/>
      <c r="G283" s="405"/>
      <c r="H283" s="528"/>
    </row>
    <row r="284" spans="2:8" ht="14.25" customHeight="1" x14ac:dyDescent="0.2">
      <c r="B284" s="528"/>
      <c r="C284" s="380"/>
      <c r="D284" s="404"/>
      <c r="E284" s="380"/>
      <c r="F284" s="405"/>
      <c r="G284" s="405"/>
      <c r="H284" s="528"/>
    </row>
    <row r="285" spans="2:8" ht="14.25" customHeight="1" x14ac:dyDescent="0.2">
      <c r="B285" s="528"/>
      <c r="C285" s="380"/>
      <c r="D285" s="404"/>
      <c r="E285" s="380"/>
      <c r="F285" s="405"/>
      <c r="G285" s="405"/>
      <c r="H285" s="528"/>
    </row>
    <row r="286" spans="2:8" ht="14.25" customHeight="1" x14ac:dyDescent="0.2">
      <c r="B286" s="528"/>
      <c r="C286" s="380"/>
      <c r="D286" s="404"/>
      <c r="E286" s="380"/>
      <c r="F286" s="405"/>
      <c r="G286" s="405"/>
      <c r="H286" s="528"/>
    </row>
    <row r="287" spans="2:8" ht="14.25" customHeight="1" x14ac:dyDescent="0.2">
      <c r="B287" s="528"/>
      <c r="C287" s="380"/>
      <c r="D287" s="404"/>
      <c r="E287" s="380"/>
      <c r="F287" s="405"/>
      <c r="G287" s="405"/>
      <c r="H287" s="528"/>
    </row>
    <row r="288" spans="2:8" ht="14.25" customHeight="1" x14ac:dyDescent="0.2">
      <c r="B288" s="528"/>
      <c r="C288" s="380"/>
      <c r="D288" s="404"/>
      <c r="E288" s="380"/>
      <c r="F288" s="405"/>
      <c r="G288" s="405"/>
      <c r="H288" s="528"/>
    </row>
    <row r="289" spans="2:8" ht="14.25" customHeight="1" x14ac:dyDescent="0.2">
      <c r="B289" s="528"/>
      <c r="C289" s="380"/>
      <c r="D289" s="404"/>
      <c r="E289" s="380"/>
      <c r="F289" s="405"/>
      <c r="G289" s="405"/>
      <c r="H289" s="528"/>
    </row>
    <row r="290" spans="2:8" ht="14.25" customHeight="1" x14ac:dyDescent="0.2">
      <c r="B290" s="528"/>
      <c r="C290" s="380"/>
      <c r="D290" s="404"/>
      <c r="E290" s="380"/>
      <c r="F290" s="405"/>
      <c r="G290" s="405"/>
      <c r="H290" s="528"/>
    </row>
    <row r="291" spans="2:8" ht="14.25" customHeight="1" x14ac:dyDescent="0.2">
      <c r="B291" s="528"/>
      <c r="C291" s="380"/>
      <c r="D291" s="404"/>
      <c r="E291" s="380"/>
      <c r="F291" s="405"/>
      <c r="G291" s="405"/>
      <c r="H291" s="528"/>
    </row>
    <row r="292" spans="2:8" ht="14.25" customHeight="1" x14ac:dyDescent="0.2">
      <c r="B292" s="528"/>
      <c r="C292" s="380"/>
      <c r="D292" s="404"/>
      <c r="E292" s="380"/>
      <c r="F292" s="405"/>
      <c r="G292" s="405"/>
      <c r="H292" s="528"/>
    </row>
    <row r="293" spans="2:8" ht="14.25" customHeight="1" x14ac:dyDescent="0.2">
      <c r="B293" s="528"/>
      <c r="C293" s="380"/>
      <c r="D293" s="404"/>
      <c r="E293" s="380"/>
      <c r="F293" s="405"/>
      <c r="G293" s="405"/>
      <c r="H293" s="528"/>
    </row>
    <row r="294" spans="2:8" ht="14.25" customHeight="1" x14ac:dyDescent="0.2">
      <c r="B294" s="528"/>
      <c r="C294" s="380"/>
      <c r="D294" s="404"/>
      <c r="E294" s="380"/>
      <c r="F294" s="405"/>
      <c r="G294" s="405"/>
      <c r="H294" s="528"/>
    </row>
    <row r="295" spans="2:8" ht="14.25" customHeight="1" x14ac:dyDescent="0.2">
      <c r="B295" s="528"/>
      <c r="C295" s="380"/>
      <c r="D295" s="404"/>
      <c r="E295" s="380"/>
      <c r="F295" s="405"/>
      <c r="G295" s="405"/>
      <c r="H295" s="528"/>
    </row>
    <row r="296" spans="2:8" ht="14.25" customHeight="1" x14ac:dyDescent="0.2">
      <c r="B296" s="528"/>
      <c r="C296" s="380"/>
      <c r="D296" s="404"/>
      <c r="E296" s="380"/>
      <c r="F296" s="405"/>
      <c r="G296" s="405"/>
      <c r="H296" s="528"/>
    </row>
    <row r="297" spans="2:8" ht="14.25" customHeight="1" x14ac:dyDescent="0.2">
      <c r="B297" s="528"/>
      <c r="C297" s="380"/>
      <c r="D297" s="404"/>
      <c r="E297" s="380"/>
      <c r="F297" s="405"/>
      <c r="G297" s="405"/>
      <c r="H297" s="528"/>
    </row>
    <row r="298" spans="2:8" ht="14.25" customHeight="1" x14ac:dyDescent="0.2">
      <c r="B298" s="528"/>
      <c r="C298" s="380"/>
      <c r="D298" s="404"/>
      <c r="E298" s="380"/>
      <c r="F298" s="405"/>
      <c r="G298" s="405"/>
      <c r="H298" s="528"/>
    </row>
    <row r="299" spans="2:8" ht="14.25" customHeight="1" x14ac:dyDescent="0.2">
      <c r="B299" s="528"/>
      <c r="C299" s="380"/>
      <c r="D299" s="404"/>
      <c r="E299" s="380"/>
      <c r="F299" s="405"/>
      <c r="G299" s="405"/>
      <c r="H299" s="528"/>
    </row>
    <row r="300" spans="2:8" ht="14.25" customHeight="1" x14ac:dyDescent="0.2">
      <c r="B300" s="528"/>
      <c r="C300" s="380"/>
      <c r="D300" s="404"/>
      <c r="E300" s="380"/>
      <c r="F300" s="405"/>
      <c r="G300" s="405"/>
      <c r="H300" s="528"/>
    </row>
    <row r="301" spans="2:8" ht="14.25" customHeight="1" x14ac:dyDescent="0.2">
      <c r="B301" s="528"/>
      <c r="C301" s="380"/>
      <c r="D301" s="404"/>
      <c r="E301" s="380"/>
      <c r="F301" s="405"/>
      <c r="G301" s="405"/>
      <c r="H301" s="528"/>
    </row>
    <row r="302" spans="2:8" ht="14.25" customHeight="1" x14ac:dyDescent="0.2">
      <c r="B302" s="528"/>
      <c r="C302" s="380"/>
      <c r="D302" s="404"/>
      <c r="E302" s="380"/>
      <c r="F302" s="405"/>
      <c r="G302" s="405"/>
      <c r="H302" s="528"/>
    </row>
    <row r="303" spans="2:8" ht="14.25" customHeight="1" x14ac:dyDescent="0.2">
      <c r="B303" s="528"/>
      <c r="C303" s="380"/>
      <c r="D303" s="404"/>
      <c r="E303" s="380"/>
      <c r="F303" s="405"/>
      <c r="G303" s="405"/>
      <c r="H303" s="528"/>
    </row>
    <row r="304" spans="2:8" ht="14.25" customHeight="1" x14ac:dyDescent="0.2">
      <c r="B304" s="528"/>
      <c r="C304" s="380"/>
      <c r="D304" s="404"/>
      <c r="E304" s="380"/>
      <c r="F304" s="405"/>
      <c r="G304" s="405"/>
      <c r="H304" s="528"/>
    </row>
    <row r="305" spans="2:8" ht="14.25" customHeight="1" x14ac:dyDescent="0.2">
      <c r="B305" s="528"/>
      <c r="C305" s="380"/>
      <c r="D305" s="404"/>
      <c r="E305" s="380"/>
      <c r="F305" s="405"/>
      <c r="G305" s="405"/>
      <c r="H305" s="528"/>
    </row>
    <row r="306" spans="2:8" ht="14.25" customHeight="1" x14ac:dyDescent="0.2">
      <c r="B306" s="528"/>
      <c r="C306" s="380"/>
      <c r="D306" s="404"/>
      <c r="E306" s="380"/>
      <c r="F306" s="405"/>
      <c r="G306" s="405"/>
      <c r="H306" s="528"/>
    </row>
    <row r="307" spans="2:8" ht="14.25" customHeight="1" x14ac:dyDescent="0.2">
      <c r="B307" s="528"/>
      <c r="C307" s="380"/>
      <c r="D307" s="404"/>
      <c r="E307" s="380"/>
      <c r="F307" s="405"/>
      <c r="G307" s="405"/>
      <c r="H307" s="528"/>
    </row>
    <row r="308" spans="2:8" ht="14.25" customHeight="1" x14ac:dyDescent="0.2">
      <c r="B308" s="528"/>
      <c r="C308" s="380"/>
      <c r="D308" s="404"/>
      <c r="E308" s="380"/>
      <c r="F308" s="405"/>
      <c r="G308" s="405"/>
      <c r="H308" s="528"/>
    </row>
    <row r="309" spans="2:8" ht="14.25" customHeight="1" x14ac:dyDescent="0.2">
      <c r="B309" s="528"/>
      <c r="C309" s="380"/>
      <c r="D309" s="404"/>
      <c r="E309" s="380"/>
      <c r="F309" s="405"/>
      <c r="G309" s="405"/>
      <c r="H309" s="528"/>
    </row>
    <row r="310" spans="2:8" ht="14.25" customHeight="1" x14ac:dyDescent="0.2">
      <c r="B310" s="528"/>
      <c r="C310" s="380"/>
      <c r="D310" s="404"/>
      <c r="E310" s="380"/>
      <c r="F310" s="405"/>
      <c r="G310" s="405"/>
      <c r="H310" s="528"/>
    </row>
    <row r="311" spans="2:8" ht="14.25" customHeight="1" x14ac:dyDescent="0.2">
      <c r="B311" s="528"/>
      <c r="C311" s="380"/>
      <c r="D311" s="404"/>
      <c r="E311" s="380"/>
      <c r="F311" s="405"/>
      <c r="G311" s="405"/>
      <c r="H311" s="528"/>
    </row>
    <row r="312" spans="2:8" ht="14.25" customHeight="1" x14ac:dyDescent="0.2">
      <c r="B312" s="528"/>
      <c r="C312" s="380"/>
      <c r="D312" s="404"/>
      <c r="E312" s="380"/>
      <c r="F312" s="405"/>
      <c r="G312" s="405"/>
      <c r="H312" s="528"/>
    </row>
    <row r="313" spans="2:8" ht="14.25" customHeight="1" x14ac:dyDescent="0.2">
      <c r="B313" s="528"/>
      <c r="C313" s="380"/>
      <c r="D313" s="404"/>
      <c r="E313" s="380"/>
      <c r="F313" s="405"/>
      <c r="G313" s="405"/>
      <c r="H313" s="528"/>
    </row>
    <row r="314" spans="2:8" ht="14.25" customHeight="1" x14ac:dyDescent="0.2">
      <c r="B314" s="528"/>
      <c r="C314" s="380"/>
      <c r="D314" s="404"/>
      <c r="E314" s="380"/>
      <c r="F314" s="405"/>
      <c r="G314" s="405"/>
      <c r="H314" s="528"/>
    </row>
    <row r="315" spans="2:8" ht="14.25" customHeight="1" x14ac:dyDescent="0.2">
      <c r="B315" s="528"/>
      <c r="C315" s="380"/>
      <c r="D315" s="404"/>
      <c r="E315" s="380"/>
      <c r="F315" s="405"/>
      <c r="G315" s="405"/>
      <c r="H315" s="528"/>
    </row>
    <row r="316" spans="2:8" ht="14.25" customHeight="1" x14ac:dyDescent="0.2">
      <c r="B316" s="528"/>
      <c r="C316" s="380"/>
      <c r="D316" s="404"/>
      <c r="E316" s="380"/>
      <c r="F316" s="405"/>
      <c r="G316" s="405"/>
      <c r="H316" s="528"/>
    </row>
    <row r="317" spans="2:8" ht="14.25" customHeight="1" x14ac:dyDescent="0.2">
      <c r="B317" s="528"/>
      <c r="C317" s="380"/>
      <c r="D317" s="404"/>
      <c r="E317" s="380"/>
      <c r="F317" s="405"/>
      <c r="G317" s="405"/>
      <c r="H317" s="528"/>
    </row>
    <row r="318" spans="2:8" ht="14.25" customHeight="1" x14ac:dyDescent="0.2">
      <c r="B318" s="528"/>
      <c r="C318" s="380"/>
      <c r="D318" s="404"/>
      <c r="E318" s="380"/>
      <c r="F318" s="405"/>
      <c r="G318" s="405"/>
      <c r="H318" s="528"/>
    </row>
    <row r="319" spans="2:8" ht="14.25" customHeight="1" x14ac:dyDescent="0.2">
      <c r="B319" s="528"/>
      <c r="C319" s="380"/>
      <c r="D319" s="404"/>
      <c r="E319" s="380"/>
      <c r="F319" s="405"/>
      <c r="G319" s="405"/>
      <c r="H319" s="528"/>
    </row>
    <row r="320" spans="2:8" ht="14.25" customHeight="1" x14ac:dyDescent="0.2">
      <c r="B320" s="528"/>
      <c r="C320" s="380"/>
      <c r="D320" s="404"/>
      <c r="E320" s="380"/>
      <c r="F320" s="405"/>
      <c r="G320" s="405"/>
      <c r="H320" s="528"/>
    </row>
    <row r="321" spans="2:8" ht="14.25" customHeight="1" x14ac:dyDescent="0.2">
      <c r="B321" s="528"/>
      <c r="C321" s="380"/>
      <c r="D321" s="404"/>
      <c r="E321" s="380"/>
      <c r="F321" s="405"/>
      <c r="G321" s="405"/>
      <c r="H321" s="528"/>
    </row>
    <row r="322" spans="2:8" ht="14.25" customHeight="1" x14ac:dyDescent="0.2">
      <c r="B322" s="528"/>
      <c r="C322" s="380"/>
      <c r="D322" s="404"/>
      <c r="E322" s="380"/>
      <c r="F322" s="405"/>
      <c r="G322" s="405"/>
      <c r="H322" s="528"/>
    </row>
    <row r="323" spans="2:8" ht="14.25" customHeight="1" x14ac:dyDescent="0.2">
      <c r="B323" s="528"/>
      <c r="C323" s="380"/>
      <c r="D323" s="404"/>
      <c r="E323" s="380"/>
      <c r="F323" s="405"/>
      <c r="G323" s="405"/>
      <c r="H323" s="528"/>
    </row>
    <row r="324" spans="2:8" ht="14.25" customHeight="1" x14ac:dyDescent="0.2">
      <c r="B324" s="528"/>
      <c r="C324" s="380"/>
      <c r="D324" s="404"/>
      <c r="E324" s="380"/>
      <c r="F324" s="405"/>
      <c r="G324" s="405"/>
      <c r="H324" s="528"/>
    </row>
    <row r="325" spans="2:8" ht="14.25" customHeight="1" x14ac:dyDescent="0.2">
      <c r="B325" s="528"/>
      <c r="C325" s="380"/>
      <c r="D325" s="404"/>
      <c r="E325" s="380"/>
      <c r="F325" s="405"/>
      <c r="G325" s="405"/>
      <c r="H325" s="528"/>
    </row>
    <row r="326" spans="2:8" ht="14.25" customHeight="1" x14ac:dyDescent="0.2">
      <c r="B326" s="528"/>
      <c r="C326" s="380"/>
      <c r="D326" s="404"/>
      <c r="E326" s="380"/>
      <c r="F326" s="405"/>
      <c r="G326" s="405"/>
      <c r="H326" s="528"/>
    </row>
    <row r="327" spans="2:8" ht="14.25" customHeight="1" x14ac:dyDescent="0.2">
      <c r="B327" s="528"/>
      <c r="C327" s="380"/>
      <c r="D327" s="404"/>
      <c r="E327" s="380"/>
      <c r="F327" s="405"/>
      <c r="G327" s="405"/>
      <c r="H327" s="528"/>
    </row>
    <row r="328" spans="2:8" ht="14.25" customHeight="1" x14ac:dyDescent="0.2">
      <c r="B328" s="528"/>
      <c r="C328" s="380"/>
      <c r="D328" s="404"/>
      <c r="E328" s="380"/>
      <c r="F328" s="405"/>
      <c r="G328" s="405"/>
      <c r="H328" s="528"/>
    </row>
    <row r="329" spans="2:8" ht="14.25" customHeight="1" x14ac:dyDescent="0.2">
      <c r="B329" s="528"/>
      <c r="C329" s="380"/>
      <c r="D329" s="404"/>
      <c r="E329" s="380"/>
      <c r="F329" s="405"/>
      <c r="G329" s="405"/>
      <c r="H329" s="528"/>
    </row>
    <row r="330" spans="2:8" ht="14.25" customHeight="1" x14ac:dyDescent="0.2">
      <c r="B330" s="528"/>
      <c r="C330" s="380"/>
      <c r="D330" s="404"/>
      <c r="E330" s="380"/>
      <c r="F330" s="405"/>
      <c r="G330" s="405"/>
      <c r="H330" s="528"/>
    </row>
    <row r="331" spans="2:8" ht="14.25" customHeight="1" x14ac:dyDescent="0.2">
      <c r="B331" s="528"/>
      <c r="C331" s="380"/>
      <c r="D331" s="404"/>
      <c r="E331" s="380"/>
      <c r="F331" s="405"/>
      <c r="G331" s="405"/>
      <c r="H331" s="528"/>
    </row>
    <row r="332" spans="2:8" ht="14.25" customHeight="1" x14ac:dyDescent="0.2">
      <c r="B332" s="528"/>
      <c r="C332" s="380"/>
      <c r="D332" s="404"/>
      <c r="E332" s="380"/>
      <c r="F332" s="405"/>
      <c r="G332" s="405"/>
      <c r="H332" s="528"/>
    </row>
    <row r="333" spans="2:8" ht="14.25" customHeight="1" x14ac:dyDescent="0.2">
      <c r="B333" s="528"/>
      <c r="C333" s="380"/>
      <c r="D333" s="404"/>
      <c r="E333" s="380"/>
      <c r="F333" s="405"/>
      <c r="G333" s="405"/>
      <c r="H333" s="528"/>
    </row>
    <row r="334" spans="2:8" ht="14.25" customHeight="1" x14ac:dyDescent="0.2">
      <c r="B334" s="528"/>
      <c r="C334" s="380"/>
      <c r="D334" s="404"/>
      <c r="E334" s="380"/>
      <c r="F334" s="405"/>
      <c r="G334" s="405"/>
      <c r="H334" s="528"/>
    </row>
    <row r="335" spans="2:8" ht="14.25" customHeight="1" x14ac:dyDescent="0.2">
      <c r="B335" s="528"/>
      <c r="C335" s="380"/>
      <c r="D335" s="404"/>
      <c r="E335" s="380"/>
      <c r="F335" s="405"/>
      <c r="G335" s="405"/>
      <c r="H335" s="528"/>
    </row>
    <row r="336" spans="2:8" ht="14.25" customHeight="1" x14ac:dyDescent="0.2">
      <c r="B336" s="528"/>
      <c r="C336" s="380"/>
      <c r="D336" s="404"/>
      <c r="E336" s="380"/>
      <c r="F336" s="405"/>
      <c r="G336" s="405"/>
      <c r="H336" s="528"/>
    </row>
    <row r="337" spans="2:8" ht="14.25" customHeight="1" x14ac:dyDescent="0.2">
      <c r="B337" s="528"/>
      <c r="C337" s="380"/>
      <c r="D337" s="404"/>
      <c r="E337" s="380"/>
      <c r="F337" s="405"/>
      <c r="G337" s="405"/>
      <c r="H337" s="528"/>
    </row>
    <row r="338" spans="2:8" ht="14.25" customHeight="1" x14ac:dyDescent="0.2">
      <c r="B338" s="528"/>
      <c r="C338" s="380"/>
      <c r="D338" s="404"/>
      <c r="E338" s="380"/>
      <c r="F338" s="405"/>
      <c r="G338" s="405"/>
      <c r="H338" s="528"/>
    </row>
    <row r="339" spans="2:8" ht="14.25" customHeight="1" x14ac:dyDescent="0.2">
      <c r="B339" s="528"/>
      <c r="C339" s="380"/>
      <c r="D339" s="404"/>
      <c r="E339" s="380"/>
      <c r="F339" s="405"/>
      <c r="G339" s="405"/>
      <c r="H339" s="528"/>
    </row>
    <row r="340" spans="2:8" ht="14.25" customHeight="1" x14ac:dyDescent="0.2">
      <c r="B340" s="528"/>
      <c r="C340" s="380"/>
      <c r="D340" s="404"/>
      <c r="E340" s="380"/>
      <c r="F340" s="405"/>
      <c r="G340" s="405"/>
      <c r="H340" s="528"/>
    </row>
    <row r="341" spans="2:8" ht="14.25" customHeight="1" x14ac:dyDescent="0.2">
      <c r="B341" s="528"/>
      <c r="C341" s="380"/>
      <c r="D341" s="404"/>
      <c r="E341" s="380"/>
      <c r="F341" s="405"/>
      <c r="G341" s="405"/>
      <c r="H341" s="528"/>
    </row>
    <row r="342" spans="2:8" ht="14.25" customHeight="1" x14ac:dyDescent="0.2">
      <c r="B342" s="528"/>
      <c r="C342" s="380"/>
      <c r="D342" s="404"/>
      <c r="E342" s="380"/>
      <c r="F342" s="405"/>
      <c r="G342" s="405"/>
      <c r="H342" s="528"/>
    </row>
    <row r="343" spans="2:8" ht="14.25" customHeight="1" x14ac:dyDescent="0.2">
      <c r="B343" s="528"/>
      <c r="C343" s="380"/>
      <c r="D343" s="404"/>
      <c r="E343" s="380"/>
      <c r="F343" s="405"/>
      <c r="G343" s="405"/>
      <c r="H343" s="528"/>
    </row>
    <row r="344" spans="2:8" ht="14.25" customHeight="1" x14ac:dyDescent="0.2">
      <c r="B344" s="528"/>
      <c r="C344" s="380"/>
      <c r="D344" s="404"/>
      <c r="E344" s="380"/>
      <c r="F344" s="405"/>
      <c r="G344" s="405"/>
      <c r="H344" s="528"/>
    </row>
    <row r="345" spans="2:8" ht="14.25" customHeight="1" x14ac:dyDescent="0.2">
      <c r="B345" s="528"/>
      <c r="C345" s="380"/>
      <c r="D345" s="404"/>
      <c r="E345" s="380"/>
      <c r="F345" s="405"/>
      <c r="G345" s="405"/>
      <c r="H345" s="528"/>
    </row>
    <row r="346" spans="2:8" ht="14.25" customHeight="1" x14ac:dyDescent="0.2">
      <c r="B346" s="528"/>
      <c r="C346" s="380"/>
      <c r="D346" s="404"/>
      <c r="E346" s="380"/>
      <c r="F346" s="405"/>
      <c r="G346" s="405"/>
      <c r="H346" s="528"/>
    </row>
    <row r="347" spans="2:8" ht="14.25" customHeight="1" x14ac:dyDescent="0.2">
      <c r="B347" s="528"/>
      <c r="C347" s="380"/>
      <c r="D347" s="404"/>
      <c r="E347" s="380"/>
      <c r="F347" s="405"/>
      <c r="G347" s="405"/>
      <c r="H347" s="528"/>
    </row>
    <row r="348" spans="2:8" ht="14.25" customHeight="1" x14ac:dyDescent="0.2">
      <c r="B348" s="528"/>
      <c r="C348" s="380"/>
      <c r="D348" s="404"/>
      <c r="E348" s="380"/>
      <c r="F348" s="405"/>
      <c r="G348" s="405"/>
      <c r="H348" s="528"/>
    </row>
    <row r="349" spans="2:8" ht="14.25" customHeight="1" x14ac:dyDescent="0.2">
      <c r="B349" s="528"/>
      <c r="C349" s="380"/>
      <c r="D349" s="404"/>
      <c r="E349" s="380"/>
      <c r="F349" s="405"/>
      <c r="G349" s="405"/>
      <c r="H349" s="528"/>
    </row>
    <row r="350" spans="2:8" ht="14.25" customHeight="1" x14ac:dyDescent="0.2">
      <c r="B350" s="528"/>
      <c r="C350" s="380"/>
      <c r="D350" s="404"/>
      <c r="E350" s="380"/>
      <c r="F350" s="405"/>
      <c r="G350" s="405"/>
      <c r="H350" s="528"/>
    </row>
    <row r="351" spans="2:8" ht="14.25" customHeight="1" x14ac:dyDescent="0.2">
      <c r="B351" s="528"/>
      <c r="C351" s="380"/>
      <c r="D351" s="404"/>
      <c r="E351" s="380"/>
      <c r="F351" s="405"/>
      <c r="G351" s="405"/>
      <c r="H351" s="528"/>
    </row>
    <row r="352" spans="2:8" ht="14.25" customHeight="1" x14ac:dyDescent="0.2">
      <c r="B352" s="528"/>
      <c r="C352" s="380"/>
      <c r="D352" s="404"/>
      <c r="E352" s="380"/>
      <c r="F352" s="405"/>
      <c r="G352" s="405"/>
      <c r="H352" s="528"/>
    </row>
    <row r="353" spans="2:8" ht="14.25" customHeight="1" x14ac:dyDescent="0.2">
      <c r="B353" s="528"/>
      <c r="C353" s="380"/>
      <c r="D353" s="404"/>
      <c r="E353" s="380"/>
      <c r="F353" s="405"/>
      <c r="G353" s="405"/>
      <c r="H353" s="528"/>
    </row>
    <row r="354" spans="2:8" ht="14.25" customHeight="1" x14ac:dyDescent="0.2">
      <c r="B354" s="528"/>
      <c r="C354" s="380"/>
      <c r="D354" s="404"/>
      <c r="E354" s="380"/>
      <c r="F354" s="405"/>
      <c r="G354" s="405"/>
      <c r="H354" s="528"/>
    </row>
    <row r="355" spans="2:8" ht="14.25" customHeight="1" x14ac:dyDescent="0.2">
      <c r="B355" s="528"/>
      <c r="C355" s="380"/>
      <c r="D355" s="404"/>
      <c r="E355" s="380"/>
      <c r="F355" s="405"/>
      <c r="G355" s="405"/>
      <c r="H355" s="528"/>
    </row>
    <row r="356" spans="2:8" ht="14.25" customHeight="1" x14ac:dyDescent="0.2">
      <c r="B356" s="528"/>
      <c r="C356" s="380"/>
      <c r="D356" s="404"/>
      <c r="E356" s="380"/>
      <c r="F356" s="405"/>
      <c r="G356" s="405"/>
      <c r="H356" s="528"/>
    </row>
    <row r="357" spans="2:8" ht="14.25" customHeight="1" x14ac:dyDescent="0.2">
      <c r="B357" s="528"/>
      <c r="C357" s="380"/>
      <c r="D357" s="404"/>
      <c r="E357" s="380"/>
      <c r="F357" s="405"/>
      <c r="G357" s="405"/>
      <c r="H357" s="528"/>
    </row>
    <row r="358" spans="2:8" ht="14.25" customHeight="1" x14ac:dyDescent="0.2">
      <c r="B358" s="528"/>
      <c r="C358" s="380"/>
      <c r="D358" s="404"/>
      <c r="E358" s="380"/>
      <c r="F358" s="405"/>
      <c r="G358" s="405"/>
      <c r="H358" s="528"/>
    </row>
    <row r="359" spans="2:8" ht="14.25" customHeight="1" x14ac:dyDescent="0.2">
      <c r="B359" s="528"/>
      <c r="C359" s="380"/>
      <c r="D359" s="404"/>
      <c r="E359" s="380"/>
      <c r="F359" s="405"/>
      <c r="G359" s="405"/>
      <c r="H359" s="528"/>
    </row>
    <row r="360" spans="2:8" ht="14.25" customHeight="1" x14ac:dyDescent="0.2">
      <c r="B360" s="528"/>
      <c r="C360" s="380"/>
      <c r="D360" s="404"/>
      <c r="E360" s="380"/>
      <c r="F360" s="405"/>
      <c r="G360" s="405"/>
      <c r="H360" s="528"/>
    </row>
    <row r="361" spans="2:8" ht="14.25" customHeight="1" x14ac:dyDescent="0.2">
      <c r="B361" s="528"/>
      <c r="C361" s="380"/>
      <c r="D361" s="404"/>
      <c r="E361" s="380"/>
      <c r="F361" s="405"/>
      <c r="G361" s="405"/>
      <c r="H361" s="528"/>
    </row>
    <row r="362" spans="2:8" ht="14.25" customHeight="1" x14ac:dyDescent="0.2">
      <c r="B362" s="528"/>
      <c r="C362" s="380"/>
      <c r="D362" s="404"/>
      <c r="E362" s="380"/>
      <c r="F362" s="405"/>
      <c r="G362" s="405"/>
      <c r="H362" s="528"/>
    </row>
    <row r="363" spans="2:8" ht="14.25" customHeight="1" x14ac:dyDescent="0.2">
      <c r="B363" s="528"/>
      <c r="C363" s="380"/>
      <c r="D363" s="404"/>
      <c r="E363" s="380"/>
      <c r="F363" s="405"/>
      <c r="G363" s="405"/>
      <c r="H363" s="528"/>
    </row>
    <row r="364" spans="2:8" ht="14.25" customHeight="1" x14ac:dyDescent="0.2">
      <c r="B364" s="528"/>
      <c r="C364" s="380"/>
      <c r="D364" s="404"/>
      <c r="E364" s="380"/>
      <c r="F364" s="405"/>
      <c r="G364" s="405"/>
      <c r="H364" s="528"/>
    </row>
    <row r="365" spans="2:8" ht="14.25" customHeight="1" x14ac:dyDescent="0.2">
      <c r="B365" s="528"/>
      <c r="C365" s="380"/>
      <c r="D365" s="404"/>
      <c r="E365" s="380"/>
      <c r="F365" s="405"/>
      <c r="G365" s="405"/>
      <c r="H365" s="528"/>
    </row>
    <row r="366" spans="2:8" ht="14.25" customHeight="1" x14ac:dyDescent="0.2">
      <c r="B366" s="528"/>
      <c r="C366" s="380"/>
      <c r="D366" s="404"/>
      <c r="E366" s="380"/>
      <c r="F366" s="405"/>
      <c r="G366" s="405"/>
      <c r="H366" s="528"/>
    </row>
    <row r="367" spans="2:8" ht="14.25" customHeight="1" x14ac:dyDescent="0.2">
      <c r="B367" s="528"/>
      <c r="C367" s="380"/>
      <c r="D367" s="404"/>
      <c r="E367" s="380"/>
      <c r="F367" s="405"/>
      <c r="G367" s="405"/>
      <c r="H367" s="528"/>
    </row>
    <row r="368" spans="2:8" ht="14.25" customHeight="1" x14ac:dyDescent="0.2">
      <c r="B368" s="528"/>
      <c r="C368" s="380"/>
      <c r="D368" s="404"/>
      <c r="E368" s="380"/>
      <c r="F368" s="405"/>
      <c r="G368" s="405"/>
      <c r="H368" s="528"/>
    </row>
    <row r="369" spans="2:8" ht="14.25" customHeight="1" x14ac:dyDescent="0.2">
      <c r="B369" s="528"/>
      <c r="C369" s="380"/>
      <c r="D369" s="404"/>
      <c r="E369" s="380"/>
      <c r="F369" s="405"/>
      <c r="G369" s="405"/>
      <c r="H369" s="528"/>
    </row>
    <row r="370" spans="2:8" x14ac:dyDescent="0.2">
      <c r="B370" s="528"/>
      <c r="C370" s="380"/>
      <c r="D370" s="404"/>
      <c r="E370" s="380"/>
      <c r="F370" s="405"/>
      <c r="G370" s="405"/>
      <c r="H370" s="528"/>
    </row>
    <row r="371" spans="2:8" x14ac:dyDescent="0.2">
      <c r="B371" s="528"/>
      <c r="C371" s="380"/>
      <c r="D371" s="404"/>
      <c r="E371" s="380"/>
      <c r="F371" s="405"/>
      <c r="G371" s="405"/>
      <c r="H371" s="528"/>
    </row>
    <row r="372" spans="2:8" x14ac:dyDescent="0.2">
      <c r="B372" s="528"/>
      <c r="C372" s="380"/>
      <c r="D372" s="404"/>
      <c r="E372" s="380"/>
      <c r="F372" s="405"/>
      <c r="G372" s="405"/>
      <c r="H372" s="528"/>
    </row>
    <row r="373" spans="2:8" x14ac:dyDescent="0.2">
      <c r="B373" s="528"/>
      <c r="C373" s="380"/>
      <c r="D373" s="404"/>
      <c r="E373" s="380"/>
      <c r="F373" s="405"/>
      <c r="G373" s="405"/>
      <c r="H373" s="528"/>
    </row>
    <row r="374" spans="2:8" x14ac:dyDescent="0.2">
      <c r="B374" s="528"/>
      <c r="C374" s="380"/>
      <c r="D374" s="404"/>
      <c r="E374" s="380"/>
      <c r="F374" s="405"/>
      <c r="G374" s="405"/>
      <c r="H374" s="528"/>
    </row>
    <row r="375" spans="2:8" x14ac:dyDescent="0.2">
      <c r="B375" s="528"/>
      <c r="C375" s="380"/>
      <c r="D375" s="404"/>
      <c r="E375" s="380"/>
      <c r="F375" s="405"/>
      <c r="G375" s="405"/>
      <c r="H375" s="528"/>
    </row>
    <row r="376" spans="2:8" x14ac:dyDescent="0.2">
      <c r="B376" s="528"/>
      <c r="C376" s="380"/>
      <c r="D376" s="404"/>
      <c r="E376" s="380"/>
      <c r="F376" s="405"/>
      <c r="G376" s="405"/>
      <c r="H376" s="528"/>
    </row>
    <row r="377" spans="2:8" x14ac:dyDescent="0.2">
      <c r="B377" s="528"/>
      <c r="C377" s="380"/>
      <c r="D377" s="404"/>
      <c r="E377" s="380"/>
      <c r="F377" s="405"/>
      <c r="G377" s="405"/>
      <c r="H377" s="528"/>
    </row>
    <row r="378" spans="2:8" x14ac:dyDescent="0.2">
      <c r="B378" s="528"/>
      <c r="C378" s="380"/>
      <c r="D378" s="404"/>
      <c r="E378" s="380"/>
      <c r="F378" s="405"/>
      <c r="G378" s="405"/>
      <c r="H378" s="528"/>
    </row>
    <row r="379" spans="2:8" x14ac:dyDescent="0.2">
      <c r="B379" s="528"/>
      <c r="C379" s="380"/>
      <c r="D379" s="404"/>
      <c r="E379" s="380"/>
      <c r="F379" s="405"/>
      <c r="G379" s="405"/>
      <c r="H379" s="528"/>
    </row>
    <row r="380" spans="2:8" x14ac:dyDescent="0.2">
      <c r="B380" s="528"/>
      <c r="C380" s="380"/>
      <c r="D380" s="404"/>
      <c r="E380" s="380"/>
      <c r="F380" s="405"/>
      <c r="G380" s="405"/>
      <c r="H380" s="528"/>
    </row>
    <row r="381" spans="2:8" x14ac:dyDescent="0.2">
      <c r="B381" s="528"/>
      <c r="C381" s="380"/>
      <c r="D381" s="404"/>
      <c r="E381" s="380"/>
      <c r="F381" s="405"/>
      <c r="G381" s="405"/>
      <c r="H381" s="528"/>
    </row>
    <row r="382" spans="2:8" x14ac:dyDescent="0.2">
      <c r="B382" s="528"/>
      <c r="C382" s="380"/>
      <c r="D382" s="404"/>
      <c r="E382" s="380"/>
      <c r="F382" s="405"/>
      <c r="G382" s="405"/>
      <c r="H382" s="528"/>
    </row>
    <row r="383" spans="2:8" x14ac:dyDescent="0.2">
      <c r="B383" s="528"/>
      <c r="C383" s="380"/>
      <c r="D383" s="404"/>
      <c r="E383" s="380"/>
      <c r="F383" s="405"/>
      <c r="G383" s="405"/>
      <c r="H383" s="528"/>
    </row>
    <row r="384" spans="2:8" x14ac:dyDescent="0.2">
      <c r="B384" s="528"/>
      <c r="C384" s="380"/>
      <c r="D384" s="404"/>
      <c r="E384" s="380"/>
      <c r="F384" s="405"/>
      <c r="G384" s="405"/>
      <c r="H384" s="528"/>
    </row>
    <row r="385" spans="2:8" x14ac:dyDescent="0.2">
      <c r="B385" s="528"/>
      <c r="C385" s="380"/>
      <c r="D385" s="404"/>
      <c r="E385" s="380"/>
      <c r="F385" s="405"/>
      <c r="G385" s="405"/>
      <c r="H385" s="528"/>
    </row>
    <row r="386" spans="2:8" x14ac:dyDescent="0.2">
      <c r="B386" s="528"/>
      <c r="C386" s="380"/>
      <c r="D386" s="404"/>
      <c r="E386" s="380"/>
      <c r="F386" s="405"/>
      <c r="G386" s="405"/>
      <c r="H386" s="528"/>
    </row>
    <row r="387" spans="2:8" x14ac:dyDescent="0.2">
      <c r="B387" s="528"/>
      <c r="C387" s="380"/>
      <c r="D387" s="404"/>
      <c r="E387" s="380"/>
      <c r="F387" s="405"/>
      <c r="G387" s="405"/>
      <c r="H387" s="528"/>
    </row>
    <row r="388" spans="2:8" x14ac:dyDescent="0.2">
      <c r="B388" s="528"/>
      <c r="C388" s="380"/>
      <c r="D388" s="404"/>
      <c r="E388" s="380"/>
      <c r="F388" s="405"/>
      <c r="G388" s="405"/>
      <c r="H388" s="528"/>
    </row>
    <row r="389" spans="2:8" x14ac:dyDescent="0.2">
      <c r="B389" s="528"/>
      <c r="C389" s="380"/>
      <c r="D389" s="404"/>
      <c r="E389" s="380"/>
      <c r="F389" s="405"/>
      <c r="G389" s="405"/>
      <c r="H389" s="528"/>
    </row>
    <row r="390" spans="2:8" x14ac:dyDescent="0.2">
      <c r="B390" s="528"/>
      <c r="C390" s="380"/>
      <c r="D390" s="404"/>
      <c r="E390" s="380"/>
      <c r="F390" s="405"/>
      <c r="G390" s="405"/>
      <c r="H390" s="528"/>
    </row>
    <row r="391" spans="2:8" x14ac:dyDescent="0.2">
      <c r="B391" s="528"/>
      <c r="C391" s="380"/>
      <c r="D391" s="404"/>
      <c r="E391" s="380"/>
      <c r="F391" s="405"/>
      <c r="G391" s="405"/>
      <c r="H391" s="528"/>
    </row>
    <row r="392" spans="2:8" x14ac:dyDescent="0.2">
      <c r="B392" s="528"/>
      <c r="C392" s="380"/>
      <c r="D392" s="404"/>
      <c r="E392" s="380"/>
      <c r="F392" s="405"/>
      <c r="G392" s="405"/>
      <c r="H392" s="528"/>
    </row>
    <row r="393" spans="2:8" x14ac:dyDescent="0.2">
      <c r="B393" s="528"/>
      <c r="C393" s="380"/>
      <c r="D393" s="404"/>
      <c r="E393" s="380"/>
      <c r="F393" s="405"/>
      <c r="G393" s="405"/>
      <c r="H393" s="528"/>
    </row>
    <row r="394" spans="2:8" x14ac:dyDescent="0.2">
      <c r="B394" s="528"/>
      <c r="C394" s="380"/>
      <c r="D394" s="404"/>
      <c r="E394" s="380"/>
      <c r="F394" s="405"/>
      <c r="G394" s="405"/>
      <c r="H394" s="528"/>
    </row>
    <row r="395" spans="2:8" x14ac:dyDescent="0.2">
      <c r="B395" s="528"/>
      <c r="C395" s="380"/>
      <c r="D395" s="404"/>
      <c r="E395" s="380"/>
      <c r="F395" s="405"/>
      <c r="G395" s="405"/>
      <c r="H395" s="528"/>
    </row>
    <row r="396" spans="2:8" x14ac:dyDescent="0.2">
      <c r="B396" s="528"/>
      <c r="C396" s="380"/>
      <c r="D396" s="404"/>
      <c r="E396" s="380"/>
      <c r="F396" s="405"/>
      <c r="G396" s="405"/>
      <c r="H396" s="528"/>
    </row>
    <row r="397" spans="2:8" x14ac:dyDescent="0.2">
      <c r="B397" s="528"/>
      <c r="C397" s="380"/>
      <c r="D397" s="404"/>
      <c r="E397" s="380"/>
      <c r="F397" s="405"/>
      <c r="G397" s="405"/>
      <c r="H397" s="528"/>
    </row>
    <row r="398" spans="2:8" x14ac:dyDescent="0.2">
      <c r="B398" s="528"/>
      <c r="C398" s="380"/>
      <c r="D398" s="404"/>
      <c r="E398" s="380"/>
      <c r="F398" s="405"/>
      <c r="G398" s="405"/>
      <c r="H398" s="528"/>
    </row>
    <row r="399" spans="2:8" x14ac:dyDescent="0.2">
      <c r="B399" s="528"/>
      <c r="C399" s="380"/>
      <c r="D399" s="404"/>
      <c r="E399" s="380"/>
      <c r="F399" s="405"/>
      <c r="G399" s="405"/>
      <c r="H399" s="528"/>
    </row>
    <row r="400" spans="2:8" x14ac:dyDescent="0.2">
      <c r="B400" s="528"/>
      <c r="C400" s="380"/>
      <c r="D400" s="404"/>
      <c r="E400" s="380"/>
      <c r="F400" s="405"/>
      <c r="G400" s="405"/>
      <c r="H400" s="528"/>
    </row>
    <row r="401" spans="2:8" x14ac:dyDescent="0.2">
      <c r="B401" s="528"/>
      <c r="C401" s="380"/>
      <c r="D401" s="404"/>
      <c r="E401" s="380"/>
      <c r="F401" s="405"/>
      <c r="G401" s="405"/>
      <c r="H401" s="528"/>
    </row>
    <row r="402" spans="2:8" x14ac:dyDescent="0.2">
      <c r="B402" s="528"/>
      <c r="C402" s="380"/>
      <c r="D402" s="404"/>
      <c r="E402" s="380"/>
      <c r="F402" s="405"/>
      <c r="G402" s="405"/>
      <c r="H402" s="528"/>
    </row>
    <row r="403" spans="2:8" x14ac:dyDescent="0.2">
      <c r="B403" s="528"/>
      <c r="C403" s="380"/>
      <c r="D403" s="404"/>
      <c r="E403" s="380"/>
      <c r="F403" s="405"/>
      <c r="G403" s="405"/>
      <c r="H403" s="528"/>
    </row>
    <row r="404" spans="2:8" x14ac:dyDescent="0.2">
      <c r="B404" s="528"/>
      <c r="C404" s="380"/>
      <c r="D404" s="404"/>
      <c r="E404" s="380"/>
      <c r="F404" s="405"/>
      <c r="G404" s="405"/>
      <c r="H404" s="528"/>
    </row>
    <row r="405" spans="2:8" x14ac:dyDescent="0.2">
      <c r="B405" s="528"/>
      <c r="C405" s="380"/>
      <c r="D405" s="404"/>
      <c r="E405" s="380"/>
      <c r="F405" s="405"/>
      <c r="G405" s="405"/>
      <c r="H405" s="528"/>
    </row>
    <row r="406" spans="2:8" x14ac:dyDescent="0.2">
      <c r="B406" s="528"/>
      <c r="C406" s="380"/>
      <c r="D406" s="404"/>
      <c r="E406" s="380"/>
      <c r="F406" s="405"/>
      <c r="G406" s="405"/>
      <c r="H406" s="528"/>
    </row>
    <row r="407" spans="2:8" x14ac:dyDescent="0.2">
      <c r="B407" s="528"/>
      <c r="C407" s="380"/>
      <c r="D407" s="404"/>
      <c r="E407" s="380"/>
      <c r="F407" s="405"/>
      <c r="G407" s="405"/>
      <c r="H407" s="528"/>
    </row>
    <row r="408" spans="2:8" x14ac:dyDescent="0.2">
      <c r="B408" s="528"/>
      <c r="C408" s="380"/>
      <c r="D408" s="404"/>
      <c r="E408" s="380"/>
      <c r="F408" s="405"/>
      <c r="G408" s="405"/>
      <c r="H408" s="528"/>
    </row>
    <row r="409" spans="2:8" x14ac:dyDescent="0.2">
      <c r="B409" s="528"/>
      <c r="C409" s="380"/>
      <c r="D409" s="404"/>
      <c r="E409" s="380"/>
      <c r="F409" s="405"/>
      <c r="G409" s="405"/>
      <c r="H409" s="528"/>
    </row>
    <row r="410" spans="2:8" x14ac:dyDescent="0.2">
      <c r="B410" s="528"/>
      <c r="C410" s="380"/>
      <c r="D410" s="404"/>
      <c r="E410" s="380"/>
      <c r="F410" s="405"/>
      <c r="G410" s="405"/>
      <c r="H410" s="528"/>
    </row>
    <row r="411" spans="2:8" x14ac:dyDescent="0.2">
      <c r="B411" s="528"/>
      <c r="C411" s="380"/>
      <c r="D411" s="404"/>
      <c r="E411" s="380"/>
      <c r="F411" s="405"/>
      <c r="G411" s="405"/>
      <c r="H411" s="528"/>
    </row>
    <row r="412" spans="2:8" x14ac:dyDescent="0.2">
      <c r="B412" s="528"/>
      <c r="C412" s="380"/>
      <c r="D412" s="404"/>
      <c r="E412" s="380"/>
      <c r="F412" s="405"/>
      <c r="G412" s="405"/>
      <c r="H412" s="528"/>
    </row>
    <row r="413" spans="2:8" x14ac:dyDescent="0.2">
      <c r="B413" s="528"/>
      <c r="C413" s="380"/>
      <c r="D413" s="404"/>
      <c r="E413" s="380"/>
      <c r="F413" s="405"/>
      <c r="G413" s="405"/>
      <c r="H413" s="528"/>
    </row>
    <row r="414" spans="2:8" x14ac:dyDescent="0.2">
      <c r="B414" s="528"/>
      <c r="C414" s="380"/>
      <c r="D414" s="404"/>
      <c r="E414" s="380"/>
      <c r="F414" s="405"/>
      <c r="G414" s="405"/>
      <c r="H414" s="528"/>
    </row>
    <row r="415" spans="2:8" x14ac:dyDescent="0.2">
      <c r="B415" s="528"/>
      <c r="C415" s="380"/>
      <c r="D415" s="404"/>
      <c r="E415" s="380"/>
      <c r="F415" s="405"/>
      <c r="G415" s="405"/>
      <c r="H415" s="528"/>
    </row>
    <row r="416" spans="2:8" x14ac:dyDescent="0.2">
      <c r="B416" s="528"/>
      <c r="C416" s="380"/>
      <c r="D416" s="404"/>
      <c r="E416" s="380"/>
      <c r="F416" s="405"/>
      <c r="G416" s="405"/>
      <c r="H416" s="528"/>
    </row>
    <row r="417" spans="2:8" x14ac:dyDescent="0.2">
      <c r="B417" s="528"/>
      <c r="C417" s="380"/>
      <c r="D417" s="404"/>
      <c r="E417" s="380"/>
      <c r="F417" s="405"/>
      <c r="G417" s="405"/>
      <c r="H417" s="528"/>
    </row>
    <row r="418" spans="2:8" x14ac:dyDescent="0.2">
      <c r="B418" s="528"/>
      <c r="C418" s="380"/>
      <c r="D418" s="404"/>
      <c r="E418" s="380"/>
      <c r="F418" s="405"/>
      <c r="G418" s="405"/>
      <c r="H418" s="528"/>
    </row>
    <row r="419" spans="2:8" x14ac:dyDescent="0.2">
      <c r="B419" s="528"/>
      <c r="C419" s="380"/>
      <c r="D419" s="404"/>
      <c r="E419" s="380"/>
      <c r="F419" s="405"/>
      <c r="G419" s="405"/>
      <c r="H419" s="528"/>
    </row>
    <row r="420" spans="2:8" x14ac:dyDescent="0.2">
      <c r="B420" s="528"/>
      <c r="C420" s="380"/>
      <c r="D420" s="404"/>
      <c r="E420" s="380"/>
      <c r="F420" s="405"/>
      <c r="G420" s="405"/>
      <c r="H420" s="528"/>
    </row>
    <row r="421" spans="2:8" x14ac:dyDescent="0.2">
      <c r="B421" s="528"/>
      <c r="C421" s="380"/>
      <c r="D421" s="404"/>
      <c r="E421" s="380"/>
      <c r="F421" s="405"/>
      <c r="G421" s="405"/>
      <c r="H421" s="528"/>
    </row>
    <row r="422" spans="2:8" x14ac:dyDescent="0.2">
      <c r="B422" s="528"/>
      <c r="C422" s="380"/>
      <c r="D422" s="404"/>
      <c r="E422" s="380"/>
      <c r="F422" s="405"/>
      <c r="G422" s="405"/>
      <c r="H422" s="528"/>
    </row>
    <row r="423" spans="2:8" x14ac:dyDescent="0.2">
      <c r="B423" s="528"/>
      <c r="C423" s="380"/>
      <c r="D423" s="404"/>
      <c r="E423" s="380"/>
      <c r="F423" s="405"/>
      <c r="G423" s="405"/>
      <c r="H423" s="528"/>
    </row>
    <row r="424" spans="2:8" x14ac:dyDescent="0.2">
      <c r="B424" s="528"/>
      <c r="C424" s="380"/>
      <c r="D424" s="404"/>
      <c r="E424" s="380"/>
      <c r="F424" s="405"/>
      <c r="G424" s="405"/>
      <c r="H424" s="528"/>
    </row>
    <row r="425" spans="2:8" x14ac:dyDescent="0.2">
      <c r="B425" s="528"/>
      <c r="C425" s="380"/>
      <c r="D425" s="404"/>
      <c r="E425" s="380"/>
      <c r="F425" s="405"/>
      <c r="G425" s="405"/>
      <c r="H425" s="528"/>
    </row>
    <row r="426" spans="2:8" x14ac:dyDescent="0.2">
      <c r="B426" s="528"/>
      <c r="C426" s="380"/>
      <c r="D426" s="404"/>
      <c r="E426" s="380"/>
      <c r="F426" s="405"/>
      <c r="G426" s="405"/>
      <c r="H426" s="528"/>
    </row>
    <row r="427" spans="2:8" x14ac:dyDescent="0.2">
      <c r="B427" s="528"/>
      <c r="C427" s="380"/>
      <c r="D427" s="404"/>
      <c r="E427" s="380"/>
      <c r="F427" s="405"/>
      <c r="G427" s="405"/>
      <c r="H427" s="528"/>
    </row>
    <row r="428" spans="2:8" x14ac:dyDescent="0.2">
      <c r="B428" s="528"/>
      <c r="C428" s="380"/>
      <c r="D428" s="404"/>
      <c r="E428" s="380"/>
      <c r="F428" s="405"/>
      <c r="G428" s="405"/>
      <c r="H428" s="528"/>
    </row>
    <row r="429" spans="2:8" x14ac:dyDescent="0.2">
      <c r="B429" s="528"/>
      <c r="C429" s="380"/>
      <c r="D429" s="404"/>
      <c r="E429" s="380"/>
      <c r="F429" s="405"/>
      <c r="G429" s="405"/>
      <c r="H429" s="528"/>
    </row>
    <row r="430" spans="2:8" x14ac:dyDescent="0.2">
      <c r="B430" s="528"/>
      <c r="C430" s="380"/>
      <c r="D430" s="404"/>
      <c r="E430" s="380"/>
      <c r="F430" s="405"/>
      <c r="G430" s="405"/>
      <c r="H430" s="528"/>
    </row>
    <row r="431" spans="2:8" x14ac:dyDescent="0.2">
      <c r="B431" s="528"/>
      <c r="C431" s="380"/>
      <c r="D431" s="404"/>
      <c r="E431" s="380"/>
      <c r="F431" s="405"/>
      <c r="G431" s="405"/>
      <c r="H431" s="528"/>
    </row>
    <row r="432" spans="2:8" x14ac:dyDescent="0.2">
      <c r="B432" s="528"/>
      <c r="C432" s="380"/>
      <c r="D432" s="404"/>
      <c r="E432" s="380"/>
      <c r="F432" s="405"/>
      <c r="G432" s="405"/>
      <c r="H432" s="528"/>
    </row>
    <row r="433" spans="2:8" x14ac:dyDescent="0.2">
      <c r="B433" s="528"/>
      <c r="C433" s="380"/>
      <c r="D433" s="404"/>
      <c r="E433" s="380"/>
      <c r="F433" s="405"/>
      <c r="G433" s="405"/>
      <c r="H433" s="528"/>
    </row>
    <row r="434" spans="2:8" x14ac:dyDescent="0.2">
      <c r="B434" s="528"/>
      <c r="C434" s="380"/>
      <c r="D434" s="404"/>
      <c r="E434" s="380"/>
      <c r="F434" s="405"/>
      <c r="G434" s="405"/>
      <c r="H434" s="528"/>
    </row>
    <row r="435" spans="2:8" x14ac:dyDescent="0.2">
      <c r="B435" s="528"/>
      <c r="C435" s="380"/>
      <c r="D435" s="404"/>
      <c r="E435" s="380"/>
      <c r="F435" s="405"/>
      <c r="G435" s="405"/>
      <c r="H435" s="528"/>
    </row>
    <row r="436" spans="2:8" x14ac:dyDescent="0.2">
      <c r="B436" s="528"/>
      <c r="C436" s="380"/>
      <c r="D436" s="404"/>
      <c r="E436" s="380"/>
      <c r="F436" s="405"/>
      <c r="G436" s="405"/>
      <c r="H436" s="528"/>
    </row>
    <row r="437" spans="2:8" x14ac:dyDescent="0.2">
      <c r="B437" s="528"/>
      <c r="C437" s="380"/>
      <c r="D437" s="404"/>
      <c r="E437" s="380"/>
      <c r="F437" s="405"/>
      <c r="G437" s="405"/>
      <c r="H437" s="528"/>
    </row>
    <row r="438" spans="2:8" x14ac:dyDescent="0.2">
      <c r="B438" s="528"/>
      <c r="C438" s="380"/>
      <c r="D438" s="404"/>
      <c r="E438" s="380"/>
      <c r="F438" s="405"/>
      <c r="G438" s="405"/>
      <c r="H438" s="528"/>
    </row>
    <row r="439" spans="2:8" x14ac:dyDescent="0.2">
      <c r="B439" s="528"/>
      <c r="C439" s="380"/>
      <c r="D439" s="404"/>
      <c r="E439" s="380"/>
      <c r="F439" s="405"/>
      <c r="G439" s="405"/>
      <c r="H439" s="528"/>
    </row>
    <row r="440" spans="2:8" x14ac:dyDescent="0.2">
      <c r="B440" s="528"/>
      <c r="C440" s="380"/>
      <c r="D440" s="404"/>
      <c r="E440" s="380"/>
      <c r="F440" s="405"/>
      <c r="G440" s="405"/>
      <c r="H440" s="528"/>
    </row>
    <row r="441" spans="2:8" x14ac:dyDescent="0.2">
      <c r="B441" s="528"/>
      <c r="C441" s="380"/>
      <c r="D441" s="404"/>
      <c r="E441" s="380"/>
      <c r="F441" s="405"/>
      <c r="G441" s="405"/>
      <c r="H441" s="528"/>
    </row>
    <row r="442" spans="2:8" x14ac:dyDescent="0.2">
      <c r="B442" s="528"/>
      <c r="C442" s="380"/>
      <c r="D442" s="404"/>
      <c r="E442" s="380"/>
      <c r="F442" s="405"/>
      <c r="G442" s="405"/>
      <c r="H442" s="528"/>
    </row>
    <row r="443" spans="2:8" x14ac:dyDescent="0.2">
      <c r="B443" s="528"/>
      <c r="C443" s="380"/>
      <c r="D443" s="404"/>
      <c r="E443" s="380"/>
      <c r="F443" s="405"/>
      <c r="G443" s="405"/>
      <c r="H443" s="528"/>
    </row>
    <row r="444" spans="2:8" x14ac:dyDescent="0.2">
      <c r="B444" s="528"/>
      <c r="C444" s="380"/>
      <c r="D444" s="404"/>
      <c r="E444" s="380"/>
      <c r="F444" s="405"/>
      <c r="G444" s="405"/>
      <c r="H444" s="528"/>
    </row>
    <row r="445" spans="2:8" x14ac:dyDescent="0.2">
      <c r="B445" s="528"/>
      <c r="C445" s="380"/>
      <c r="D445" s="404"/>
      <c r="E445" s="380"/>
      <c r="F445" s="405"/>
      <c r="G445" s="405"/>
      <c r="H445" s="528"/>
    </row>
    <row r="446" spans="2:8" x14ac:dyDescent="0.2">
      <c r="B446" s="528"/>
      <c r="C446" s="380"/>
      <c r="D446" s="404"/>
      <c r="E446" s="380"/>
      <c r="F446" s="405"/>
      <c r="G446" s="405"/>
      <c r="H446" s="528"/>
    </row>
    <row r="447" spans="2:8" x14ac:dyDescent="0.2">
      <c r="B447" s="528"/>
      <c r="C447" s="380"/>
      <c r="D447" s="404"/>
      <c r="E447" s="380"/>
      <c r="F447" s="405"/>
      <c r="G447" s="405"/>
      <c r="H447" s="528"/>
    </row>
    <row r="448" spans="2:8" x14ac:dyDescent="0.2">
      <c r="B448" s="528"/>
      <c r="C448" s="380"/>
      <c r="D448" s="404"/>
      <c r="E448" s="380"/>
      <c r="F448" s="405"/>
      <c r="G448" s="405"/>
      <c r="H448" s="528"/>
    </row>
    <row r="449" spans="2:8" x14ac:dyDescent="0.2">
      <c r="B449" s="528"/>
      <c r="C449" s="380"/>
      <c r="D449" s="404"/>
      <c r="E449" s="380"/>
      <c r="F449" s="405"/>
      <c r="G449" s="405"/>
      <c r="H449" s="528"/>
    </row>
    <row r="450" spans="2:8" x14ac:dyDescent="0.2">
      <c r="B450" s="528"/>
      <c r="C450" s="380"/>
      <c r="D450" s="404"/>
      <c r="E450" s="380"/>
      <c r="F450" s="405"/>
      <c r="G450" s="405"/>
      <c r="H450" s="528"/>
    </row>
    <row r="451" spans="2:8" x14ac:dyDescent="0.2">
      <c r="B451" s="528"/>
      <c r="C451" s="380"/>
      <c r="D451" s="404"/>
      <c r="E451" s="380"/>
      <c r="F451" s="405"/>
      <c r="G451" s="405"/>
      <c r="H451" s="528"/>
    </row>
    <row r="452" spans="2:8" x14ac:dyDescent="0.2">
      <c r="B452" s="528"/>
      <c r="C452" s="380"/>
      <c r="D452" s="404"/>
      <c r="E452" s="380"/>
      <c r="F452" s="405"/>
      <c r="G452" s="405"/>
      <c r="H452" s="528"/>
    </row>
    <row r="453" spans="2:8" x14ac:dyDescent="0.2">
      <c r="B453" s="528"/>
      <c r="C453" s="380"/>
      <c r="D453" s="404"/>
      <c r="E453" s="380"/>
      <c r="F453" s="405"/>
      <c r="G453" s="405"/>
      <c r="H453" s="528"/>
    </row>
    <row r="454" spans="2:8" x14ac:dyDescent="0.2">
      <c r="B454" s="528"/>
      <c r="C454" s="380"/>
      <c r="D454" s="404"/>
      <c r="E454" s="380"/>
      <c r="F454" s="405"/>
      <c r="G454" s="405"/>
      <c r="H454" s="528"/>
    </row>
    <row r="455" spans="2:8" x14ac:dyDescent="0.2">
      <c r="B455" s="528"/>
      <c r="C455" s="380"/>
      <c r="D455" s="404"/>
      <c r="E455" s="380"/>
      <c r="F455" s="405"/>
      <c r="G455" s="405"/>
      <c r="H455" s="528"/>
    </row>
    <row r="456" spans="2:8" x14ac:dyDescent="0.2">
      <c r="B456" s="528"/>
      <c r="C456" s="380"/>
      <c r="D456" s="404"/>
      <c r="E456" s="380"/>
      <c r="F456" s="405"/>
      <c r="G456" s="405"/>
      <c r="H456" s="528"/>
    </row>
    <row r="457" spans="2:8" x14ac:dyDescent="0.2">
      <c r="B457" s="528"/>
      <c r="C457" s="380"/>
      <c r="D457" s="404"/>
      <c r="E457" s="380"/>
      <c r="F457" s="405"/>
      <c r="G457" s="405"/>
      <c r="H457" s="528"/>
    </row>
    <row r="458" spans="2:8" x14ac:dyDescent="0.2">
      <c r="B458" s="528"/>
      <c r="C458" s="380"/>
      <c r="D458" s="404"/>
      <c r="E458" s="380"/>
      <c r="F458" s="405"/>
      <c r="G458" s="405"/>
      <c r="H458" s="528"/>
    </row>
    <row r="459" spans="2:8" x14ac:dyDescent="0.2">
      <c r="B459" s="528"/>
      <c r="C459" s="380"/>
      <c r="D459" s="404"/>
      <c r="E459" s="380"/>
      <c r="F459" s="405"/>
      <c r="G459" s="405"/>
      <c r="H459" s="528"/>
    </row>
    <row r="460" spans="2:8" x14ac:dyDescent="0.2">
      <c r="B460" s="528"/>
      <c r="C460" s="380"/>
      <c r="D460" s="404"/>
      <c r="E460" s="380"/>
      <c r="F460" s="405"/>
      <c r="G460" s="405"/>
      <c r="H460" s="528"/>
    </row>
    <row r="461" spans="2:8" x14ac:dyDescent="0.2">
      <c r="B461" s="528"/>
      <c r="C461" s="380"/>
      <c r="D461" s="404"/>
      <c r="E461" s="380"/>
      <c r="F461" s="405"/>
      <c r="G461" s="405"/>
      <c r="H461" s="528"/>
    </row>
    <row r="462" spans="2:8" x14ac:dyDescent="0.2">
      <c r="B462" s="528"/>
      <c r="C462" s="380"/>
      <c r="D462" s="404"/>
      <c r="E462" s="380"/>
      <c r="F462" s="405"/>
      <c r="G462" s="405"/>
      <c r="H462" s="528"/>
    </row>
    <row r="463" spans="2:8" x14ac:dyDescent="0.2">
      <c r="B463" s="528"/>
      <c r="C463" s="380"/>
      <c r="D463" s="404"/>
      <c r="E463" s="380"/>
      <c r="F463" s="405"/>
      <c r="G463" s="405"/>
      <c r="H463" s="528"/>
    </row>
    <row r="464" spans="2:8" x14ac:dyDescent="0.2">
      <c r="B464" s="528"/>
      <c r="C464" s="380"/>
      <c r="D464" s="404"/>
      <c r="E464" s="380"/>
      <c r="F464" s="405"/>
      <c r="G464" s="405"/>
      <c r="H464" s="528"/>
    </row>
    <row r="465" spans="2:8" x14ac:dyDescent="0.2">
      <c r="B465" s="528"/>
      <c r="C465" s="380"/>
      <c r="D465" s="404"/>
      <c r="E465" s="380"/>
      <c r="F465" s="405"/>
      <c r="G465" s="405"/>
      <c r="H465" s="528"/>
    </row>
    <row r="466" spans="2:8" x14ac:dyDescent="0.2">
      <c r="B466" s="528"/>
      <c r="C466" s="380"/>
      <c r="D466" s="404"/>
      <c r="E466" s="380"/>
      <c r="F466" s="405"/>
      <c r="G466" s="405"/>
      <c r="H466" s="528"/>
    </row>
    <row r="467" spans="2:8" x14ac:dyDescent="0.2">
      <c r="B467" s="528"/>
      <c r="C467" s="380"/>
      <c r="D467" s="404"/>
      <c r="E467" s="380"/>
      <c r="F467" s="405"/>
      <c r="G467" s="405"/>
      <c r="H467" s="528"/>
    </row>
    <row r="468" spans="2:8" x14ac:dyDescent="0.2">
      <c r="B468" s="528"/>
      <c r="C468" s="380"/>
      <c r="D468" s="404"/>
      <c r="E468" s="380"/>
      <c r="F468" s="405"/>
      <c r="G468" s="405"/>
      <c r="H468" s="528"/>
    </row>
    <row r="469" spans="2:8" x14ac:dyDescent="0.2">
      <c r="B469" s="528"/>
      <c r="C469" s="380"/>
      <c r="D469" s="404"/>
      <c r="E469" s="380"/>
      <c r="F469" s="405"/>
      <c r="G469" s="405"/>
      <c r="H469" s="528"/>
    </row>
    <row r="470" spans="2:8" x14ac:dyDescent="0.2">
      <c r="B470" s="528"/>
      <c r="C470" s="380"/>
      <c r="D470" s="404"/>
      <c r="E470" s="380"/>
      <c r="F470" s="405"/>
      <c r="G470" s="405"/>
      <c r="H470" s="528"/>
    </row>
    <row r="471" spans="2:8" x14ac:dyDescent="0.2">
      <c r="B471" s="528"/>
      <c r="C471" s="380"/>
      <c r="D471" s="404"/>
      <c r="E471" s="380"/>
      <c r="F471" s="405"/>
      <c r="G471" s="405"/>
      <c r="H471" s="528"/>
    </row>
    <row r="472" spans="2:8" x14ac:dyDescent="0.2">
      <c r="B472" s="528"/>
      <c r="C472" s="380"/>
      <c r="D472" s="404"/>
      <c r="E472" s="380"/>
      <c r="F472" s="405"/>
      <c r="G472" s="405"/>
      <c r="H472" s="528"/>
    </row>
    <row r="473" spans="2:8" x14ac:dyDescent="0.2">
      <c r="B473" s="528"/>
      <c r="C473" s="380"/>
      <c r="D473" s="404"/>
      <c r="E473" s="380"/>
      <c r="F473" s="405"/>
      <c r="G473" s="405"/>
      <c r="H473" s="528"/>
    </row>
    <row r="474" spans="2:8" x14ac:dyDescent="0.2">
      <c r="B474" s="528"/>
      <c r="C474" s="380"/>
      <c r="D474" s="404"/>
      <c r="E474" s="380"/>
      <c r="F474" s="405"/>
      <c r="G474" s="405"/>
      <c r="H474" s="528"/>
    </row>
    <row r="475" spans="2:8" x14ac:dyDescent="0.2">
      <c r="B475" s="528"/>
      <c r="C475" s="380"/>
      <c r="D475" s="404"/>
      <c r="E475" s="380"/>
      <c r="F475" s="405"/>
      <c r="G475" s="405"/>
      <c r="H475" s="528"/>
    </row>
    <row r="476" spans="2:8" x14ac:dyDescent="0.2">
      <c r="B476" s="528"/>
      <c r="C476" s="380"/>
      <c r="D476" s="404"/>
      <c r="E476" s="380"/>
      <c r="F476" s="405"/>
      <c r="G476" s="405"/>
      <c r="H476" s="528"/>
    </row>
    <row r="477" spans="2:8" x14ac:dyDescent="0.2">
      <c r="B477" s="528"/>
      <c r="C477" s="380"/>
      <c r="D477" s="404"/>
      <c r="E477" s="380"/>
      <c r="F477" s="405"/>
      <c r="G477" s="405"/>
      <c r="H477" s="528"/>
    </row>
    <row r="478" spans="2:8" x14ac:dyDescent="0.2">
      <c r="B478" s="528"/>
      <c r="C478" s="380"/>
      <c r="D478" s="404"/>
      <c r="E478" s="380"/>
      <c r="F478" s="405"/>
      <c r="G478" s="405"/>
      <c r="H478" s="528"/>
    </row>
    <row r="479" spans="2:8" x14ac:dyDescent="0.2">
      <c r="B479" s="528"/>
      <c r="C479" s="380"/>
      <c r="D479" s="404"/>
      <c r="E479" s="380"/>
      <c r="F479" s="405"/>
      <c r="G479" s="405"/>
      <c r="H479" s="528"/>
    </row>
    <row r="480" spans="2:8" x14ac:dyDescent="0.2">
      <c r="B480" s="528"/>
      <c r="C480" s="380"/>
      <c r="D480" s="404"/>
      <c r="E480" s="380"/>
      <c r="F480" s="405"/>
      <c r="G480" s="405"/>
      <c r="H480" s="528"/>
    </row>
    <row r="481" spans="2:8" x14ac:dyDescent="0.2">
      <c r="B481" s="528"/>
      <c r="C481" s="380"/>
      <c r="D481" s="404"/>
      <c r="E481" s="380"/>
      <c r="F481" s="405"/>
      <c r="G481" s="405"/>
      <c r="H481" s="528"/>
    </row>
    <row r="482" spans="2:8" x14ac:dyDescent="0.2">
      <c r="B482" s="528"/>
      <c r="C482" s="380"/>
      <c r="D482" s="404"/>
      <c r="E482" s="380"/>
      <c r="F482" s="405"/>
      <c r="G482" s="405"/>
      <c r="H482" s="528"/>
    </row>
    <row r="483" spans="2:8" x14ac:dyDescent="0.2">
      <c r="B483" s="528"/>
      <c r="C483" s="380"/>
      <c r="D483" s="404"/>
      <c r="E483" s="380"/>
      <c r="F483" s="405"/>
      <c r="G483" s="405"/>
      <c r="H483" s="528"/>
    </row>
    <row r="484" spans="2:8" x14ac:dyDescent="0.2">
      <c r="B484" s="528"/>
      <c r="C484" s="380"/>
      <c r="D484" s="404"/>
      <c r="E484" s="380"/>
      <c r="F484" s="405"/>
      <c r="G484" s="405"/>
      <c r="H484" s="528"/>
    </row>
    <row r="485" spans="2:8" x14ac:dyDescent="0.2">
      <c r="B485" s="528"/>
      <c r="C485" s="380"/>
      <c r="D485" s="404"/>
      <c r="E485" s="380"/>
      <c r="F485" s="405"/>
      <c r="G485" s="405"/>
      <c r="H485" s="528"/>
    </row>
    <row r="486" spans="2:8" x14ac:dyDescent="0.2">
      <c r="B486" s="528"/>
      <c r="C486" s="380"/>
      <c r="D486" s="404"/>
      <c r="E486" s="380"/>
      <c r="F486" s="405"/>
      <c r="G486" s="405"/>
      <c r="H486" s="528"/>
    </row>
    <row r="487" spans="2:8" x14ac:dyDescent="0.2">
      <c r="B487" s="528"/>
      <c r="C487" s="380"/>
      <c r="D487" s="404"/>
      <c r="E487" s="380"/>
      <c r="F487" s="405"/>
      <c r="G487" s="405"/>
      <c r="H487" s="528"/>
    </row>
    <row r="488" spans="2:8" x14ac:dyDescent="0.2">
      <c r="B488" s="528"/>
      <c r="C488" s="380"/>
      <c r="D488" s="404"/>
      <c r="E488" s="380"/>
      <c r="F488" s="405"/>
      <c r="G488" s="405"/>
      <c r="H488" s="528"/>
    </row>
    <row r="489" spans="2:8" x14ac:dyDescent="0.2">
      <c r="B489" s="528"/>
      <c r="C489" s="380"/>
      <c r="D489" s="404"/>
      <c r="E489" s="380"/>
      <c r="F489" s="405"/>
      <c r="G489" s="405"/>
      <c r="H489" s="528"/>
    </row>
    <row r="490" spans="2:8" x14ac:dyDescent="0.2">
      <c r="B490" s="528"/>
      <c r="C490" s="380"/>
      <c r="D490" s="404"/>
      <c r="E490" s="380"/>
      <c r="F490" s="405"/>
      <c r="G490" s="405"/>
      <c r="H490" s="528"/>
    </row>
    <row r="491" spans="2:8" x14ac:dyDescent="0.2">
      <c r="B491" s="528"/>
      <c r="C491" s="380"/>
      <c r="D491" s="404"/>
      <c r="E491" s="380"/>
      <c r="F491" s="405"/>
      <c r="G491" s="405"/>
      <c r="H491" s="528"/>
    </row>
    <row r="492" spans="2:8" x14ac:dyDescent="0.2">
      <c r="B492" s="528"/>
      <c r="C492" s="380"/>
      <c r="D492" s="404"/>
      <c r="E492" s="380"/>
      <c r="F492" s="405"/>
      <c r="G492" s="405"/>
      <c r="H492" s="528"/>
    </row>
    <row r="493" spans="2:8" x14ac:dyDescent="0.2">
      <c r="B493" s="528"/>
      <c r="C493" s="380"/>
      <c r="D493" s="404"/>
      <c r="E493" s="380"/>
      <c r="F493" s="405"/>
      <c r="G493" s="405"/>
      <c r="H493" s="528"/>
    </row>
    <row r="494" spans="2:8" x14ac:dyDescent="0.2">
      <c r="B494" s="528"/>
      <c r="C494" s="380"/>
      <c r="D494" s="404"/>
      <c r="E494" s="380"/>
      <c r="F494" s="405"/>
      <c r="G494" s="405"/>
      <c r="H494" s="528"/>
    </row>
    <row r="495" spans="2:8" x14ac:dyDescent="0.2">
      <c r="B495" s="528"/>
      <c r="C495" s="380"/>
      <c r="D495" s="404"/>
      <c r="E495" s="380"/>
      <c r="F495" s="405"/>
      <c r="G495" s="405"/>
      <c r="H495" s="528"/>
    </row>
    <row r="496" spans="2:8" x14ac:dyDescent="0.2">
      <c r="B496" s="528"/>
      <c r="C496" s="380"/>
      <c r="D496" s="404"/>
      <c r="E496" s="380"/>
      <c r="F496" s="405"/>
      <c r="G496" s="405"/>
      <c r="H496" s="528"/>
    </row>
    <row r="497" spans="2:8" x14ac:dyDescent="0.2">
      <c r="B497" s="528"/>
      <c r="C497" s="380"/>
      <c r="D497" s="404"/>
      <c r="E497" s="380"/>
      <c r="F497" s="405"/>
      <c r="G497" s="405"/>
      <c r="H497" s="528"/>
    </row>
    <row r="498" spans="2:8" x14ac:dyDescent="0.2">
      <c r="B498" s="528"/>
      <c r="C498" s="380"/>
      <c r="D498" s="404"/>
      <c r="E498" s="380"/>
      <c r="F498" s="405"/>
      <c r="G498" s="405"/>
      <c r="H498" s="528"/>
    </row>
    <row r="499" spans="2:8" x14ac:dyDescent="0.2">
      <c r="B499" s="528"/>
      <c r="C499" s="380"/>
      <c r="D499" s="404"/>
      <c r="E499" s="380"/>
      <c r="F499" s="405"/>
      <c r="G499" s="405"/>
      <c r="H499" s="528"/>
    </row>
    <row r="500" spans="2:8" x14ac:dyDescent="0.2">
      <c r="B500" s="528"/>
      <c r="C500" s="380"/>
      <c r="D500" s="404"/>
      <c r="E500" s="380"/>
      <c r="F500" s="405"/>
      <c r="G500" s="405"/>
      <c r="H500" s="528"/>
    </row>
    <row r="501" spans="2:8" x14ac:dyDescent="0.2">
      <c r="B501" s="528"/>
      <c r="C501" s="380"/>
      <c r="D501" s="404"/>
      <c r="E501" s="380"/>
      <c r="F501" s="405"/>
      <c r="G501" s="405"/>
      <c r="H501" s="528"/>
    </row>
    <row r="502" spans="2:8" x14ac:dyDescent="0.2">
      <c r="B502" s="528"/>
      <c r="C502" s="380"/>
      <c r="D502" s="404"/>
      <c r="E502" s="380"/>
      <c r="F502" s="405"/>
      <c r="G502" s="405"/>
      <c r="H502" s="528"/>
    </row>
    <row r="503" spans="2:8" x14ac:dyDescent="0.2">
      <c r="B503" s="528"/>
      <c r="C503" s="380"/>
      <c r="D503" s="404"/>
      <c r="E503" s="380"/>
      <c r="F503" s="405"/>
      <c r="G503" s="405"/>
      <c r="H503" s="528"/>
    </row>
    <row r="504" spans="2:8" x14ac:dyDescent="0.2">
      <c r="B504" s="528"/>
      <c r="C504" s="380"/>
      <c r="D504" s="404"/>
      <c r="E504" s="380"/>
      <c r="F504" s="405"/>
      <c r="G504" s="405"/>
      <c r="H504" s="528"/>
    </row>
    <row r="505" spans="2:8" x14ac:dyDescent="0.2">
      <c r="B505" s="528"/>
      <c r="C505" s="380"/>
      <c r="D505" s="404"/>
      <c r="E505" s="380"/>
      <c r="F505" s="405"/>
      <c r="G505" s="405"/>
      <c r="H505" s="528"/>
    </row>
    <row r="506" spans="2:8" x14ac:dyDescent="0.2">
      <c r="B506" s="528"/>
      <c r="C506" s="380"/>
      <c r="D506" s="404"/>
      <c r="E506" s="380"/>
      <c r="F506" s="405"/>
      <c r="G506" s="405"/>
      <c r="H506" s="528"/>
    </row>
    <row r="507" spans="2:8" x14ac:dyDescent="0.2">
      <c r="B507" s="528"/>
      <c r="C507" s="380"/>
      <c r="D507" s="404"/>
      <c r="E507" s="380"/>
      <c r="F507" s="405"/>
      <c r="G507" s="405"/>
      <c r="H507" s="528"/>
    </row>
    <row r="508" spans="2:8" x14ac:dyDescent="0.2">
      <c r="B508" s="528"/>
      <c r="C508" s="380"/>
      <c r="D508" s="404"/>
      <c r="E508" s="380"/>
      <c r="F508" s="405"/>
      <c r="G508" s="405"/>
      <c r="H508" s="528"/>
    </row>
    <row r="509" spans="2:8" x14ac:dyDescent="0.2">
      <c r="B509" s="528"/>
      <c r="C509" s="380"/>
      <c r="D509" s="404"/>
      <c r="E509" s="380"/>
      <c r="F509" s="405"/>
      <c r="G509" s="405"/>
      <c r="H509" s="528"/>
    </row>
    <row r="510" spans="2:8" x14ac:dyDescent="0.2">
      <c r="B510" s="528"/>
      <c r="C510" s="380"/>
      <c r="D510" s="404"/>
      <c r="E510" s="380"/>
      <c r="F510" s="405"/>
      <c r="G510" s="405"/>
      <c r="H510" s="528"/>
    </row>
    <row r="511" spans="2:8" x14ac:dyDescent="0.2">
      <c r="B511" s="528"/>
      <c r="C511" s="380"/>
      <c r="D511" s="404"/>
      <c r="E511" s="380"/>
      <c r="F511" s="405"/>
      <c r="G511" s="405"/>
      <c r="H511" s="528"/>
    </row>
    <row r="512" spans="2:8" x14ac:dyDescent="0.2">
      <c r="B512" s="528"/>
      <c r="C512" s="380"/>
      <c r="D512" s="404"/>
      <c r="E512" s="380"/>
      <c r="F512" s="405"/>
      <c r="G512" s="405"/>
      <c r="H512" s="528"/>
    </row>
    <row r="513" spans="2:8" x14ac:dyDescent="0.2">
      <c r="B513" s="528"/>
      <c r="C513" s="380"/>
      <c r="D513" s="404"/>
      <c r="E513" s="380"/>
      <c r="F513" s="405"/>
      <c r="G513" s="405"/>
      <c r="H513" s="528"/>
    </row>
    <row r="514" spans="2:8" x14ac:dyDescent="0.2">
      <c r="B514" s="528"/>
      <c r="C514" s="380"/>
      <c r="D514" s="404"/>
      <c r="E514" s="380"/>
      <c r="F514" s="405"/>
      <c r="G514" s="405"/>
      <c r="H514" s="528"/>
    </row>
    <row r="515" spans="2:8" x14ac:dyDescent="0.2">
      <c r="B515" s="528"/>
      <c r="C515" s="380"/>
      <c r="D515" s="404"/>
      <c r="E515" s="380"/>
      <c r="F515" s="405"/>
      <c r="G515" s="405"/>
      <c r="H515" s="528"/>
    </row>
    <row r="516" spans="2:8" x14ac:dyDescent="0.2">
      <c r="B516" s="528"/>
      <c r="C516" s="380"/>
      <c r="D516" s="404"/>
      <c r="E516" s="380"/>
      <c r="F516" s="405"/>
      <c r="G516" s="405"/>
      <c r="H516" s="528"/>
    </row>
    <row r="517" spans="2:8" x14ac:dyDescent="0.2">
      <c r="B517" s="528"/>
      <c r="C517" s="380"/>
      <c r="D517" s="404"/>
      <c r="E517" s="380"/>
      <c r="F517" s="405"/>
      <c r="G517" s="405"/>
      <c r="H517" s="528"/>
    </row>
    <row r="518" spans="2:8" x14ac:dyDescent="0.2">
      <c r="B518" s="528"/>
      <c r="C518" s="380"/>
      <c r="D518" s="404"/>
      <c r="E518" s="380"/>
      <c r="F518" s="405"/>
      <c r="G518" s="405"/>
      <c r="H518" s="528"/>
    </row>
    <row r="519" spans="2:8" x14ac:dyDescent="0.2">
      <c r="B519" s="528"/>
      <c r="C519" s="380"/>
      <c r="D519" s="404"/>
      <c r="E519" s="380"/>
      <c r="F519" s="405"/>
      <c r="G519" s="405"/>
      <c r="H519" s="528"/>
    </row>
    <row r="520" spans="2:8" x14ac:dyDescent="0.2">
      <c r="B520" s="528"/>
      <c r="C520" s="380"/>
      <c r="D520" s="404"/>
      <c r="E520" s="380"/>
      <c r="F520" s="405"/>
      <c r="G520" s="405"/>
      <c r="H520" s="528"/>
    </row>
    <row r="521" spans="2:8" x14ac:dyDescent="0.2">
      <c r="B521" s="528"/>
      <c r="C521" s="380"/>
      <c r="D521" s="404"/>
      <c r="E521" s="380"/>
      <c r="F521" s="405"/>
      <c r="G521" s="405"/>
      <c r="H521" s="528"/>
    </row>
    <row r="522" spans="2:8" x14ac:dyDescent="0.2">
      <c r="B522" s="528"/>
      <c r="C522" s="380"/>
      <c r="D522" s="404"/>
      <c r="E522" s="380"/>
      <c r="F522" s="405"/>
      <c r="G522" s="405"/>
      <c r="H522" s="528"/>
    </row>
    <row r="523" spans="2:8" x14ac:dyDescent="0.2">
      <c r="B523" s="528"/>
      <c r="C523" s="380"/>
      <c r="D523" s="404"/>
      <c r="E523" s="380"/>
      <c r="F523" s="405"/>
      <c r="G523" s="405"/>
      <c r="H523" s="528"/>
    </row>
    <row r="524" spans="2:8" x14ac:dyDescent="0.2">
      <c r="B524" s="528"/>
      <c r="C524" s="380"/>
      <c r="D524" s="404"/>
      <c r="E524" s="380"/>
      <c r="F524" s="405"/>
      <c r="G524" s="405"/>
      <c r="H524" s="528"/>
    </row>
    <row r="525" spans="2:8" x14ac:dyDescent="0.2">
      <c r="B525" s="528"/>
      <c r="C525" s="380"/>
      <c r="D525" s="404"/>
      <c r="E525" s="380"/>
      <c r="F525" s="405"/>
      <c r="G525" s="405"/>
      <c r="H525" s="528"/>
    </row>
    <row r="526" spans="2:8" x14ac:dyDescent="0.2">
      <c r="B526" s="528"/>
      <c r="C526" s="380"/>
      <c r="D526" s="404"/>
      <c r="E526" s="380"/>
      <c r="F526" s="405"/>
      <c r="G526" s="405"/>
      <c r="H526" s="528"/>
    </row>
    <row r="527" spans="2:8" x14ac:dyDescent="0.2">
      <c r="B527" s="528"/>
      <c r="C527" s="380"/>
      <c r="D527" s="404"/>
      <c r="E527" s="380"/>
      <c r="F527" s="405"/>
      <c r="G527" s="405"/>
      <c r="H527" s="528"/>
    </row>
    <row r="528" spans="2:8" x14ac:dyDescent="0.2">
      <c r="B528" s="528"/>
      <c r="C528" s="380"/>
      <c r="D528" s="404"/>
      <c r="E528" s="380"/>
      <c r="F528" s="405"/>
      <c r="G528" s="405"/>
      <c r="H528" s="528"/>
    </row>
    <row r="529" spans="2:8" x14ac:dyDescent="0.2">
      <c r="B529" s="528"/>
      <c r="C529" s="380"/>
      <c r="D529" s="404"/>
      <c r="E529" s="380"/>
      <c r="F529" s="405"/>
      <c r="G529" s="405"/>
      <c r="H529" s="528"/>
    </row>
    <row r="530" spans="2:8" x14ac:dyDescent="0.2">
      <c r="B530" s="528"/>
      <c r="C530" s="380"/>
      <c r="D530" s="404"/>
      <c r="E530" s="380"/>
      <c r="F530" s="405"/>
      <c r="G530" s="405"/>
      <c r="H530" s="528"/>
    </row>
    <row r="531" spans="2:8" x14ac:dyDescent="0.2">
      <c r="B531" s="528"/>
      <c r="C531" s="380"/>
      <c r="D531" s="404"/>
      <c r="E531" s="380"/>
      <c r="F531" s="405"/>
      <c r="G531" s="405"/>
      <c r="H531" s="528"/>
    </row>
    <row r="532" spans="2:8" x14ac:dyDescent="0.2">
      <c r="B532" s="528"/>
      <c r="C532" s="380"/>
      <c r="D532" s="404"/>
      <c r="E532" s="380"/>
      <c r="F532" s="405"/>
      <c r="G532" s="405"/>
      <c r="H532" s="528"/>
    </row>
    <row r="533" spans="2:8" x14ac:dyDescent="0.2">
      <c r="B533" s="528"/>
      <c r="C533" s="380"/>
      <c r="D533" s="404"/>
      <c r="E533" s="380"/>
      <c r="F533" s="405"/>
      <c r="G533" s="405"/>
      <c r="H533" s="528"/>
    </row>
    <row r="534" spans="2:8" x14ac:dyDescent="0.2">
      <c r="B534" s="528"/>
      <c r="C534" s="380"/>
      <c r="D534" s="404"/>
      <c r="E534" s="380"/>
      <c r="F534" s="405"/>
      <c r="G534" s="405"/>
      <c r="H534" s="528"/>
    </row>
    <row r="535" spans="2:8" x14ac:dyDescent="0.2">
      <c r="B535" s="528"/>
      <c r="C535" s="380"/>
      <c r="D535" s="404"/>
      <c r="E535" s="380"/>
      <c r="F535" s="405"/>
      <c r="G535" s="405"/>
      <c r="H535" s="528"/>
    </row>
    <row r="536" spans="2:8" x14ac:dyDescent="0.2">
      <c r="B536" s="528"/>
      <c r="C536" s="380"/>
      <c r="D536" s="404"/>
      <c r="E536" s="380"/>
      <c r="F536" s="405"/>
      <c r="G536" s="405"/>
      <c r="H536" s="528"/>
    </row>
    <row r="537" spans="2:8" x14ac:dyDescent="0.2">
      <c r="B537" s="528"/>
      <c r="C537" s="380"/>
      <c r="D537" s="404"/>
      <c r="E537" s="380"/>
      <c r="F537" s="405"/>
      <c r="G537" s="405"/>
      <c r="H537" s="528"/>
    </row>
    <row r="538" spans="2:8" x14ac:dyDescent="0.2">
      <c r="B538" s="528"/>
      <c r="C538" s="380"/>
      <c r="D538" s="404"/>
      <c r="E538" s="380"/>
      <c r="F538" s="405"/>
      <c r="G538" s="405"/>
      <c r="H538" s="528"/>
    </row>
    <row r="539" spans="2:8" x14ac:dyDescent="0.2">
      <c r="B539" s="528"/>
      <c r="C539" s="380"/>
      <c r="D539" s="404"/>
      <c r="E539" s="380"/>
      <c r="F539" s="405"/>
      <c r="G539" s="405"/>
      <c r="H539" s="528"/>
    </row>
    <row r="540" spans="2:8" x14ac:dyDescent="0.2">
      <c r="B540" s="528"/>
      <c r="C540" s="380"/>
      <c r="D540" s="404"/>
      <c r="E540" s="380"/>
      <c r="F540" s="405"/>
      <c r="G540" s="405"/>
      <c r="H540" s="528"/>
    </row>
    <row r="541" spans="2:8" x14ac:dyDescent="0.2">
      <c r="B541" s="528"/>
      <c r="C541" s="380"/>
      <c r="D541" s="404"/>
      <c r="E541" s="380"/>
      <c r="F541" s="405"/>
      <c r="G541" s="405"/>
      <c r="H541" s="528"/>
    </row>
    <row r="542" spans="2:8" x14ac:dyDescent="0.2">
      <c r="B542" s="528"/>
      <c r="C542" s="380"/>
      <c r="D542" s="404"/>
      <c r="E542" s="380"/>
      <c r="F542" s="405"/>
      <c r="G542" s="405"/>
      <c r="H542" s="528"/>
    </row>
    <row r="543" spans="2:8" x14ac:dyDescent="0.2">
      <c r="B543" s="528"/>
      <c r="C543" s="380"/>
      <c r="D543" s="404"/>
      <c r="E543" s="380"/>
      <c r="F543" s="405"/>
      <c r="G543" s="405"/>
      <c r="H543" s="528"/>
    </row>
    <row r="544" spans="2:8" x14ac:dyDescent="0.2">
      <c r="B544" s="528"/>
      <c r="C544" s="380"/>
      <c r="D544" s="404"/>
      <c r="E544" s="380"/>
      <c r="F544" s="405"/>
      <c r="G544" s="405"/>
      <c r="H544" s="528"/>
    </row>
    <row r="545" spans="2:8" x14ac:dyDescent="0.2">
      <c r="B545" s="528"/>
      <c r="C545" s="380"/>
      <c r="D545" s="404"/>
      <c r="E545" s="380"/>
      <c r="F545" s="405"/>
      <c r="G545" s="405"/>
      <c r="H545" s="528"/>
    </row>
    <row r="546" spans="2:8" x14ac:dyDescent="0.2">
      <c r="B546" s="528"/>
      <c r="C546" s="380"/>
      <c r="D546" s="404"/>
      <c r="E546" s="380"/>
      <c r="F546" s="405"/>
      <c r="G546" s="405"/>
      <c r="H546" s="528"/>
    </row>
    <row r="547" spans="2:8" x14ac:dyDescent="0.2">
      <c r="B547" s="528"/>
      <c r="C547" s="380"/>
      <c r="D547" s="404"/>
      <c r="E547" s="380"/>
      <c r="F547" s="405"/>
      <c r="G547" s="405"/>
      <c r="H547" s="528"/>
    </row>
    <row r="548" spans="2:8" x14ac:dyDescent="0.2">
      <c r="B548" s="528"/>
      <c r="C548" s="380"/>
      <c r="D548" s="404"/>
      <c r="E548" s="380"/>
      <c r="F548" s="405"/>
      <c r="G548" s="405"/>
      <c r="H548" s="528"/>
    </row>
    <row r="549" spans="2:8" x14ac:dyDescent="0.2">
      <c r="B549" s="528"/>
      <c r="C549" s="380"/>
      <c r="D549" s="404"/>
      <c r="E549" s="380"/>
      <c r="F549" s="405"/>
      <c r="G549" s="405"/>
      <c r="H549" s="528"/>
    </row>
    <row r="550" spans="2:8" x14ac:dyDescent="0.2">
      <c r="B550" s="528"/>
      <c r="C550" s="380"/>
      <c r="D550" s="404"/>
      <c r="E550" s="380"/>
      <c r="F550" s="405"/>
      <c r="G550" s="405"/>
      <c r="H550" s="528"/>
    </row>
    <row r="551" spans="2:8" x14ac:dyDescent="0.2">
      <c r="B551" s="528"/>
      <c r="C551" s="380"/>
      <c r="D551" s="404"/>
      <c r="E551" s="380"/>
      <c r="F551" s="405"/>
      <c r="G551" s="405"/>
      <c r="H551" s="528"/>
    </row>
    <row r="552" spans="2:8" x14ac:dyDescent="0.2">
      <c r="B552" s="528"/>
      <c r="C552" s="380"/>
      <c r="D552" s="404"/>
      <c r="E552" s="380"/>
      <c r="F552" s="405"/>
      <c r="G552" s="405"/>
      <c r="H552" s="528"/>
    </row>
    <row r="553" spans="2:8" x14ac:dyDescent="0.2">
      <c r="B553" s="528"/>
      <c r="C553" s="380"/>
      <c r="D553" s="404"/>
      <c r="E553" s="380"/>
      <c r="F553" s="405"/>
      <c r="G553" s="405"/>
      <c r="H553" s="528"/>
    </row>
    <row r="554" spans="2:8" x14ac:dyDescent="0.2">
      <c r="B554" s="528"/>
      <c r="C554" s="380"/>
      <c r="D554" s="404"/>
      <c r="E554" s="380"/>
      <c r="F554" s="405"/>
      <c r="G554" s="405"/>
      <c r="H554" s="528"/>
    </row>
    <row r="555" spans="2:8" x14ac:dyDescent="0.2">
      <c r="B555" s="528"/>
      <c r="C555" s="380"/>
      <c r="D555" s="404"/>
      <c r="E555" s="380"/>
      <c r="F555" s="405"/>
      <c r="G555" s="405"/>
      <c r="H555" s="528"/>
    </row>
    <row r="556" spans="2:8" x14ac:dyDescent="0.2">
      <c r="B556" s="528"/>
      <c r="C556" s="380"/>
      <c r="D556" s="404"/>
      <c r="E556" s="380"/>
      <c r="F556" s="405"/>
      <c r="G556" s="405"/>
      <c r="H556" s="528"/>
    </row>
    <row r="557" spans="2:8" x14ac:dyDescent="0.2">
      <c r="B557" s="528"/>
      <c r="C557" s="380"/>
      <c r="D557" s="404"/>
      <c r="E557" s="380"/>
      <c r="F557" s="405"/>
      <c r="G557" s="405"/>
      <c r="H557" s="528"/>
    </row>
    <row r="558" spans="2:8" x14ac:dyDescent="0.2">
      <c r="B558" s="528"/>
      <c r="C558" s="380"/>
      <c r="D558" s="404"/>
      <c r="E558" s="380"/>
      <c r="F558" s="405"/>
      <c r="G558" s="405"/>
      <c r="H558" s="528"/>
    </row>
    <row r="559" spans="2:8" x14ac:dyDescent="0.2">
      <c r="B559" s="528"/>
      <c r="C559" s="380"/>
      <c r="D559" s="404"/>
      <c r="E559" s="380"/>
      <c r="F559" s="405"/>
      <c r="G559" s="405"/>
      <c r="H559" s="528"/>
    </row>
    <row r="560" spans="2:8" x14ac:dyDescent="0.2">
      <c r="B560" s="528"/>
      <c r="C560" s="380"/>
      <c r="D560" s="404"/>
      <c r="E560" s="380"/>
      <c r="F560" s="405"/>
      <c r="G560" s="405"/>
      <c r="H560" s="528"/>
    </row>
    <row r="561" spans="2:8" x14ac:dyDescent="0.2">
      <c r="B561" s="528"/>
      <c r="C561" s="380"/>
      <c r="D561" s="404"/>
      <c r="E561" s="380"/>
      <c r="F561" s="405"/>
      <c r="G561" s="405"/>
      <c r="H561" s="528"/>
    </row>
    <row r="562" spans="2:8" x14ac:dyDescent="0.2">
      <c r="B562" s="528"/>
      <c r="C562" s="380"/>
      <c r="D562" s="404"/>
      <c r="E562" s="380"/>
      <c r="F562" s="405"/>
      <c r="G562" s="405"/>
      <c r="H562" s="528"/>
    </row>
    <row r="563" spans="2:8" x14ac:dyDescent="0.2">
      <c r="B563" s="528"/>
      <c r="C563" s="380"/>
      <c r="D563" s="404"/>
      <c r="E563" s="380"/>
      <c r="F563" s="405"/>
      <c r="G563" s="405"/>
      <c r="H563" s="528"/>
    </row>
    <row r="564" spans="2:8" x14ac:dyDescent="0.2">
      <c r="B564" s="528"/>
      <c r="C564" s="380"/>
      <c r="D564" s="404"/>
      <c r="E564" s="380"/>
      <c r="F564" s="405"/>
      <c r="G564" s="405"/>
      <c r="H564" s="528"/>
    </row>
    <row r="565" spans="2:8" x14ac:dyDescent="0.2">
      <c r="B565" s="528"/>
      <c r="C565" s="380"/>
      <c r="D565" s="404"/>
      <c r="E565" s="380"/>
      <c r="F565" s="405"/>
      <c r="G565" s="405"/>
      <c r="H565" s="528"/>
    </row>
    <row r="566" spans="2:8" x14ac:dyDescent="0.2">
      <c r="B566" s="528"/>
      <c r="C566" s="380"/>
      <c r="D566" s="404"/>
      <c r="E566" s="380"/>
      <c r="F566" s="405"/>
      <c r="G566" s="405"/>
      <c r="H566" s="528"/>
    </row>
    <row r="567" spans="2:8" x14ac:dyDescent="0.2">
      <c r="B567" s="528"/>
      <c r="C567" s="380"/>
      <c r="D567" s="404"/>
      <c r="E567" s="380"/>
      <c r="F567" s="405"/>
      <c r="G567" s="405"/>
      <c r="H567" s="528"/>
    </row>
    <row r="568" spans="2:8" x14ac:dyDescent="0.2">
      <c r="B568" s="528"/>
      <c r="C568" s="380"/>
      <c r="D568" s="404"/>
      <c r="E568" s="380"/>
      <c r="F568" s="405"/>
      <c r="G568" s="405"/>
      <c r="H568" s="528"/>
    </row>
    <row r="569" spans="2:8" x14ac:dyDescent="0.2">
      <c r="B569" s="528"/>
      <c r="C569" s="380"/>
      <c r="D569" s="404"/>
      <c r="E569" s="380"/>
      <c r="F569" s="405"/>
      <c r="G569" s="405"/>
      <c r="H569" s="528"/>
    </row>
    <row r="570" spans="2:8" x14ac:dyDescent="0.2">
      <c r="B570" s="528"/>
      <c r="C570" s="380"/>
      <c r="D570" s="404"/>
      <c r="E570" s="380"/>
      <c r="F570" s="405"/>
      <c r="G570" s="405"/>
      <c r="H570" s="528"/>
    </row>
    <row r="571" spans="2:8" x14ac:dyDescent="0.2">
      <c r="B571" s="528"/>
      <c r="C571" s="380"/>
      <c r="D571" s="404"/>
      <c r="E571" s="380"/>
      <c r="F571" s="405"/>
      <c r="G571" s="405"/>
      <c r="H571" s="528"/>
    </row>
    <row r="572" spans="2:8" x14ac:dyDescent="0.2">
      <c r="B572" s="528"/>
      <c r="C572" s="380"/>
      <c r="D572" s="404"/>
      <c r="E572" s="380"/>
      <c r="F572" s="405"/>
      <c r="G572" s="405"/>
      <c r="H572" s="528"/>
    </row>
    <row r="573" spans="2:8" x14ac:dyDescent="0.2">
      <c r="B573" s="528"/>
      <c r="C573" s="380"/>
      <c r="D573" s="404"/>
      <c r="E573" s="380"/>
      <c r="F573" s="405"/>
      <c r="G573" s="405"/>
      <c r="H573" s="528"/>
    </row>
    <row r="574" spans="2:8" x14ac:dyDescent="0.2">
      <c r="B574" s="528"/>
      <c r="C574" s="380"/>
      <c r="D574" s="404"/>
      <c r="E574" s="380"/>
      <c r="F574" s="405"/>
      <c r="G574" s="405"/>
      <c r="H574" s="528"/>
    </row>
    <row r="575" spans="2:8" x14ac:dyDescent="0.2">
      <c r="B575" s="528"/>
      <c r="C575" s="380"/>
      <c r="D575" s="404"/>
      <c r="E575" s="380"/>
      <c r="F575" s="405"/>
      <c r="G575" s="405"/>
      <c r="H575" s="528"/>
    </row>
    <row r="576" spans="2:8" x14ac:dyDescent="0.2">
      <c r="B576" s="528"/>
      <c r="C576" s="380"/>
      <c r="D576" s="404"/>
      <c r="E576" s="380"/>
      <c r="F576" s="405"/>
      <c r="G576" s="405"/>
      <c r="H576" s="528"/>
    </row>
    <row r="577" spans="2:8" x14ac:dyDescent="0.2">
      <c r="B577" s="528"/>
      <c r="C577" s="380"/>
      <c r="D577" s="404"/>
      <c r="E577" s="380"/>
      <c r="F577" s="405"/>
      <c r="G577" s="405"/>
      <c r="H577" s="528"/>
    </row>
    <row r="578" spans="2:8" x14ac:dyDescent="0.2">
      <c r="B578" s="528"/>
      <c r="C578" s="380"/>
      <c r="D578" s="404"/>
      <c r="E578" s="380"/>
      <c r="F578" s="405"/>
      <c r="G578" s="405"/>
      <c r="H578" s="528"/>
    </row>
    <row r="579" spans="2:8" x14ac:dyDescent="0.2">
      <c r="B579" s="528"/>
      <c r="C579" s="380"/>
      <c r="D579" s="404"/>
      <c r="E579" s="380"/>
      <c r="F579" s="405"/>
      <c r="G579" s="405"/>
      <c r="H579" s="528"/>
    </row>
    <row r="580" spans="2:8" x14ac:dyDescent="0.2">
      <c r="B580" s="528"/>
      <c r="C580" s="380"/>
      <c r="D580" s="404"/>
      <c r="E580" s="380"/>
      <c r="F580" s="405"/>
      <c r="G580" s="405"/>
      <c r="H580" s="528"/>
    </row>
    <row r="581" spans="2:8" x14ac:dyDescent="0.2">
      <c r="B581" s="528"/>
      <c r="C581" s="380"/>
      <c r="D581" s="404"/>
      <c r="E581" s="380"/>
      <c r="F581" s="405"/>
      <c r="G581" s="405"/>
      <c r="H581" s="528"/>
    </row>
    <row r="582" spans="2:8" x14ac:dyDescent="0.2">
      <c r="B582" s="528"/>
      <c r="C582" s="380"/>
      <c r="D582" s="404"/>
      <c r="E582" s="380"/>
      <c r="F582" s="405"/>
      <c r="G582" s="405"/>
      <c r="H582" s="528"/>
    </row>
    <row r="583" spans="2:8" x14ac:dyDescent="0.2">
      <c r="B583" s="528"/>
      <c r="C583" s="380"/>
      <c r="D583" s="404"/>
      <c r="E583" s="380"/>
      <c r="F583" s="405"/>
      <c r="G583" s="405"/>
      <c r="H583" s="528"/>
    </row>
    <row r="584" spans="2:8" x14ac:dyDescent="0.2">
      <c r="B584" s="528"/>
      <c r="C584" s="380"/>
      <c r="D584" s="404"/>
      <c r="E584" s="380"/>
      <c r="F584" s="405"/>
      <c r="G584" s="405"/>
      <c r="H584" s="528"/>
    </row>
    <row r="585" spans="2:8" x14ac:dyDescent="0.2">
      <c r="B585" s="528"/>
      <c r="C585" s="380"/>
      <c r="D585" s="404"/>
      <c r="E585" s="380"/>
      <c r="F585" s="405"/>
      <c r="G585" s="405"/>
      <c r="H585" s="528"/>
    </row>
    <row r="586" spans="2:8" x14ac:dyDescent="0.2">
      <c r="B586" s="528"/>
      <c r="C586" s="380"/>
      <c r="D586" s="404"/>
      <c r="E586" s="380"/>
      <c r="F586" s="405"/>
      <c r="G586" s="405"/>
      <c r="H586" s="528"/>
    </row>
    <row r="587" spans="2:8" x14ac:dyDescent="0.2">
      <c r="B587" s="528"/>
      <c r="C587" s="380"/>
      <c r="D587" s="404"/>
      <c r="E587" s="380"/>
      <c r="F587" s="405"/>
      <c r="G587" s="405"/>
      <c r="H587" s="528"/>
    </row>
    <row r="588" spans="2:8" x14ac:dyDescent="0.2">
      <c r="B588" s="528"/>
      <c r="C588" s="380"/>
      <c r="D588" s="404"/>
      <c r="E588" s="380"/>
      <c r="F588" s="405"/>
      <c r="G588" s="405"/>
      <c r="H588" s="528"/>
    </row>
    <row r="589" spans="2:8" x14ac:dyDescent="0.2">
      <c r="B589" s="528"/>
      <c r="C589" s="380"/>
      <c r="D589" s="404"/>
      <c r="E589" s="380"/>
      <c r="F589" s="405"/>
      <c r="G589" s="405"/>
      <c r="H589" s="528"/>
    </row>
    <row r="590" spans="2:8" x14ac:dyDescent="0.2">
      <c r="B590" s="528"/>
      <c r="C590" s="380"/>
      <c r="D590" s="404"/>
      <c r="E590" s="380"/>
      <c r="F590" s="405"/>
      <c r="G590" s="405"/>
      <c r="H590" s="528"/>
    </row>
    <row r="591" spans="2:8" x14ac:dyDescent="0.2">
      <c r="B591" s="528"/>
      <c r="C591" s="380"/>
      <c r="D591" s="404"/>
      <c r="E591" s="380"/>
      <c r="F591" s="405"/>
      <c r="G591" s="405"/>
      <c r="H591" s="528"/>
    </row>
    <row r="592" spans="2:8" x14ac:dyDescent="0.2">
      <c r="B592" s="528"/>
      <c r="C592" s="380"/>
      <c r="D592" s="404"/>
      <c r="E592" s="380"/>
      <c r="F592" s="405"/>
      <c r="G592" s="405"/>
      <c r="H592" s="528"/>
    </row>
    <row r="593" spans="2:8" x14ac:dyDescent="0.2">
      <c r="B593" s="528"/>
      <c r="C593" s="380"/>
      <c r="D593" s="404"/>
      <c r="E593" s="380"/>
      <c r="F593" s="405"/>
      <c r="G593" s="405"/>
      <c r="H593" s="528"/>
    </row>
    <row r="594" spans="2:8" x14ac:dyDescent="0.2">
      <c r="B594" s="528"/>
      <c r="C594" s="380"/>
      <c r="D594" s="404"/>
      <c r="E594" s="380"/>
      <c r="F594" s="405"/>
      <c r="G594" s="405"/>
      <c r="H594" s="528"/>
    </row>
    <row r="595" spans="2:8" x14ac:dyDescent="0.2">
      <c r="B595" s="528"/>
      <c r="C595" s="380"/>
      <c r="D595" s="404"/>
      <c r="E595" s="380"/>
      <c r="F595" s="405"/>
      <c r="G595" s="405"/>
      <c r="H595" s="528"/>
    </row>
    <row r="596" spans="2:8" x14ac:dyDescent="0.2">
      <c r="B596" s="528"/>
      <c r="C596" s="380"/>
      <c r="D596" s="404"/>
      <c r="E596" s="380"/>
      <c r="F596" s="405"/>
      <c r="G596" s="405"/>
      <c r="H596" s="528"/>
    </row>
    <row r="597" spans="2:8" x14ac:dyDescent="0.2">
      <c r="B597" s="528"/>
      <c r="C597" s="380"/>
      <c r="D597" s="404"/>
      <c r="E597" s="380"/>
      <c r="F597" s="405"/>
      <c r="G597" s="405"/>
      <c r="H597" s="528"/>
    </row>
    <row r="598" spans="2:8" x14ac:dyDescent="0.2">
      <c r="B598" s="528"/>
      <c r="C598" s="380"/>
      <c r="D598" s="404"/>
      <c r="E598" s="380"/>
      <c r="F598" s="405"/>
      <c r="G598" s="405"/>
      <c r="H598" s="528"/>
    </row>
    <row r="599" spans="2:8" x14ac:dyDescent="0.2">
      <c r="B599" s="528"/>
      <c r="C599" s="380"/>
      <c r="D599" s="404"/>
      <c r="E599" s="380"/>
      <c r="F599" s="405"/>
      <c r="G599" s="405"/>
      <c r="H599" s="528"/>
    </row>
    <row r="600" spans="2:8" x14ac:dyDescent="0.2">
      <c r="B600" s="528"/>
      <c r="C600" s="380"/>
      <c r="D600" s="404"/>
      <c r="E600" s="380"/>
      <c r="F600" s="405"/>
      <c r="G600" s="405"/>
      <c r="H600" s="528"/>
    </row>
    <row r="601" spans="2:8" x14ac:dyDescent="0.2">
      <c r="B601" s="528"/>
      <c r="C601" s="380"/>
      <c r="D601" s="404"/>
      <c r="E601" s="380"/>
      <c r="F601" s="405"/>
      <c r="G601" s="405"/>
      <c r="H601" s="528"/>
    </row>
    <row r="602" spans="2:8" x14ac:dyDescent="0.2">
      <c r="B602" s="528"/>
      <c r="C602" s="380"/>
      <c r="D602" s="404"/>
      <c r="E602" s="380"/>
      <c r="F602" s="405"/>
      <c r="G602" s="405"/>
      <c r="H602" s="528"/>
    </row>
    <row r="603" spans="2:8" x14ac:dyDescent="0.2">
      <c r="B603" s="528"/>
      <c r="C603" s="380"/>
      <c r="D603" s="404"/>
      <c r="E603" s="380"/>
      <c r="F603" s="405"/>
      <c r="G603" s="405"/>
      <c r="H603" s="528"/>
    </row>
    <row r="604" spans="2:8" x14ac:dyDescent="0.2">
      <c r="B604" s="528"/>
      <c r="C604" s="380"/>
      <c r="D604" s="404"/>
      <c r="E604" s="380"/>
      <c r="F604" s="405"/>
      <c r="G604" s="405"/>
      <c r="H604" s="528"/>
    </row>
    <row r="605" spans="2:8" x14ac:dyDescent="0.2">
      <c r="B605" s="528"/>
      <c r="C605" s="380"/>
      <c r="D605" s="404"/>
      <c r="E605" s="380"/>
      <c r="F605" s="405"/>
      <c r="G605" s="405"/>
      <c r="H605" s="528"/>
    </row>
    <row r="606" spans="2:8" x14ac:dyDescent="0.2">
      <c r="B606" s="528"/>
      <c r="C606" s="380"/>
      <c r="D606" s="404"/>
      <c r="E606" s="380"/>
      <c r="F606" s="405"/>
      <c r="G606" s="405"/>
      <c r="H606" s="528"/>
    </row>
    <row r="607" spans="2:8" x14ac:dyDescent="0.2">
      <c r="B607" s="528"/>
      <c r="C607" s="380"/>
      <c r="D607" s="404"/>
      <c r="E607" s="380"/>
      <c r="F607" s="405"/>
      <c r="G607" s="405"/>
      <c r="H607" s="528"/>
    </row>
    <row r="608" spans="2:8" x14ac:dyDescent="0.2">
      <c r="B608" s="528"/>
      <c r="C608" s="380"/>
      <c r="D608" s="404"/>
      <c r="E608" s="380"/>
      <c r="F608" s="405"/>
      <c r="G608" s="405"/>
      <c r="H608" s="528"/>
    </row>
    <row r="609" spans="2:8" x14ac:dyDescent="0.2">
      <c r="B609" s="528"/>
      <c r="C609" s="380"/>
      <c r="D609" s="404"/>
      <c r="E609" s="380"/>
      <c r="F609" s="405"/>
      <c r="G609" s="405"/>
      <c r="H609" s="528"/>
    </row>
    <row r="610" spans="2:8" x14ac:dyDescent="0.2">
      <c r="B610" s="528"/>
      <c r="C610" s="380"/>
      <c r="D610" s="404"/>
      <c r="E610" s="380"/>
      <c r="F610" s="405"/>
      <c r="G610" s="405"/>
      <c r="H610" s="528"/>
    </row>
    <row r="611" spans="2:8" x14ac:dyDescent="0.2">
      <c r="B611" s="528"/>
      <c r="C611" s="380"/>
      <c r="D611" s="404"/>
      <c r="E611" s="380"/>
      <c r="F611" s="405"/>
      <c r="G611" s="405"/>
      <c r="H611" s="528"/>
    </row>
    <row r="612" spans="2:8" x14ac:dyDescent="0.2">
      <c r="B612" s="528"/>
      <c r="C612" s="380"/>
      <c r="D612" s="404"/>
      <c r="E612" s="380"/>
      <c r="F612" s="405"/>
      <c r="G612" s="405"/>
      <c r="H612" s="528"/>
    </row>
    <row r="613" spans="2:8" x14ac:dyDescent="0.2">
      <c r="B613" s="528"/>
      <c r="C613" s="380"/>
      <c r="D613" s="404"/>
      <c r="E613" s="380"/>
      <c r="F613" s="405"/>
      <c r="G613" s="405"/>
      <c r="H613" s="528"/>
    </row>
    <row r="614" spans="2:8" x14ac:dyDescent="0.2">
      <c r="B614" s="528"/>
      <c r="C614" s="380"/>
      <c r="D614" s="404"/>
      <c r="E614" s="380"/>
      <c r="F614" s="405"/>
      <c r="G614" s="405"/>
      <c r="H614" s="528"/>
    </row>
    <row r="615" spans="2:8" x14ac:dyDescent="0.2">
      <c r="B615" s="528"/>
      <c r="C615" s="380"/>
      <c r="D615" s="404"/>
      <c r="E615" s="380"/>
      <c r="F615" s="405"/>
      <c r="G615" s="405"/>
      <c r="H615" s="528"/>
    </row>
    <row r="616" spans="2:8" x14ac:dyDescent="0.2">
      <c r="B616" s="528"/>
      <c r="C616" s="380"/>
      <c r="D616" s="404"/>
      <c r="E616" s="380"/>
      <c r="F616" s="405"/>
      <c r="G616" s="405"/>
      <c r="H616" s="528"/>
    </row>
    <row r="617" spans="2:8" x14ac:dyDescent="0.2">
      <c r="B617" s="528"/>
      <c r="C617" s="380"/>
      <c r="D617" s="404"/>
      <c r="E617" s="380"/>
      <c r="F617" s="405"/>
      <c r="G617" s="405"/>
      <c r="H617" s="528"/>
    </row>
    <row r="618" spans="2:8" x14ac:dyDescent="0.2">
      <c r="B618" s="528"/>
      <c r="C618" s="380"/>
      <c r="D618" s="404"/>
      <c r="E618" s="380"/>
      <c r="F618" s="405"/>
      <c r="G618" s="405"/>
      <c r="H618" s="528"/>
    </row>
    <row r="619" spans="2:8" x14ac:dyDescent="0.2">
      <c r="B619" s="528"/>
      <c r="C619" s="380"/>
      <c r="D619" s="404"/>
      <c r="E619" s="380"/>
      <c r="F619" s="405"/>
      <c r="G619" s="405"/>
      <c r="H619" s="528"/>
    </row>
    <row r="620" spans="2:8" x14ac:dyDescent="0.2">
      <c r="B620" s="528"/>
      <c r="C620" s="380"/>
      <c r="D620" s="404"/>
      <c r="E620" s="380"/>
      <c r="F620" s="405"/>
      <c r="G620" s="405"/>
      <c r="H620" s="528"/>
    </row>
    <row r="621" spans="2:8" x14ac:dyDescent="0.2">
      <c r="B621" s="528"/>
      <c r="C621" s="380"/>
      <c r="D621" s="404"/>
      <c r="E621" s="380"/>
      <c r="F621" s="405"/>
      <c r="G621" s="405"/>
      <c r="H621" s="528"/>
    </row>
    <row r="622" spans="2:8" x14ac:dyDescent="0.2">
      <c r="B622" s="528"/>
      <c r="C622" s="380"/>
      <c r="D622" s="404"/>
      <c r="E622" s="380"/>
      <c r="F622" s="405"/>
      <c r="G622" s="405"/>
      <c r="H622" s="528"/>
    </row>
    <row r="623" spans="2:8" x14ac:dyDescent="0.2">
      <c r="B623" s="528"/>
      <c r="C623" s="380"/>
      <c r="D623" s="404"/>
      <c r="E623" s="380"/>
      <c r="F623" s="405"/>
      <c r="G623" s="405"/>
      <c r="H623" s="528"/>
    </row>
    <row r="624" spans="2:8" x14ac:dyDescent="0.2">
      <c r="B624" s="528"/>
      <c r="C624" s="380"/>
      <c r="D624" s="404"/>
      <c r="E624" s="380"/>
      <c r="F624" s="405"/>
      <c r="G624" s="405"/>
      <c r="H624" s="528"/>
    </row>
    <row r="625" spans="2:8" x14ac:dyDescent="0.2">
      <c r="B625" s="528"/>
      <c r="C625" s="380"/>
      <c r="D625" s="404"/>
      <c r="E625" s="380"/>
      <c r="F625" s="405"/>
      <c r="G625" s="405"/>
      <c r="H625" s="528"/>
    </row>
    <row r="626" spans="2:8" x14ac:dyDescent="0.2">
      <c r="B626" s="528"/>
      <c r="C626" s="380"/>
      <c r="D626" s="404"/>
      <c r="E626" s="380"/>
      <c r="F626" s="405"/>
      <c r="G626" s="405"/>
      <c r="H626" s="528"/>
    </row>
    <row r="627" spans="2:8" x14ac:dyDescent="0.2">
      <c r="B627" s="528"/>
      <c r="C627" s="380"/>
      <c r="D627" s="404"/>
      <c r="E627" s="380"/>
      <c r="F627" s="405"/>
      <c r="G627" s="405"/>
      <c r="H627" s="528"/>
    </row>
    <row r="628" spans="2:8" x14ac:dyDescent="0.2">
      <c r="B628" s="528"/>
      <c r="C628" s="380"/>
      <c r="D628" s="404"/>
      <c r="E628" s="380"/>
      <c r="F628" s="405"/>
      <c r="G628" s="405"/>
      <c r="H628" s="528"/>
    </row>
    <row r="629" spans="2:8" x14ac:dyDescent="0.2">
      <c r="B629" s="528"/>
      <c r="C629" s="380"/>
      <c r="D629" s="404"/>
      <c r="E629" s="380"/>
      <c r="F629" s="405"/>
      <c r="G629" s="405"/>
      <c r="H629" s="528"/>
    </row>
    <row r="630" spans="2:8" x14ac:dyDescent="0.2">
      <c r="B630" s="528"/>
      <c r="C630" s="380"/>
      <c r="D630" s="404"/>
      <c r="E630" s="380"/>
      <c r="F630" s="405"/>
      <c r="G630" s="405"/>
      <c r="H630" s="528"/>
    </row>
  </sheetData>
  <autoFilter ref="B4:F551" xr:uid="{00000000-0009-0000-0000-000003000000}">
    <sortState xmlns:xlrd2="http://schemas.microsoft.com/office/spreadsheetml/2017/richdata2" ref="B459:F551">
      <sortCondition ref="F4:F491"/>
    </sortState>
  </autoFilter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7829-680A-44B6-AE9D-6DF3A4FE353A}">
  <sheetPr codeName="Feuil22">
    <tabColor rgb="FF0070C0"/>
  </sheetPr>
  <dimension ref="A2:K106"/>
  <sheetViews>
    <sheetView showGridLines="0" workbookViewId="0">
      <selection activeCell="I7" sqref="I7:I12"/>
    </sheetView>
  </sheetViews>
  <sheetFormatPr baseColWidth="10" defaultColWidth="11.42578125" defaultRowHeight="14.25" x14ac:dyDescent="0.2"/>
  <cols>
    <col min="1" max="1" width="11.42578125" style="398"/>
    <col min="2" max="3" width="11" style="398" bestFit="1" customWidth="1"/>
    <col min="4" max="4" width="9.5703125" style="398" bestFit="1" customWidth="1"/>
    <col min="5" max="5" width="34.5703125" style="398" bestFit="1" customWidth="1"/>
    <col min="6" max="6" width="33.42578125" style="398" bestFit="1" customWidth="1"/>
    <col min="7" max="7" width="14" style="398" bestFit="1" customWidth="1"/>
    <col min="8" max="8" width="29" style="398" bestFit="1" customWidth="1"/>
    <col min="9" max="9" width="13.7109375" style="398" bestFit="1" customWidth="1"/>
    <col min="10" max="10" width="12.85546875" style="398" bestFit="1" customWidth="1"/>
    <col min="11" max="16384" width="11.42578125" style="398"/>
  </cols>
  <sheetData>
    <row r="2" spans="3:11" s="523" customFormat="1" ht="15" x14ac:dyDescent="0.25">
      <c r="E2" s="523" t="s">
        <v>1247</v>
      </c>
      <c r="G2" s="1" t="s">
        <v>803</v>
      </c>
      <c r="H2" s="415" t="s">
        <v>804</v>
      </c>
      <c r="I2" s="520">
        <f>'[4]BILAN SOCIAL 2025'!$E$6</f>
        <v>45821</v>
      </c>
    </row>
    <row r="4" spans="3:11" ht="20.25" x14ac:dyDescent="0.3">
      <c r="C4" s="659" t="s">
        <v>1248</v>
      </c>
      <c r="D4" s="660"/>
      <c r="E4" s="660"/>
      <c r="F4" s="660"/>
      <c r="G4" s="660"/>
      <c r="H4" s="660"/>
      <c r="I4" s="660"/>
      <c r="J4" s="661"/>
    </row>
    <row r="6" spans="3:11" ht="15" x14ac:dyDescent="0.25">
      <c r="C6" s="423" t="s">
        <v>1070</v>
      </c>
      <c r="D6" s="423" t="s">
        <v>1249</v>
      </c>
      <c r="E6" s="423" t="s">
        <v>1071</v>
      </c>
      <c r="F6" s="423" t="s">
        <v>1250</v>
      </c>
      <c r="G6" s="423" t="s">
        <v>1073</v>
      </c>
      <c r="H6" s="423" t="s">
        <v>1251</v>
      </c>
      <c r="I6" s="423" t="s">
        <v>1075</v>
      </c>
      <c r="J6" s="423" t="s">
        <v>1076</v>
      </c>
    </row>
    <row r="7" spans="3:11" x14ac:dyDescent="0.2">
      <c r="C7" s="380">
        <v>1</v>
      </c>
      <c r="D7" s="551">
        <v>390</v>
      </c>
      <c r="E7" s="556" t="s">
        <v>1252</v>
      </c>
      <c r="F7" s="557" t="s">
        <v>1253</v>
      </c>
      <c r="G7" s="558"/>
      <c r="H7" s="557" t="s">
        <v>1254</v>
      </c>
      <c r="I7" s="380"/>
      <c r="J7" s="559">
        <v>45763</v>
      </c>
    </row>
    <row r="8" spans="3:11" s="560" customFormat="1" x14ac:dyDescent="0.2">
      <c r="C8" s="385">
        <v>1</v>
      </c>
      <c r="D8" s="551">
        <v>365</v>
      </c>
      <c r="E8" s="556" t="s">
        <v>1255</v>
      </c>
      <c r="F8" s="557" t="s">
        <v>1256</v>
      </c>
      <c r="G8" s="380"/>
      <c r="H8" s="557" t="s">
        <v>1257</v>
      </c>
      <c r="I8" s="380"/>
      <c r="J8" s="559">
        <v>45778</v>
      </c>
      <c r="K8" s="398"/>
    </row>
    <row r="9" spans="3:11" s="560" customFormat="1" x14ac:dyDescent="0.2">
      <c r="C9" s="385">
        <v>1</v>
      </c>
      <c r="D9" s="551">
        <v>413</v>
      </c>
      <c r="E9" s="556" t="s">
        <v>1258</v>
      </c>
      <c r="F9" s="557" t="s">
        <v>1259</v>
      </c>
      <c r="G9" s="380"/>
      <c r="H9" s="557" t="s">
        <v>1260</v>
      </c>
      <c r="I9" s="380"/>
      <c r="J9" s="559">
        <v>45778</v>
      </c>
      <c r="K9" s="398"/>
    </row>
    <row r="10" spans="3:11" s="560" customFormat="1" x14ac:dyDescent="0.2">
      <c r="C10" s="385">
        <v>1</v>
      </c>
      <c r="D10" s="551">
        <v>455</v>
      </c>
      <c r="E10" s="556" t="s">
        <v>1261</v>
      </c>
      <c r="F10" s="557" t="s">
        <v>189</v>
      </c>
      <c r="G10" s="380"/>
      <c r="H10" s="557" t="s">
        <v>1262</v>
      </c>
      <c r="I10" s="380"/>
      <c r="J10" s="559">
        <v>45778</v>
      </c>
      <c r="K10" s="398"/>
    </row>
    <row r="11" spans="3:11" s="560" customFormat="1" x14ac:dyDescent="0.2">
      <c r="C11" s="385">
        <v>1</v>
      </c>
      <c r="D11" s="551"/>
      <c r="E11" s="556"/>
      <c r="F11" s="557"/>
      <c r="G11" s="380"/>
      <c r="H11" s="557"/>
      <c r="I11" s="380"/>
      <c r="J11" s="559"/>
      <c r="K11" s="398"/>
    </row>
    <row r="12" spans="3:11" s="560" customFormat="1" x14ac:dyDescent="0.2">
      <c r="C12" s="385">
        <v>1</v>
      </c>
      <c r="D12" s="551"/>
      <c r="E12" s="556"/>
      <c r="F12" s="557"/>
      <c r="G12" s="380"/>
      <c r="H12" s="557"/>
      <c r="I12" s="380"/>
      <c r="J12" s="559"/>
      <c r="K12" s="398"/>
    </row>
    <row r="13" spans="3:11" x14ac:dyDescent="0.2">
      <c r="C13" s="380">
        <v>1</v>
      </c>
      <c r="D13" s="551"/>
      <c r="E13" s="556"/>
      <c r="F13" s="557"/>
      <c r="G13" s="558"/>
      <c r="H13" s="557"/>
      <c r="I13" s="380"/>
      <c r="J13" s="559"/>
    </row>
    <row r="14" spans="3:11" s="560" customFormat="1" x14ac:dyDescent="0.2">
      <c r="C14" s="385">
        <v>1</v>
      </c>
      <c r="D14" s="551"/>
      <c r="E14" s="556"/>
      <c r="F14" s="557"/>
      <c r="G14" s="380"/>
      <c r="H14" s="557"/>
      <c r="I14" s="380"/>
      <c r="J14" s="559"/>
      <c r="K14" s="398"/>
    </row>
    <row r="15" spans="3:11" s="560" customFormat="1" x14ac:dyDescent="0.2">
      <c r="C15" s="385">
        <v>1</v>
      </c>
      <c r="D15" s="551"/>
      <c r="E15" s="556"/>
      <c r="F15" s="557"/>
      <c r="G15" s="380"/>
      <c r="H15" s="557"/>
      <c r="I15" s="380"/>
      <c r="J15" s="559"/>
      <c r="K15" s="398"/>
    </row>
    <row r="16" spans="3:11" s="560" customFormat="1" x14ac:dyDescent="0.2">
      <c r="C16" s="385">
        <v>1</v>
      </c>
      <c r="D16" s="551"/>
      <c r="E16" s="556"/>
      <c r="F16" s="557"/>
      <c r="G16" s="380"/>
      <c r="H16" s="557"/>
      <c r="I16" s="380"/>
      <c r="J16" s="559"/>
      <c r="K16" s="398"/>
    </row>
    <row r="17" spans="3:10" x14ac:dyDescent="0.2">
      <c r="C17" s="380">
        <v>1</v>
      </c>
      <c r="D17" s="551"/>
      <c r="E17" s="556"/>
      <c r="F17" s="557"/>
      <c r="G17" s="380"/>
      <c r="H17" s="557"/>
      <c r="I17" s="380"/>
      <c r="J17" s="559"/>
    </row>
    <row r="18" spans="3:10" x14ac:dyDescent="0.2">
      <c r="C18" s="380">
        <v>1</v>
      </c>
      <c r="D18" s="551"/>
      <c r="E18" s="556"/>
      <c r="F18" s="557"/>
      <c r="G18" s="380"/>
      <c r="H18" s="557"/>
      <c r="I18" s="380"/>
      <c r="J18" s="559"/>
    </row>
    <row r="19" spans="3:10" x14ac:dyDescent="0.2">
      <c r="C19" s="380">
        <v>1</v>
      </c>
      <c r="D19" s="551"/>
      <c r="E19" s="556"/>
      <c r="F19" s="557"/>
      <c r="G19" s="380"/>
      <c r="H19" s="557"/>
      <c r="I19" s="380"/>
      <c r="J19" s="559"/>
    </row>
    <row r="20" spans="3:10" x14ac:dyDescent="0.2">
      <c r="C20" s="380">
        <v>1</v>
      </c>
      <c r="D20" s="551"/>
      <c r="E20" s="556"/>
      <c r="F20" s="557"/>
      <c r="G20" s="380"/>
      <c r="H20" s="557"/>
      <c r="I20" s="380"/>
      <c r="J20" s="559"/>
    </row>
    <row r="21" spans="3:10" x14ac:dyDescent="0.2">
      <c r="C21" s="380">
        <v>1</v>
      </c>
      <c r="D21" s="551"/>
      <c r="E21" s="556"/>
      <c r="F21" s="557"/>
      <c r="G21" s="561"/>
      <c r="H21" s="557"/>
      <c r="I21" s="380"/>
      <c r="J21" s="559"/>
    </row>
    <row r="22" spans="3:10" x14ac:dyDescent="0.2">
      <c r="C22" s="380">
        <v>1</v>
      </c>
      <c r="D22" s="551"/>
      <c r="E22" s="556"/>
      <c r="F22" s="557"/>
      <c r="G22" s="561"/>
      <c r="H22" s="557"/>
      <c r="I22" s="380"/>
      <c r="J22" s="559"/>
    </row>
    <row r="23" spans="3:10" x14ac:dyDescent="0.2">
      <c r="C23" s="380">
        <v>1</v>
      </c>
      <c r="D23" s="551"/>
      <c r="E23" s="556"/>
      <c r="F23" s="557"/>
      <c r="G23" s="561"/>
      <c r="H23" s="557"/>
      <c r="I23" s="380"/>
      <c r="J23" s="559"/>
    </row>
    <row r="24" spans="3:10" x14ac:dyDescent="0.2">
      <c r="C24" s="380">
        <v>1</v>
      </c>
      <c r="D24" s="551"/>
      <c r="E24" s="556"/>
      <c r="F24" s="557"/>
      <c r="G24" s="561"/>
      <c r="H24" s="557"/>
      <c r="I24" s="380"/>
      <c r="J24" s="559"/>
    </row>
    <row r="25" spans="3:10" x14ac:dyDescent="0.2">
      <c r="C25" s="380">
        <v>1</v>
      </c>
      <c r="D25" s="551"/>
      <c r="E25" s="556"/>
      <c r="F25" s="557"/>
      <c r="G25" s="561"/>
      <c r="H25" s="557"/>
      <c r="I25" s="380"/>
      <c r="J25" s="559"/>
    </row>
    <row r="26" spans="3:10" x14ac:dyDescent="0.2">
      <c r="C26" s="380">
        <v>1</v>
      </c>
      <c r="D26" s="551"/>
      <c r="E26" s="556"/>
      <c r="F26" s="557"/>
      <c r="G26" s="561"/>
      <c r="H26" s="557"/>
      <c r="I26" s="380"/>
      <c r="J26" s="559"/>
    </row>
    <row r="27" spans="3:10" x14ac:dyDescent="0.2">
      <c r="C27" s="380">
        <v>1</v>
      </c>
      <c r="D27" s="551"/>
      <c r="E27" s="556"/>
      <c r="F27" s="557"/>
      <c r="G27" s="561"/>
      <c r="H27" s="557"/>
      <c r="I27" s="380"/>
      <c r="J27" s="559"/>
    </row>
    <row r="28" spans="3:10" x14ac:dyDescent="0.2">
      <c r="C28" s="380">
        <v>1</v>
      </c>
      <c r="D28" s="551"/>
      <c r="E28" s="556"/>
      <c r="F28" s="557"/>
      <c r="G28" s="561"/>
      <c r="H28" s="557"/>
      <c r="I28" s="380"/>
      <c r="J28" s="559"/>
    </row>
    <row r="29" spans="3:10" x14ac:dyDescent="0.2">
      <c r="C29" s="380">
        <v>1</v>
      </c>
      <c r="D29" s="551"/>
      <c r="E29" s="556"/>
      <c r="F29" s="557"/>
      <c r="G29" s="561"/>
      <c r="H29" s="557"/>
      <c r="I29" s="380"/>
      <c r="J29" s="559"/>
    </row>
    <row r="30" spans="3:10" x14ac:dyDescent="0.2">
      <c r="C30" s="380">
        <v>1</v>
      </c>
      <c r="D30" s="551"/>
      <c r="E30" s="556"/>
      <c r="F30" s="557"/>
      <c r="G30" s="561"/>
      <c r="H30" s="557"/>
      <c r="I30" s="380"/>
      <c r="J30" s="559"/>
    </row>
    <row r="31" spans="3:10" x14ac:dyDescent="0.2">
      <c r="C31" s="380">
        <v>1</v>
      </c>
      <c r="D31" s="551"/>
      <c r="E31" s="556"/>
      <c r="F31" s="557"/>
      <c r="G31" s="561"/>
      <c r="H31" s="557"/>
      <c r="I31" s="380"/>
      <c r="J31" s="559"/>
    </row>
    <row r="32" spans="3:10" x14ac:dyDescent="0.2">
      <c r="C32" s="380">
        <v>1</v>
      </c>
      <c r="D32" s="551"/>
      <c r="E32" s="556"/>
      <c r="F32" s="557"/>
      <c r="G32" s="561"/>
      <c r="H32" s="557"/>
      <c r="I32" s="380"/>
      <c r="J32" s="559"/>
    </row>
    <row r="33" spans="3:10" x14ac:dyDescent="0.2">
      <c r="C33" s="380">
        <v>1</v>
      </c>
      <c r="D33" s="551"/>
      <c r="E33" s="556"/>
      <c r="F33" s="557"/>
      <c r="G33" s="561"/>
      <c r="H33" s="557"/>
      <c r="I33" s="380"/>
      <c r="J33" s="559"/>
    </row>
    <row r="34" spans="3:10" x14ac:dyDescent="0.2">
      <c r="C34" s="380">
        <v>1</v>
      </c>
      <c r="D34" s="551"/>
      <c r="E34" s="556"/>
      <c r="F34" s="557"/>
      <c r="G34" s="561"/>
      <c r="H34" s="557"/>
      <c r="I34" s="380"/>
      <c r="J34" s="559"/>
    </row>
    <row r="35" spans="3:10" x14ac:dyDescent="0.2">
      <c r="C35" s="380">
        <v>1</v>
      </c>
      <c r="D35" s="551"/>
      <c r="E35" s="556"/>
      <c r="F35" s="557"/>
      <c r="G35" s="561"/>
      <c r="H35" s="557"/>
      <c r="I35" s="380"/>
      <c r="J35" s="559"/>
    </row>
    <row r="36" spans="3:10" x14ac:dyDescent="0.2">
      <c r="C36" s="380">
        <v>1</v>
      </c>
      <c r="D36" s="551"/>
      <c r="E36" s="556"/>
      <c r="F36" s="557"/>
      <c r="G36" s="561"/>
      <c r="H36" s="557"/>
      <c r="I36" s="380"/>
      <c r="J36" s="559"/>
    </row>
    <row r="37" spans="3:10" x14ac:dyDescent="0.2">
      <c r="C37" s="380">
        <v>1</v>
      </c>
      <c r="D37" s="551"/>
      <c r="E37" s="556"/>
      <c r="F37" s="557"/>
      <c r="G37" s="561"/>
      <c r="H37" s="557"/>
      <c r="I37" s="380"/>
      <c r="J37" s="559"/>
    </row>
    <row r="38" spans="3:10" x14ac:dyDescent="0.2">
      <c r="C38" s="380">
        <v>1</v>
      </c>
      <c r="D38" s="551"/>
      <c r="E38" s="556"/>
      <c r="F38" s="557"/>
      <c r="G38" s="561"/>
      <c r="H38" s="557"/>
      <c r="I38" s="380"/>
      <c r="J38" s="559"/>
    </row>
    <row r="39" spans="3:10" x14ac:dyDescent="0.2">
      <c r="C39" s="380">
        <v>1</v>
      </c>
      <c r="D39" s="551"/>
      <c r="E39" s="556"/>
      <c r="F39" s="557"/>
      <c r="G39" s="561"/>
      <c r="H39" s="557"/>
      <c r="I39" s="380"/>
      <c r="J39" s="559"/>
    </row>
    <row r="40" spans="3:10" x14ac:dyDescent="0.2">
      <c r="C40" s="380">
        <v>1</v>
      </c>
      <c r="D40" s="551"/>
      <c r="E40" s="556"/>
      <c r="F40" s="557"/>
      <c r="G40" s="561"/>
      <c r="H40" s="557"/>
      <c r="I40" s="380"/>
      <c r="J40" s="559"/>
    </row>
    <row r="41" spans="3:10" x14ac:dyDescent="0.2">
      <c r="C41" s="380">
        <v>1</v>
      </c>
      <c r="D41" s="551"/>
      <c r="E41" s="556"/>
      <c r="F41" s="557"/>
      <c r="G41" s="561"/>
      <c r="H41" s="557"/>
      <c r="I41" s="380"/>
      <c r="J41" s="559"/>
    </row>
    <row r="42" spans="3:10" x14ac:dyDescent="0.2">
      <c r="C42" s="380">
        <v>1</v>
      </c>
      <c r="D42" s="551"/>
      <c r="E42" s="556"/>
      <c r="F42" s="557"/>
      <c r="G42" s="561"/>
      <c r="H42" s="557"/>
      <c r="I42" s="380"/>
      <c r="J42" s="559"/>
    </row>
    <row r="43" spans="3:10" x14ac:dyDescent="0.2">
      <c r="C43" s="380">
        <v>1</v>
      </c>
      <c r="D43" s="551"/>
      <c r="E43" s="556"/>
      <c r="F43" s="557"/>
      <c r="G43" s="561"/>
      <c r="H43" s="557"/>
      <c r="I43" s="380"/>
      <c r="J43" s="559"/>
    </row>
    <row r="44" spans="3:10" x14ac:dyDescent="0.2">
      <c r="C44" s="380">
        <v>1</v>
      </c>
      <c r="D44" s="551"/>
      <c r="E44" s="556"/>
      <c r="F44" s="557"/>
      <c r="G44" s="561"/>
      <c r="H44" s="557"/>
      <c r="I44" s="380"/>
      <c r="J44" s="559"/>
    </row>
    <row r="45" spans="3:10" x14ac:dyDescent="0.2">
      <c r="C45" s="380">
        <v>1</v>
      </c>
      <c r="D45" s="551"/>
      <c r="E45" s="556"/>
      <c r="F45" s="557"/>
      <c r="G45" s="561"/>
      <c r="H45" s="557"/>
      <c r="I45" s="380"/>
      <c r="J45" s="559"/>
    </row>
    <row r="46" spans="3:10" x14ac:dyDescent="0.2">
      <c r="C46" s="380">
        <v>1</v>
      </c>
      <c r="D46" s="551"/>
      <c r="E46" s="556"/>
      <c r="F46" s="557"/>
      <c r="G46" s="561"/>
      <c r="H46" s="557"/>
      <c r="I46" s="380"/>
      <c r="J46" s="559"/>
    </row>
    <row r="47" spans="3:10" x14ac:dyDescent="0.2">
      <c r="C47" s="380">
        <v>1</v>
      </c>
      <c r="D47" s="551"/>
      <c r="E47" s="556"/>
      <c r="F47" s="557"/>
      <c r="G47" s="561"/>
      <c r="H47" s="557"/>
      <c r="I47" s="380"/>
      <c r="J47" s="559"/>
    </row>
    <row r="48" spans="3:10" x14ac:dyDescent="0.2">
      <c r="C48" s="380">
        <v>1</v>
      </c>
      <c r="D48" s="551"/>
      <c r="E48" s="556"/>
      <c r="F48" s="557"/>
      <c r="G48" s="561"/>
      <c r="H48" s="557"/>
      <c r="I48" s="380"/>
      <c r="J48" s="559"/>
    </row>
    <row r="49" spans="3:10" x14ac:dyDescent="0.2">
      <c r="C49" s="380">
        <v>1</v>
      </c>
      <c r="D49" s="551"/>
      <c r="E49" s="556"/>
      <c r="F49" s="557"/>
      <c r="G49" s="561"/>
      <c r="H49" s="557"/>
      <c r="I49" s="380"/>
      <c r="J49" s="559"/>
    </row>
    <row r="50" spans="3:10" x14ac:dyDescent="0.2">
      <c r="C50" s="380">
        <v>1</v>
      </c>
      <c r="D50" s="551"/>
      <c r="E50" s="556"/>
      <c r="F50" s="557"/>
      <c r="G50" s="561"/>
      <c r="H50" s="557"/>
      <c r="I50" s="380"/>
      <c r="J50" s="559"/>
    </row>
    <row r="51" spans="3:10" x14ac:dyDescent="0.2">
      <c r="C51" s="380">
        <v>1</v>
      </c>
      <c r="D51" s="551"/>
      <c r="E51" s="556"/>
      <c r="F51" s="557"/>
      <c r="G51" s="561"/>
      <c r="H51" s="557"/>
      <c r="I51" s="380"/>
      <c r="J51" s="559"/>
    </row>
    <row r="52" spans="3:10" x14ac:dyDescent="0.2">
      <c r="C52" s="380">
        <v>1</v>
      </c>
      <c r="D52" s="551"/>
      <c r="E52" s="556"/>
      <c r="F52" s="557"/>
      <c r="G52" s="561"/>
      <c r="H52" s="557"/>
      <c r="I52" s="380"/>
      <c r="J52" s="559"/>
    </row>
    <row r="53" spans="3:10" x14ac:dyDescent="0.2">
      <c r="C53" s="380">
        <v>1</v>
      </c>
      <c r="D53" s="551"/>
      <c r="E53" s="556"/>
      <c r="F53" s="557"/>
      <c r="G53" s="561"/>
      <c r="H53" s="557"/>
      <c r="I53" s="380"/>
      <c r="J53" s="559"/>
    </row>
    <row r="54" spans="3:10" x14ac:dyDescent="0.2">
      <c r="C54" s="380">
        <v>1</v>
      </c>
      <c r="D54" s="551"/>
      <c r="E54" s="556"/>
      <c r="F54" s="557"/>
      <c r="G54" s="561"/>
      <c r="H54" s="557"/>
      <c r="I54" s="380"/>
      <c r="J54" s="559"/>
    </row>
    <row r="55" spans="3:10" x14ac:dyDescent="0.2">
      <c r="C55" s="380">
        <v>1</v>
      </c>
      <c r="D55" s="551"/>
      <c r="E55" s="556"/>
      <c r="F55" s="557"/>
      <c r="G55" s="561"/>
      <c r="H55" s="557"/>
      <c r="I55" s="380"/>
      <c r="J55" s="559"/>
    </row>
    <row r="56" spans="3:10" x14ac:dyDescent="0.2">
      <c r="C56" s="380">
        <v>1</v>
      </c>
      <c r="D56" s="551"/>
      <c r="E56" s="556"/>
      <c r="F56" s="557"/>
      <c r="G56" s="561"/>
      <c r="H56" s="557"/>
      <c r="I56" s="380"/>
      <c r="J56" s="559"/>
    </row>
    <row r="57" spans="3:10" x14ac:dyDescent="0.2">
      <c r="C57" s="380">
        <v>1</v>
      </c>
      <c r="D57" s="551"/>
      <c r="E57" s="556"/>
      <c r="F57" s="557"/>
      <c r="G57" s="561"/>
      <c r="H57" s="557"/>
      <c r="I57" s="380"/>
      <c r="J57" s="559"/>
    </row>
    <row r="58" spans="3:10" x14ac:dyDescent="0.2">
      <c r="C58" s="380">
        <v>1</v>
      </c>
      <c r="D58" s="551"/>
      <c r="E58" s="556"/>
      <c r="F58" s="557"/>
      <c r="G58" s="561"/>
      <c r="H58" s="557"/>
      <c r="I58" s="380"/>
      <c r="J58" s="559"/>
    </row>
    <row r="59" spans="3:10" x14ac:dyDescent="0.2">
      <c r="C59" s="380">
        <v>1</v>
      </c>
      <c r="D59" s="551"/>
      <c r="E59" s="556"/>
      <c r="F59" s="557"/>
      <c r="G59" s="561"/>
      <c r="H59" s="557"/>
      <c r="I59" s="380"/>
      <c r="J59" s="559"/>
    </row>
    <row r="60" spans="3:10" x14ac:dyDescent="0.2">
      <c r="C60" s="380">
        <v>1</v>
      </c>
      <c r="D60" s="551"/>
      <c r="E60" s="556"/>
      <c r="F60" s="557"/>
      <c r="G60" s="561"/>
      <c r="H60" s="557"/>
      <c r="I60" s="380"/>
      <c r="J60" s="559"/>
    </row>
    <row r="61" spans="3:10" x14ac:dyDescent="0.2">
      <c r="C61" s="380">
        <v>1</v>
      </c>
      <c r="D61" s="551"/>
      <c r="E61" s="556"/>
      <c r="F61" s="557"/>
      <c r="G61" s="561"/>
      <c r="H61" s="557"/>
      <c r="I61" s="380"/>
      <c r="J61" s="559"/>
    </row>
    <row r="62" spans="3:10" x14ac:dyDescent="0.2">
      <c r="C62" s="380">
        <v>1</v>
      </c>
      <c r="D62" s="551"/>
      <c r="E62" s="556"/>
      <c r="F62" s="557"/>
      <c r="G62" s="561"/>
      <c r="H62" s="557"/>
      <c r="I62" s="380"/>
      <c r="J62" s="559"/>
    </row>
    <row r="63" spans="3:10" x14ac:dyDescent="0.2">
      <c r="C63" s="380">
        <v>1</v>
      </c>
      <c r="D63" s="551"/>
      <c r="E63" s="556"/>
      <c r="F63" s="557"/>
      <c r="G63" s="561"/>
      <c r="H63" s="557"/>
      <c r="I63" s="380"/>
      <c r="J63" s="559"/>
    </row>
    <row r="64" spans="3:10" x14ac:dyDescent="0.2">
      <c r="C64" s="380">
        <v>1</v>
      </c>
      <c r="D64" s="551"/>
      <c r="E64" s="556"/>
      <c r="F64" s="557"/>
      <c r="G64" s="561"/>
      <c r="H64" s="557"/>
      <c r="I64" s="380"/>
      <c r="J64" s="559"/>
    </row>
    <row r="65" spans="3:10" x14ac:dyDescent="0.2">
      <c r="C65" s="380">
        <v>1</v>
      </c>
      <c r="D65" s="551"/>
      <c r="E65" s="556"/>
      <c r="F65" s="557"/>
      <c r="G65" s="561"/>
      <c r="H65" s="557"/>
      <c r="I65" s="380"/>
      <c r="J65" s="559"/>
    </row>
    <row r="66" spans="3:10" x14ac:dyDescent="0.2">
      <c r="C66" s="380">
        <v>1</v>
      </c>
      <c r="D66" s="551"/>
      <c r="E66" s="556"/>
      <c r="F66" s="557"/>
      <c r="G66" s="561"/>
      <c r="H66" s="557"/>
      <c r="I66" s="380"/>
      <c r="J66" s="559"/>
    </row>
    <row r="67" spans="3:10" x14ac:dyDescent="0.2">
      <c r="C67" s="380">
        <v>1</v>
      </c>
      <c r="D67" s="551"/>
      <c r="E67" s="556"/>
      <c r="F67" s="557"/>
      <c r="G67" s="561"/>
      <c r="H67" s="557"/>
      <c r="I67" s="380"/>
      <c r="J67" s="559"/>
    </row>
    <row r="68" spans="3:10" x14ac:dyDescent="0.2">
      <c r="C68" s="380">
        <v>1</v>
      </c>
      <c r="D68" s="551"/>
      <c r="E68" s="556"/>
      <c r="F68" s="557"/>
      <c r="G68" s="561"/>
      <c r="H68" s="557"/>
      <c r="I68" s="380"/>
      <c r="J68" s="559"/>
    </row>
    <row r="69" spans="3:10" x14ac:dyDescent="0.2">
      <c r="C69" s="380">
        <v>1</v>
      </c>
      <c r="D69" s="551"/>
      <c r="E69" s="556"/>
      <c r="F69" s="557"/>
      <c r="G69" s="561"/>
      <c r="H69" s="557"/>
      <c r="I69" s="380"/>
      <c r="J69" s="559"/>
    </row>
    <row r="70" spans="3:10" x14ac:dyDescent="0.2">
      <c r="C70" s="380">
        <v>1</v>
      </c>
      <c r="D70" s="551"/>
      <c r="E70" s="556"/>
      <c r="F70" s="557"/>
      <c r="G70" s="561"/>
      <c r="H70" s="557"/>
      <c r="I70" s="380"/>
      <c r="J70" s="559"/>
    </row>
    <row r="71" spans="3:10" x14ac:dyDescent="0.2">
      <c r="C71" s="380">
        <v>1</v>
      </c>
      <c r="D71" s="551"/>
      <c r="E71" s="556"/>
      <c r="F71" s="557"/>
      <c r="G71" s="561"/>
      <c r="H71" s="557"/>
      <c r="I71" s="380"/>
      <c r="J71" s="559"/>
    </row>
    <row r="72" spans="3:10" x14ac:dyDescent="0.2">
      <c r="C72" s="380">
        <v>1</v>
      </c>
      <c r="D72" s="551"/>
      <c r="E72" s="556"/>
      <c r="F72" s="557"/>
      <c r="G72" s="561"/>
      <c r="H72" s="557"/>
      <c r="I72" s="380"/>
      <c r="J72" s="559"/>
    </row>
    <row r="73" spans="3:10" x14ac:dyDescent="0.2">
      <c r="C73" s="380">
        <v>1</v>
      </c>
      <c r="D73" s="551"/>
      <c r="E73" s="556"/>
      <c r="F73" s="557"/>
      <c r="G73" s="561"/>
      <c r="H73" s="557"/>
      <c r="I73" s="380"/>
      <c r="J73" s="559"/>
    </row>
    <row r="74" spans="3:10" x14ac:dyDescent="0.2">
      <c r="C74" s="380">
        <v>1</v>
      </c>
      <c r="D74" s="551"/>
      <c r="E74" s="556"/>
      <c r="F74" s="557"/>
      <c r="G74" s="561"/>
      <c r="H74" s="557"/>
      <c r="I74" s="380"/>
      <c r="J74" s="559"/>
    </row>
    <row r="75" spans="3:10" x14ac:dyDescent="0.2">
      <c r="C75" s="380">
        <v>1</v>
      </c>
      <c r="D75" s="551"/>
      <c r="E75" s="556"/>
      <c r="F75" s="557"/>
      <c r="G75" s="561"/>
      <c r="H75" s="557"/>
      <c r="I75" s="380"/>
      <c r="J75" s="559"/>
    </row>
    <row r="76" spans="3:10" x14ac:dyDescent="0.2">
      <c r="C76" s="380">
        <v>1</v>
      </c>
      <c r="D76" s="551"/>
      <c r="E76" s="556"/>
      <c r="F76" s="557"/>
      <c r="G76" s="561"/>
      <c r="H76" s="557"/>
      <c r="I76" s="380"/>
      <c r="J76" s="559"/>
    </row>
    <row r="77" spans="3:10" x14ac:dyDescent="0.2">
      <c r="C77" s="380">
        <v>1</v>
      </c>
      <c r="D77" s="551"/>
      <c r="E77" s="556"/>
      <c r="F77" s="557"/>
      <c r="G77" s="561"/>
      <c r="H77" s="557"/>
      <c r="I77" s="380"/>
      <c r="J77" s="559"/>
    </row>
    <row r="78" spans="3:10" x14ac:dyDescent="0.2">
      <c r="C78" s="380">
        <v>1</v>
      </c>
      <c r="D78" s="551"/>
      <c r="E78" s="556"/>
      <c r="F78" s="557"/>
      <c r="G78" s="561"/>
      <c r="H78" s="557"/>
      <c r="I78" s="380"/>
      <c r="J78" s="559"/>
    </row>
    <row r="79" spans="3:10" x14ac:dyDescent="0.2">
      <c r="C79" s="380">
        <v>1</v>
      </c>
      <c r="D79" s="551"/>
      <c r="E79" s="556"/>
      <c r="F79" s="557"/>
      <c r="G79" s="561"/>
      <c r="H79" s="557"/>
      <c r="I79" s="380"/>
      <c r="J79" s="559"/>
    </row>
    <row r="80" spans="3:10" x14ac:dyDescent="0.2">
      <c r="C80" s="380">
        <v>1</v>
      </c>
      <c r="D80" s="551"/>
      <c r="E80" s="556"/>
      <c r="F80" s="557"/>
      <c r="G80" s="561"/>
      <c r="H80" s="557"/>
      <c r="I80" s="380"/>
      <c r="J80" s="559"/>
    </row>
    <row r="81" spans="1:10" x14ac:dyDescent="0.2">
      <c r="C81" s="380">
        <v>1</v>
      </c>
      <c r="D81" s="551"/>
      <c r="E81" s="556"/>
      <c r="F81" s="557"/>
      <c r="G81" s="561"/>
      <c r="H81" s="557"/>
      <c r="I81" s="380"/>
      <c r="J81" s="559"/>
    </row>
    <row r="82" spans="1:10" x14ac:dyDescent="0.2">
      <c r="C82" s="380">
        <v>1</v>
      </c>
      <c r="D82" s="551"/>
      <c r="E82" s="562" t="str">
        <f>_xlfn.XLOOKUP($D82,'[5]Liste des employés'!$A:$A,'[5]Liste des employés'!$B:$B)&amp;" "&amp;PROPER(_xlfn.XLOOKUP($D82,'[5]Liste des employés'!$A:$A,'[5]Liste des employés'!$C:$C))</f>
        <v xml:space="preserve"> </v>
      </c>
      <c r="F82" s="563" t="str">
        <f>PROPER(_xlfn.XLOOKUP($D82,'[5]Liste des employés'!$A:$A,'[5]Liste des employés'!$G:$G))</f>
        <v/>
      </c>
      <c r="G82" s="564"/>
      <c r="H82" s="563"/>
      <c r="I82" s="565"/>
      <c r="J82" s="566"/>
    </row>
    <row r="83" spans="1:10" x14ac:dyDescent="0.2">
      <c r="C83" s="380">
        <v>1</v>
      </c>
      <c r="D83" s="551"/>
      <c r="E83" s="556"/>
      <c r="F83" s="557"/>
      <c r="G83" s="561"/>
      <c r="H83" s="557"/>
      <c r="I83" s="380"/>
      <c r="J83" s="559"/>
    </row>
    <row r="84" spans="1:10" x14ac:dyDescent="0.2">
      <c r="C84" s="380">
        <v>1</v>
      </c>
      <c r="D84" s="551"/>
      <c r="E84" s="556"/>
      <c r="F84" s="557"/>
      <c r="G84" s="561"/>
      <c r="H84" s="557"/>
      <c r="I84" s="380"/>
      <c r="J84" s="559"/>
    </row>
    <row r="85" spans="1:10" x14ac:dyDescent="0.2">
      <c r="C85" s="380">
        <v>1</v>
      </c>
      <c r="D85" s="551"/>
      <c r="E85" s="556"/>
      <c r="F85" s="557"/>
      <c r="G85" s="561"/>
      <c r="H85" s="557"/>
      <c r="I85" s="380"/>
      <c r="J85" s="559"/>
    </row>
    <row r="86" spans="1:10" x14ac:dyDescent="0.2">
      <c r="C86" s="380">
        <v>1</v>
      </c>
      <c r="D86" s="551"/>
      <c r="E86" s="556"/>
      <c r="F86" s="557"/>
      <c r="G86" s="561"/>
      <c r="H86" s="557"/>
      <c r="I86" s="380"/>
      <c r="J86" s="559"/>
    </row>
    <row r="87" spans="1:10" x14ac:dyDescent="0.2">
      <c r="C87" s="380">
        <v>1</v>
      </c>
      <c r="D87" s="551"/>
      <c r="E87" s="556"/>
      <c r="F87" s="557"/>
      <c r="G87" s="561"/>
      <c r="H87" s="557"/>
      <c r="I87" s="380"/>
      <c r="J87" s="559"/>
    </row>
    <row r="88" spans="1:10" x14ac:dyDescent="0.2">
      <c r="C88" s="380">
        <v>1</v>
      </c>
      <c r="D88" s="551"/>
      <c r="E88" s="556"/>
      <c r="F88" s="557"/>
      <c r="G88" s="561"/>
      <c r="H88" s="557"/>
      <c r="I88" s="380"/>
      <c r="J88" s="559"/>
    </row>
    <row r="89" spans="1:10" x14ac:dyDescent="0.2">
      <c r="C89" s="380">
        <v>1</v>
      </c>
      <c r="D89" s="551"/>
      <c r="E89" s="556"/>
      <c r="F89" s="557"/>
      <c r="G89" s="561"/>
      <c r="H89" s="557"/>
      <c r="I89" s="380"/>
      <c r="J89" s="559"/>
    </row>
    <row r="90" spans="1:10" x14ac:dyDescent="0.2">
      <c r="C90" s="380">
        <v>1</v>
      </c>
      <c r="D90" s="551"/>
      <c r="E90" s="556"/>
      <c r="F90" s="557"/>
      <c r="G90" s="561"/>
      <c r="H90" s="557"/>
      <c r="I90" s="380"/>
      <c r="J90" s="559"/>
    </row>
    <row r="91" spans="1:10" x14ac:dyDescent="0.2">
      <c r="C91" s="380">
        <v>1</v>
      </c>
      <c r="D91" s="551"/>
      <c r="E91" s="556"/>
      <c r="F91" s="557"/>
      <c r="G91" s="561"/>
      <c r="H91" s="557"/>
      <c r="I91" s="380"/>
      <c r="J91" s="559"/>
    </row>
    <row r="92" spans="1:10" x14ac:dyDescent="0.2">
      <c r="C92" s="380">
        <v>1</v>
      </c>
      <c r="D92" s="551"/>
      <c r="E92" s="407"/>
      <c r="F92" s="407"/>
      <c r="G92" s="561"/>
      <c r="H92" s="557"/>
      <c r="I92" s="380"/>
      <c r="J92" s="559"/>
    </row>
    <row r="93" spans="1:10" x14ac:dyDescent="0.2">
      <c r="C93" s="396"/>
      <c r="D93" s="552"/>
      <c r="E93" s="552"/>
      <c r="G93" s="396"/>
      <c r="I93" s="396"/>
      <c r="J93" s="554"/>
    </row>
    <row r="95" spans="1:10" ht="15" x14ac:dyDescent="0.25">
      <c r="A95" s="567" t="s">
        <v>1246</v>
      </c>
      <c r="B95" s="568">
        <v>45322</v>
      </c>
      <c r="C95" s="569">
        <f>SUMIFS($C$5:$C$92,$J$5:$J$92,"&gt;"&amp;EOMONTH(B95,-1),$J$5:$J$92,"&lt;="&amp;B95)</f>
        <v>0</v>
      </c>
      <c r="D95" s="570"/>
    </row>
    <row r="96" spans="1:10" ht="15" x14ac:dyDescent="0.25">
      <c r="A96" s="567" t="s">
        <v>1246</v>
      </c>
      <c r="B96" s="568">
        <f>EOMONTH(B95,1)</f>
        <v>45351</v>
      </c>
      <c r="C96" s="569">
        <f t="shared" ref="C96:C106" si="0">SUMIFS($C$5:$C$92,$J$5:$J$92,"&gt;"&amp;EOMONTH(B96,-1),$J$5:$J$92,"&lt;="&amp;B96)</f>
        <v>0</v>
      </c>
      <c r="D96" s="570"/>
      <c r="F96" s="553"/>
    </row>
    <row r="97" spans="1:6" ht="15" x14ac:dyDescent="0.25">
      <c r="A97" s="567" t="s">
        <v>1246</v>
      </c>
      <c r="B97" s="568">
        <f t="shared" ref="B97:B106" si="1">EOMONTH(B96,1)</f>
        <v>45382</v>
      </c>
      <c r="C97" s="569">
        <f t="shared" si="0"/>
        <v>0</v>
      </c>
      <c r="D97" s="570"/>
      <c r="F97" s="553"/>
    </row>
    <row r="98" spans="1:6" ht="15" x14ac:dyDescent="0.25">
      <c r="A98" s="567" t="s">
        <v>1246</v>
      </c>
      <c r="B98" s="568">
        <f t="shared" si="1"/>
        <v>45412</v>
      </c>
      <c r="C98" s="569">
        <f t="shared" si="0"/>
        <v>0</v>
      </c>
      <c r="D98" s="570"/>
    </row>
    <row r="99" spans="1:6" ht="15" x14ac:dyDescent="0.25">
      <c r="A99" s="567" t="s">
        <v>1246</v>
      </c>
      <c r="B99" s="568">
        <f t="shared" si="1"/>
        <v>45443</v>
      </c>
      <c r="C99" s="569">
        <f t="shared" si="0"/>
        <v>0</v>
      </c>
      <c r="D99" s="570"/>
    </row>
    <row r="100" spans="1:6" ht="15" x14ac:dyDescent="0.25">
      <c r="A100" s="567" t="s">
        <v>1246</v>
      </c>
      <c r="B100" s="568">
        <f t="shared" si="1"/>
        <v>45473</v>
      </c>
      <c r="C100" s="569">
        <f t="shared" si="0"/>
        <v>0</v>
      </c>
      <c r="D100" s="570"/>
    </row>
    <row r="101" spans="1:6" ht="15" x14ac:dyDescent="0.25">
      <c r="A101" s="567" t="s">
        <v>1246</v>
      </c>
      <c r="B101" s="568">
        <f t="shared" si="1"/>
        <v>45504</v>
      </c>
      <c r="C101" s="569">
        <f t="shared" si="0"/>
        <v>0</v>
      </c>
      <c r="D101" s="570"/>
    </row>
    <row r="102" spans="1:6" ht="15" x14ac:dyDescent="0.25">
      <c r="A102" s="567" t="s">
        <v>1246</v>
      </c>
      <c r="B102" s="568">
        <f t="shared" si="1"/>
        <v>45535</v>
      </c>
      <c r="C102" s="569">
        <f t="shared" si="0"/>
        <v>0</v>
      </c>
      <c r="D102" s="570"/>
    </row>
    <row r="103" spans="1:6" ht="15" x14ac:dyDescent="0.25">
      <c r="A103" s="567" t="s">
        <v>1246</v>
      </c>
      <c r="B103" s="568">
        <f t="shared" si="1"/>
        <v>45565</v>
      </c>
      <c r="C103" s="569">
        <f t="shared" si="0"/>
        <v>0</v>
      </c>
      <c r="D103" s="570"/>
    </row>
    <row r="104" spans="1:6" ht="15" x14ac:dyDescent="0.25">
      <c r="A104" s="567" t="s">
        <v>1246</v>
      </c>
      <c r="B104" s="568">
        <f t="shared" si="1"/>
        <v>45596</v>
      </c>
      <c r="C104" s="569">
        <f t="shared" si="0"/>
        <v>0</v>
      </c>
      <c r="D104" s="570"/>
    </row>
    <row r="105" spans="1:6" ht="15" x14ac:dyDescent="0.25">
      <c r="A105" s="567" t="s">
        <v>1246</v>
      </c>
      <c r="B105" s="568">
        <f t="shared" si="1"/>
        <v>45626</v>
      </c>
      <c r="C105" s="569">
        <f t="shared" si="0"/>
        <v>0</v>
      </c>
      <c r="D105" s="570"/>
    </row>
    <row r="106" spans="1:6" ht="15" x14ac:dyDescent="0.25">
      <c r="A106" s="567" t="s">
        <v>1246</v>
      </c>
      <c r="B106" s="568">
        <f t="shared" si="1"/>
        <v>45657</v>
      </c>
      <c r="C106" s="569">
        <f t="shared" si="0"/>
        <v>0</v>
      </c>
      <c r="D106" s="570"/>
    </row>
  </sheetData>
  <autoFilter ref="B6:K6" xr:uid="{00000000-0009-0000-0000-00000A000000}">
    <sortState xmlns:xlrd2="http://schemas.microsoft.com/office/spreadsheetml/2017/richdata2" ref="B7:K60">
      <sortCondition ref="J6"/>
    </sortState>
  </autoFilter>
  <mergeCells count="1">
    <mergeCell ref="C4:J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201F-4D0F-483D-9D32-17AD6D043336}">
  <sheetPr codeName="Feuil21">
    <tabColor rgb="FF002060"/>
    <pageSetUpPr fitToPage="1"/>
  </sheetPr>
  <dimension ref="A2:J120"/>
  <sheetViews>
    <sheetView showGridLines="0" workbookViewId="0">
      <selection activeCell="G119" sqref="G119"/>
    </sheetView>
  </sheetViews>
  <sheetFormatPr baseColWidth="10" defaultColWidth="11.42578125" defaultRowHeight="14.25" x14ac:dyDescent="0.2"/>
  <cols>
    <col min="1" max="1" width="11.42578125" style="398"/>
    <col min="2" max="2" width="11.28515625" style="398" bestFit="1" customWidth="1"/>
    <col min="3" max="4" width="11.42578125" style="398"/>
    <col min="5" max="5" width="44.85546875" style="398" customWidth="1"/>
    <col min="6" max="6" width="65.7109375" style="398" bestFit="1" customWidth="1"/>
    <col min="7" max="7" width="18" style="398" bestFit="1" customWidth="1"/>
    <col min="8" max="8" width="17.140625" style="398" bestFit="1" customWidth="1"/>
    <col min="9" max="9" width="13.7109375" style="398" bestFit="1" customWidth="1"/>
    <col min="10" max="10" width="12.85546875" style="398" bestFit="1" customWidth="1"/>
    <col min="11" max="16384" width="11.42578125" style="398"/>
  </cols>
  <sheetData>
    <row r="2" spans="2:10" s="523" customFormat="1" ht="15" x14ac:dyDescent="0.25">
      <c r="E2" s="523" t="s">
        <v>1069</v>
      </c>
      <c r="G2" s="1" t="s">
        <v>803</v>
      </c>
      <c r="H2" s="415" t="s">
        <v>804</v>
      </c>
      <c r="I2" s="520">
        <f>'[4]BILAN SOCIAL 2025'!$E$6</f>
        <v>45821</v>
      </c>
    </row>
    <row r="4" spans="2:10" ht="15" x14ac:dyDescent="0.25">
      <c r="C4" s="423" t="s">
        <v>1070</v>
      </c>
      <c r="D4" s="423" t="s">
        <v>401</v>
      </c>
      <c r="E4" s="423" t="s">
        <v>1071</v>
      </c>
      <c r="F4" s="423" t="s">
        <v>1072</v>
      </c>
      <c r="G4" s="526" t="s">
        <v>1073</v>
      </c>
      <c r="H4" s="423" t="s">
        <v>1074</v>
      </c>
      <c r="I4" s="526" t="s">
        <v>1075</v>
      </c>
      <c r="J4" s="526" t="s">
        <v>1076</v>
      </c>
    </row>
    <row r="5" spans="2:10" x14ac:dyDescent="0.2">
      <c r="B5" s="530"/>
      <c r="C5" s="380">
        <v>1</v>
      </c>
      <c r="D5" s="551">
        <v>4</v>
      </c>
      <c r="E5" s="407" t="s">
        <v>1077</v>
      </c>
      <c r="F5" s="379" t="s">
        <v>1078</v>
      </c>
      <c r="G5" s="380"/>
      <c r="H5" s="379"/>
      <c r="I5" s="380"/>
      <c r="J5" s="536"/>
    </row>
    <row r="6" spans="2:10" x14ac:dyDescent="0.2">
      <c r="B6" s="530"/>
      <c r="C6" s="380">
        <v>1</v>
      </c>
      <c r="D6" s="551">
        <v>11</v>
      </c>
      <c r="E6" s="407" t="s">
        <v>1079</v>
      </c>
      <c r="F6" s="379" t="s">
        <v>1080</v>
      </c>
      <c r="G6" s="380"/>
      <c r="H6" s="379"/>
      <c r="I6" s="380"/>
      <c r="J6" s="536"/>
    </row>
    <row r="7" spans="2:10" x14ac:dyDescent="0.2">
      <c r="B7" s="530"/>
      <c r="C7" s="380">
        <v>1</v>
      </c>
      <c r="D7" s="551">
        <v>16</v>
      </c>
      <c r="E7" s="407" t="s">
        <v>1081</v>
      </c>
      <c r="F7" s="379" t="s">
        <v>1082</v>
      </c>
      <c r="G7" s="380"/>
      <c r="H7" s="379"/>
      <c r="I7" s="380"/>
      <c r="J7" s="536"/>
    </row>
    <row r="8" spans="2:10" x14ac:dyDescent="0.2">
      <c r="B8" s="530"/>
      <c r="C8" s="380">
        <v>1</v>
      </c>
      <c r="D8" s="551">
        <v>23</v>
      </c>
      <c r="E8" s="407" t="s">
        <v>1083</v>
      </c>
      <c r="F8" s="379" t="s">
        <v>481</v>
      </c>
      <c r="G8" s="380"/>
      <c r="H8" s="379"/>
      <c r="I8" s="380"/>
      <c r="J8" s="536"/>
    </row>
    <row r="9" spans="2:10" x14ac:dyDescent="0.2">
      <c r="B9" s="530"/>
      <c r="C9" s="380">
        <v>1</v>
      </c>
      <c r="D9" s="551">
        <v>34</v>
      </c>
      <c r="E9" s="407" t="s">
        <v>1084</v>
      </c>
      <c r="F9" s="379" t="s">
        <v>438</v>
      </c>
      <c r="G9" s="380"/>
      <c r="H9" s="379"/>
      <c r="I9" s="380"/>
      <c r="J9" s="536"/>
    </row>
    <row r="10" spans="2:10" x14ac:dyDescent="0.2">
      <c r="B10" s="530"/>
      <c r="C10" s="380">
        <v>1</v>
      </c>
      <c r="D10" s="551">
        <v>39</v>
      </c>
      <c r="E10" s="407" t="s">
        <v>1085</v>
      </c>
      <c r="F10" s="379" t="s">
        <v>116</v>
      </c>
      <c r="G10" s="380"/>
      <c r="H10" s="379"/>
      <c r="I10" s="380"/>
      <c r="J10" s="536"/>
    </row>
    <row r="11" spans="2:10" x14ac:dyDescent="0.2">
      <c r="B11" s="530"/>
      <c r="C11" s="380">
        <v>1</v>
      </c>
      <c r="D11" s="551">
        <v>41</v>
      </c>
      <c r="E11" s="407" t="s">
        <v>1086</v>
      </c>
      <c r="F11" s="379" t="s">
        <v>1087</v>
      </c>
      <c r="G11" s="380"/>
      <c r="H11" s="379"/>
      <c r="I11" s="380"/>
      <c r="J11" s="536"/>
    </row>
    <row r="12" spans="2:10" x14ac:dyDescent="0.2">
      <c r="B12" s="530"/>
      <c r="C12" s="380">
        <v>1</v>
      </c>
      <c r="D12" s="551">
        <v>46</v>
      </c>
      <c r="E12" s="407" t="s">
        <v>1088</v>
      </c>
      <c r="F12" s="379" t="s">
        <v>508</v>
      </c>
      <c r="G12" s="380"/>
      <c r="H12" s="379"/>
      <c r="I12" s="380"/>
      <c r="J12" s="536"/>
    </row>
    <row r="13" spans="2:10" x14ac:dyDescent="0.2">
      <c r="B13" s="530"/>
      <c r="C13" s="380">
        <v>1</v>
      </c>
      <c r="D13" s="551">
        <v>54</v>
      </c>
      <c r="E13" s="407" t="s">
        <v>1089</v>
      </c>
      <c r="F13" s="379" t="s">
        <v>692</v>
      </c>
      <c r="G13" s="380"/>
      <c r="H13" s="379"/>
      <c r="I13" s="380"/>
      <c r="J13" s="536"/>
    </row>
    <row r="14" spans="2:10" x14ac:dyDescent="0.2">
      <c r="B14" s="530"/>
      <c r="C14" s="380">
        <v>1</v>
      </c>
      <c r="D14" s="551">
        <v>57</v>
      </c>
      <c r="E14" s="407" t="s">
        <v>1090</v>
      </c>
      <c r="F14" s="379" t="s">
        <v>1091</v>
      </c>
      <c r="G14" s="380"/>
      <c r="H14" s="379"/>
      <c r="I14" s="380"/>
      <c r="J14" s="536"/>
    </row>
    <row r="15" spans="2:10" x14ac:dyDescent="0.2">
      <c r="B15" s="530"/>
      <c r="C15" s="380">
        <v>1</v>
      </c>
      <c r="D15" s="551">
        <v>64</v>
      </c>
      <c r="E15" s="407" t="s">
        <v>1092</v>
      </c>
      <c r="F15" s="379" t="s">
        <v>692</v>
      </c>
      <c r="G15" s="380"/>
      <c r="H15" s="379"/>
      <c r="I15" s="380"/>
      <c r="J15" s="536"/>
    </row>
    <row r="16" spans="2:10" x14ac:dyDescent="0.2">
      <c r="B16" s="530"/>
      <c r="C16" s="380">
        <v>1</v>
      </c>
      <c r="D16" s="551">
        <v>70</v>
      </c>
      <c r="E16" s="407" t="s">
        <v>1093</v>
      </c>
      <c r="F16" s="379" t="s">
        <v>438</v>
      </c>
      <c r="G16" s="380"/>
      <c r="H16" s="379"/>
      <c r="I16" s="380"/>
      <c r="J16" s="536"/>
    </row>
    <row r="17" spans="2:10" x14ac:dyDescent="0.2">
      <c r="B17" s="530"/>
      <c r="C17" s="380">
        <v>1</v>
      </c>
      <c r="D17" s="551">
        <v>72</v>
      </c>
      <c r="E17" s="407" t="s">
        <v>1094</v>
      </c>
      <c r="F17" s="379" t="s">
        <v>481</v>
      </c>
      <c r="G17" s="380"/>
      <c r="H17" s="379"/>
      <c r="I17" s="380"/>
      <c r="J17" s="536"/>
    </row>
    <row r="18" spans="2:10" x14ac:dyDescent="0.2">
      <c r="B18" s="530"/>
      <c r="C18" s="380">
        <v>1</v>
      </c>
      <c r="D18" s="551">
        <v>82</v>
      </c>
      <c r="E18" s="407" t="s">
        <v>1095</v>
      </c>
      <c r="F18" s="379" t="s">
        <v>1096</v>
      </c>
      <c r="G18" s="380"/>
      <c r="H18" s="379"/>
      <c r="I18" s="380"/>
      <c r="J18" s="536"/>
    </row>
    <row r="19" spans="2:10" x14ac:dyDescent="0.2">
      <c r="B19" s="530"/>
      <c r="C19" s="380">
        <v>1</v>
      </c>
      <c r="D19" s="551">
        <v>86</v>
      </c>
      <c r="E19" s="407" t="s">
        <v>1097</v>
      </c>
      <c r="F19" s="379" t="s">
        <v>178</v>
      </c>
      <c r="G19" s="380"/>
      <c r="H19" s="379"/>
      <c r="I19" s="380"/>
      <c r="J19" s="536"/>
    </row>
    <row r="20" spans="2:10" x14ac:dyDescent="0.2">
      <c r="B20" s="530"/>
      <c r="C20" s="380">
        <v>1</v>
      </c>
      <c r="D20" s="551">
        <v>88</v>
      </c>
      <c r="E20" s="407" t="s">
        <v>1098</v>
      </c>
      <c r="F20" s="379" t="s">
        <v>438</v>
      </c>
      <c r="G20" s="380"/>
      <c r="H20" s="379"/>
      <c r="I20" s="380"/>
      <c r="J20" s="536"/>
    </row>
    <row r="21" spans="2:10" x14ac:dyDescent="0.2">
      <c r="B21" s="530"/>
      <c r="C21" s="380">
        <v>1</v>
      </c>
      <c r="D21" s="551">
        <v>94</v>
      </c>
      <c r="E21" s="407" t="s">
        <v>1099</v>
      </c>
      <c r="F21" s="379" t="s">
        <v>438</v>
      </c>
      <c r="G21" s="380"/>
      <c r="H21" s="379"/>
      <c r="I21" s="380"/>
      <c r="J21" s="536"/>
    </row>
    <row r="22" spans="2:10" x14ac:dyDescent="0.2">
      <c r="B22" s="530"/>
      <c r="C22" s="380">
        <v>1</v>
      </c>
      <c r="D22" s="551">
        <v>104</v>
      </c>
      <c r="E22" s="407" t="s">
        <v>1100</v>
      </c>
      <c r="F22" s="379" t="s">
        <v>1101</v>
      </c>
      <c r="G22" s="380"/>
      <c r="H22" s="379"/>
      <c r="I22" s="380"/>
      <c r="J22" s="536"/>
    </row>
    <row r="23" spans="2:10" x14ac:dyDescent="0.2">
      <c r="B23" s="530"/>
      <c r="C23" s="380">
        <v>1</v>
      </c>
      <c r="D23" s="551">
        <v>106</v>
      </c>
      <c r="E23" s="407" t="s">
        <v>1102</v>
      </c>
      <c r="F23" s="379" t="s">
        <v>1101</v>
      </c>
      <c r="G23" s="380"/>
      <c r="H23" s="379"/>
      <c r="I23" s="380"/>
      <c r="J23" s="536"/>
    </row>
    <row r="24" spans="2:10" x14ac:dyDescent="0.2">
      <c r="B24" s="530"/>
      <c r="C24" s="380">
        <v>1</v>
      </c>
      <c r="D24" s="551">
        <v>108</v>
      </c>
      <c r="E24" s="407" t="s">
        <v>1103</v>
      </c>
      <c r="F24" s="379" t="s">
        <v>713</v>
      </c>
      <c r="G24" s="380"/>
      <c r="H24" s="379"/>
      <c r="I24" s="380"/>
      <c r="J24" s="536"/>
    </row>
    <row r="25" spans="2:10" x14ac:dyDescent="0.2">
      <c r="B25" s="530"/>
      <c r="C25" s="380">
        <v>1</v>
      </c>
      <c r="D25" s="551">
        <v>109</v>
      </c>
      <c r="E25" s="407" t="s">
        <v>1104</v>
      </c>
      <c r="F25" s="379" t="s">
        <v>1087</v>
      </c>
      <c r="G25" s="380"/>
      <c r="H25" s="379"/>
      <c r="I25" s="380"/>
      <c r="J25" s="536"/>
    </row>
    <row r="26" spans="2:10" x14ac:dyDescent="0.2">
      <c r="B26" s="530"/>
      <c r="C26" s="380">
        <v>1</v>
      </c>
      <c r="D26" s="551">
        <v>110</v>
      </c>
      <c r="E26" s="407" t="s">
        <v>1105</v>
      </c>
      <c r="F26" s="379" t="s">
        <v>1106</v>
      </c>
      <c r="G26" s="380"/>
      <c r="H26" s="379"/>
      <c r="I26" s="380"/>
      <c r="J26" s="536"/>
    </row>
    <row r="27" spans="2:10" x14ac:dyDescent="0.2">
      <c r="B27" s="530"/>
      <c r="C27" s="380">
        <v>1</v>
      </c>
      <c r="D27" s="551">
        <v>124</v>
      </c>
      <c r="E27" s="407" t="s">
        <v>1107</v>
      </c>
      <c r="F27" s="379" t="s">
        <v>1108</v>
      </c>
      <c r="G27" s="380"/>
      <c r="H27" s="379"/>
      <c r="I27" s="380"/>
      <c r="J27" s="536"/>
    </row>
    <row r="28" spans="2:10" x14ac:dyDescent="0.2">
      <c r="B28" s="530"/>
      <c r="C28" s="380">
        <v>1</v>
      </c>
      <c r="D28" s="551">
        <v>133</v>
      </c>
      <c r="E28" s="407" t="s">
        <v>1109</v>
      </c>
      <c r="F28" s="379" t="s">
        <v>1110</v>
      </c>
      <c r="G28" s="380"/>
      <c r="H28" s="379"/>
      <c r="I28" s="380"/>
      <c r="J28" s="536"/>
    </row>
    <row r="29" spans="2:10" x14ac:dyDescent="0.2">
      <c r="B29" s="530"/>
      <c r="C29" s="380">
        <v>1</v>
      </c>
      <c r="D29" s="551">
        <v>139</v>
      </c>
      <c r="E29" s="407" t="s">
        <v>1111</v>
      </c>
      <c r="F29" s="379" t="s">
        <v>160</v>
      </c>
      <c r="G29" s="380"/>
      <c r="H29" s="379"/>
      <c r="I29" s="380"/>
      <c r="J29" s="536"/>
    </row>
    <row r="30" spans="2:10" x14ac:dyDescent="0.2">
      <c r="B30" s="530"/>
      <c r="C30" s="380">
        <v>1</v>
      </c>
      <c r="D30" s="551">
        <v>150</v>
      </c>
      <c r="E30" s="407" t="s">
        <v>1112</v>
      </c>
      <c r="F30" s="379" t="s">
        <v>533</v>
      </c>
      <c r="G30" s="380"/>
      <c r="H30" s="379"/>
      <c r="I30" s="380"/>
      <c r="J30" s="536"/>
    </row>
    <row r="31" spans="2:10" x14ac:dyDescent="0.2">
      <c r="B31" s="530"/>
      <c r="C31" s="380">
        <v>1</v>
      </c>
      <c r="D31" s="551">
        <v>152</v>
      </c>
      <c r="E31" s="407" t="s">
        <v>1113</v>
      </c>
      <c r="F31" s="379" t="s">
        <v>481</v>
      </c>
      <c r="G31" s="380"/>
      <c r="H31" s="379"/>
      <c r="I31" s="380"/>
      <c r="J31" s="536"/>
    </row>
    <row r="32" spans="2:10" x14ac:dyDescent="0.2">
      <c r="B32" s="530"/>
      <c r="C32" s="380">
        <v>1</v>
      </c>
      <c r="D32" s="551">
        <v>155</v>
      </c>
      <c r="E32" s="407" t="s">
        <v>1114</v>
      </c>
      <c r="F32" s="379" t="s">
        <v>1115</v>
      </c>
      <c r="G32" s="380"/>
      <c r="H32" s="379"/>
      <c r="I32" s="380"/>
      <c r="J32" s="536"/>
    </row>
    <row r="33" spans="2:10" x14ac:dyDescent="0.2">
      <c r="B33" s="530"/>
      <c r="C33" s="380">
        <v>1</v>
      </c>
      <c r="D33" s="551">
        <v>161</v>
      </c>
      <c r="E33" s="407" t="s">
        <v>1116</v>
      </c>
      <c r="F33" s="379" t="s">
        <v>1117</v>
      </c>
      <c r="G33" s="380"/>
      <c r="H33" s="379"/>
      <c r="I33" s="380"/>
      <c r="J33" s="536"/>
    </row>
    <row r="34" spans="2:10" x14ac:dyDescent="0.2">
      <c r="B34" s="530"/>
      <c r="C34" s="380">
        <v>1</v>
      </c>
      <c r="D34" s="551">
        <v>163</v>
      </c>
      <c r="E34" s="407" t="s">
        <v>1118</v>
      </c>
      <c r="F34" s="379" t="s">
        <v>1119</v>
      </c>
      <c r="G34" s="380"/>
      <c r="H34" s="379"/>
      <c r="I34" s="380"/>
      <c r="J34" s="536"/>
    </row>
    <row r="35" spans="2:10" x14ac:dyDescent="0.2">
      <c r="B35" s="530"/>
      <c r="C35" s="380">
        <v>1</v>
      </c>
      <c r="D35" s="551">
        <v>165</v>
      </c>
      <c r="E35" s="407" t="s">
        <v>1120</v>
      </c>
      <c r="F35" s="379" t="s">
        <v>1121</v>
      </c>
      <c r="G35" s="380"/>
      <c r="H35" s="379"/>
      <c r="I35" s="380"/>
      <c r="J35" s="536"/>
    </row>
    <row r="36" spans="2:10" x14ac:dyDescent="0.2">
      <c r="B36" s="530"/>
      <c r="C36" s="380">
        <v>1</v>
      </c>
      <c r="D36" s="551">
        <v>173</v>
      </c>
      <c r="E36" s="407" t="s">
        <v>1122</v>
      </c>
      <c r="F36" s="379" t="s">
        <v>116</v>
      </c>
      <c r="G36" s="380"/>
      <c r="H36" s="379"/>
      <c r="I36" s="380"/>
      <c r="J36" s="536"/>
    </row>
    <row r="37" spans="2:10" x14ac:dyDescent="0.2">
      <c r="B37" s="530"/>
      <c r="C37" s="380">
        <v>1</v>
      </c>
      <c r="D37" s="551">
        <v>177</v>
      </c>
      <c r="E37" s="407" t="s">
        <v>1123</v>
      </c>
      <c r="F37" s="379" t="s">
        <v>1124</v>
      </c>
      <c r="G37" s="380"/>
      <c r="H37" s="379"/>
      <c r="I37" s="380"/>
      <c r="J37" s="536"/>
    </row>
    <row r="38" spans="2:10" x14ac:dyDescent="0.2">
      <c r="B38" s="530"/>
      <c r="C38" s="380">
        <v>1</v>
      </c>
      <c r="D38" s="551">
        <v>179</v>
      </c>
      <c r="E38" s="407" t="s">
        <v>1125</v>
      </c>
      <c r="F38" s="379" t="s">
        <v>1126</v>
      </c>
      <c r="G38" s="380"/>
      <c r="H38" s="379"/>
      <c r="I38" s="380"/>
      <c r="J38" s="536"/>
    </row>
    <row r="39" spans="2:10" x14ac:dyDescent="0.2">
      <c r="B39" s="530"/>
      <c r="C39" s="380">
        <v>1</v>
      </c>
      <c r="D39" s="551">
        <v>181</v>
      </c>
      <c r="E39" s="407" t="s">
        <v>1127</v>
      </c>
      <c r="F39" s="379" t="s">
        <v>1128</v>
      </c>
      <c r="G39" s="380"/>
      <c r="H39" s="379"/>
      <c r="I39" s="380"/>
      <c r="J39" s="536"/>
    </row>
    <row r="40" spans="2:10" x14ac:dyDescent="0.2">
      <c r="B40" s="530"/>
      <c r="C40" s="380">
        <v>1</v>
      </c>
      <c r="D40" s="551">
        <v>182</v>
      </c>
      <c r="E40" s="407" t="s">
        <v>1129</v>
      </c>
      <c r="F40" s="379" t="s">
        <v>1130</v>
      </c>
      <c r="G40" s="380"/>
      <c r="H40" s="379"/>
      <c r="I40" s="380"/>
      <c r="J40" s="536"/>
    </row>
    <row r="41" spans="2:10" x14ac:dyDescent="0.2">
      <c r="B41" s="530"/>
      <c r="C41" s="380">
        <v>1</v>
      </c>
      <c r="D41" s="551">
        <v>183</v>
      </c>
      <c r="E41" s="407" t="s">
        <v>1131</v>
      </c>
      <c r="F41" s="379" t="s">
        <v>1132</v>
      </c>
      <c r="G41" s="380"/>
      <c r="H41" s="379"/>
      <c r="I41" s="380"/>
      <c r="J41" s="536"/>
    </row>
    <row r="42" spans="2:10" x14ac:dyDescent="0.2">
      <c r="B42" s="530"/>
      <c r="C42" s="380">
        <v>1</v>
      </c>
      <c r="D42" s="551">
        <v>190</v>
      </c>
      <c r="E42" s="407" t="s">
        <v>1133</v>
      </c>
      <c r="F42" s="379" t="s">
        <v>1096</v>
      </c>
      <c r="G42" s="380"/>
      <c r="H42" s="379"/>
      <c r="I42" s="380"/>
      <c r="J42" s="536"/>
    </row>
    <row r="43" spans="2:10" x14ac:dyDescent="0.2">
      <c r="B43" s="530"/>
      <c r="C43" s="380">
        <v>1</v>
      </c>
      <c r="D43" s="551">
        <v>195</v>
      </c>
      <c r="E43" s="407" t="s">
        <v>1134</v>
      </c>
      <c r="F43" s="379" t="s">
        <v>1135</v>
      </c>
      <c r="G43" s="380"/>
      <c r="H43" s="379"/>
      <c r="I43" s="380"/>
      <c r="J43" s="536"/>
    </row>
    <row r="44" spans="2:10" x14ac:dyDescent="0.2">
      <c r="B44" s="530"/>
      <c r="C44" s="380">
        <v>1</v>
      </c>
      <c r="D44" s="551">
        <v>196</v>
      </c>
      <c r="E44" s="407" t="s">
        <v>1136</v>
      </c>
      <c r="F44" s="379" t="s">
        <v>1137</v>
      </c>
      <c r="G44" s="380"/>
      <c r="H44" s="379"/>
      <c r="I44" s="380"/>
      <c r="J44" s="536"/>
    </row>
    <row r="45" spans="2:10" x14ac:dyDescent="0.2">
      <c r="B45" s="530"/>
      <c r="C45" s="380">
        <v>1</v>
      </c>
      <c r="D45" s="551">
        <v>199</v>
      </c>
      <c r="E45" s="407" t="s">
        <v>1138</v>
      </c>
      <c r="F45" s="379" t="s">
        <v>1139</v>
      </c>
      <c r="G45" s="380"/>
      <c r="H45" s="379"/>
      <c r="I45" s="380"/>
      <c r="J45" s="536"/>
    </row>
    <row r="46" spans="2:10" x14ac:dyDescent="0.2">
      <c r="B46" s="530"/>
      <c r="C46" s="380">
        <v>1</v>
      </c>
      <c r="D46" s="551">
        <v>202</v>
      </c>
      <c r="E46" s="407" t="s">
        <v>1140</v>
      </c>
      <c r="F46" s="379" t="s">
        <v>1141</v>
      </c>
      <c r="G46" s="380"/>
      <c r="H46" s="379"/>
      <c r="I46" s="380"/>
      <c r="J46" s="536"/>
    </row>
    <row r="47" spans="2:10" x14ac:dyDescent="0.2">
      <c r="B47" s="530"/>
      <c r="C47" s="380">
        <v>1</v>
      </c>
      <c r="D47" s="551">
        <v>206</v>
      </c>
      <c r="E47" s="407" t="s">
        <v>1142</v>
      </c>
      <c r="F47" s="379" t="s">
        <v>1143</v>
      </c>
      <c r="G47" s="380"/>
      <c r="H47" s="379"/>
      <c r="I47" s="380"/>
      <c r="J47" s="536"/>
    </row>
    <row r="48" spans="2:10" x14ac:dyDescent="0.2">
      <c r="B48" s="530"/>
      <c r="C48" s="380">
        <v>1</v>
      </c>
      <c r="D48" s="551">
        <v>222</v>
      </c>
      <c r="E48" s="407" t="s">
        <v>1144</v>
      </c>
      <c r="F48" s="379" t="s">
        <v>1145</v>
      </c>
      <c r="G48" s="380"/>
      <c r="H48" s="379"/>
      <c r="I48" s="380"/>
      <c r="J48" s="536"/>
    </row>
    <row r="49" spans="2:10" x14ac:dyDescent="0.2">
      <c r="B49" s="530"/>
      <c r="C49" s="380">
        <v>1</v>
      </c>
      <c r="D49" s="551">
        <v>226</v>
      </c>
      <c r="E49" s="407" t="s">
        <v>1146</v>
      </c>
      <c r="F49" s="379" t="s">
        <v>1147</v>
      </c>
      <c r="G49" s="380"/>
      <c r="H49" s="379"/>
      <c r="I49" s="380"/>
      <c r="J49" s="536"/>
    </row>
    <row r="50" spans="2:10" x14ac:dyDescent="0.2">
      <c r="B50" s="530"/>
      <c r="C50" s="380">
        <v>1</v>
      </c>
      <c r="D50" s="551">
        <v>229</v>
      </c>
      <c r="E50" s="407" t="s">
        <v>1148</v>
      </c>
      <c r="F50" s="379" t="s">
        <v>1149</v>
      </c>
      <c r="G50" s="380"/>
      <c r="H50" s="379"/>
      <c r="I50" s="380"/>
      <c r="J50" s="536"/>
    </row>
    <row r="51" spans="2:10" x14ac:dyDescent="0.2">
      <c r="B51" s="530"/>
      <c r="C51" s="380">
        <v>1</v>
      </c>
      <c r="D51" s="551">
        <v>232</v>
      </c>
      <c r="E51" s="407" t="s">
        <v>1150</v>
      </c>
      <c r="F51" s="379" t="s">
        <v>116</v>
      </c>
      <c r="G51" s="380"/>
      <c r="H51" s="379"/>
      <c r="I51" s="380"/>
      <c r="J51" s="536"/>
    </row>
    <row r="52" spans="2:10" x14ac:dyDescent="0.2">
      <c r="B52" s="530"/>
      <c r="C52" s="380">
        <v>1</v>
      </c>
      <c r="D52" s="551">
        <v>233</v>
      </c>
      <c r="E52" s="407" t="s">
        <v>1151</v>
      </c>
      <c r="F52" s="379" t="s">
        <v>1152</v>
      </c>
      <c r="G52" s="380"/>
      <c r="H52" s="379"/>
      <c r="I52" s="380"/>
      <c r="J52" s="536"/>
    </row>
    <row r="53" spans="2:10" x14ac:dyDescent="0.2">
      <c r="B53" s="530"/>
      <c r="C53" s="380">
        <v>1</v>
      </c>
      <c r="D53" s="551">
        <v>234</v>
      </c>
      <c r="E53" s="407" t="s">
        <v>1153</v>
      </c>
      <c r="F53" s="379" t="s">
        <v>1154</v>
      </c>
      <c r="G53" s="380"/>
      <c r="H53" s="379"/>
      <c r="I53" s="380"/>
      <c r="J53" s="536"/>
    </row>
    <row r="54" spans="2:10" x14ac:dyDescent="0.2">
      <c r="B54" s="530"/>
      <c r="C54" s="380">
        <v>1</v>
      </c>
      <c r="D54" s="551">
        <v>235</v>
      </c>
      <c r="E54" s="407" t="s">
        <v>1155</v>
      </c>
      <c r="F54" s="379" t="s">
        <v>1156</v>
      </c>
      <c r="G54" s="380"/>
      <c r="H54" s="379"/>
      <c r="I54" s="380"/>
      <c r="J54" s="536"/>
    </row>
    <row r="55" spans="2:10" x14ac:dyDescent="0.2">
      <c r="B55" s="530"/>
      <c r="C55" s="380">
        <v>1</v>
      </c>
      <c r="D55" s="551">
        <v>243</v>
      </c>
      <c r="E55" s="407" t="s">
        <v>1157</v>
      </c>
      <c r="F55" s="379" t="s">
        <v>1158</v>
      </c>
      <c r="G55" s="380"/>
      <c r="H55" s="379"/>
      <c r="I55" s="380"/>
      <c r="J55" s="536"/>
    </row>
    <row r="56" spans="2:10" x14ac:dyDescent="0.2">
      <c r="B56" s="530"/>
      <c r="C56" s="380">
        <v>1</v>
      </c>
      <c r="D56" s="551">
        <v>244</v>
      </c>
      <c r="E56" s="407" t="s">
        <v>1159</v>
      </c>
      <c r="F56" s="379" t="s">
        <v>1160</v>
      </c>
      <c r="G56" s="380"/>
      <c r="H56" s="379"/>
      <c r="I56" s="380"/>
      <c r="J56" s="536"/>
    </row>
    <row r="57" spans="2:10" x14ac:dyDescent="0.2">
      <c r="B57" s="530"/>
      <c r="C57" s="380">
        <v>1</v>
      </c>
      <c r="D57" s="551">
        <v>260</v>
      </c>
      <c r="E57" s="407" t="s">
        <v>1161</v>
      </c>
      <c r="F57" s="379" t="s">
        <v>1096</v>
      </c>
      <c r="G57" s="380"/>
      <c r="H57" s="379"/>
      <c r="I57" s="380"/>
      <c r="J57" s="536"/>
    </row>
    <row r="58" spans="2:10" x14ac:dyDescent="0.2">
      <c r="B58" s="530"/>
      <c r="C58" s="380">
        <v>1</v>
      </c>
      <c r="D58" s="551">
        <v>261</v>
      </c>
      <c r="E58" s="407" t="s">
        <v>1162</v>
      </c>
      <c r="F58" s="379" t="s">
        <v>1163</v>
      </c>
      <c r="G58" s="380"/>
      <c r="H58" s="379"/>
      <c r="I58" s="380"/>
      <c r="J58" s="536"/>
    </row>
    <row r="59" spans="2:10" x14ac:dyDescent="0.2">
      <c r="B59" s="530"/>
      <c r="C59" s="380">
        <v>1</v>
      </c>
      <c r="D59" s="551">
        <v>275</v>
      </c>
      <c r="E59" s="407" t="s">
        <v>1164</v>
      </c>
      <c r="F59" s="379" t="s">
        <v>730</v>
      </c>
      <c r="G59" s="380"/>
      <c r="H59" s="379"/>
      <c r="I59" s="380"/>
      <c r="J59" s="536"/>
    </row>
    <row r="60" spans="2:10" x14ac:dyDescent="0.2">
      <c r="B60" s="530"/>
      <c r="C60" s="380">
        <v>1</v>
      </c>
      <c r="D60" s="551">
        <v>281</v>
      </c>
      <c r="E60" s="407" t="s">
        <v>1165</v>
      </c>
      <c r="F60" s="379" t="s">
        <v>1078</v>
      </c>
      <c r="G60" s="380"/>
      <c r="H60" s="379"/>
      <c r="I60" s="380"/>
      <c r="J60" s="536"/>
    </row>
    <row r="61" spans="2:10" x14ac:dyDescent="0.2">
      <c r="B61" s="530"/>
      <c r="C61" s="380">
        <v>1</v>
      </c>
      <c r="D61" s="551">
        <v>283</v>
      </c>
      <c r="E61" s="407" t="s">
        <v>1166</v>
      </c>
      <c r="F61" s="379" t="s">
        <v>732</v>
      </c>
      <c r="G61" s="380"/>
      <c r="H61" s="379"/>
      <c r="I61" s="380"/>
      <c r="J61" s="536"/>
    </row>
    <row r="62" spans="2:10" x14ac:dyDescent="0.2">
      <c r="B62" s="530"/>
      <c r="C62" s="380">
        <v>1</v>
      </c>
      <c r="D62" s="551">
        <v>284</v>
      </c>
      <c r="E62" s="407" t="s">
        <v>1167</v>
      </c>
      <c r="F62" s="379" t="s">
        <v>732</v>
      </c>
      <c r="G62" s="380"/>
      <c r="H62" s="379"/>
      <c r="I62" s="380"/>
      <c r="J62" s="536"/>
    </row>
    <row r="63" spans="2:10" x14ac:dyDescent="0.2">
      <c r="B63" s="530"/>
      <c r="C63" s="380">
        <v>1</v>
      </c>
      <c r="D63" s="551">
        <v>288</v>
      </c>
      <c r="E63" s="407" t="s">
        <v>1168</v>
      </c>
      <c r="F63" s="379" t="s">
        <v>1169</v>
      </c>
      <c r="G63" s="380"/>
      <c r="H63" s="379"/>
      <c r="I63" s="380"/>
      <c r="J63" s="536"/>
    </row>
    <row r="64" spans="2:10" x14ac:dyDescent="0.2">
      <c r="B64" s="530"/>
      <c r="C64" s="380">
        <v>1</v>
      </c>
      <c r="D64" s="551">
        <v>289</v>
      </c>
      <c r="E64" s="407" t="s">
        <v>1170</v>
      </c>
      <c r="F64" s="379" t="s">
        <v>1171</v>
      </c>
      <c r="G64" s="380"/>
      <c r="H64" s="379"/>
      <c r="I64" s="380"/>
      <c r="J64" s="536"/>
    </row>
    <row r="65" spans="2:10" x14ac:dyDescent="0.2">
      <c r="B65" s="530"/>
      <c r="C65" s="380">
        <v>1</v>
      </c>
      <c r="D65" s="551">
        <v>297</v>
      </c>
      <c r="E65" s="407" t="s">
        <v>1172</v>
      </c>
      <c r="F65" s="379" t="s">
        <v>1173</v>
      </c>
      <c r="G65" s="380"/>
      <c r="H65" s="379"/>
      <c r="I65" s="380"/>
      <c r="J65" s="536"/>
    </row>
    <row r="66" spans="2:10" x14ac:dyDescent="0.2">
      <c r="B66" s="530"/>
      <c r="C66" s="380">
        <v>1</v>
      </c>
      <c r="D66" s="551">
        <v>298</v>
      </c>
      <c r="E66" s="407" t="s">
        <v>1174</v>
      </c>
      <c r="F66" s="379" t="s">
        <v>1175</v>
      </c>
      <c r="G66" s="380"/>
      <c r="H66" s="379"/>
      <c r="I66" s="380"/>
      <c r="J66" s="536"/>
    </row>
    <row r="67" spans="2:10" x14ac:dyDescent="0.2">
      <c r="B67" s="530"/>
      <c r="C67" s="380">
        <v>1</v>
      </c>
      <c r="D67" s="551">
        <v>313</v>
      </c>
      <c r="E67" s="407" t="s">
        <v>1176</v>
      </c>
      <c r="F67" s="379" t="s">
        <v>1177</v>
      </c>
      <c r="G67" s="380"/>
      <c r="H67" s="379"/>
      <c r="I67" s="380"/>
      <c r="J67" s="536"/>
    </row>
    <row r="68" spans="2:10" x14ac:dyDescent="0.2">
      <c r="B68" s="530"/>
      <c r="C68" s="380">
        <v>1</v>
      </c>
      <c r="D68" s="551">
        <v>314</v>
      </c>
      <c r="E68" s="407" t="s">
        <v>1178</v>
      </c>
      <c r="F68" s="379" t="s">
        <v>1179</v>
      </c>
      <c r="G68" s="380"/>
      <c r="H68" s="379"/>
      <c r="I68" s="380"/>
      <c r="J68" s="536"/>
    </row>
    <row r="69" spans="2:10" x14ac:dyDescent="0.2">
      <c r="B69" s="530"/>
      <c r="C69" s="380">
        <v>1</v>
      </c>
      <c r="D69" s="551">
        <v>315</v>
      </c>
      <c r="E69" s="407" t="s">
        <v>1180</v>
      </c>
      <c r="F69" s="379" t="s">
        <v>1181</v>
      </c>
      <c r="G69" s="380"/>
      <c r="H69" s="379"/>
      <c r="I69" s="380"/>
      <c r="J69" s="536"/>
    </row>
    <row r="70" spans="2:10" x14ac:dyDescent="0.2">
      <c r="B70" s="530"/>
      <c r="C70" s="380">
        <v>1</v>
      </c>
      <c r="D70" s="551">
        <v>318</v>
      </c>
      <c r="E70" s="407" t="s">
        <v>1182</v>
      </c>
      <c r="F70" s="379" t="s">
        <v>1183</v>
      </c>
      <c r="G70" s="380"/>
      <c r="H70" s="379"/>
      <c r="I70" s="380"/>
      <c r="J70" s="536"/>
    </row>
    <row r="71" spans="2:10" x14ac:dyDescent="0.2">
      <c r="B71" s="530"/>
      <c r="C71" s="380">
        <v>1</v>
      </c>
      <c r="D71" s="551">
        <v>319</v>
      </c>
      <c r="E71" s="407" t="s">
        <v>1184</v>
      </c>
      <c r="F71" s="379" t="s">
        <v>1185</v>
      </c>
      <c r="G71" s="380"/>
      <c r="H71" s="379"/>
      <c r="I71" s="380"/>
      <c r="J71" s="536"/>
    </row>
    <row r="72" spans="2:10" x14ac:dyDescent="0.2">
      <c r="B72" s="530"/>
      <c r="C72" s="380">
        <v>1</v>
      </c>
      <c r="D72" s="551">
        <v>330</v>
      </c>
      <c r="E72" s="407" t="s">
        <v>1186</v>
      </c>
      <c r="F72" s="379" t="s">
        <v>1187</v>
      </c>
      <c r="G72" s="380"/>
      <c r="H72" s="379"/>
      <c r="I72" s="380"/>
      <c r="J72" s="536"/>
    </row>
    <row r="73" spans="2:10" x14ac:dyDescent="0.2">
      <c r="B73" s="530"/>
      <c r="C73" s="380">
        <v>1</v>
      </c>
      <c r="D73" s="551">
        <v>331</v>
      </c>
      <c r="E73" s="407" t="s">
        <v>1188</v>
      </c>
      <c r="F73" s="379" t="s">
        <v>116</v>
      </c>
      <c r="G73" s="380"/>
      <c r="H73" s="379"/>
      <c r="I73" s="380"/>
      <c r="J73" s="536"/>
    </row>
    <row r="74" spans="2:10" x14ac:dyDescent="0.2">
      <c r="B74" s="530"/>
      <c r="C74" s="380">
        <v>1</v>
      </c>
      <c r="D74" s="551">
        <v>333</v>
      </c>
      <c r="E74" s="407" t="s">
        <v>1189</v>
      </c>
      <c r="F74" s="379" t="s">
        <v>1190</v>
      </c>
      <c r="G74" s="380"/>
      <c r="H74" s="379"/>
      <c r="I74" s="380"/>
      <c r="J74" s="536"/>
    </row>
    <row r="75" spans="2:10" x14ac:dyDescent="0.2">
      <c r="B75" s="530"/>
      <c r="C75" s="380">
        <v>1</v>
      </c>
      <c r="D75" s="551">
        <v>339</v>
      </c>
      <c r="E75" s="407" t="s">
        <v>1191</v>
      </c>
      <c r="F75" s="379" t="s">
        <v>1192</v>
      </c>
      <c r="G75" s="380"/>
      <c r="H75" s="379"/>
      <c r="I75" s="380"/>
      <c r="J75" s="536"/>
    </row>
    <row r="76" spans="2:10" x14ac:dyDescent="0.2">
      <c r="B76" s="530"/>
      <c r="C76" s="380">
        <v>1</v>
      </c>
      <c r="D76" s="551">
        <v>340</v>
      </c>
      <c r="E76" s="407" t="s">
        <v>1193</v>
      </c>
      <c r="F76" s="379" t="s">
        <v>1156</v>
      </c>
      <c r="G76" s="380"/>
      <c r="H76" s="379"/>
      <c r="I76" s="380"/>
      <c r="J76" s="536"/>
    </row>
    <row r="77" spans="2:10" x14ac:dyDescent="0.2">
      <c r="B77" s="530"/>
      <c r="C77" s="380">
        <v>1</v>
      </c>
      <c r="D77" s="551">
        <v>348</v>
      </c>
      <c r="E77" s="407" t="s">
        <v>1194</v>
      </c>
      <c r="F77" s="379" t="s">
        <v>1195</v>
      </c>
      <c r="G77" s="380"/>
      <c r="H77" s="379"/>
      <c r="I77" s="380"/>
      <c r="J77" s="536"/>
    </row>
    <row r="78" spans="2:10" x14ac:dyDescent="0.2">
      <c r="B78" s="530"/>
      <c r="C78" s="380">
        <v>1</v>
      </c>
      <c r="D78" s="551">
        <v>349</v>
      </c>
      <c r="E78" s="407" t="s">
        <v>1196</v>
      </c>
      <c r="F78" s="379" t="s">
        <v>732</v>
      </c>
      <c r="G78" s="380"/>
      <c r="H78" s="379"/>
      <c r="I78" s="380"/>
      <c r="J78" s="536"/>
    </row>
    <row r="79" spans="2:10" x14ac:dyDescent="0.2">
      <c r="B79" s="530"/>
      <c r="C79" s="380">
        <v>1</v>
      </c>
      <c r="D79" s="551">
        <v>350</v>
      </c>
      <c r="E79" s="407" t="s">
        <v>1197</v>
      </c>
      <c r="F79" s="379" t="s">
        <v>1198</v>
      </c>
      <c r="G79" s="380"/>
      <c r="H79" s="379"/>
      <c r="I79" s="380"/>
      <c r="J79" s="536"/>
    </row>
    <row r="80" spans="2:10" x14ac:dyDescent="0.2">
      <c r="B80" s="530"/>
      <c r="C80" s="380">
        <v>1</v>
      </c>
      <c r="D80" s="551">
        <v>356</v>
      </c>
      <c r="E80" s="407" t="s">
        <v>1199</v>
      </c>
      <c r="F80" s="379" t="s">
        <v>1200</v>
      </c>
      <c r="G80" s="380"/>
      <c r="H80" s="379"/>
      <c r="I80" s="380"/>
      <c r="J80" s="536"/>
    </row>
    <row r="81" spans="2:10" x14ac:dyDescent="0.2">
      <c r="B81" s="530"/>
      <c r="C81" s="380">
        <v>1</v>
      </c>
      <c r="D81" s="551">
        <v>358</v>
      </c>
      <c r="E81" s="407" t="s">
        <v>1201</v>
      </c>
      <c r="F81" s="379" t="s">
        <v>1202</v>
      </c>
      <c r="G81" s="380"/>
      <c r="H81" s="379"/>
      <c r="I81" s="380"/>
      <c r="J81" s="536"/>
    </row>
    <row r="82" spans="2:10" x14ac:dyDescent="0.2">
      <c r="B82" s="530"/>
      <c r="C82" s="380">
        <v>1</v>
      </c>
      <c r="D82" s="551">
        <v>362</v>
      </c>
      <c r="E82" s="407" t="s">
        <v>1203</v>
      </c>
      <c r="F82" s="379" t="s">
        <v>732</v>
      </c>
      <c r="G82" s="380"/>
      <c r="H82" s="379"/>
      <c r="I82" s="380"/>
      <c r="J82" s="536"/>
    </row>
    <row r="83" spans="2:10" x14ac:dyDescent="0.2">
      <c r="B83" s="530"/>
      <c r="C83" s="380">
        <v>1</v>
      </c>
      <c r="D83" s="551">
        <v>364</v>
      </c>
      <c r="E83" s="407" t="s">
        <v>1204</v>
      </c>
      <c r="F83" s="379" t="s">
        <v>1205</v>
      </c>
      <c r="G83" s="380"/>
      <c r="H83" s="379"/>
      <c r="I83" s="380"/>
      <c r="J83" s="536"/>
    </row>
    <row r="84" spans="2:10" x14ac:dyDescent="0.2">
      <c r="B84" s="530"/>
      <c r="C84" s="380">
        <v>1</v>
      </c>
      <c r="D84" s="551">
        <v>365</v>
      </c>
      <c r="E84" s="407" t="s">
        <v>1206</v>
      </c>
      <c r="F84" s="379" t="s">
        <v>1207</v>
      </c>
      <c r="G84" s="380"/>
      <c r="H84" s="379"/>
      <c r="I84" s="380"/>
      <c r="J84" s="536"/>
    </row>
    <row r="85" spans="2:10" x14ac:dyDescent="0.2">
      <c r="B85" s="530"/>
      <c r="C85" s="380">
        <v>1</v>
      </c>
      <c r="D85" s="551">
        <v>373</v>
      </c>
      <c r="E85" s="407" t="s">
        <v>1208</v>
      </c>
      <c r="F85" s="379" t="s">
        <v>1209</v>
      </c>
      <c r="G85" s="380"/>
      <c r="H85" s="379"/>
      <c r="I85" s="380"/>
      <c r="J85" s="536"/>
    </row>
    <row r="86" spans="2:10" x14ac:dyDescent="0.2">
      <c r="B86" s="530"/>
      <c r="C86" s="380">
        <v>1</v>
      </c>
      <c r="D86" s="551">
        <v>374</v>
      </c>
      <c r="E86" s="407" t="s">
        <v>1210</v>
      </c>
      <c r="F86" s="379" t="s">
        <v>1211</v>
      </c>
      <c r="G86" s="380"/>
      <c r="H86" s="379"/>
      <c r="I86" s="380"/>
      <c r="J86" s="536"/>
    </row>
    <row r="87" spans="2:10" x14ac:dyDescent="0.2">
      <c r="B87" s="530"/>
      <c r="C87" s="380">
        <v>1</v>
      </c>
      <c r="D87" s="551">
        <v>375</v>
      </c>
      <c r="E87" s="407" t="s">
        <v>1212</v>
      </c>
      <c r="F87" s="379" t="s">
        <v>1213</v>
      </c>
      <c r="G87" s="380"/>
      <c r="H87" s="379"/>
      <c r="I87" s="380"/>
      <c r="J87" s="536"/>
    </row>
    <row r="88" spans="2:10" x14ac:dyDescent="0.2">
      <c r="B88" s="530"/>
      <c r="C88" s="380">
        <v>1</v>
      </c>
      <c r="D88" s="551">
        <v>378</v>
      </c>
      <c r="E88" s="407" t="s">
        <v>1214</v>
      </c>
      <c r="F88" s="379" t="s">
        <v>732</v>
      </c>
      <c r="G88" s="380"/>
      <c r="H88" s="379"/>
      <c r="I88" s="380"/>
      <c r="J88" s="536"/>
    </row>
    <row r="89" spans="2:10" x14ac:dyDescent="0.2">
      <c r="B89" s="530"/>
      <c r="C89" s="380">
        <v>1</v>
      </c>
      <c r="D89" s="551">
        <v>385</v>
      </c>
      <c r="E89" s="407" t="s">
        <v>1215</v>
      </c>
      <c r="F89" s="379" t="s">
        <v>109</v>
      </c>
      <c r="G89" s="380"/>
      <c r="H89" s="379"/>
      <c r="I89" s="380"/>
      <c r="J89" s="536"/>
    </row>
    <row r="90" spans="2:10" x14ac:dyDescent="0.2">
      <c r="B90" s="530"/>
      <c r="C90" s="380">
        <v>1</v>
      </c>
      <c r="D90" s="551">
        <v>386</v>
      </c>
      <c r="E90" s="407" t="s">
        <v>1216</v>
      </c>
      <c r="F90" s="379" t="s">
        <v>105</v>
      </c>
      <c r="G90" s="380"/>
      <c r="H90" s="379"/>
      <c r="I90" s="380"/>
      <c r="J90" s="536"/>
    </row>
    <row r="91" spans="2:10" x14ac:dyDescent="0.2">
      <c r="B91" s="530"/>
      <c r="C91" s="380">
        <v>1</v>
      </c>
      <c r="D91" s="551">
        <v>388</v>
      </c>
      <c r="E91" s="407" t="s">
        <v>1217</v>
      </c>
      <c r="F91" s="379" t="s">
        <v>110</v>
      </c>
      <c r="G91" s="380"/>
      <c r="H91" s="379"/>
      <c r="I91" s="380"/>
      <c r="J91" s="536"/>
    </row>
    <row r="92" spans="2:10" x14ac:dyDescent="0.2">
      <c r="B92" s="530"/>
      <c r="C92" s="380">
        <v>1</v>
      </c>
      <c r="D92" s="551">
        <v>389</v>
      </c>
      <c r="E92" s="407" t="s">
        <v>1218</v>
      </c>
      <c r="F92" s="379" t="s">
        <v>1219</v>
      </c>
      <c r="G92" s="380"/>
      <c r="H92" s="379"/>
      <c r="I92" s="380"/>
      <c r="J92" s="536"/>
    </row>
    <row r="93" spans="2:10" x14ac:dyDescent="0.2">
      <c r="B93" s="530"/>
      <c r="C93" s="380">
        <v>1</v>
      </c>
      <c r="D93" s="551">
        <v>399</v>
      </c>
      <c r="E93" s="407" t="s">
        <v>1220</v>
      </c>
      <c r="F93" s="379" t="s">
        <v>1221</v>
      </c>
      <c r="G93" s="380"/>
      <c r="H93" s="379"/>
      <c r="I93" s="380"/>
      <c r="J93" s="536"/>
    </row>
    <row r="94" spans="2:10" x14ac:dyDescent="0.2">
      <c r="B94" s="530"/>
      <c r="C94" s="380">
        <v>1</v>
      </c>
      <c r="D94" s="551">
        <v>400</v>
      </c>
      <c r="E94" s="407" t="s">
        <v>1222</v>
      </c>
      <c r="F94" s="379" t="s">
        <v>116</v>
      </c>
      <c r="G94" s="380"/>
      <c r="H94" s="379"/>
      <c r="I94" s="380"/>
      <c r="J94" s="536"/>
    </row>
    <row r="95" spans="2:10" x14ac:dyDescent="0.2">
      <c r="B95" s="530"/>
      <c r="C95" s="380">
        <v>1</v>
      </c>
      <c r="D95" s="551">
        <v>401</v>
      </c>
      <c r="E95" s="407" t="s">
        <v>1223</v>
      </c>
      <c r="F95" s="379" t="s">
        <v>125</v>
      </c>
      <c r="G95" s="380"/>
      <c r="H95" s="379"/>
      <c r="I95" s="380"/>
      <c r="J95" s="536"/>
    </row>
    <row r="96" spans="2:10" x14ac:dyDescent="0.2">
      <c r="B96" s="530"/>
      <c r="C96" s="380">
        <v>1</v>
      </c>
      <c r="D96" s="551">
        <v>403</v>
      </c>
      <c r="E96" s="407" t="s">
        <v>1224</v>
      </c>
      <c r="F96" s="379" t="s">
        <v>1225</v>
      </c>
      <c r="G96" s="380"/>
      <c r="H96" s="379"/>
      <c r="I96" s="380"/>
      <c r="J96" s="536"/>
    </row>
    <row r="97" spans="1:10" x14ac:dyDescent="0.2">
      <c r="B97" s="530"/>
      <c r="C97" s="380">
        <v>1</v>
      </c>
      <c r="D97" s="551">
        <v>406</v>
      </c>
      <c r="E97" s="407" t="s">
        <v>1226</v>
      </c>
      <c r="F97" s="379" t="s">
        <v>1227</v>
      </c>
      <c r="G97" s="380"/>
      <c r="H97" s="379"/>
      <c r="I97" s="380"/>
      <c r="J97" s="536"/>
    </row>
    <row r="98" spans="1:10" x14ac:dyDescent="0.2">
      <c r="B98" s="530"/>
      <c r="C98" s="380">
        <v>1</v>
      </c>
      <c r="D98" s="551">
        <v>407</v>
      </c>
      <c r="E98" s="407" t="s">
        <v>1228</v>
      </c>
      <c r="F98" s="379" t="s">
        <v>1229</v>
      </c>
      <c r="G98" s="380"/>
      <c r="H98" s="379"/>
      <c r="I98" s="380"/>
      <c r="J98" s="536"/>
    </row>
    <row r="99" spans="1:10" x14ac:dyDescent="0.2">
      <c r="B99" s="530"/>
      <c r="C99" s="380">
        <v>1</v>
      </c>
      <c r="D99" s="551">
        <v>410</v>
      </c>
      <c r="E99" s="407" t="s">
        <v>1230</v>
      </c>
      <c r="F99" s="379" t="s">
        <v>1231</v>
      </c>
      <c r="G99" s="380"/>
      <c r="H99" s="379"/>
      <c r="I99" s="380"/>
      <c r="J99" s="536"/>
    </row>
    <row r="100" spans="1:10" x14ac:dyDescent="0.2">
      <c r="B100" s="530"/>
      <c r="C100" s="380">
        <v>1</v>
      </c>
      <c r="D100" s="551">
        <v>413</v>
      </c>
      <c r="E100" s="407" t="s">
        <v>1232</v>
      </c>
      <c r="F100" s="379" t="s">
        <v>1233</v>
      </c>
      <c r="G100" s="380"/>
      <c r="H100" s="379"/>
      <c r="I100" s="380"/>
      <c r="J100" s="536"/>
    </row>
    <row r="101" spans="1:10" x14ac:dyDescent="0.2">
      <c r="B101" s="530"/>
      <c r="C101" s="380">
        <v>1</v>
      </c>
      <c r="D101" s="551">
        <v>414</v>
      </c>
      <c r="E101" s="407" t="s">
        <v>1234</v>
      </c>
      <c r="F101" s="379" t="s">
        <v>685</v>
      </c>
      <c r="G101" s="380"/>
      <c r="H101" s="379"/>
      <c r="I101" s="380"/>
      <c r="J101" s="536"/>
    </row>
    <row r="102" spans="1:10" x14ac:dyDescent="0.2">
      <c r="B102" s="530"/>
      <c r="C102" s="380">
        <v>1</v>
      </c>
      <c r="D102" s="551">
        <v>416</v>
      </c>
      <c r="E102" s="407" t="s">
        <v>1235</v>
      </c>
      <c r="F102" s="379" t="s">
        <v>134</v>
      </c>
      <c r="G102" s="380"/>
      <c r="H102" s="379"/>
      <c r="I102" s="380"/>
      <c r="J102" s="536"/>
    </row>
    <row r="103" spans="1:10" x14ac:dyDescent="0.2">
      <c r="B103" s="530"/>
      <c r="C103" s="380">
        <v>1</v>
      </c>
      <c r="D103" s="551">
        <v>417</v>
      </c>
      <c r="E103" s="407" t="s">
        <v>1236</v>
      </c>
      <c r="F103" s="379" t="s">
        <v>1237</v>
      </c>
      <c r="G103" s="380"/>
      <c r="H103" s="379"/>
      <c r="I103" s="380"/>
      <c r="J103" s="536"/>
    </row>
    <row r="104" spans="1:10" x14ac:dyDescent="0.2">
      <c r="B104" s="530"/>
      <c r="C104" s="380">
        <v>1</v>
      </c>
      <c r="D104" s="551">
        <v>421</v>
      </c>
      <c r="E104" s="407" t="s">
        <v>1238</v>
      </c>
      <c r="F104" s="379" t="s">
        <v>1239</v>
      </c>
      <c r="G104" s="380"/>
      <c r="H104" s="379" t="s">
        <v>1240</v>
      </c>
      <c r="I104" s="380"/>
      <c r="J104" s="536"/>
    </row>
    <row r="105" spans="1:10" x14ac:dyDescent="0.2">
      <c r="B105" s="530"/>
      <c r="C105" s="380">
        <v>1</v>
      </c>
      <c r="D105" s="551">
        <v>424</v>
      </c>
      <c r="E105" s="407" t="s">
        <v>1241</v>
      </c>
      <c r="F105" s="379" t="s">
        <v>1242</v>
      </c>
      <c r="G105" s="380"/>
      <c r="H105" s="379"/>
      <c r="I105" s="380"/>
      <c r="J105" s="536"/>
    </row>
    <row r="106" spans="1:10" x14ac:dyDescent="0.2">
      <c r="B106" s="530"/>
      <c r="C106" s="380">
        <v>1</v>
      </c>
      <c r="D106" s="551">
        <v>436</v>
      </c>
      <c r="E106" s="407" t="s">
        <v>1243</v>
      </c>
      <c r="F106" s="379" t="s">
        <v>1244</v>
      </c>
      <c r="G106" s="380"/>
      <c r="H106" s="379"/>
      <c r="I106" s="380"/>
      <c r="J106" s="536"/>
    </row>
    <row r="107" spans="1:10" x14ac:dyDescent="0.2">
      <c r="B107" s="530"/>
      <c r="C107" s="380">
        <v>1</v>
      </c>
      <c r="D107" s="551">
        <v>261</v>
      </c>
      <c r="E107" s="407" t="s">
        <v>1162</v>
      </c>
      <c r="F107" s="379" t="s">
        <v>702</v>
      </c>
      <c r="G107" s="380"/>
      <c r="H107" s="379" t="s">
        <v>1245</v>
      </c>
      <c r="I107" s="380"/>
      <c r="J107" s="536"/>
    </row>
    <row r="108" spans="1:10" x14ac:dyDescent="0.2">
      <c r="B108" s="530"/>
      <c r="C108" s="396"/>
      <c r="D108" s="552"/>
      <c r="E108" s="553"/>
      <c r="G108" s="396"/>
      <c r="I108" s="396"/>
      <c r="J108" s="554"/>
    </row>
    <row r="109" spans="1:10" x14ac:dyDescent="0.2">
      <c r="A109" s="398" t="s">
        <v>1246</v>
      </c>
      <c r="B109" s="555">
        <v>45688</v>
      </c>
      <c r="C109" s="380">
        <f t="shared" ref="C109:C120" si="0">SUMIFS($C$5:$C$107,$J$5:$J$107,"&gt;"&amp;EOMONTH(B109,-1),$J$5:$J$107,"&lt;="&amp;B109)</f>
        <v>0</v>
      </c>
    </row>
    <row r="110" spans="1:10" x14ac:dyDescent="0.2">
      <c r="A110" s="398" t="s">
        <v>1246</v>
      </c>
      <c r="B110" s="555">
        <v>45716</v>
      </c>
      <c r="C110" s="380">
        <f t="shared" si="0"/>
        <v>0</v>
      </c>
    </row>
    <row r="111" spans="1:10" x14ac:dyDescent="0.2">
      <c r="A111" s="398" t="s">
        <v>1246</v>
      </c>
      <c r="B111" s="555">
        <f>EOMONTH(J8,0)</f>
        <v>31</v>
      </c>
      <c r="C111" s="380">
        <f t="shared" si="0"/>
        <v>0</v>
      </c>
    </row>
    <row r="112" spans="1:10" x14ac:dyDescent="0.2">
      <c r="A112" s="398" t="s">
        <v>1246</v>
      </c>
      <c r="B112" s="555">
        <v>45777</v>
      </c>
      <c r="C112" s="380">
        <f t="shared" si="0"/>
        <v>0</v>
      </c>
    </row>
    <row r="113" spans="1:3" x14ac:dyDescent="0.2">
      <c r="A113" s="398" t="s">
        <v>1246</v>
      </c>
      <c r="B113" s="555">
        <v>45808</v>
      </c>
      <c r="C113" s="380">
        <f t="shared" si="0"/>
        <v>0</v>
      </c>
    </row>
    <row r="114" spans="1:3" x14ac:dyDescent="0.2">
      <c r="A114" s="398" t="s">
        <v>1246</v>
      </c>
      <c r="B114" s="555">
        <v>45838</v>
      </c>
      <c r="C114" s="380">
        <f t="shared" si="0"/>
        <v>0</v>
      </c>
    </row>
    <row r="115" spans="1:3" x14ac:dyDescent="0.2">
      <c r="A115" s="398" t="s">
        <v>1246</v>
      </c>
      <c r="B115" s="555">
        <v>45869</v>
      </c>
      <c r="C115" s="380">
        <f t="shared" si="0"/>
        <v>0</v>
      </c>
    </row>
    <row r="116" spans="1:3" x14ac:dyDescent="0.2">
      <c r="A116" s="398" t="s">
        <v>1246</v>
      </c>
      <c r="B116" s="555">
        <v>45900</v>
      </c>
      <c r="C116" s="380">
        <f t="shared" si="0"/>
        <v>0</v>
      </c>
    </row>
    <row r="117" spans="1:3" x14ac:dyDescent="0.2">
      <c r="A117" s="398" t="s">
        <v>1246</v>
      </c>
      <c r="B117" s="555">
        <v>45930</v>
      </c>
      <c r="C117" s="380">
        <f t="shared" si="0"/>
        <v>0</v>
      </c>
    </row>
    <row r="118" spans="1:3" x14ac:dyDescent="0.2">
      <c r="A118" s="398" t="s">
        <v>1246</v>
      </c>
      <c r="B118" s="555">
        <v>45961</v>
      </c>
      <c r="C118" s="380">
        <f t="shared" si="0"/>
        <v>0</v>
      </c>
    </row>
    <row r="119" spans="1:3" x14ac:dyDescent="0.2">
      <c r="A119" s="398" t="s">
        <v>1246</v>
      </c>
      <c r="B119" s="555">
        <v>45991</v>
      </c>
      <c r="C119" s="380">
        <f t="shared" si="0"/>
        <v>0</v>
      </c>
    </row>
    <row r="120" spans="1:3" x14ac:dyDescent="0.2">
      <c r="A120" s="398" t="s">
        <v>1246</v>
      </c>
      <c r="B120" s="555">
        <v>46022</v>
      </c>
      <c r="C120" s="380">
        <f t="shared" si="0"/>
        <v>0</v>
      </c>
    </row>
  </sheetData>
  <autoFilter ref="C4:J4" xr:uid="{00000000-0009-0000-0000-000009000000}">
    <sortState xmlns:xlrd2="http://schemas.microsoft.com/office/spreadsheetml/2017/richdata2" ref="C5:J108">
      <sortCondition ref="D4"/>
    </sortState>
  </autoFilter>
  <pageMargins left="0.7" right="0.7" top="0.75" bottom="0.75" header="0.3" footer="0.3"/>
  <pageSetup paperSize="9" scale="7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6F1E-402D-49A5-8821-4D4E5CA6D0CD}">
  <sheetPr codeName="Feuil18">
    <tabColor theme="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D9E0-0D05-495D-9FD1-043C2E21444C}">
  <sheetPr codeName="Feuil2">
    <pageSetUpPr fitToPage="1"/>
  </sheetPr>
  <dimension ref="B2:Q30"/>
  <sheetViews>
    <sheetView showGridLines="0" tabSelected="1" zoomScale="90" zoomScaleNormal="90" workbookViewId="0">
      <pane xSplit="3" ySplit="5" topLeftCell="D6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baseColWidth="10" defaultRowHeight="15" x14ac:dyDescent="0.25"/>
  <cols>
    <col min="1" max="1" width="5.140625" customWidth="1"/>
    <col min="2" max="2" width="33.28515625" customWidth="1"/>
    <col min="3" max="3" width="41.42578125" bestFit="1" customWidth="1"/>
    <col min="4" max="4" width="9.5703125" style="393" customWidth="1"/>
    <col min="5" max="5" width="10" style="393" customWidth="1"/>
    <col min="6" max="6" width="12.140625" style="393" customWidth="1"/>
    <col min="7" max="7" width="11.5703125" style="393" customWidth="1"/>
    <col min="8" max="16" width="10" style="393" customWidth="1"/>
    <col min="17" max="17" width="12.7109375" customWidth="1"/>
  </cols>
  <sheetData>
    <row r="2" spans="2:17" x14ac:dyDescent="0.25">
      <c r="C2" s="1" t="s">
        <v>802</v>
      </c>
      <c r="D2" s="415"/>
      <c r="E2" s="1" t="s">
        <v>803</v>
      </c>
      <c r="H2" s="415"/>
      <c r="I2" s="415" t="s">
        <v>804</v>
      </c>
      <c r="J2" s="415"/>
      <c r="K2" s="520">
        <f>'[4]BILAN SOCIAL 2025'!$E$6</f>
        <v>45821</v>
      </c>
    </row>
    <row r="5" spans="2:17" x14ac:dyDescent="0.25">
      <c r="B5" s="390" t="s">
        <v>364</v>
      </c>
      <c r="C5" s="390" t="s">
        <v>365</v>
      </c>
      <c r="D5" s="383">
        <v>45658</v>
      </c>
      <c r="E5" s="383">
        <v>45689</v>
      </c>
      <c r="F5" s="383">
        <v>45717</v>
      </c>
      <c r="G5" s="383">
        <v>45748</v>
      </c>
      <c r="H5" s="383">
        <v>45778</v>
      </c>
      <c r="I5" s="383">
        <v>45809</v>
      </c>
      <c r="J5" s="383">
        <v>45839</v>
      </c>
      <c r="K5" s="383">
        <v>45870</v>
      </c>
      <c r="L5" s="383">
        <v>45901</v>
      </c>
      <c r="M5" s="383">
        <v>45931</v>
      </c>
      <c r="N5" s="383">
        <v>45962</v>
      </c>
      <c r="O5" s="383">
        <v>45992</v>
      </c>
      <c r="P5" s="521" t="s">
        <v>8</v>
      </c>
    </row>
    <row r="6" spans="2:17" x14ac:dyDescent="0.25">
      <c r="B6" s="379" t="s">
        <v>396</v>
      </c>
      <c r="C6" s="384" t="s">
        <v>367</v>
      </c>
      <c r="D6" s="380">
        <v>760</v>
      </c>
      <c r="E6" s="380">
        <v>440.5</v>
      </c>
      <c r="F6" s="380">
        <v>434</v>
      </c>
      <c r="G6" s="380">
        <v>405.57</v>
      </c>
      <c r="H6" s="380">
        <v>368.5</v>
      </c>
      <c r="I6" s="380"/>
      <c r="J6" s="380"/>
      <c r="K6" s="380"/>
      <c r="L6" s="380"/>
      <c r="M6" s="380"/>
      <c r="N6" s="380"/>
      <c r="O6" s="380"/>
      <c r="P6" s="380">
        <f>SUM(D6:O6)</f>
        <v>2408.5699999999997</v>
      </c>
    </row>
    <row r="7" spans="2:17" x14ac:dyDescent="0.25">
      <c r="B7" s="379" t="s">
        <v>368</v>
      </c>
      <c r="C7" s="384" t="s">
        <v>367</v>
      </c>
      <c r="D7" s="380">
        <v>13.5</v>
      </c>
      <c r="E7" s="380">
        <v>7.5</v>
      </c>
      <c r="F7" s="380">
        <v>6</v>
      </c>
      <c r="G7" s="380">
        <v>18.5</v>
      </c>
      <c r="H7" s="380">
        <v>12</v>
      </c>
      <c r="I7" s="380"/>
      <c r="J7" s="380"/>
      <c r="K7" s="380"/>
      <c r="L7" s="380"/>
      <c r="M7" s="380"/>
      <c r="N7" s="380"/>
      <c r="O7" s="380"/>
      <c r="P7" s="380">
        <f t="shared" ref="P7:P23" si="0">SUM(D7:O7)</f>
        <v>57.5</v>
      </c>
    </row>
    <row r="8" spans="2:17" x14ac:dyDescent="0.25">
      <c r="B8" s="384" t="s">
        <v>805</v>
      </c>
      <c r="C8" s="384" t="s">
        <v>367</v>
      </c>
      <c r="D8" s="385">
        <v>19</v>
      </c>
      <c r="E8" s="385">
        <v>21</v>
      </c>
      <c r="F8" s="385">
        <v>51</v>
      </c>
      <c r="G8" s="391">
        <v>80.5</v>
      </c>
      <c r="H8" s="385">
        <v>33.5</v>
      </c>
      <c r="I8" s="385"/>
      <c r="J8" s="385"/>
      <c r="K8" s="385"/>
      <c r="L8" s="385"/>
      <c r="M8" s="385"/>
      <c r="N8" s="385"/>
      <c r="O8" s="385"/>
      <c r="P8" s="380">
        <f t="shared" si="0"/>
        <v>205</v>
      </c>
      <c r="Q8" s="522"/>
    </row>
    <row r="9" spans="2:17" x14ac:dyDescent="0.25">
      <c r="B9" s="379" t="s">
        <v>370</v>
      </c>
      <c r="C9" s="384" t="s">
        <v>367</v>
      </c>
      <c r="D9" s="380">
        <v>3</v>
      </c>
      <c r="E9" s="380">
        <v>0</v>
      </c>
      <c r="F9" s="380">
        <v>1</v>
      </c>
      <c r="G9" s="380">
        <v>0</v>
      </c>
      <c r="H9" s="380">
        <v>0</v>
      </c>
      <c r="I9" s="380"/>
      <c r="J9" s="380"/>
      <c r="K9" s="380"/>
      <c r="L9" s="380"/>
      <c r="M9" s="380"/>
      <c r="N9" s="380"/>
      <c r="O9" s="380"/>
      <c r="P9" s="380">
        <f t="shared" si="0"/>
        <v>4</v>
      </c>
    </row>
    <row r="10" spans="2:17" x14ac:dyDescent="0.25">
      <c r="B10" s="379" t="s">
        <v>372</v>
      </c>
      <c r="C10" s="384" t="s">
        <v>373</v>
      </c>
      <c r="D10" s="380">
        <v>4</v>
      </c>
      <c r="E10" s="380">
        <v>4</v>
      </c>
      <c r="F10" s="380">
        <v>4</v>
      </c>
      <c r="G10" s="380">
        <v>4</v>
      </c>
      <c r="H10" s="380">
        <v>4</v>
      </c>
      <c r="I10" s="380"/>
      <c r="J10" s="380"/>
      <c r="K10" s="380"/>
      <c r="L10" s="380"/>
      <c r="M10" s="380"/>
      <c r="N10" s="380"/>
      <c r="O10" s="380"/>
      <c r="P10" s="380">
        <f t="shared" si="0"/>
        <v>20</v>
      </c>
    </row>
    <row r="11" spans="2:17" x14ac:dyDescent="0.25">
      <c r="B11" s="379" t="s">
        <v>372</v>
      </c>
      <c r="C11" s="384" t="s">
        <v>367</v>
      </c>
      <c r="D11" s="380">
        <v>111</v>
      </c>
      <c r="E11" s="380">
        <v>111</v>
      </c>
      <c r="F11" s="380">
        <v>99</v>
      </c>
      <c r="G11" s="380">
        <v>92</v>
      </c>
      <c r="H11" s="380">
        <v>63</v>
      </c>
      <c r="I11" s="380"/>
      <c r="J11" s="380"/>
      <c r="K11" s="380"/>
      <c r="L11" s="380"/>
      <c r="M11" s="380"/>
      <c r="N11" s="380"/>
      <c r="O11" s="380"/>
      <c r="P11" s="380">
        <f t="shared" si="0"/>
        <v>476</v>
      </c>
    </row>
    <row r="12" spans="2:17" x14ac:dyDescent="0.25">
      <c r="B12" s="379" t="s">
        <v>374</v>
      </c>
      <c r="C12" s="384" t="s">
        <v>375</v>
      </c>
      <c r="D12" s="380">
        <v>0</v>
      </c>
      <c r="E12" s="380">
        <v>0</v>
      </c>
      <c r="F12" s="380">
        <v>0</v>
      </c>
      <c r="G12" s="380">
        <v>0</v>
      </c>
      <c r="H12" s="380">
        <v>0</v>
      </c>
      <c r="I12" s="380"/>
      <c r="J12" s="380"/>
      <c r="K12" s="380"/>
      <c r="L12" s="380"/>
      <c r="M12" s="380"/>
      <c r="N12" s="380"/>
      <c r="O12" s="380"/>
      <c r="P12" s="380">
        <f t="shared" si="0"/>
        <v>0</v>
      </c>
    </row>
    <row r="13" spans="2:17" x14ac:dyDescent="0.25">
      <c r="B13" s="379" t="s">
        <v>376</v>
      </c>
      <c r="C13" s="384" t="s">
        <v>377</v>
      </c>
      <c r="D13" s="380">
        <v>271</v>
      </c>
      <c r="E13" s="380">
        <v>275</v>
      </c>
      <c r="F13" s="380">
        <v>281</v>
      </c>
      <c r="G13" s="380">
        <v>281</v>
      </c>
      <c r="H13" s="380">
        <v>282</v>
      </c>
      <c r="I13" s="380"/>
      <c r="J13" s="380"/>
      <c r="K13" s="380"/>
      <c r="L13" s="380"/>
      <c r="M13" s="380"/>
      <c r="N13" s="380"/>
      <c r="O13" s="380"/>
      <c r="P13" s="380">
        <f t="shared" si="0"/>
        <v>1390</v>
      </c>
    </row>
    <row r="14" spans="2:17" ht="15" customHeight="1" x14ac:dyDescent="0.25">
      <c r="B14" s="379" t="s">
        <v>378</v>
      </c>
      <c r="C14" s="384" t="s">
        <v>379</v>
      </c>
      <c r="D14" s="388">
        <v>0</v>
      </c>
      <c r="E14" s="388">
        <v>0</v>
      </c>
      <c r="F14" s="388">
        <v>0</v>
      </c>
      <c r="G14" s="388">
        <v>0</v>
      </c>
      <c r="H14" s="388">
        <v>0</v>
      </c>
      <c r="I14" s="388"/>
      <c r="J14" s="388"/>
      <c r="K14" s="388"/>
      <c r="L14" s="380"/>
      <c r="M14" s="380"/>
      <c r="N14" s="380"/>
      <c r="O14" s="380"/>
      <c r="P14" s="380">
        <f t="shared" si="0"/>
        <v>0</v>
      </c>
    </row>
    <row r="15" spans="2:17" x14ac:dyDescent="0.25">
      <c r="B15" s="379" t="s">
        <v>380</v>
      </c>
      <c r="C15" s="384" t="s">
        <v>379</v>
      </c>
      <c r="D15" s="388">
        <v>1</v>
      </c>
      <c r="E15" s="388">
        <v>0</v>
      </c>
      <c r="F15" s="388">
        <v>0</v>
      </c>
      <c r="G15" s="388">
        <v>1</v>
      </c>
      <c r="H15" s="388">
        <v>0</v>
      </c>
      <c r="I15" s="388"/>
      <c r="J15" s="388"/>
      <c r="K15" s="388"/>
      <c r="L15" s="380"/>
      <c r="M15" s="380"/>
      <c r="N15" s="380"/>
      <c r="O15" s="380"/>
      <c r="P15" s="380">
        <f t="shared" si="0"/>
        <v>2</v>
      </c>
    </row>
    <row r="16" spans="2:17" x14ac:dyDescent="0.25">
      <c r="B16" s="379" t="s">
        <v>387</v>
      </c>
      <c r="C16" s="384" t="s">
        <v>388</v>
      </c>
      <c r="D16" s="388">
        <v>0</v>
      </c>
      <c r="E16" s="388">
        <v>0</v>
      </c>
      <c r="F16" s="388">
        <v>0</v>
      </c>
      <c r="G16" s="388">
        <v>0</v>
      </c>
      <c r="H16" s="388">
        <v>0</v>
      </c>
      <c r="I16" s="388"/>
      <c r="J16" s="388"/>
      <c r="K16" s="388"/>
      <c r="L16" s="380"/>
      <c r="M16" s="380"/>
      <c r="N16" s="380"/>
      <c r="O16" s="380"/>
      <c r="P16" s="380">
        <f t="shared" si="0"/>
        <v>0</v>
      </c>
    </row>
    <row r="17" spans="2:16" x14ac:dyDescent="0.25">
      <c r="B17" s="379" t="s">
        <v>87</v>
      </c>
      <c r="C17" s="384" t="s">
        <v>381</v>
      </c>
      <c r="D17" s="388">
        <v>0</v>
      </c>
      <c r="E17" s="388">
        <v>1</v>
      </c>
      <c r="F17" s="388">
        <v>1</v>
      </c>
      <c r="G17" s="388">
        <v>0</v>
      </c>
      <c r="H17" s="388">
        <v>1</v>
      </c>
      <c r="I17" s="388"/>
      <c r="K17" s="388"/>
      <c r="L17" s="380"/>
      <c r="M17" s="380"/>
      <c r="N17" s="380"/>
      <c r="O17" s="380"/>
      <c r="P17" s="380">
        <f t="shared" si="0"/>
        <v>3</v>
      </c>
    </row>
    <row r="18" spans="2:16" x14ac:dyDescent="0.25">
      <c r="B18" s="379" t="s">
        <v>382</v>
      </c>
      <c r="C18" s="384" t="s">
        <v>383</v>
      </c>
      <c r="D18" s="388">
        <v>0</v>
      </c>
      <c r="E18" s="388">
        <v>0</v>
      </c>
      <c r="F18" s="388">
        <v>0</v>
      </c>
      <c r="G18" s="388">
        <v>0</v>
      </c>
      <c r="H18" s="388">
        <v>0</v>
      </c>
      <c r="I18" s="388"/>
      <c r="J18" s="388"/>
      <c r="K18" s="388"/>
      <c r="L18" s="380"/>
      <c r="M18" s="380"/>
      <c r="N18" s="380"/>
      <c r="O18" s="380"/>
      <c r="P18" s="380">
        <f t="shared" si="0"/>
        <v>0</v>
      </c>
    </row>
    <row r="19" spans="2:16" x14ac:dyDescent="0.25">
      <c r="B19" s="379" t="s">
        <v>398</v>
      </c>
      <c r="C19" s="384" t="s">
        <v>395</v>
      </c>
      <c r="D19" s="388">
        <v>0</v>
      </c>
      <c r="E19" s="388">
        <v>0</v>
      </c>
      <c r="F19" s="388">
        <v>0</v>
      </c>
      <c r="G19" s="388">
        <v>0</v>
      </c>
      <c r="H19" s="388">
        <v>1</v>
      </c>
      <c r="I19" s="388"/>
      <c r="J19" s="388"/>
      <c r="K19" s="388"/>
      <c r="L19" s="380"/>
      <c r="M19" s="380"/>
      <c r="N19" s="380"/>
      <c r="O19" s="380"/>
      <c r="P19" s="380">
        <f t="shared" si="0"/>
        <v>1</v>
      </c>
    </row>
    <row r="20" spans="2:16" x14ac:dyDescent="0.25">
      <c r="B20" s="379" t="s">
        <v>399</v>
      </c>
      <c r="C20" s="384"/>
      <c r="D20" s="388">
        <v>0</v>
      </c>
      <c r="E20" s="389">
        <v>0</v>
      </c>
      <c r="F20" s="388">
        <v>0</v>
      </c>
      <c r="G20" s="388">
        <v>0</v>
      </c>
      <c r="H20" s="388">
        <v>0</v>
      </c>
      <c r="I20" s="388"/>
      <c r="J20" s="388"/>
      <c r="K20" s="388"/>
      <c r="L20" s="380"/>
      <c r="M20" s="380"/>
      <c r="N20" s="380"/>
      <c r="O20" s="380"/>
      <c r="P20" s="380">
        <f t="shared" si="0"/>
        <v>0</v>
      </c>
    </row>
    <row r="21" spans="2:16" x14ac:dyDescent="0.25">
      <c r="B21" s="379" t="s">
        <v>384</v>
      </c>
      <c r="C21" s="384" t="s">
        <v>385</v>
      </c>
      <c r="D21" s="380">
        <v>14</v>
      </c>
      <c r="E21" s="380">
        <v>14</v>
      </c>
      <c r="F21" s="380">
        <v>14</v>
      </c>
      <c r="G21" s="380">
        <v>16</v>
      </c>
      <c r="H21" s="380">
        <v>19</v>
      </c>
      <c r="I21" s="380"/>
      <c r="J21" s="380"/>
      <c r="K21" s="380"/>
      <c r="L21" s="380"/>
      <c r="M21" s="380"/>
      <c r="N21" s="380"/>
      <c r="O21" s="380"/>
      <c r="P21" s="380">
        <f t="shared" si="0"/>
        <v>77</v>
      </c>
    </row>
    <row r="22" spans="2:16" x14ac:dyDescent="0.25">
      <c r="B22" s="379" t="s">
        <v>391</v>
      </c>
      <c r="C22" s="384" t="s">
        <v>392</v>
      </c>
      <c r="D22" s="380">
        <v>0</v>
      </c>
      <c r="E22" s="380">
        <v>0</v>
      </c>
      <c r="F22" s="380">
        <v>0</v>
      </c>
      <c r="G22" s="380">
        <v>1</v>
      </c>
      <c r="H22" s="380">
        <v>2</v>
      </c>
      <c r="I22" s="380"/>
      <c r="J22" s="380"/>
      <c r="K22" s="380"/>
      <c r="L22" s="380"/>
      <c r="M22" s="380"/>
      <c r="N22" s="380"/>
      <c r="O22" s="380"/>
      <c r="P22" s="380">
        <f t="shared" si="0"/>
        <v>3</v>
      </c>
    </row>
    <row r="23" spans="2:16" x14ac:dyDescent="0.25">
      <c r="B23" s="379" t="s">
        <v>201</v>
      </c>
      <c r="C23" s="384" t="s">
        <v>393</v>
      </c>
      <c r="D23" s="380">
        <v>0</v>
      </c>
      <c r="E23" s="380">
        <v>0</v>
      </c>
      <c r="F23" s="380">
        <v>102</v>
      </c>
      <c r="G23" s="380">
        <v>0</v>
      </c>
      <c r="H23" s="380">
        <v>1</v>
      </c>
      <c r="I23" s="380"/>
      <c r="J23" s="380"/>
      <c r="K23" s="380"/>
      <c r="L23" s="380"/>
      <c r="M23" s="380"/>
      <c r="N23" s="380"/>
      <c r="O23" s="380"/>
      <c r="P23" s="380">
        <f t="shared" si="0"/>
        <v>103</v>
      </c>
    </row>
    <row r="25" spans="2:16" x14ac:dyDescent="0.25">
      <c r="D25"/>
      <c r="E25"/>
      <c r="F25" s="230"/>
      <c r="G25"/>
      <c r="H25"/>
      <c r="I25"/>
      <c r="J25"/>
      <c r="K25"/>
      <c r="L25"/>
      <c r="M25"/>
      <c r="N25"/>
      <c r="O25"/>
      <c r="P25"/>
    </row>
    <row r="26" spans="2:16" x14ac:dyDescent="0.25"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2:16" x14ac:dyDescent="0.25"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2:16" x14ac:dyDescent="0.25"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16" x14ac:dyDescent="0.25"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2:16" x14ac:dyDescent="0.25">
      <c r="D30"/>
      <c r="E30"/>
      <c r="F30"/>
      <c r="G30"/>
      <c r="H30"/>
      <c r="I30"/>
      <c r="J30"/>
      <c r="K30"/>
      <c r="L30"/>
      <c r="M30"/>
      <c r="N30"/>
      <c r="O30"/>
      <c r="P30"/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headerFooter>
    <oddFooter>&amp;C&amp;Z&amp;F&amp;R&amp;D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FE27-AADF-4C26-B0EC-DD0AD166AB75}">
  <sheetPr codeName="Feuil3">
    <tabColor theme="0" tint="-0.14999847407452621"/>
    <pageSetUpPr fitToPage="1"/>
  </sheetPr>
  <dimension ref="A1:AD169"/>
  <sheetViews>
    <sheetView showGridLines="0" zoomScale="70" zoomScaleNormal="70" workbookViewId="0">
      <pane ySplit="1" topLeftCell="A12" activePane="bottomLeft" state="frozen"/>
      <selection activeCell="H34" sqref="H34:V50"/>
      <selection pane="bottomLeft" activeCell="A38" sqref="A38"/>
    </sheetView>
  </sheetViews>
  <sheetFormatPr baseColWidth="10" defaultColWidth="10.5703125" defaultRowHeight="16.5" x14ac:dyDescent="0.3"/>
  <cols>
    <col min="1" max="1" width="21.5703125" style="2" customWidth="1"/>
    <col min="2" max="2" width="38.42578125" style="49" customWidth="1"/>
    <col min="3" max="3" width="21.5703125" style="2" customWidth="1"/>
    <col min="4" max="4" width="22.5703125" style="2" customWidth="1"/>
    <col min="5" max="10" width="11.42578125" style="7" customWidth="1"/>
    <col min="11" max="12" width="11" style="7" customWidth="1"/>
    <col min="13" max="13" width="11.5703125" style="7" customWidth="1"/>
    <col min="14" max="14" width="11.42578125" style="7" customWidth="1"/>
    <col min="15" max="16" width="10.5703125" style="7" customWidth="1"/>
    <col min="17" max="17" width="15.140625" style="2" customWidth="1"/>
    <col min="18" max="21" width="14.140625" style="2" customWidth="1"/>
    <col min="22" max="24" width="10.5703125" style="2" customWidth="1"/>
    <col min="25" max="16384" width="10.5703125" style="2"/>
  </cols>
  <sheetData>
    <row r="1" spans="1:21" x14ac:dyDescent="0.3">
      <c r="A1" s="571" t="s">
        <v>0</v>
      </c>
      <c r="B1" s="571"/>
      <c r="E1" s="3">
        <v>45292</v>
      </c>
      <c r="F1" s="3">
        <v>45323</v>
      </c>
      <c r="G1" s="3">
        <v>45352</v>
      </c>
      <c r="H1" s="3">
        <v>45383</v>
      </c>
      <c r="I1" s="3">
        <v>45413</v>
      </c>
      <c r="J1" s="3">
        <v>45444</v>
      </c>
      <c r="K1" s="3">
        <v>45474</v>
      </c>
      <c r="L1" s="3">
        <v>45505</v>
      </c>
      <c r="M1" s="3">
        <v>45536</v>
      </c>
      <c r="N1" s="3">
        <v>45566</v>
      </c>
      <c r="O1" s="3">
        <v>45597</v>
      </c>
      <c r="P1" s="3">
        <v>45627</v>
      </c>
      <c r="Q1" s="3">
        <v>45658</v>
      </c>
      <c r="R1" s="3">
        <v>45689</v>
      </c>
      <c r="S1" s="3">
        <v>45717</v>
      </c>
      <c r="T1" s="3">
        <v>45748</v>
      </c>
      <c r="U1" s="3">
        <v>45778</v>
      </c>
    </row>
    <row r="2" spans="1:21" ht="12.6" customHeight="1" x14ac:dyDescent="0.3">
      <c r="A2" s="4" t="s">
        <v>1</v>
      </c>
      <c r="B2" s="4" t="s">
        <v>2</v>
      </c>
      <c r="C2" s="5" t="s">
        <v>3</v>
      </c>
      <c r="E2" s="6"/>
      <c r="F2" s="6"/>
    </row>
    <row r="3" spans="1:21" s="13" customFormat="1" ht="33" x14ac:dyDescent="0.25">
      <c r="A3" s="8" t="s">
        <v>4</v>
      </c>
      <c r="B3" s="8" t="s">
        <v>5</v>
      </c>
      <c r="C3" s="9" t="s">
        <v>6</v>
      </c>
      <c r="D3" s="10" t="s">
        <v>7</v>
      </c>
      <c r="E3" s="11">
        <v>107</v>
      </c>
      <c r="F3" s="11">
        <v>108</v>
      </c>
      <c r="G3" s="12">
        <v>109</v>
      </c>
      <c r="H3" s="12">
        <v>108</v>
      </c>
      <c r="I3" s="12">
        <v>107</v>
      </c>
      <c r="J3" s="12">
        <v>108</v>
      </c>
      <c r="K3" s="12">
        <v>106</v>
      </c>
      <c r="L3" s="12">
        <v>108</v>
      </c>
      <c r="M3" s="12">
        <v>109</v>
      </c>
      <c r="N3" s="12">
        <v>109</v>
      </c>
      <c r="O3" s="12">
        <v>108</v>
      </c>
      <c r="P3" s="12">
        <v>109</v>
      </c>
      <c r="Q3" s="12">
        <v>107</v>
      </c>
      <c r="R3" s="12">
        <v>106</v>
      </c>
      <c r="S3" s="12">
        <v>109</v>
      </c>
      <c r="T3" s="12">
        <v>109</v>
      </c>
      <c r="U3" s="12"/>
    </row>
    <row r="4" spans="1:21" x14ac:dyDescent="0.3">
      <c r="A4" s="14"/>
      <c r="B4" s="15"/>
      <c r="C4" s="16"/>
      <c r="D4" s="10" t="s">
        <v>8</v>
      </c>
      <c r="E4" s="17">
        <v>269</v>
      </c>
      <c r="F4" s="17">
        <v>270</v>
      </c>
      <c r="G4" s="17">
        <v>271</v>
      </c>
      <c r="H4" s="17">
        <v>271</v>
      </c>
      <c r="I4" s="17">
        <v>269</v>
      </c>
      <c r="J4" s="17">
        <v>272</v>
      </c>
      <c r="K4" s="17">
        <v>268</v>
      </c>
      <c r="L4" s="17">
        <v>272</v>
      </c>
      <c r="M4" s="17">
        <v>272</v>
      </c>
      <c r="N4" s="17">
        <v>272</v>
      </c>
      <c r="O4" s="17">
        <v>274</v>
      </c>
      <c r="P4" s="17">
        <v>271</v>
      </c>
      <c r="Q4" s="17">
        <v>271</v>
      </c>
      <c r="R4" s="17">
        <v>275</v>
      </c>
      <c r="S4" s="17">
        <v>281</v>
      </c>
      <c r="T4" s="17">
        <v>281</v>
      </c>
      <c r="U4" s="17"/>
    </row>
    <row r="5" spans="1:21" x14ac:dyDescent="0.3">
      <c r="A5" s="14"/>
      <c r="B5" s="15"/>
      <c r="C5" s="16"/>
      <c r="D5" s="18" t="s">
        <v>9</v>
      </c>
      <c r="E5" s="19">
        <v>0.39779999999999999</v>
      </c>
      <c r="F5" s="19">
        <v>0.40150000000000002</v>
      </c>
      <c r="G5" s="19">
        <f>109/271</f>
        <v>0.40221402214022139</v>
      </c>
      <c r="H5" s="19">
        <f t="shared" ref="H5:T5" si="0">H3/H4</f>
        <v>0.39852398523985239</v>
      </c>
      <c r="I5" s="19">
        <f t="shared" si="0"/>
        <v>0.39776951672862454</v>
      </c>
      <c r="J5" s="19">
        <f t="shared" si="0"/>
        <v>0.39705882352941174</v>
      </c>
      <c r="K5" s="19">
        <f t="shared" si="0"/>
        <v>0.39552238805970147</v>
      </c>
      <c r="L5" s="19">
        <f t="shared" si="0"/>
        <v>0.39705882352941174</v>
      </c>
      <c r="M5" s="19">
        <f t="shared" si="0"/>
        <v>0.40073529411764708</v>
      </c>
      <c r="N5" s="19">
        <f t="shared" si="0"/>
        <v>0.40073529411764708</v>
      </c>
      <c r="O5" s="19">
        <f t="shared" si="0"/>
        <v>0.39416058394160586</v>
      </c>
      <c r="P5" s="19">
        <f t="shared" si="0"/>
        <v>0.40221402214022139</v>
      </c>
      <c r="Q5" s="19">
        <f t="shared" si="0"/>
        <v>0.39483394833948338</v>
      </c>
      <c r="R5" s="19">
        <f t="shared" si="0"/>
        <v>0.38545454545454544</v>
      </c>
      <c r="S5" s="19">
        <f t="shared" si="0"/>
        <v>0.38790035587188609</v>
      </c>
      <c r="T5" s="19">
        <f t="shared" si="0"/>
        <v>0.38790035587188609</v>
      </c>
      <c r="U5" s="19"/>
    </row>
    <row r="6" spans="1:21" x14ac:dyDescent="0.3">
      <c r="A6" s="14"/>
      <c r="B6" s="15"/>
      <c r="C6" s="16" t="s">
        <v>10</v>
      </c>
      <c r="D6" s="18" t="s">
        <v>11</v>
      </c>
      <c r="E6" s="20">
        <f>P7-E7</f>
        <v>0.38490566037735852</v>
      </c>
      <c r="F6" s="21">
        <f>+F5-E5</f>
        <v>3.7000000000000366E-3</v>
      </c>
      <c r="G6" s="21">
        <f>+G5-F5</f>
        <v>7.1402214022137089E-4</v>
      </c>
      <c r="H6" s="21">
        <f t="shared" ref="H6:M6" si="1">+H5-G5</f>
        <v>-3.6900369003690092E-3</v>
      </c>
      <c r="I6" s="21">
        <f t="shared" si="1"/>
        <v>-7.5446851122784597E-4</v>
      </c>
      <c r="J6" s="21">
        <f t="shared" si="1"/>
        <v>-7.1069319921279739E-4</v>
      </c>
      <c r="K6" s="21">
        <f t="shared" si="1"/>
        <v>-1.5364354697102733E-3</v>
      </c>
      <c r="L6" s="21">
        <f t="shared" si="1"/>
        <v>1.5364354697102733E-3</v>
      </c>
      <c r="M6" s="21">
        <f t="shared" si="1"/>
        <v>3.6764705882353366E-3</v>
      </c>
      <c r="N6" s="21">
        <f t="shared" ref="N6:S6" si="2">N5-M5</f>
        <v>0</v>
      </c>
      <c r="O6" s="21">
        <f t="shared" si="2"/>
        <v>-6.5747101760412208E-3</v>
      </c>
      <c r="P6" s="21">
        <f t="shared" si="2"/>
        <v>8.0534381986155368E-3</v>
      </c>
      <c r="Q6" s="21">
        <f t="shared" si="2"/>
        <v>-7.3800738007380184E-3</v>
      </c>
      <c r="R6" s="21">
        <f t="shared" si="2"/>
        <v>-9.3794028849379374E-3</v>
      </c>
      <c r="S6" s="21">
        <f t="shared" si="2"/>
        <v>2.4458104173406547E-3</v>
      </c>
      <c r="T6" s="21">
        <f>T5-S5</f>
        <v>0</v>
      </c>
      <c r="U6" s="21"/>
    </row>
    <row r="7" spans="1:21" x14ac:dyDescent="0.3">
      <c r="A7" s="14"/>
      <c r="B7" s="15"/>
      <c r="C7" s="16"/>
      <c r="D7" s="22" t="s">
        <v>12</v>
      </c>
      <c r="E7" s="21"/>
      <c r="F7" s="21">
        <v>0.390625</v>
      </c>
      <c r="G7" s="21">
        <v>0.39922480620155038</v>
      </c>
      <c r="H7" s="21">
        <v>0.39688715953307391</v>
      </c>
      <c r="I7" s="21">
        <v>0.40154440154440152</v>
      </c>
      <c r="J7" s="21">
        <v>0.39768339768339767</v>
      </c>
      <c r="K7" s="21">
        <v>0.39382239382239381</v>
      </c>
      <c r="L7" s="21">
        <v>0.39382239382239381</v>
      </c>
      <c r="M7" s="21">
        <v>0.38697318007662834</v>
      </c>
      <c r="N7" s="21">
        <v>0.38636363636363635</v>
      </c>
      <c r="O7" s="21">
        <v>0.38345864661654133</v>
      </c>
      <c r="P7" s="21">
        <v>0.38490566037735852</v>
      </c>
      <c r="Q7" s="21"/>
    </row>
    <row r="8" spans="1:21" s="13" customFormat="1" ht="33" x14ac:dyDescent="0.25">
      <c r="A8" s="14"/>
      <c r="B8" s="15"/>
      <c r="C8" s="23" t="s">
        <v>13</v>
      </c>
      <c r="D8" s="22" t="s">
        <v>14</v>
      </c>
      <c r="E8" s="24"/>
      <c r="F8" s="24">
        <f t="shared" ref="F8:R8" si="3">-F7+F5</f>
        <v>1.0875000000000024E-2</v>
      </c>
      <c r="G8" s="24">
        <f t="shared" si="3"/>
        <v>2.9892159386710193E-3</v>
      </c>
      <c r="H8" s="24">
        <f t="shared" si="3"/>
        <v>1.6368257067784775E-3</v>
      </c>
      <c r="I8" s="24">
        <f t="shared" si="3"/>
        <v>-3.7748848157769799E-3</v>
      </c>
      <c r="J8" s="24">
        <f t="shared" si="3"/>
        <v>-6.2457415398592397E-4</v>
      </c>
      <c r="K8" s="24">
        <f t="shared" si="3"/>
        <v>1.699994237307656E-3</v>
      </c>
      <c r="L8" s="24">
        <f t="shared" si="3"/>
        <v>3.2364297070179293E-3</v>
      </c>
      <c r="M8" s="24">
        <f t="shared" si="3"/>
        <v>1.3762114041018736E-2</v>
      </c>
      <c r="N8" s="24">
        <f t="shared" si="3"/>
        <v>1.4371657754010725E-2</v>
      </c>
      <c r="O8" s="24">
        <f t="shared" si="3"/>
        <v>1.0701937325064526E-2</v>
      </c>
      <c r="P8" s="24">
        <f t="shared" si="3"/>
        <v>1.7308361762862878E-2</v>
      </c>
      <c r="Q8" s="24">
        <f t="shared" si="3"/>
        <v>0.39483394833948338</v>
      </c>
      <c r="R8" s="24">
        <f t="shared" si="3"/>
        <v>0.38545454545454544</v>
      </c>
      <c r="S8" s="24">
        <f>-S7+S5</f>
        <v>0.38790035587188609</v>
      </c>
      <c r="T8" s="24">
        <f>-T7+T5</f>
        <v>0.38790035587188609</v>
      </c>
      <c r="U8" s="24"/>
    </row>
    <row r="9" spans="1:21" x14ac:dyDescent="0.3">
      <c r="A9" s="14"/>
      <c r="B9" s="15"/>
      <c r="C9" s="16"/>
      <c r="D9" s="25" t="s">
        <v>15</v>
      </c>
      <c r="E9" s="26">
        <f>E6*10000</f>
        <v>3849.0566037735853</v>
      </c>
      <c r="F9" s="26">
        <f>F8*10000</f>
        <v>108.75000000000024</v>
      </c>
      <c r="G9" s="26">
        <f t="shared" ref="G9:T9" si="4">G8*10000</f>
        <v>29.892159386710194</v>
      </c>
      <c r="H9" s="26">
        <f t="shared" si="4"/>
        <v>16.368257067784775</v>
      </c>
      <c r="I9" s="26">
        <f t="shared" si="4"/>
        <v>-37.7488481577698</v>
      </c>
      <c r="J9" s="26">
        <f t="shared" si="4"/>
        <v>-6.2457415398592397</v>
      </c>
      <c r="K9" s="26">
        <f t="shared" si="4"/>
        <v>16.999942373076561</v>
      </c>
      <c r="L9" s="26">
        <f t="shared" si="4"/>
        <v>32.36429707017929</v>
      </c>
      <c r="M9" s="26">
        <f t="shared" si="4"/>
        <v>137.62114041018737</v>
      </c>
      <c r="N9" s="26">
        <f t="shared" si="4"/>
        <v>143.71657754010724</v>
      </c>
      <c r="O9" s="26">
        <f t="shared" si="4"/>
        <v>107.01937325064526</v>
      </c>
      <c r="P9" s="26">
        <f t="shared" si="4"/>
        <v>173.08361762862879</v>
      </c>
      <c r="Q9" s="26">
        <f t="shared" si="4"/>
        <v>3948.3394833948337</v>
      </c>
      <c r="R9" s="26">
        <f t="shared" si="4"/>
        <v>3854.5454545454545</v>
      </c>
      <c r="S9" s="26">
        <f t="shared" si="4"/>
        <v>3879.0035587188609</v>
      </c>
      <c r="T9" s="26">
        <f t="shared" si="4"/>
        <v>3879.0035587188609</v>
      </c>
      <c r="U9" s="26"/>
    </row>
    <row r="10" spans="1:21" x14ac:dyDescent="0.3">
      <c r="A10" s="14"/>
      <c r="B10" s="15"/>
      <c r="C10" s="16"/>
      <c r="D10" s="25" t="s">
        <v>16</v>
      </c>
      <c r="E10" s="26"/>
      <c r="F10" s="26">
        <f>+F6*10000</f>
        <v>37.000000000000369</v>
      </c>
      <c r="G10" s="26">
        <f>+G6*10000</f>
        <v>7.1402214022137089</v>
      </c>
      <c r="H10" s="26">
        <f t="shared" ref="H10:R10" si="5">+H6*10000</f>
        <v>-36.900369003690095</v>
      </c>
      <c r="I10" s="26">
        <f t="shared" si="5"/>
        <v>-7.5446851122784597</v>
      </c>
      <c r="J10" s="26">
        <f t="shared" si="5"/>
        <v>-7.1069319921279739</v>
      </c>
      <c r="K10" s="26">
        <f t="shared" si="5"/>
        <v>-15.364354697102733</v>
      </c>
      <c r="L10" s="26">
        <f t="shared" si="5"/>
        <v>15.364354697102733</v>
      </c>
      <c r="M10" s="26">
        <f t="shared" si="5"/>
        <v>36.764705882353368</v>
      </c>
      <c r="N10" s="26">
        <f t="shared" si="5"/>
        <v>0</v>
      </c>
      <c r="O10" s="26">
        <f t="shared" si="5"/>
        <v>-65.747101760412207</v>
      </c>
      <c r="P10" s="26">
        <f t="shared" si="5"/>
        <v>80.534381986155367</v>
      </c>
      <c r="Q10" s="26">
        <f t="shared" si="5"/>
        <v>-73.80073800738019</v>
      </c>
      <c r="R10" s="26">
        <f t="shared" si="5"/>
        <v>-93.794028849379373</v>
      </c>
      <c r="S10" s="26">
        <f>+S6*10000</f>
        <v>24.458104173406547</v>
      </c>
      <c r="T10" s="26">
        <f>+T6*10000</f>
        <v>0</v>
      </c>
      <c r="U10" s="26"/>
    </row>
    <row r="11" spans="1:21" x14ac:dyDescent="0.3">
      <c r="A11" s="14"/>
      <c r="B11" s="15"/>
      <c r="C11" s="16"/>
      <c r="D11" s="16"/>
      <c r="E11" s="2"/>
      <c r="F11" s="2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21" x14ac:dyDescent="0.3">
      <c r="A12" s="14"/>
      <c r="B12" s="15"/>
      <c r="C12" s="16"/>
      <c r="D12" s="16"/>
      <c r="E12" s="2"/>
      <c r="F12" s="2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21" x14ac:dyDescent="0.3">
      <c r="A13" s="571" t="s">
        <v>17</v>
      </c>
      <c r="B13" s="571"/>
    </row>
    <row r="14" spans="1:21" ht="22.5" customHeight="1" x14ac:dyDescent="0.3">
      <c r="A14" s="28" t="s">
        <v>1</v>
      </c>
      <c r="B14" s="28" t="s">
        <v>2</v>
      </c>
      <c r="C14" s="5" t="s">
        <v>3</v>
      </c>
    </row>
    <row r="15" spans="1:21" ht="49.5" x14ac:dyDescent="0.3">
      <c r="A15" s="29" t="s">
        <v>18</v>
      </c>
      <c r="B15" s="29" t="s">
        <v>19</v>
      </c>
      <c r="C15" s="9" t="s">
        <v>6</v>
      </c>
      <c r="D15" s="30" t="s">
        <v>20</v>
      </c>
      <c r="E15" s="31">
        <v>4204.5</v>
      </c>
      <c r="F15" s="31">
        <v>425</v>
      </c>
      <c r="G15" s="31">
        <v>375</v>
      </c>
      <c r="H15" s="31">
        <v>3699</v>
      </c>
      <c r="I15" s="31">
        <v>144</v>
      </c>
      <c r="J15" s="32">
        <v>127</v>
      </c>
      <c r="K15" s="32">
        <v>81</v>
      </c>
      <c r="L15" s="32">
        <v>84</v>
      </c>
      <c r="M15" s="32">
        <v>87</v>
      </c>
      <c r="N15" s="32">
        <v>100.5</v>
      </c>
      <c r="O15" s="32">
        <v>124</v>
      </c>
      <c r="P15" s="32">
        <v>392</v>
      </c>
      <c r="Q15" s="32">
        <v>178.5</v>
      </c>
      <c r="R15" s="32">
        <v>82</v>
      </c>
      <c r="S15" s="32">
        <v>176</v>
      </c>
      <c r="T15" s="32">
        <v>233</v>
      </c>
      <c r="U15" s="32"/>
    </row>
    <row r="16" spans="1:21" ht="28.5" x14ac:dyDescent="0.3">
      <c r="A16" s="33"/>
      <c r="B16" s="33"/>
      <c r="C16" s="34"/>
      <c r="D16" s="30" t="s">
        <v>21</v>
      </c>
      <c r="E16" s="35">
        <f t="shared" ref="E16:T16" si="6">E4*173.33</f>
        <v>46625.770000000004</v>
      </c>
      <c r="F16" s="35">
        <f t="shared" si="6"/>
        <v>46799.100000000006</v>
      </c>
      <c r="G16" s="35">
        <f t="shared" si="6"/>
        <v>46972.43</v>
      </c>
      <c r="H16" s="35">
        <f t="shared" si="6"/>
        <v>46972.43</v>
      </c>
      <c r="I16" s="35">
        <f t="shared" si="6"/>
        <v>46625.770000000004</v>
      </c>
      <c r="J16" s="35">
        <f t="shared" si="6"/>
        <v>47145.760000000002</v>
      </c>
      <c r="K16" s="35">
        <f t="shared" si="6"/>
        <v>46452.44</v>
      </c>
      <c r="L16" s="35">
        <f t="shared" si="6"/>
        <v>47145.760000000002</v>
      </c>
      <c r="M16" s="35">
        <f t="shared" si="6"/>
        <v>47145.760000000002</v>
      </c>
      <c r="N16" s="35">
        <f t="shared" si="6"/>
        <v>47145.760000000002</v>
      </c>
      <c r="O16" s="35">
        <f t="shared" si="6"/>
        <v>47492.420000000006</v>
      </c>
      <c r="P16" s="35">
        <f t="shared" si="6"/>
        <v>46972.43</v>
      </c>
      <c r="Q16" s="35">
        <f t="shared" si="6"/>
        <v>46972.43</v>
      </c>
      <c r="R16" s="35">
        <f>R4*173.33</f>
        <v>47665.75</v>
      </c>
      <c r="S16" s="35">
        <f>S4*173.33</f>
        <v>48705.73</v>
      </c>
      <c r="T16" s="35">
        <f t="shared" si="6"/>
        <v>48705.73</v>
      </c>
      <c r="U16" s="35"/>
    </row>
    <row r="17" spans="1:21" ht="28.5" x14ac:dyDescent="0.3">
      <c r="A17" s="33"/>
      <c r="B17" s="33"/>
      <c r="C17" s="34"/>
      <c r="D17" s="18" t="s">
        <v>22</v>
      </c>
      <c r="E17" s="36">
        <v>9.0200000000000002E-2</v>
      </c>
      <c r="F17" s="21">
        <v>9.1000000000000004E-3</v>
      </c>
      <c r="G17" s="21">
        <f>G15/G16</f>
        <v>7.9834064364990263E-3</v>
      </c>
      <c r="H17" s="21">
        <f>H15/H16</f>
        <v>7.87483210896264E-2</v>
      </c>
      <c r="I17" s="37">
        <f t="shared" ref="I17:T17" si="7">I15/I16</f>
        <v>3.0884208453822851E-3</v>
      </c>
      <c r="J17" s="37">
        <f t="shared" si="7"/>
        <v>2.6937735227939904E-3</v>
      </c>
      <c r="K17" s="38">
        <f t="shared" si="7"/>
        <v>1.7437189521153247E-3</v>
      </c>
      <c r="L17" s="38">
        <f t="shared" si="7"/>
        <v>1.7817084717692533E-3</v>
      </c>
      <c r="M17" s="38">
        <f t="shared" si="7"/>
        <v>1.8453409171895838E-3</v>
      </c>
      <c r="N17" s="37">
        <f t="shared" si="7"/>
        <v>2.1316869215810708E-3</v>
      </c>
      <c r="O17" s="37">
        <f t="shared" si="7"/>
        <v>2.6109429673198373E-3</v>
      </c>
      <c r="P17" s="38">
        <f t="shared" si="7"/>
        <v>8.3453208616203166E-3</v>
      </c>
      <c r="Q17" s="38">
        <f t="shared" si="7"/>
        <v>3.8001014637735371E-3</v>
      </c>
      <c r="R17" s="38">
        <f t="shared" si="7"/>
        <v>1.7203128032182438E-3</v>
      </c>
      <c r="S17" s="38">
        <f t="shared" si="7"/>
        <v>3.6135378732646034E-3</v>
      </c>
      <c r="T17" s="38">
        <f t="shared" si="7"/>
        <v>4.783831389037799E-3</v>
      </c>
      <c r="U17" s="38"/>
    </row>
    <row r="18" spans="1:21" x14ac:dyDescent="0.3">
      <c r="A18" s="33"/>
      <c r="B18" s="33"/>
      <c r="C18" s="33"/>
      <c r="D18" s="18" t="s">
        <v>11</v>
      </c>
      <c r="E18" s="21"/>
      <c r="F18" s="21">
        <f t="shared" ref="F18:S18" si="8">+F17-E17</f>
        <v>-8.1100000000000005E-2</v>
      </c>
      <c r="G18" s="21">
        <f t="shared" si="8"/>
        <v>-1.1165935635009741E-3</v>
      </c>
      <c r="H18" s="21">
        <f t="shared" si="8"/>
        <v>7.076491465312737E-2</v>
      </c>
      <c r="I18" s="21">
        <f t="shared" si="8"/>
        <v>-7.5659900244244113E-2</v>
      </c>
      <c r="J18" s="21">
        <f t="shared" si="8"/>
        <v>-3.9464732258829476E-4</v>
      </c>
      <c r="K18" s="21">
        <f t="shared" si="8"/>
        <v>-9.5005457067866565E-4</v>
      </c>
      <c r="L18" s="21">
        <f t="shared" si="8"/>
        <v>3.7989519653928603E-5</v>
      </c>
      <c r="M18" s="21">
        <f t="shared" si="8"/>
        <v>6.3632445420330492E-5</v>
      </c>
      <c r="N18" s="21">
        <f t="shared" si="8"/>
        <v>2.86346004391487E-4</v>
      </c>
      <c r="O18" s="21">
        <f t="shared" si="8"/>
        <v>4.7925604573876646E-4</v>
      </c>
      <c r="P18" s="21">
        <f t="shared" si="8"/>
        <v>5.7343778943004797E-3</v>
      </c>
      <c r="Q18" s="21">
        <f t="shared" si="8"/>
        <v>-4.5452193978467795E-3</v>
      </c>
      <c r="R18" s="21">
        <f t="shared" si="8"/>
        <v>-2.0797886605552936E-3</v>
      </c>
      <c r="S18" s="21">
        <f t="shared" si="8"/>
        <v>1.8932250700463597E-3</v>
      </c>
      <c r="T18" s="21">
        <f>+T17-S17</f>
        <v>1.1702935157731956E-3</v>
      </c>
      <c r="U18" s="21"/>
    </row>
    <row r="19" spans="1:21" s="13" customFormat="1" ht="28.5" x14ac:dyDescent="0.25">
      <c r="A19" s="33"/>
      <c r="B19" s="33"/>
      <c r="C19" s="33"/>
      <c r="D19" s="22" t="s">
        <v>23</v>
      </c>
      <c r="E19" s="39"/>
      <c r="F19" s="39">
        <v>2.5541281442912359E-2</v>
      </c>
      <c r="G19" s="39">
        <v>2.3703496981382018E-2</v>
      </c>
      <c r="H19" s="39">
        <v>2.9901802212149692E-2</v>
      </c>
      <c r="I19" s="39">
        <v>3.5462517433324563E-2</v>
      </c>
      <c r="J19" s="39">
        <v>3.2343954342454316E-2</v>
      </c>
      <c r="K19" s="39">
        <v>5.461940499152753E-2</v>
      </c>
      <c r="L19" s="39">
        <v>4.9540602243538838E-2</v>
      </c>
      <c r="M19" s="39">
        <v>3.2980298250651588E-2</v>
      </c>
      <c r="N19" s="39">
        <v>4.5542833865686229E-2</v>
      </c>
      <c r="O19" s="39">
        <v>4.693554690973669E-2</v>
      </c>
      <c r="P19" s="39">
        <v>6.6430595363408645E-2</v>
      </c>
      <c r="Q19" s="39"/>
    </row>
    <row r="20" spans="1:21" x14ac:dyDescent="0.3">
      <c r="A20" s="33"/>
      <c r="B20" s="33"/>
      <c r="C20" s="33"/>
      <c r="D20" s="22" t="s">
        <v>14</v>
      </c>
      <c r="E20" s="40"/>
      <c r="F20" s="41">
        <f t="shared" ref="F20:P20" si="9">-F19+F17</f>
        <v>-1.6441281442912358E-2</v>
      </c>
      <c r="G20" s="41">
        <f t="shared" si="9"/>
        <v>-1.5720090544882992E-2</v>
      </c>
      <c r="H20" s="41">
        <f t="shared" si="9"/>
        <v>4.8846518877476708E-2</v>
      </c>
      <c r="I20" s="41">
        <f t="shared" si="9"/>
        <v>-3.2374096587942276E-2</v>
      </c>
      <c r="J20" s="41">
        <f t="shared" si="9"/>
        <v>-2.9650180819660324E-2</v>
      </c>
      <c r="K20" s="41">
        <f t="shared" si="9"/>
        <v>-5.2875686039412208E-2</v>
      </c>
      <c r="L20" s="41">
        <f t="shared" si="9"/>
        <v>-4.7758893771769582E-2</v>
      </c>
      <c r="M20" s="41">
        <f t="shared" si="9"/>
        <v>-3.1134957333462006E-2</v>
      </c>
      <c r="N20" s="41">
        <f t="shared" si="9"/>
        <v>-4.341114694410516E-2</v>
      </c>
      <c r="O20" s="41">
        <f t="shared" si="9"/>
        <v>-4.432460394241685E-2</v>
      </c>
      <c r="P20" s="41">
        <f t="shared" si="9"/>
        <v>-5.8085274501788325E-2</v>
      </c>
      <c r="Q20" s="41">
        <f>-Q19+Q17</f>
        <v>3.8001014637735371E-3</v>
      </c>
      <c r="R20" s="41">
        <f t="shared" ref="R20" si="10">-R19+R17</f>
        <v>1.7203128032182438E-3</v>
      </c>
      <c r="S20" s="41">
        <f>-S19+S17</f>
        <v>3.6135378732646034E-3</v>
      </c>
      <c r="T20" s="41">
        <f>-T19+T17</f>
        <v>4.783831389037799E-3</v>
      </c>
      <c r="U20" s="41"/>
    </row>
    <row r="21" spans="1:21" x14ac:dyDescent="0.3">
      <c r="A21" s="33"/>
      <c r="B21" s="33"/>
      <c r="C21" s="33"/>
      <c r="D21" s="25" t="s">
        <v>15</v>
      </c>
      <c r="E21" s="26">
        <f>E18*10000</f>
        <v>0</v>
      </c>
      <c r="F21" s="26">
        <f t="shared" ref="F21:R21" si="11">F20*10000</f>
        <v>-164.41281442912359</v>
      </c>
      <c r="G21" s="26">
        <f t="shared" si="11"/>
        <v>-157.20090544882993</v>
      </c>
      <c r="H21" s="26">
        <f t="shared" si="11"/>
        <v>488.46518877476706</v>
      </c>
      <c r="I21" s="26">
        <f t="shared" si="11"/>
        <v>-323.74096587942279</v>
      </c>
      <c r="J21" s="26">
        <f t="shared" si="11"/>
        <v>-296.50180819660324</v>
      </c>
      <c r="K21" s="26">
        <f t="shared" si="11"/>
        <v>-528.7568603941221</v>
      </c>
      <c r="L21" s="26">
        <f t="shared" si="11"/>
        <v>-477.58893771769584</v>
      </c>
      <c r="M21" s="26">
        <f t="shared" si="11"/>
        <v>-311.34957333462006</v>
      </c>
      <c r="N21" s="26">
        <f t="shared" si="11"/>
        <v>-434.11146944105161</v>
      </c>
      <c r="O21" s="26">
        <f t="shared" si="11"/>
        <v>-443.24603942416849</v>
      </c>
      <c r="P21" s="26">
        <f t="shared" si="11"/>
        <v>-580.85274501788331</v>
      </c>
      <c r="Q21" s="26">
        <f t="shared" si="11"/>
        <v>38.001014637735373</v>
      </c>
      <c r="R21" s="26">
        <f t="shared" si="11"/>
        <v>17.203128032182438</v>
      </c>
      <c r="S21" s="26">
        <f>S20*10000</f>
        <v>36.135378732646032</v>
      </c>
      <c r="T21" s="26">
        <f>T20*10000</f>
        <v>47.838313890377989</v>
      </c>
      <c r="U21" s="26"/>
    </row>
    <row r="22" spans="1:21" x14ac:dyDescent="0.3">
      <c r="A22" s="33"/>
      <c r="B22" s="33"/>
      <c r="C22" s="33"/>
      <c r="D22" s="25" t="s">
        <v>16</v>
      </c>
      <c r="E22" s="26"/>
      <c r="F22" s="26">
        <f>+F18*10000</f>
        <v>-811</v>
      </c>
      <c r="G22" s="26">
        <f>+G18*10000</f>
        <v>-11.165935635009742</v>
      </c>
      <c r="H22" s="26">
        <f t="shared" ref="H22:R22" si="12">+H18*10000</f>
        <v>707.64914653127369</v>
      </c>
      <c r="I22" s="26">
        <f t="shared" si="12"/>
        <v>-756.59900244244113</v>
      </c>
      <c r="J22" s="26">
        <f t="shared" si="12"/>
        <v>-3.9464732258829476</v>
      </c>
      <c r="K22" s="26">
        <f t="shared" si="12"/>
        <v>-9.5005457067866566</v>
      </c>
      <c r="L22" s="26">
        <f t="shared" si="12"/>
        <v>0.37989519653928605</v>
      </c>
      <c r="M22" s="26">
        <f t="shared" si="12"/>
        <v>0.63632445420330497</v>
      </c>
      <c r="N22" s="26">
        <f t="shared" si="12"/>
        <v>2.8634600439148699</v>
      </c>
      <c r="O22" s="26">
        <f t="shared" si="12"/>
        <v>4.7925604573876646</v>
      </c>
      <c r="P22" s="26">
        <f t="shared" si="12"/>
        <v>57.3437789430048</v>
      </c>
      <c r="Q22" s="26">
        <f t="shared" si="12"/>
        <v>-45.452193978467797</v>
      </c>
      <c r="R22" s="26">
        <f t="shared" si="12"/>
        <v>-20.797886605552936</v>
      </c>
      <c r="S22" s="26">
        <f>+S18*10000</f>
        <v>18.932250700463598</v>
      </c>
      <c r="T22" s="26">
        <f>+T18*10000</f>
        <v>11.702935157731956</v>
      </c>
      <c r="U22" s="26"/>
    </row>
    <row r="23" spans="1:21" x14ac:dyDescent="0.3">
      <c r="A23" s="33"/>
      <c r="B23" s="33"/>
      <c r="C23" s="33"/>
      <c r="D23" s="33"/>
      <c r="E23" s="33"/>
      <c r="F23" s="33"/>
      <c r="G23" s="33"/>
      <c r="H23" s="27"/>
      <c r="I23" s="27"/>
      <c r="J23" s="27"/>
      <c r="K23" s="27"/>
      <c r="L23" s="27"/>
      <c r="M23" s="27"/>
      <c r="N23" s="27"/>
      <c r="O23" s="27"/>
      <c r="P23" s="27"/>
    </row>
    <row r="24" spans="1:21" x14ac:dyDescent="0.3">
      <c r="A24" s="33"/>
      <c r="B24" s="33"/>
      <c r="C24" s="33"/>
      <c r="D24" s="33"/>
      <c r="E24" s="33"/>
      <c r="F24" s="33"/>
      <c r="G24" s="33"/>
      <c r="H24" s="27"/>
      <c r="I24" s="27"/>
      <c r="J24" s="27"/>
      <c r="K24" s="27"/>
      <c r="L24" s="27"/>
      <c r="M24" s="27"/>
      <c r="N24" s="27"/>
      <c r="O24" s="27"/>
      <c r="P24" s="27"/>
    </row>
    <row r="25" spans="1:21" x14ac:dyDescent="0.3">
      <c r="A25" s="33"/>
      <c r="B25" s="33"/>
      <c r="C25" s="33"/>
      <c r="D25" s="33"/>
      <c r="E25" s="33"/>
      <c r="F25" s="33"/>
      <c r="G25" s="42"/>
      <c r="H25" s="43"/>
      <c r="I25" s="43"/>
      <c r="J25" s="43"/>
      <c r="K25" s="43"/>
      <c r="L25" s="43"/>
      <c r="M25" s="43"/>
      <c r="N25" s="43"/>
      <c r="O25" s="43"/>
      <c r="P25" s="43"/>
    </row>
    <row r="26" spans="1:21" ht="115.5" x14ac:dyDescent="0.3">
      <c r="A26" s="29" t="s">
        <v>24</v>
      </c>
      <c r="B26" s="29" t="s">
        <v>25</v>
      </c>
      <c r="C26" s="9" t="s">
        <v>6</v>
      </c>
      <c r="D26" s="29" t="s">
        <v>26</v>
      </c>
      <c r="E26" s="44">
        <v>1035.52</v>
      </c>
      <c r="F26" s="44">
        <v>858.07</v>
      </c>
      <c r="G26" s="45">
        <v>946.29</v>
      </c>
      <c r="H26" s="45">
        <v>1125.8399999999999</v>
      </c>
      <c r="I26" s="45">
        <v>1489.92</v>
      </c>
      <c r="J26" s="45">
        <v>1119.3699999999999</v>
      </c>
      <c r="K26" s="45">
        <v>1954.7600000000002</v>
      </c>
      <c r="L26" s="45">
        <v>1793.6</v>
      </c>
      <c r="M26" s="45">
        <v>2191.21</v>
      </c>
      <c r="N26" s="45">
        <v>1448.86</v>
      </c>
      <c r="O26" s="45">
        <v>2675.45</v>
      </c>
      <c r="P26" s="45">
        <v>1785</v>
      </c>
      <c r="Q26" s="45">
        <v>1435.36</v>
      </c>
      <c r="R26" s="45">
        <v>1869.48</v>
      </c>
      <c r="S26" s="45">
        <v>1011.13</v>
      </c>
      <c r="T26" s="45">
        <v>1205.74</v>
      </c>
      <c r="U26" s="45"/>
    </row>
    <row r="27" spans="1:21" x14ac:dyDescent="0.3">
      <c r="A27" s="46"/>
      <c r="B27" s="46"/>
      <c r="C27" s="34"/>
      <c r="D27" s="29" t="s">
        <v>27</v>
      </c>
      <c r="E27" s="11">
        <v>192</v>
      </c>
      <c r="F27" s="11">
        <v>193</v>
      </c>
      <c r="G27" s="17">
        <v>191</v>
      </c>
      <c r="H27" s="17">
        <v>191</v>
      </c>
      <c r="I27" s="17">
        <v>189</v>
      </c>
      <c r="J27" s="17">
        <v>192</v>
      </c>
      <c r="K27" s="17">
        <v>187</v>
      </c>
      <c r="L27" s="17">
        <v>189</v>
      </c>
      <c r="M27" s="17">
        <v>189</v>
      </c>
      <c r="N27" s="17">
        <v>199</v>
      </c>
      <c r="O27" s="17">
        <v>189</v>
      </c>
      <c r="P27" s="17">
        <v>188</v>
      </c>
      <c r="Q27" s="17">
        <v>188</v>
      </c>
      <c r="R27" s="17">
        <v>189</v>
      </c>
      <c r="S27" s="17">
        <v>192</v>
      </c>
      <c r="T27" s="17">
        <v>192</v>
      </c>
      <c r="U27" s="17"/>
    </row>
    <row r="28" spans="1:21" x14ac:dyDescent="0.3">
      <c r="A28" s="46"/>
      <c r="B28" s="46"/>
      <c r="C28" s="34"/>
      <c r="D28" s="18" t="s">
        <v>28</v>
      </c>
      <c r="E28" s="47">
        <v>5.82</v>
      </c>
      <c r="F28" s="47">
        <v>4.45</v>
      </c>
      <c r="G28" s="47">
        <f>G26/G27</f>
        <v>4.9543979057591621</v>
      </c>
      <c r="H28" s="47">
        <f>H26/H27</f>
        <v>5.8944502617801042</v>
      </c>
      <c r="I28" s="47">
        <f>I26/I27</f>
        <v>7.8831746031746039</v>
      </c>
      <c r="J28" s="47">
        <f>J26/J27</f>
        <v>5.8300520833333325</v>
      </c>
      <c r="K28" s="48">
        <f t="shared" ref="K28:T28" si="13">K26/K27</f>
        <v>10.453262032085563</v>
      </c>
      <c r="L28" s="48">
        <f t="shared" si="13"/>
        <v>9.4899470899470888</v>
      </c>
      <c r="M28" s="48">
        <f t="shared" si="13"/>
        <v>11.593703703703705</v>
      </c>
      <c r="N28" s="48">
        <f t="shared" si="13"/>
        <v>7.2807035175879395</v>
      </c>
      <c r="O28" s="48">
        <f t="shared" si="13"/>
        <v>14.155820105820105</v>
      </c>
      <c r="P28" s="48">
        <f t="shared" si="13"/>
        <v>9.4946808510638299</v>
      </c>
      <c r="Q28" s="48">
        <f t="shared" si="13"/>
        <v>7.6348936170212758</v>
      </c>
      <c r="R28" s="48">
        <f t="shared" si="13"/>
        <v>9.8914285714285715</v>
      </c>
      <c r="S28" s="48">
        <f t="shared" si="13"/>
        <v>5.2663020833333336</v>
      </c>
      <c r="T28" s="48">
        <f t="shared" si="13"/>
        <v>6.2798958333333337</v>
      </c>
      <c r="U28" s="48"/>
    </row>
    <row r="29" spans="1:21" x14ac:dyDescent="0.3">
      <c r="D29" s="18" t="s">
        <v>29</v>
      </c>
      <c r="E29" s="40">
        <f>E28-P30</f>
        <v>0.28245989304812902</v>
      </c>
      <c r="F29" s="21">
        <f t="shared" ref="F29:T29" si="14">+(F28-E28)/E28</f>
        <v>-0.23539518900343642</v>
      </c>
      <c r="G29" s="21">
        <f t="shared" si="14"/>
        <v>0.11334784399082289</v>
      </c>
      <c r="H29" s="21">
        <f t="shared" si="14"/>
        <v>0.18974098849189991</v>
      </c>
      <c r="I29" s="21">
        <f t="shared" si="14"/>
        <v>0.33738928196399975</v>
      </c>
      <c r="J29" s="21">
        <f t="shared" si="14"/>
        <v>-0.26044361861710713</v>
      </c>
      <c r="K29" s="21">
        <f t="shared" si="14"/>
        <v>0.79299633736872388</v>
      </c>
      <c r="L29" s="21">
        <f t="shared" si="14"/>
        <v>-9.2154481460585788E-2</v>
      </c>
      <c r="M29" s="21">
        <f t="shared" si="14"/>
        <v>0.22168264942016083</v>
      </c>
      <c r="N29" s="21">
        <f t="shared" si="14"/>
        <v>-0.37201228324801344</v>
      </c>
      <c r="O29" s="21">
        <f t="shared" si="14"/>
        <v>0.94429289307331343</v>
      </c>
      <c r="P29" s="21">
        <f t="shared" si="14"/>
        <v>-0.32927369943334245</v>
      </c>
      <c r="Q29" s="21">
        <f t="shared" si="14"/>
        <v>-0.19587675070028021</v>
      </c>
      <c r="R29" s="21">
        <f t="shared" si="14"/>
        <v>0.29555552016816106</v>
      </c>
      <c r="S29" s="21">
        <f t="shared" si="14"/>
        <v>-0.4675893329963412</v>
      </c>
      <c r="T29" s="21">
        <f t="shared" si="14"/>
        <v>0.19246783301850406</v>
      </c>
      <c r="U29" s="21"/>
    </row>
    <row r="30" spans="1:21" x14ac:dyDescent="0.3">
      <c r="D30" s="22" t="s">
        <v>30</v>
      </c>
      <c r="E30" s="50"/>
      <c r="F30" s="50">
        <v>5.2635978835978836</v>
      </c>
      <c r="G30" s="50">
        <v>4.6375401069518727</v>
      </c>
      <c r="H30" s="50">
        <v>7.5075935828877007</v>
      </c>
      <c r="I30" s="50">
        <v>7.5158602150537641</v>
      </c>
      <c r="J30" s="50">
        <v>8.7973262032085557</v>
      </c>
      <c r="K30" s="50">
        <v>11.221236559139786</v>
      </c>
      <c r="L30" s="50">
        <v>8.6315957446808493</v>
      </c>
      <c r="M30" s="50">
        <v>9.1419680851063827</v>
      </c>
      <c r="N30" s="50">
        <v>8.916263157894738</v>
      </c>
      <c r="O30" s="50">
        <v>7.3372105263157907</v>
      </c>
      <c r="P30" s="50">
        <v>5.5375401069518713</v>
      </c>
      <c r="Q30" s="50"/>
      <c r="R30" s="50"/>
      <c r="S30" s="50"/>
      <c r="T30" s="50"/>
      <c r="U30" s="50"/>
    </row>
    <row r="31" spans="1:21" x14ac:dyDescent="0.3">
      <c r="D31" s="22" t="s">
        <v>14</v>
      </c>
      <c r="E31" s="40"/>
      <c r="F31" s="40">
        <f>(F30-F28)/F28</f>
        <v>0.18283098507817605</v>
      </c>
      <c r="G31" s="40">
        <f t="shared" ref="G31:T31" si="15">(G30-G28)/G28</f>
        <v>-6.3954854824834109E-2</v>
      </c>
      <c r="H31" s="40">
        <f t="shared" si="15"/>
        <v>0.27367154687304673</v>
      </c>
      <c r="I31" s="40">
        <f t="shared" si="15"/>
        <v>-4.6594729485367484E-2</v>
      </c>
      <c r="J31" s="40">
        <f t="shared" si="15"/>
        <v>0.5089618544503095</v>
      </c>
      <c r="K31" s="40">
        <f t="shared" si="15"/>
        <v>7.3467452044823758E-2</v>
      </c>
      <c r="L31" s="40">
        <f t="shared" si="15"/>
        <v>-9.0448485869379619E-2</v>
      </c>
      <c r="M31" s="40">
        <f t="shared" si="15"/>
        <v>-0.21147130211841578</v>
      </c>
      <c r="N31" s="40">
        <f t="shared" si="15"/>
        <v>0.22464307691637073</v>
      </c>
      <c r="O31" s="40">
        <f t="shared" si="15"/>
        <v>-0.48168241250119248</v>
      </c>
      <c r="P31" s="40">
        <f t="shared" si="15"/>
        <v>-0.41677448733504102</v>
      </c>
      <c r="Q31" s="40">
        <f t="shared" si="15"/>
        <v>-1</v>
      </c>
      <c r="R31" s="40">
        <f t="shared" si="15"/>
        <v>-1</v>
      </c>
      <c r="S31" s="40">
        <f t="shared" si="15"/>
        <v>-1</v>
      </c>
      <c r="T31" s="40">
        <f t="shared" si="15"/>
        <v>-1</v>
      </c>
      <c r="U31" s="40"/>
    </row>
    <row r="32" spans="1:21" x14ac:dyDescent="0.3">
      <c r="D32" s="51">
        <v>20.239999999999998</v>
      </c>
      <c r="E32" s="26">
        <f>E29</f>
        <v>0.28245989304812902</v>
      </c>
      <c r="F32" s="52">
        <f>F31</f>
        <v>0.18283098507817605</v>
      </c>
      <c r="G32" s="52">
        <f t="shared" ref="G32:S32" si="16">G31</f>
        <v>-6.3954854824834109E-2</v>
      </c>
      <c r="H32" s="52">
        <f t="shared" si="16"/>
        <v>0.27367154687304673</v>
      </c>
      <c r="I32" s="52">
        <f t="shared" si="16"/>
        <v>-4.6594729485367484E-2</v>
      </c>
      <c r="J32" s="52">
        <f t="shared" si="16"/>
        <v>0.5089618544503095</v>
      </c>
      <c r="K32" s="52">
        <f t="shared" si="16"/>
        <v>7.3467452044823758E-2</v>
      </c>
      <c r="L32" s="52">
        <f t="shared" si="16"/>
        <v>-9.0448485869379619E-2</v>
      </c>
      <c r="M32" s="52">
        <f t="shared" si="16"/>
        <v>-0.21147130211841578</v>
      </c>
      <c r="N32" s="52">
        <f t="shared" si="16"/>
        <v>0.22464307691637073</v>
      </c>
      <c r="O32" s="52">
        <f t="shared" si="16"/>
        <v>-0.48168241250119248</v>
      </c>
      <c r="P32" s="52">
        <f t="shared" si="16"/>
        <v>-0.41677448733504102</v>
      </c>
      <c r="Q32" s="52">
        <f t="shared" si="16"/>
        <v>-1</v>
      </c>
      <c r="R32" s="52">
        <f t="shared" si="16"/>
        <v>-1</v>
      </c>
      <c r="S32" s="52">
        <f t="shared" si="16"/>
        <v>-1</v>
      </c>
      <c r="T32" s="52">
        <f>T31</f>
        <v>-1</v>
      </c>
      <c r="U32" s="52"/>
    </row>
    <row r="33" spans="1:21" x14ac:dyDescent="0.3">
      <c r="D33" s="51">
        <v>20.25</v>
      </c>
      <c r="E33" s="26"/>
      <c r="F33" s="52">
        <f>F29</f>
        <v>-0.23539518900343642</v>
      </c>
      <c r="G33" s="52">
        <f t="shared" ref="G33:T33" si="17">G29</f>
        <v>0.11334784399082289</v>
      </c>
      <c r="H33" s="52">
        <f t="shared" si="17"/>
        <v>0.18974098849189991</v>
      </c>
      <c r="I33" s="52">
        <f t="shared" si="17"/>
        <v>0.33738928196399975</v>
      </c>
      <c r="J33" s="52">
        <f t="shared" si="17"/>
        <v>-0.26044361861710713</v>
      </c>
      <c r="K33" s="52">
        <f t="shared" si="17"/>
        <v>0.79299633736872388</v>
      </c>
      <c r="L33" s="52">
        <f t="shared" si="17"/>
        <v>-9.2154481460585788E-2</v>
      </c>
      <c r="M33" s="53">
        <f t="shared" si="17"/>
        <v>0.22168264942016083</v>
      </c>
      <c r="N33" s="52">
        <f t="shared" si="17"/>
        <v>-0.37201228324801344</v>
      </c>
      <c r="O33" s="52">
        <f t="shared" si="17"/>
        <v>0.94429289307331343</v>
      </c>
      <c r="P33" s="52">
        <f t="shared" si="17"/>
        <v>-0.32927369943334245</v>
      </c>
      <c r="Q33" s="52">
        <f t="shared" si="17"/>
        <v>-0.19587675070028021</v>
      </c>
      <c r="R33" s="52">
        <f t="shared" si="17"/>
        <v>0.29555552016816106</v>
      </c>
      <c r="S33" s="52">
        <f>S29</f>
        <v>-0.4675893329963412</v>
      </c>
      <c r="T33" s="52">
        <f t="shared" si="17"/>
        <v>0.19246783301850406</v>
      </c>
      <c r="U33" s="52"/>
    </row>
    <row r="34" spans="1:21" x14ac:dyDescent="0.3">
      <c r="E34" s="54"/>
      <c r="F34" s="54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 spans="1:21" x14ac:dyDescent="0.3">
      <c r="E35" s="54"/>
      <c r="F35" s="54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1:21" x14ac:dyDescent="0.3">
      <c r="A36" s="572" t="s">
        <v>31</v>
      </c>
      <c r="B36" s="572"/>
    </row>
    <row r="37" spans="1:21" x14ac:dyDescent="0.3">
      <c r="A37" s="55" t="s">
        <v>1</v>
      </c>
      <c r="B37" s="55" t="s">
        <v>2</v>
      </c>
      <c r="C37" s="56" t="s">
        <v>3</v>
      </c>
    </row>
    <row r="38" spans="1:21" ht="33" x14ac:dyDescent="0.3">
      <c r="A38" s="57" t="s">
        <v>32</v>
      </c>
      <c r="B38" s="57" t="s">
        <v>33</v>
      </c>
      <c r="C38" s="58" t="s">
        <v>34</v>
      </c>
      <c r="D38" s="57" t="s">
        <v>35</v>
      </c>
    </row>
    <row r="39" spans="1:21" x14ac:dyDescent="0.3">
      <c r="A39" s="46"/>
      <c r="B39" s="46"/>
      <c r="C39" s="34"/>
      <c r="D39" s="29" t="s">
        <v>36</v>
      </c>
      <c r="E39" s="59">
        <v>0</v>
      </c>
      <c r="F39" s="59">
        <v>0</v>
      </c>
      <c r="G39" s="17">
        <v>1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1</v>
      </c>
      <c r="R39" s="17">
        <v>1</v>
      </c>
      <c r="S39" s="17">
        <v>0</v>
      </c>
      <c r="T39" s="17">
        <v>0</v>
      </c>
      <c r="U39" s="17"/>
    </row>
    <row r="40" spans="1:21" x14ac:dyDescent="0.3">
      <c r="A40" s="46"/>
      <c r="B40" s="46"/>
      <c r="C40" s="34"/>
      <c r="D40" s="29" t="s">
        <v>37</v>
      </c>
      <c r="E40" s="59">
        <v>3</v>
      </c>
      <c r="F40" s="59">
        <v>0</v>
      </c>
      <c r="G40" s="17">
        <v>1</v>
      </c>
      <c r="H40" s="17">
        <v>2</v>
      </c>
      <c r="I40" s="17">
        <v>3</v>
      </c>
      <c r="J40" s="17">
        <v>3</v>
      </c>
      <c r="K40" s="17">
        <v>2</v>
      </c>
      <c r="L40" s="17">
        <v>4</v>
      </c>
      <c r="M40" s="17">
        <v>1</v>
      </c>
      <c r="N40" s="17">
        <v>1</v>
      </c>
      <c r="O40" s="17">
        <v>3</v>
      </c>
      <c r="P40" s="17">
        <v>1</v>
      </c>
      <c r="Q40" s="17">
        <v>5</v>
      </c>
      <c r="R40" s="17">
        <v>9</v>
      </c>
      <c r="S40" s="17">
        <v>8</v>
      </c>
      <c r="T40" s="17">
        <v>1</v>
      </c>
      <c r="U40" s="17"/>
    </row>
    <row r="41" spans="1:21" ht="28.5" x14ac:dyDescent="0.3">
      <c r="A41" s="46"/>
      <c r="B41" s="46"/>
      <c r="C41" s="34"/>
      <c r="D41" s="60" t="s">
        <v>38</v>
      </c>
      <c r="E41" s="61">
        <v>1</v>
      </c>
      <c r="F41" s="61">
        <v>1</v>
      </c>
      <c r="G41" s="61">
        <v>1</v>
      </c>
      <c r="H41" s="61">
        <f>1-(H39/H40)</f>
        <v>1</v>
      </c>
      <c r="I41" s="61">
        <f t="shared" ref="I41:O41" si="18">1-(I39/I40)</f>
        <v>1</v>
      </c>
      <c r="J41" s="61">
        <f t="shared" si="18"/>
        <v>1</v>
      </c>
      <c r="K41" s="61">
        <f t="shared" si="18"/>
        <v>1</v>
      </c>
      <c r="L41" s="61">
        <f t="shared" si="18"/>
        <v>1</v>
      </c>
      <c r="M41" s="61">
        <f t="shared" si="18"/>
        <v>1</v>
      </c>
      <c r="N41" s="61">
        <f t="shared" si="18"/>
        <v>1</v>
      </c>
      <c r="O41" s="61">
        <f t="shared" si="18"/>
        <v>1</v>
      </c>
      <c r="P41" s="61">
        <f>1-(P39/P40)</f>
        <v>1</v>
      </c>
      <c r="Q41" s="61">
        <f t="shared" ref="Q41:T41" si="19">1-(Q39/Q40)</f>
        <v>0.8</v>
      </c>
      <c r="R41" s="61">
        <f t="shared" si="19"/>
        <v>0.88888888888888884</v>
      </c>
      <c r="S41" s="61">
        <f t="shared" si="19"/>
        <v>1</v>
      </c>
      <c r="T41" s="61">
        <f t="shared" si="19"/>
        <v>1</v>
      </c>
      <c r="U41" s="61"/>
    </row>
    <row r="42" spans="1:21" x14ac:dyDescent="0.3">
      <c r="D42" s="62" t="s">
        <v>11</v>
      </c>
      <c r="E42" s="40">
        <f>E41-P43</f>
        <v>6.6666666666666652E-2</v>
      </c>
      <c r="F42" s="21">
        <f>F41-E41</f>
        <v>0</v>
      </c>
      <c r="G42" s="21">
        <f>G41-F41</f>
        <v>0</v>
      </c>
      <c r="H42" s="21">
        <f t="shared" ref="H42:T42" si="20">H41-G41</f>
        <v>0</v>
      </c>
      <c r="I42" s="21">
        <f t="shared" si="20"/>
        <v>0</v>
      </c>
      <c r="J42" s="21">
        <f t="shared" si="20"/>
        <v>0</v>
      </c>
      <c r="K42" s="21">
        <f t="shared" si="20"/>
        <v>0</v>
      </c>
      <c r="L42" s="21">
        <f t="shared" si="20"/>
        <v>0</v>
      </c>
      <c r="M42" s="21">
        <f t="shared" si="20"/>
        <v>0</v>
      </c>
      <c r="N42" s="21">
        <f t="shared" si="20"/>
        <v>0</v>
      </c>
      <c r="O42" s="21">
        <f t="shared" si="20"/>
        <v>0</v>
      </c>
      <c r="P42" s="21">
        <f t="shared" si="20"/>
        <v>0</v>
      </c>
      <c r="Q42" s="21">
        <f t="shared" si="20"/>
        <v>-0.19999999999999996</v>
      </c>
      <c r="R42" s="21">
        <f t="shared" si="20"/>
        <v>8.8888888888888795E-2</v>
      </c>
      <c r="S42" s="21">
        <f t="shared" si="20"/>
        <v>0.11111111111111116</v>
      </c>
      <c r="T42" s="21">
        <f t="shared" si="20"/>
        <v>0</v>
      </c>
      <c r="U42" s="21"/>
    </row>
    <row r="43" spans="1:21" ht="28.5" x14ac:dyDescent="0.3">
      <c r="D43" s="22" t="s">
        <v>39</v>
      </c>
      <c r="E43" s="21"/>
      <c r="F43" s="21">
        <v>0.9285714285714286</v>
      </c>
      <c r="G43" s="21">
        <v>0.9285714285714286</v>
      </c>
      <c r="H43" s="21">
        <v>0.9375</v>
      </c>
      <c r="I43" s="21">
        <v>0.94736842105263164</v>
      </c>
      <c r="J43" s="21">
        <v>0.95</v>
      </c>
      <c r="K43" s="21">
        <v>0.96</v>
      </c>
      <c r="L43" s="21">
        <v>0.91176470588235292</v>
      </c>
      <c r="M43" s="21">
        <v>0.91428571428571426</v>
      </c>
      <c r="N43" s="21">
        <v>0.91666666666666663</v>
      </c>
      <c r="O43" s="21">
        <v>0.91666666666666663</v>
      </c>
      <c r="P43" s="21">
        <v>0.93333333333333335</v>
      </c>
      <c r="Q43" s="21">
        <v>1.93333333333333</v>
      </c>
      <c r="R43" s="21">
        <v>1.93333333333333</v>
      </c>
      <c r="S43" s="21"/>
      <c r="T43" s="21"/>
      <c r="U43" s="21"/>
    </row>
    <row r="44" spans="1:21" x14ac:dyDescent="0.3">
      <c r="D44" s="22" t="s">
        <v>14</v>
      </c>
      <c r="E44" s="40"/>
      <c r="F44" s="40">
        <f>F41-F43</f>
        <v>7.1428571428571397E-2</v>
      </c>
      <c r="G44" s="40">
        <f t="shared" ref="G44:T44" si="21">G41-G43</f>
        <v>7.1428571428571397E-2</v>
      </c>
      <c r="H44" s="40">
        <f t="shared" si="21"/>
        <v>6.25E-2</v>
      </c>
      <c r="I44" s="40">
        <f t="shared" si="21"/>
        <v>5.2631578947368363E-2</v>
      </c>
      <c r="J44" s="40">
        <f t="shared" si="21"/>
        <v>5.0000000000000044E-2</v>
      </c>
      <c r="K44" s="40">
        <f t="shared" si="21"/>
        <v>4.0000000000000036E-2</v>
      </c>
      <c r="L44" s="40">
        <f t="shared" si="21"/>
        <v>8.8235294117647078E-2</v>
      </c>
      <c r="M44" s="40">
        <f t="shared" si="21"/>
        <v>8.5714285714285743E-2</v>
      </c>
      <c r="N44" s="40">
        <f t="shared" si="21"/>
        <v>8.333333333333337E-2</v>
      </c>
      <c r="O44" s="40">
        <f t="shared" si="21"/>
        <v>8.333333333333337E-2</v>
      </c>
      <c r="P44" s="40">
        <f t="shared" si="21"/>
        <v>6.6666666666666652E-2</v>
      </c>
      <c r="Q44" s="40">
        <f t="shared" si="21"/>
        <v>-1.13333333333333</v>
      </c>
      <c r="R44" s="40">
        <f t="shared" si="21"/>
        <v>-1.0444444444444412</v>
      </c>
      <c r="S44" s="40">
        <f t="shared" si="21"/>
        <v>1</v>
      </c>
      <c r="T44" s="40">
        <f t="shared" si="21"/>
        <v>1</v>
      </c>
      <c r="U44" s="40"/>
    </row>
    <row r="45" spans="1:21" x14ac:dyDescent="0.3">
      <c r="D45" s="25" t="s">
        <v>15</v>
      </c>
      <c r="E45" s="26">
        <f>E42*10000</f>
        <v>666.66666666666652</v>
      </c>
      <c r="F45" s="26">
        <f t="shared" ref="F45:T45" si="22">F44*10000</f>
        <v>714.28571428571399</v>
      </c>
      <c r="G45" s="26">
        <f t="shared" si="22"/>
        <v>714.28571428571399</v>
      </c>
      <c r="H45" s="26">
        <f t="shared" si="22"/>
        <v>625</v>
      </c>
      <c r="I45" s="26">
        <f t="shared" si="22"/>
        <v>526.31578947368359</v>
      </c>
      <c r="J45" s="26">
        <f t="shared" si="22"/>
        <v>500.00000000000045</v>
      </c>
      <c r="K45" s="26">
        <f t="shared" si="22"/>
        <v>400.00000000000034</v>
      </c>
      <c r="L45" s="26">
        <f t="shared" si="22"/>
        <v>882.35294117647084</v>
      </c>
      <c r="M45" s="26">
        <f t="shared" si="22"/>
        <v>857.14285714285745</v>
      </c>
      <c r="N45" s="26">
        <f t="shared" si="22"/>
        <v>833.33333333333371</v>
      </c>
      <c r="O45" s="26">
        <f t="shared" si="22"/>
        <v>833.33333333333371</v>
      </c>
      <c r="P45" s="26">
        <f t="shared" si="22"/>
        <v>666.66666666666652</v>
      </c>
      <c r="Q45" s="26">
        <f t="shared" si="22"/>
        <v>-11333.333333333299</v>
      </c>
      <c r="R45" s="26">
        <f t="shared" si="22"/>
        <v>-10444.444444444413</v>
      </c>
      <c r="S45" s="26">
        <f t="shared" si="22"/>
        <v>10000</v>
      </c>
      <c r="T45" s="26">
        <f t="shared" si="22"/>
        <v>10000</v>
      </c>
      <c r="U45" s="26"/>
    </row>
    <row r="46" spans="1:21" x14ac:dyDescent="0.3">
      <c r="D46" s="25" t="s">
        <v>16</v>
      </c>
      <c r="E46" s="26"/>
      <c r="F46" s="26">
        <f>+F42*10000</f>
        <v>0</v>
      </c>
      <c r="G46" s="26">
        <f>+G42*10000</f>
        <v>0</v>
      </c>
      <c r="H46" s="26">
        <f t="shared" ref="H46:O46" si="23">+H42*10000</f>
        <v>0</v>
      </c>
      <c r="I46" s="26">
        <f t="shared" si="23"/>
        <v>0</v>
      </c>
      <c r="J46" s="26">
        <f t="shared" si="23"/>
        <v>0</v>
      </c>
      <c r="K46" s="26">
        <f t="shared" si="23"/>
        <v>0</v>
      </c>
      <c r="L46" s="26">
        <f t="shared" si="23"/>
        <v>0</v>
      </c>
      <c r="M46" s="26">
        <f t="shared" si="23"/>
        <v>0</v>
      </c>
      <c r="N46" s="26">
        <f t="shared" si="23"/>
        <v>0</v>
      </c>
      <c r="O46" s="26">
        <f t="shared" si="23"/>
        <v>0</v>
      </c>
      <c r="P46" s="26">
        <f>+P42*10000</f>
        <v>0</v>
      </c>
      <c r="Q46" s="26">
        <f t="shared" ref="Q46:S46" si="24">+Q42*10000</f>
        <v>-1999.9999999999995</v>
      </c>
      <c r="R46" s="26">
        <f t="shared" si="24"/>
        <v>888.888888888888</v>
      </c>
      <c r="S46" s="26">
        <f t="shared" si="24"/>
        <v>1111.1111111111115</v>
      </c>
      <c r="T46" s="26">
        <f>+T42*10000</f>
        <v>0</v>
      </c>
      <c r="U46" s="26"/>
    </row>
    <row r="47" spans="1:21" x14ac:dyDescent="0.3">
      <c r="E47" s="2"/>
      <c r="F47" s="2"/>
      <c r="G47" s="63"/>
      <c r="H47" s="63"/>
      <c r="I47" s="63"/>
      <c r="J47" s="63"/>
      <c r="K47" s="63"/>
      <c r="L47" s="63"/>
      <c r="M47" s="63"/>
      <c r="N47" s="63"/>
      <c r="O47" s="63"/>
      <c r="P47" s="63"/>
    </row>
    <row r="50" spans="1:21" ht="66" x14ac:dyDescent="0.3">
      <c r="A50" s="57" t="s">
        <v>40</v>
      </c>
      <c r="B50" s="57" t="s">
        <v>41</v>
      </c>
      <c r="C50" s="58" t="s">
        <v>34</v>
      </c>
      <c r="D50" s="64" t="s">
        <v>42</v>
      </c>
    </row>
    <row r="51" spans="1:21" ht="26.25" customHeight="1" x14ac:dyDescent="0.3">
      <c r="A51" s="46"/>
      <c r="B51" s="46"/>
      <c r="C51" s="34"/>
      <c r="D51" s="60" t="s">
        <v>43</v>
      </c>
      <c r="E51" s="65">
        <v>61</v>
      </c>
      <c r="F51" s="65">
        <v>66.8</v>
      </c>
      <c r="G51" s="65">
        <v>63</v>
      </c>
      <c r="H51" s="66">
        <v>67.599999999999994</v>
      </c>
      <c r="I51" s="66">
        <v>50.66</v>
      </c>
      <c r="J51" s="66">
        <v>52.66</v>
      </c>
      <c r="K51" s="66">
        <v>49.25</v>
      </c>
      <c r="L51" s="66">
        <v>70</v>
      </c>
      <c r="M51" s="66">
        <v>58</v>
      </c>
      <c r="N51" s="66">
        <v>66</v>
      </c>
      <c r="O51" s="66"/>
      <c r="P51" s="66"/>
      <c r="Q51" s="66"/>
    </row>
    <row r="52" spans="1:21" ht="25.5" customHeight="1" x14ac:dyDescent="0.3">
      <c r="D52" s="62" t="s">
        <v>14</v>
      </c>
      <c r="E52" s="40"/>
      <c r="F52" s="21">
        <f>+(F51-E51)/E51</f>
        <v>9.508196721311471E-2</v>
      </c>
      <c r="G52" s="21">
        <f>+(G51-F51)/F51</f>
        <v>-5.6886227544910142E-2</v>
      </c>
      <c r="H52" s="21">
        <f>+(H51-G51)/G51</f>
        <v>7.3015873015872923E-2</v>
      </c>
      <c r="I52" s="21">
        <f t="shared" ref="I52:Q52" si="25">+(I51-H51)/H51</f>
        <v>-0.25059171597633134</v>
      </c>
      <c r="J52" s="21">
        <f t="shared" si="25"/>
        <v>3.947887879984209E-2</v>
      </c>
      <c r="K52" s="21">
        <f t="shared" si="25"/>
        <v>-6.4755032282567349E-2</v>
      </c>
      <c r="L52" s="21">
        <f t="shared" si="25"/>
        <v>0.42131979695431471</v>
      </c>
      <c r="M52" s="21">
        <f t="shared" si="25"/>
        <v>-0.17142857142857143</v>
      </c>
      <c r="N52" s="21">
        <f t="shared" si="25"/>
        <v>0.13793103448275862</v>
      </c>
      <c r="O52" s="21">
        <f t="shared" si="25"/>
        <v>-1</v>
      </c>
      <c r="P52" s="21" t="e">
        <f t="shared" si="25"/>
        <v>#DIV/0!</v>
      </c>
      <c r="Q52" s="21" t="e">
        <f t="shared" si="25"/>
        <v>#DIV/0!</v>
      </c>
    </row>
    <row r="53" spans="1:21" ht="33.75" customHeight="1" x14ac:dyDescent="0.3">
      <c r="A53" s="46"/>
      <c r="B53" s="46"/>
      <c r="C53" s="34"/>
      <c r="D53" s="60" t="s">
        <v>44</v>
      </c>
      <c r="E53" s="65"/>
      <c r="F53" s="65">
        <v>57</v>
      </c>
      <c r="G53" s="65">
        <v>51</v>
      </c>
      <c r="H53" s="67">
        <v>50.8</v>
      </c>
      <c r="I53" s="67">
        <v>50.6</v>
      </c>
      <c r="J53" s="67">
        <v>49</v>
      </c>
      <c r="K53" s="67">
        <v>56.4</v>
      </c>
      <c r="L53" s="67">
        <v>55.8</v>
      </c>
      <c r="M53" s="67">
        <v>54.2</v>
      </c>
      <c r="N53" s="67">
        <v>52.5</v>
      </c>
      <c r="O53" s="67">
        <v>52.1</v>
      </c>
      <c r="P53" s="67">
        <v>55.4</v>
      </c>
      <c r="Q53" s="67"/>
    </row>
    <row r="54" spans="1:21" x14ac:dyDescent="0.3">
      <c r="D54" s="62" t="s">
        <v>45</v>
      </c>
      <c r="E54" s="40"/>
      <c r="F54" s="21">
        <f>(F51-F53)/F53</f>
        <v>0.17192982456140346</v>
      </c>
      <c r="G54" s="21">
        <f t="shared" ref="G54:Q54" si="26">(G51-G53)/G53</f>
        <v>0.23529411764705882</v>
      </c>
      <c r="H54" s="21">
        <f t="shared" si="26"/>
        <v>0.3307086614173228</v>
      </c>
      <c r="I54" s="21">
        <f t="shared" si="26"/>
        <v>1.1857707509880468E-3</v>
      </c>
      <c r="J54" s="21">
        <f t="shared" si="26"/>
        <v>7.4693877551020332E-2</v>
      </c>
      <c r="K54" s="21">
        <f t="shared" si="26"/>
        <v>-0.12677304964539005</v>
      </c>
      <c r="L54" s="21">
        <f t="shared" si="26"/>
        <v>0.25448028673835132</v>
      </c>
      <c r="M54" s="21">
        <f t="shared" si="26"/>
        <v>7.0110701107011009E-2</v>
      </c>
      <c r="N54" s="21">
        <f t="shared" si="26"/>
        <v>0.25714285714285712</v>
      </c>
      <c r="O54" s="21">
        <f t="shared" si="26"/>
        <v>-1</v>
      </c>
      <c r="P54" s="21">
        <f t="shared" si="26"/>
        <v>-1</v>
      </c>
      <c r="Q54" s="21" t="e">
        <f t="shared" si="26"/>
        <v>#DIV/0!</v>
      </c>
    </row>
    <row r="55" spans="1:21" x14ac:dyDescent="0.3">
      <c r="E55" s="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1:21" x14ac:dyDescent="0.3">
      <c r="E56" s="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9" spans="1:21" ht="66" x14ac:dyDescent="0.3">
      <c r="A59" s="57" t="s">
        <v>46</v>
      </c>
      <c r="B59" s="57" t="s">
        <v>47</v>
      </c>
      <c r="C59" s="58" t="s">
        <v>34</v>
      </c>
      <c r="D59" s="64" t="s">
        <v>42</v>
      </c>
    </row>
    <row r="60" spans="1:21" ht="42.75" x14ac:dyDescent="0.3">
      <c r="A60" s="46"/>
      <c r="B60" s="46"/>
      <c r="C60" s="34"/>
      <c r="D60" s="60" t="s">
        <v>48</v>
      </c>
      <c r="E60" s="65">
        <v>61</v>
      </c>
      <c r="F60" s="65">
        <v>66.8</v>
      </c>
      <c r="G60" s="65">
        <v>63</v>
      </c>
      <c r="H60" s="66">
        <v>67.599999999999994</v>
      </c>
      <c r="I60" s="66">
        <v>50.66</v>
      </c>
      <c r="J60" s="66">
        <v>52.66</v>
      </c>
      <c r="K60" s="66">
        <v>49.25</v>
      </c>
      <c r="L60" s="66">
        <v>70</v>
      </c>
      <c r="M60" s="66">
        <v>43</v>
      </c>
      <c r="N60" s="66">
        <v>58</v>
      </c>
      <c r="O60" s="66">
        <v>57</v>
      </c>
      <c r="P60" s="66">
        <v>68</v>
      </c>
      <c r="Q60" s="66">
        <v>64</v>
      </c>
      <c r="R60" s="66">
        <v>63</v>
      </c>
      <c r="S60" s="66">
        <v>49</v>
      </c>
      <c r="T60" s="66">
        <v>55</v>
      </c>
      <c r="U60" s="66"/>
    </row>
    <row r="61" spans="1:21" x14ac:dyDescent="0.3">
      <c r="D61" s="62" t="s">
        <v>11</v>
      </c>
      <c r="E61" s="40"/>
      <c r="F61" s="21">
        <f>+(F60-E60)/E60</f>
        <v>9.508196721311471E-2</v>
      </c>
      <c r="G61" s="21">
        <f>+(G60-F60)/F60</f>
        <v>-5.6886227544910142E-2</v>
      </c>
      <c r="H61" s="21">
        <f>+(H60-G60)/G60</f>
        <v>7.3015873015872923E-2</v>
      </c>
      <c r="I61" s="21">
        <f t="shared" ref="I61:T61" si="27">+(I60-H60)/H60</f>
        <v>-0.25059171597633134</v>
      </c>
      <c r="J61" s="21">
        <f t="shared" si="27"/>
        <v>3.947887879984209E-2</v>
      </c>
      <c r="K61" s="21">
        <f t="shared" si="27"/>
        <v>-6.4755032282567349E-2</v>
      </c>
      <c r="L61" s="21">
        <f t="shared" si="27"/>
        <v>0.42131979695431471</v>
      </c>
      <c r="M61" s="21">
        <f t="shared" si="27"/>
        <v>-0.38571428571428573</v>
      </c>
      <c r="N61" s="21">
        <f t="shared" si="27"/>
        <v>0.34883720930232559</v>
      </c>
      <c r="O61" s="21">
        <f t="shared" si="27"/>
        <v>-1.7241379310344827E-2</v>
      </c>
      <c r="P61" s="21">
        <f t="shared" si="27"/>
        <v>0.19298245614035087</v>
      </c>
      <c r="Q61" s="21">
        <f t="shared" si="27"/>
        <v>-5.8823529411764705E-2</v>
      </c>
      <c r="R61" s="21">
        <f t="shared" si="27"/>
        <v>-1.5625E-2</v>
      </c>
      <c r="S61" s="21">
        <f t="shared" si="27"/>
        <v>-0.22222222222222221</v>
      </c>
      <c r="T61" s="21">
        <f t="shared" si="27"/>
        <v>0.12244897959183673</v>
      </c>
      <c r="U61" s="21"/>
    </row>
    <row r="62" spans="1:21" ht="42.75" customHeight="1" x14ac:dyDescent="0.3">
      <c r="A62" s="46"/>
      <c r="B62" s="46"/>
      <c r="C62" s="34"/>
      <c r="D62" s="60" t="s">
        <v>49</v>
      </c>
      <c r="E62" s="65"/>
      <c r="F62" s="65">
        <v>57</v>
      </c>
      <c r="G62" s="65">
        <v>51</v>
      </c>
      <c r="H62" s="67">
        <v>50.8</v>
      </c>
      <c r="I62" s="67">
        <v>50.6</v>
      </c>
      <c r="J62" s="67">
        <v>49</v>
      </c>
      <c r="K62" s="67">
        <v>56.4</v>
      </c>
      <c r="L62" s="67">
        <v>55.8</v>
      </c>
      <c r="M62" s="67">
        <v>54.2</v>
      </c>
      <c r="N62" s="67">
        <v>52.5</v>
      </c>
      <c r="O62" s="67">
        <v>52.1</v>
      </c>
      <c r="P62" s="67">
        <v>55.4</v>
      </c>
      <c r="Q62" s="67"/>
      <c r="R62" s="67"/>
      <c r="S62" s="67"/>
      <c r="T62" s="67"/>
      <c r="U62" s="67"/>
    </row>
    <row r="63" spans="1:21" x14ac:dyDescent="0.3">
      <c r="D63" s="62" t="s">
        <v>14</v>
      </c>
      <c r="E63" s="40"/>
      <c r="F63" s="21">
        <f>(F60-F62)/F62</f>
        <v>0.17192982456140346</v>
      </c>
      <c r="G63" s="21">
        <f t="shared" ref="G63:P63" si="28">(G60-G62)/G62</f>
        <v>0.23529411764705882</v>
      </c>
      <c r="H63" s="21">
        <f t="shared" si="28"/>
        <v>0.3307086614173228</v>
      </c>
      <c r="I63" s="21">
        <f t="shared" si="28"/>
        <v>1.1857707509880468E-3</v>
      </c>
      <c r="J63" s="21">
        <f t="shared" si="28"/>
        <v>7.4693877551020332E-2</v>
      </c>
      <c r="K63" s="21">
        <f t="shared" si="28"/>
        <v>-0.12677304964539005</v>
      </c>
      <c r="L63" s="21">
        <f t="shared" si="28"/>
        <v>0.25448028673835132</v>
      </c>
      <c r="M63" s="21">
        <f t="shared" si="28"/>
        <v>-0.20664206642066424</v>
      </c>
      <c r="N63" s="21">
        <f t="shared" si="28"/>
        <v>0.10476190476190476</v>
      </c>
      <c r="O63" s="21">
        <f t="shared" si="28"/>
        <v>9.4049904030710146E-2</v>
      </c>
      <c r="P63" s="21">
        <f t="shared" si="28"/>
        <v>0.22743682310469318</v>
      </c>
      <c r="Q63" s="21" t="e">
        <f>(Q60-Q62)/Q62</f>
        <v>#DIV/0!</v>
      </c>
      <c r="R63" s="21" t="e">
        <f t="shared" ref="R63:T63" si="29">(R60-R62)/R62</f>
        <v>#DIV/0!</v>
      </c>
      <c r="S63" s="21" t="e">
        <f t="shared" si="29"/>
        <v>#DIV/0!</v>
      </c>
      <c r="T63" s="21" t="e">
        <f t="shared" si="29"/>
        <v>#DIV/0!</v>
      </c>
      <c r="U63" s="21"/>
    </row>
    <row r="68" spans="1:30" ht="73.5" customHeight="1" x14ac:dyDescent="0.3">
      <c r="A68" s="57" t="s">
        <v>50</v>
      </c>
      <c r="B68" s="57" t="s">
        <v>51</v>
      </c>
      <c r="C68" s="68" t="s">
        <v>52</v>
      </c>
      <c r="D68" s="57" t="s">
        <v>53</v>
      </c>
    </row>
    <row r="69" spans="1:30" ht="42.75" x14ac:dyDescent="0.3">
      <c r="A69" s="46"/>
      <c r="B69" s="46"/>
      <c r="C69" s="34"/>
      <c r="D69" s="60" t="s">
        <v>54</v>
      </c>
      <c r="E69" s="65"/>
      <c r="F69" s="65"/>
      <c r="G69" s="67"/>
      <c r="H69" s="67"/>
      <c r="I69" s="67"/>
      <c r="J69" s="67"/>
      <c r="K69" s="67"/>
      <c r="L69" s="67"/>
      <c r="M69" s="67"/>
      <c r="N69" s="67"/>
      <c r="O69" s="67"/>
      <c r="P69" s="67"/>
    </row>
    <row r="70" spans="1:30" x14ac:dyDescent="0.3">
      <c r="A70" s="69"/>
      <c r="B70" s="69"/>
      <c r="C70" s="70"/>
      <c r="D70" s="69"/>
    </row>
    <row r="71" spans="1:30" x14ac:dyDescent="0.3">
      <c r="A71" s="69"/>
      <c r="B71" s="69"/>
      <c r="C71" s="70"/>
      <c r="D71" s="69"/>
    </row>
    <row r="72" spans="1:30" x14ac:dyDescent="0.3">
      <c r="A72" s="573" t="s">
        <v>55</v>
      </c>
      <c r="B72" s="573"/>
    </row>
    <row r="73" spans="1:30" x14ac:dyDescent="0.3">
      <c r="A73" s="71" t="s">
        <v>1</v>
      </c>
      <c r="B73" s="71" t="s">
        <v>2</v>
      </c>
      <c r="C73" s="72" t="s">
        <v>3</v>
      </c>
      <c r="D73" s="71"/>
      <c r="E73" s="493">
        <v>44986</v>
      </c>
      <c r="F73" s="493">
        <v>45017</v>
      </c>
      <c r="G73" s="493">
        <v>45047</v>
      </c>
      <c r="H73" s="493">
        <v>45078</v>
      </c>
      <c r="I73" s="493">
        <v>45108</v>
      </c>
      <c r="J73" s="493">
        <v>45139</v>
      </c>
      <c r="K73" s="493">
        <v>45170</v>
      </c>
      <c r="L73" s="493">
        <v>45200</v>
      </c>
      <c r="M73" s="493">
        <v>45231</v>
      </c>
      <c r="N73" s="493">
        <v>45261</v>
      </c>
      <c r="O73" s="493">
        <v>45292</v>
      </c>
      <c r="P73" s="493">
        <v>45323</v>
      </c>
      <c r="Q73" s="493">
        <v>45352</v>
      </c>
      <c r="R73" s="493">
        <v>45383</v>
      </c>
      <c r="S73" s="493">
        <v>45413</v>
      </c>
      <c r="T73" s="493">
        <v>45444</v>
      </c>
      <c r="U73" s="493">
        <v>45474</v>
      </c>
      <c r="V73" s="493">
        <v>45505</v>
      </c>
      <c r="W73" s="493">
        <v>45536</v>
      </c>
      <c r="X73" s="493">
        <v>45566</v>
      </c>
      <c r="Y73" s="493">
        <v>45597</v>
      </c>
      <c r="Z73" s="493">
        <v>45627</v>
      </c>
      <c r="AA73" s="493">
        <v>45658</v>
      </c>
      <c r="AB73" s="493">
        <v>45689</v>
      </c>
      <c r="AC73" s="493">
        <v>45717</v>
      </c>
      <c r="AD73" s="493">
        <v>45748</v>
      </c>
    </row>
    <row r="74" spans="1:30" ht="54.6" customHeight="1" x14ac:dyDescent="0.3">
      <c r="A74" s="8" t="s">
        <v>56</v>
      </c>
      <c r="B74" s="8" t="s">
        <v>57</v>
      </c>
      <c r="C74" s="9" t="s">
        <v>58</v>
      </c>
      <c r="D74" s="8" t="s">
        <v>59</v>
      </c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</row>
    <row r="75" spans="1:30" ht="33" x14ac:dyDescent="0.3">
      <c r="A75" s="46"/>
      <c r="B75" s="46"/>
      <c r="C75" s="34"/>
      <c r="D75" s="29" t="s">
        <v>60</v>
      </c>
      <c r="E75" s="67">
        <v>1</v>
      </c>
      <c r="F75" s="67">
        <v>3</v>
      </c>
      <c r="G75" s="67">
        <v>0</v>
      </c>
      <c r="H75" s="67">
        <v>4</v>
      </c>
      <c r="I75" s="67">
        <v>1</v>
      </c>
      <c r="J75" s="67">
        <v>4</v>
      </c>
      <c r="K75" s="67">
        <v>4</v>
      </c>
      <c r="L75" s="67">
        <v>0</v>
      </c>
      <c r="M75" s="67">
        <v>0</v>
      </c>
      <c r="N75" s="67">
        <v>4</v>
      </c>
      <c r="O75" s="67">
        <v>0</v>
      </c>
      <c r="P75" s="67">
        <v>3</v>
      </c>
      <c r="Q75" s="75">
        <v>2</v>
      </c>
      <c r="R75" s="75">
        <v>3</v>
      </c>
      <c r="S75" s="75">
        <v>2</v>
      </c>
      <c r="T75" s="75">
        <v>6</v>
      </c>
      <c r="U75" s="75">
        <v>1</v>
      </c>
      <c r="V75" s="75">
        <v>5</v>
      </c>
      <c r="W75" s="75">
        <v>0</v>
      </c>
      <c r="X75" s="75">
        <v>1</v>
      </c>
      <c r="Y75" s="75">
        <v>2</v>
      </c>
      <c r="Z75" s="75">
        <v>7</v>
      </c>
      <c r="AA75" s="75">
        <v>1</v>
      </c>
      <c r="AB75" s="75">
        <v>1</v>
      </c>
      <c r="AC75" s="75">
        <v>1</v>
      </c>
      <c r="AD75" s="75">
        <v>1</v>
      </c>
    </row>
    <row r="76" spans="1:30" ht="33" x14ac:dyDescent="0.3">
      <c r="A76" s="46"/>
      <c r="B76" s="46"/>
      <c r="C76" s="34"/>
      <c r="D76" s="29" t="s">
        <v>61</v>
      </c>
      <c r="E76" s="76">
        <v>3</v>
      </c>
      <c r="F76" s="76">
        <v>0</v>
      </c>
      <c r="G76" s="67">
        <v>2</v>
      </c>
      <c r="H76" s="67">
        <v>4</v>
      </c>
      <c r="I76" s="67">
        <v>1</v>
      </c>
      <c r="J76" s="67">
        <v>4</v>
      </c>
      <c r="K76" s="67">
        <v>5</v>
      </c>
      <c r="L76" s="67">
        <v>5</v>
      </c>
      <c r="M76" s="67">
        <v>0</v>
      </c>
      <c r="N76" s="67">
        <v>0</v>
      </c>
      <c r="O76" s="67">
        <v>0</v>
      </c>
      <c r="P76" s="67">
        <v>3</v>
      </c>
      <c r="Q76" s="75">
        <v>3</v>
      </c>
      <c r="R76" s="75">
        <v>2</v>
      </c>
      <c r="S76" s="75">
        <v>2</v>
      </c>
      <c r="T76" s="75">
        <v>4</v>
      </c>
      <c r="U76" s="75">
        <v>2</v>
      </c>
      <c r="V76" s="75">
        <v>1</v>
      </c>
      <c r="W76" s="75">
        <v>1</v>
      </c>
      <c r="X76" s="75">
        <v>1</v>
      </c>
      <c r="Y76" s="75">
        <v>5</v>
      </c>
      <c r="Z76" s="75">
        <v>2</v>
      </c>
      <c r="AA76" s="75">
        <v>2</v>
      </c>
      <c r="AB76" s="75">
        <v>5</v>
      </c>
      <c r="AC76" s="75">
        <v>7</v>
      </c>
      <c r="AD76" s="75">
        <v>1</v>
      </c>
    </row>
    <row r="77" spans="1:30" ht="33" customHeight="1" x14ac:dyDescent="0.3">
      <c r="A77" s="46"/>
      <c r="B77" s="46"/>
      <c r="C77" s="34"/>
      <c r="D77" s="29" t="s">
        <v>62</v>
      </c>
      <c r="E77" s="360">
        <v>259</v>
      </c>
      <c r="F77" s="360">
        <v>257</v>
      </c>
      <c r="G77" s="360">
        <v>257</v>
      </c>
      <c r="H77" s="360">
        <v>257</v>
      </c>
      <c r="I77" s="360">
        <v>257</v>
      </c>
      <c r="J77" s="360">
        <v>259</v>
      </c>
      <c r="K77" s="360">
        <v>261</v>
      </c>
      <c r="L77" s="360">
        <v>265</v>
      </c>
      <c r="M77" s="360">
        <v>266</v>
      </c>
      <c r="N77" s="360">
        <v>262</v>
      </c>
      <c r="O77" s="360">
        <v>269</v>
      </c>
      <c r="P77" s="360">
        <v>270</v>
      </c>
      <c r="Q77" s="360">
        <v>271</v>
      </c>
      <c r="R77" s="360">
        <v>269</v>
      </c>
      <c r="S77" s="360">
        <v>269</v>
      </c>
      <c r="T77" s="360">
        <v>272</v>
      </c>
      <c r="U77" s="360">
        <v>268</v>
      </c>
      <c r="V77" s="360">
        <v>272</v>
      </c>
      <c r="W77" s="360">
        <v>272</v>
      </c>
      <c r="X77" s="360">
        <v>272</v>
      </c>
      <c r="Y77" s="360">
        <v>275</v>
      </c>
      <c r="Z77" s="360">
        <v>276</v>
      </c>
      <c r="AA77" s="360">
        <v>271</v>
      </c>
      <c r="AB77" s="360">
        <v>275</v>
      </c>
      <c r="AC77" s="360">
        <v>281</v>
      </c>
      <c r="AD77" s="360">
        <v>281</v>
      </c>
    </row>
    <row r="78" spans="1:30" x14ac:dyDescent="0.3">
      <c r="A78" s="46"/>
      <c r="B78" s="46"/>
      <c r="C78" s="34"/>
      <c r="D78" s="82" t="s">
        <v>63</v>
      </c>
      <c r="E78" s="494">
        <f>+(((E76+E75)/2)/E77)/100</f>
        <v>7.7220077220077225E-5</v>
      </c>
      <c r="F78" s="494">
        <f t="shared" ref="F78:AC78" si="30">+(((F76+F75)/2)/F77)/100</f>
        <v>5.8365758754863817E-5</v>
      </c>
      <c r="G78" s="494">
        <f t="shared" si="30"/>
        <v>3.8910505836575878E-5</v>
      </c>
      <c r="H78" s="494">
        <f t="shared" si="30"/>
        <v>1.5564202334630351E-4</v>
      </c>
      <c r="I78" s="494">
        <f t="shared" si="30"/>
        <v>3.8910505836575878E-5</v>
      </c>
      <c r="J78" s="494">
        <f t="shared" si="30"/>
        <v>1.5444015444015445E-4</v>
      </c>
      <c r="K78" s="494">
        <f t="shared" si="30"/>
        <v>1.7241379310344826E-4</v>
      </c>
      <c r="L78" s="494">
        <f t="shared" si="30"/>
        <v>9.4339622641509429E-5</v>
      </c>
      <c r="M78" s="494">
        <f t="shared" si="30"/>
        <v>0</v>
      </c>
      <c r="N78" s="494">
        <f t="shared" si="30"/>
        <v>7.6335877862595422E-5</v>
      </c>
      <c r="O78" s="494">
        <f t="shared" si="30"/>
        <v>0</v>
      </c>
      <c r="P78" s="494">
        <f t="shared" si="30"/>
        <v>1.1111111111111112E-4</v>
      </c>
      <c r="Q78" s="494">
        <f t="shared" si="30"/>
        <v>9.225092250922509E-5</v>
      </c>
      <c r="R78" s="494">
        <f t="shared" si="30"/>
        <v>9.2936802973977694E-5</v>
      </c>
      <c r="S78" s="494">
        <f t="shared" si="30"/>
        <v>7.4349442379182158E-5</v>
      </c>
      <c r="T78" s="494">
        <f t="shared" si="30"/>
        <v>1.838235294117647E-4</v>
      </c>
      <c r="U78" s="494">
        <f t="shared" si="30"/>
        <v>5.5970149253731337E-5</v>
      </c>
      <c r="V78" s="494">
        <f t="shared" si="30"/>
        <v>1.1029411764705883E-4</v>
      </c>
      <c r="W78" s="494">
        <f t="shared" si="30"/>
        <v>1.8382352941176469E-5</v>
      </c>
      <c r="X78" s="494">
        <f t="shared" si="30"/>
        <v>3.6764705882352938E-5</v>
      </c>
      <c r="Y78" s="494">
        <f t="shared" si="30"/>
        <v>1.2727272727272728E-4</v>
      </c>
      <c r="Z78" s="494">
        <f t="shared" si="30"/>
        <v>1.6304347826086955E-4</v>
      </c>
      <c r="AA78" s="494">
        <f t="shared" si="30"/>
        <v>5.535055350553505E-5</v>
      </c>
      <c r="AB78" s="494">
        <f t="shared" si="30"/>
        <v>1.0909090909090911E-4</v>
      </c>
      <c r="AC78" s="494">
        <f t="shared" si="30"/>
        <v>1.4234875444839857E-4</v>
      </c>
      <c r="AD78" s="494">
        <f>+(((AD76+AD75)/2)/AD77)/100</f>
        <v>3.5587188612099643E-5</v>
      </c>
    </row>
    <row r="79" spans="1:30" x14ac:dyDescent="0.3">
      <c r="A79" s="46"/>
      <c r="B79" s="46"/>
      <c r="C79" s="34"/>
      <c r="D79" s="34"/>
      <c r="E79" s="34"/>
      <c r="F79" s="43"/>
      <c r="G79" s="43"/>
      <c r="H79" s="43"/>
      <c r="I79" s="43"/>
      <c r="J79" s="43"/>
      <c r="K79" s="43"/>
      <c r="L79" s="43"/>
      <c r="M79" s="43"/>
      <c r="N79" s="74"/>
      <c r="O79" s="43"/>
      <c r="P79" s="43"/>
    </row>
    <row r="80" spans="1:30" x14ac:dyDescent="0.3">
      <c r="A80" s="46"/>
      <c r="B80" s="46"/>
      <c r="C80" s="34"/>
      <c r="D80" s="34"/>
      <c r="E80" s="34"/>
      <c r="F80" s="43"/>
      <c r="G80" s="43"/>
      <c r="H80" s="43"/>
      <c r="I80" s="43"/>
      <c r="J80" s="43"/>
      <c r="K80" s="43"/>
      <c r="L80" s="43"/>
      <c r="M80" s="43"/>
      <c r="N80" s="74"/>
      <c r="O80" s="43"/>
      <c r="P80" s="43"/>
    </row>
    <row r="81" spans="1:21" x14ac:dyDescent="0.3">
      <c r="A81" s="46"/>
      <c r="B81" s="46"/>
      <c r="C81" s="34"/>
      <c r="D81" s="34"/>
      <c r="E81" s="34"/>
      <c r="F81" s="43"/>
      <c r="G81" s="43"/>
      <c r="H81" s="43"/>
      <c r="I81" s="43"/>
      <c r="J81" s="43"/>
      <c r="K81" s="43"/>
      <c r="L81" s="43"/>
      <c r="M81" s="43"/>
      <c r="N81" s="74"/>
      <c r="O81" s="43"/>
      <c r="P81" s="43"/>
    </row>
    <row r="82" spans="1:21" x14ac:dyDescent="0.3">
      <c r="A82" s="46"/>
      <c r="B82" s="46"/>
      <c r="C82" s="34"/>
      <c r="D82" s="34"/>
      <c r="E82" s="34"/>
      <c r="F82" s="43"/>
      <c r="G82" s="43"/>
      <c r="H82" s="43"/>
      <c r="I82" s="43"/>
      <c r="J82" s="43"/>
      <c r="K82" s="43"/>
      <c r="L82" s="43"/>
      <c r="M82" s="43"/>
      <c r="N82" s="74"/>
      <c r="O82" s="43"/>
      <c r="P82" s="43"/>
    </row>
    <row r="83" spans="1:21" x14ac:dyDescent="0.3">
      <c r="A83" s="46"/>
      <c r="B83" s="46"/>
      <c r="C83" s="34"/>
      <c r="D83" s="34"/>
      <c r="E83" s="34"/>
      <c r="F83" s="43"/>
      <c r="G83" s="43"/>
      <c r="H83" s="43"/>
      <c r="I83" s="43"/>
      <c r="J83" s="43"/>
      <c r="K83" s="43"/>
      <c r="L83" s="43"/>
      <c r="M83" s="43"/>
      <c r="N83" s="74"/>
      <c r="O83" s="43"/>
      <c r="P83" s="43"/>
    </row>
    <row r="84" spans="1:21" x14ac:dyDescent="0.3">
      <c r="A84" s="46"/>
      <c r="B84" s="46"/>
      <c r="C84" s="34"/>
      <c r="D84" s="34"/>
      <c r="E84" s="34"/>
      <c r="F84" s="43"/>
      <c r="G84" s="43"/>
      <c r="H84" s="43"/>
      <c r="I84" s="43"/>
      <c r="J84" s="43"/>
      <c r="K84" s="43"/>
      <c r="L84" s="43"/>
      <c r="M84" s="43"/>
      <c r="N84" s="74"/>
      <c r="O84" s="43"/>
      <c r="P84" s="43"/>
    </row>
    <row r="85" spans="1:21" x14ac:dyDescent="0.3">
      <c r="A85" s="46"/>
      <c r="B85" s="46"/>
      <c r="C85" s="34"/>
      <c r="D85" s="34"/>
      <c r="E85" s="34"/>
      <c r="F85" s="43"/>
      <c r="G85" s="43"/>
      <c r="H85" s="43"/>
      <c r="I85" s="43"/>
      <c r="J85" s="43"/>
      <c r="K85" s="43"/>
      <c r="L85" s="43"/>
      <c r="M85" s="43"/>
      <c r="N85" s="74"/>
      <c r="O85" s="43"/>
      <c r="P85" s="43"/>
    </row>
    <row r="86" spans="1:21" ht="33" x14ac:dyDescent="0.3">
      <c r="A86" s="8" t="s">
        <v>64</v>
      </c>
      <c r="B86" s="8" t="s">
        <v>65</v>
      </c>
      <c r="C86" s="9" t="s">
        <v>58</v>
      </c>
      <c r="D86" s="73" t="s">
        <v>66</v>
      </c>
      <c r="E86" s="67">
        <v>0</v>
      </c>
      <c r="F86" s="67">
        <v>2</v>
      </c>
      <c r="G86" s="67">
        <v>0</v>
      </c>
      <c r="H86" s="67">
        <v>1</v>
      </c>
      <c r="I86" s="67">
        <v>1</v>
      </c>
      <c r="J86" s="67">
        <v>1</v>
      </c>
      <c r="K86" s="67">
        <v>0</v>
      </c>
      <c r="L86" s="67">
        <v>1</v>
      </c>
      <c r="M86" s="67">
        <v>0</v>
      </c>
      <c r="N86" s="67">
        <v>1</v>
      </c>
      <c r="O86" s="67">
        <v>1</v>
      </c>
      <c r="P86" s="67">
        <v>3</v>
      </c>
      <c r="Q86" s="67">
        <v>0</v>
      </c>
      <c r="R86" s="75">
        <v>1</v>
      </c>
      <c r="S86" s="75">
        <v>1</v>
      </c>
      <c r="T86" s="75"/>
      <c r="U86" s="75"/>
    </row>
    <row r="87" spans="1:21" x14ac:dyDescent="0.3">
      <c r="A87" s="33"/>
      <c r="B87" s="33"/>
      <c r="C87" s="34"/>
      <c r="D87" s="73" t="s">
        <v>67</v>
      </c>
      <c r="E87" s="67">
        <v>0</v>
      </c>
      <c r="F87" s="67">
        <v>3</v>
      </c>
      <c r="G87" s="67">
        <v>2</v>
      </c>
      <c r="H87" s="67">
        <v>3</v>
      </c>
      <c r="I87" s="67">
        <v>2</v>
      </c>
      <c r="J87" s="67">
        <v>6</v>
      </c>
      <c r="K87" s="67">
        <v>1</v>
      </c>
      <c r="L87" s="67">
        <v>1</v>
      </c>
      <c r="M87" s="67">
        <v>0</v>
      </c>
      <c r="N87" s="67">
        <v>1</v>
      </c>
      <c r="O87" s="67">
        <v>2</v>
      </c>
      <c r="P87" s="67">
        <v>6</v>
      </c>
      <c r="Q87" s="67">
        <v>1</v>
      </c>
      <c r="R87" s="75">
        <v>1</v>
      </c>
      <c r="S87" s="75">
        <v>1</v>
      </c>
      <c r="T87" s="75"/>
      <c r="U87" s="75"/>
    </row>
    <row r="88" spans="1:21" x14ac:dyDescent="0.3">
      <c r="A88" s="46"/>
      <c r="B88" s="46"/>
      <c r="C88" s="34"/>
      <c r="D88" s="60" t="s">
        <v>68</v>
      </c>
      <c r="E88" s="76" t="e">
        <f>E86/E87</f>
        <v>#DIV/0!</v>
      </c>
      <c r="F88" s="76">
        <f t="shared" ref="F88:S88" si="31">F86/F87</f>
        <v>0.66666666666666663</v>
      </c>
      <c r="G88" s="76">
        <f t="shared" si="31"/>
        <v>0</v>
      </c>
      <c r="H88" s="76">
        <f t="shared" si="31"/>
        <v>0.33333333333333331</v>
      </c>
      <c r="I88" s="76">
        <f t="shared" si="31"/>
        <v>0.5</v>
      </c>
      <c r="J88" s="76">
        <f t="shared" si="31"/>
        <v>0.16666666666666666</v>
      </c>
      <c r="K88" s="76">
        <f t="shared" si="31"/>
        <v>0</v>
      </c>
      <c r="L88" s="77">
        <f t="shared" si="31"/>
        <v>1</v>
      </c>
      <c r="M88" s="77" t="e">
        <f>M86/M87</f>
        <v>#DIV/0!</v>
      </c>
      <c r="N88" s="76">
        <f t="shared" si="31"/>
        <v>1</v>
      </c>
      <c r="O88" s="76">
        <f t="shared" si="31"/>
        <v>0.5</v>
      </c>
      <c r="P88" s="76">
        <f t="shared" si="31"/>
        <v>0.5</v>
      </c>
      <c r="Q88" s="76">
        <f t="shared" si="31"/>
        <v>0</v>
      </c>
      <c r="R88" s="76">
        <f t="shared" si="31"/>
        <v>1</v>
      </c>
      <c r="S88" s="76">
        <f t="shared" si="31"/>
        <v>1</v>
      </c>
      <c r="T88" s="76"/>
      <c r="U88" s="76"/>
    </row>
    <row r="89" spans="1:21" x14ac:dyDescent="0.3">
      <c r="A89" s="46"/>
      <c r="B89" s="46"/>
      <c r="C89" s="34"/>
      <c r="D89" s="34"/>
      <c r="E89" s="34"/>
      <c r="F89" s="34"/>
    </row>
    <row r="90" spans="1:21" x14ac:dyDescent="0.3">
      <c r="A90" s="46"/>
      <c r="B90" s="46"/>
      <c r="C90" s="34"/>
      <c r="D90" s="34"/>
      <c r="E90" s="34"/>
      <c r="F90" s="34"/>
    </row>
    <row r="91" spans="1:21" x14ac:dyDescent="0.3">
      <c r="A91" s="46"/>
      <c r="B91" s="46"/>
      <c r="C91" s="34"/>
      <c r="D91" s="34"/>
      <c r="E91" s="34"/>
      <c r="F91" s="34"/>
    </row>
    <row r="92" spans="1:21" x14ac:dyDescent="0.3">
      <c r="A92" s="46"/>
      <c r="B92" s="46"/>
      <c r="C92" s="34"/>
      <c r="D92" s="34"/>
      <c r="E92" s="34"/>
      <c r="F92" s="34"/>
    </row>
    <row r="93" spans="1:21" x14ac:dyDescent="0.3">
      <c r="A93" s="33"/>
      <c r="B93" s="33"/>
      <c r="C93" s="34"/>
      <c r="D93" s="33"/>
    </row>
    <row r="94" spans="1:21" x14ac:dyDescent="0.3">
      <c r="A94" s="574" t="s">
        <v>69</v>
      </c>
      <c r="B94" s="574"/>
    </row>
    <row r="95" spans="1:21" x14ac:dyDescent="0.3">
      <c r="A95" s="78" t="s">
        <v>1</v>
      </c>
      <c r="B95" s="78" t="s">
        <v>2</v>
      </c>
      <c r="C95" s="79" t="s">
        <v>3</v>
      </c>
      <c r="D95" s="78"/>
    </row>
    <row r="96" spans="1:21" ht="66" x14ac:dyDescent="0.3">
      <c r="A96" s="64" t="s">
        <v>70</v>
      </c>
      <c r="B96" s="57" t="s">
        <v>71</v>
      </c>
      <c r="C96" s="58" t="s">
        <v>34</v>
      </c>
      <c r="D96" s="57" t="s">
        <v>72</v>
      </c>
    </row>
    <row r="97" spans="1:21" x14ac:dyDescent="0.3">
      <c r="A97" s="46"/>
      <c r="B97" s="46"/>
      <c r="C97" s="34"/>
      <c r="D97" s="80" t="s">
        <v>73</v>
      </c>
      <c r="E97" s="65"/>
      <c r="F97" s="65">
        <v>55</v>
      </c>
      <c r="G97" s="67">
        <v>78</v>
      </c>
      <c r="H97" s="67">
        <v>95</v>
      </c>
      <c r="I97" s="67">
        <v>107</v>
      </c>
      <c r="J97" s="67">
        <v>112</v>
      </c>
      <c r="K97" s="81">
        <v>150</v>
      </c>
      <c r="L97" s="81">
        <v>154</v>
      </c>
      <c r="M97" s="67">
        <v>211</v>
      </c>
      <c r="N97" s="67">
        <v>240</v>
      </c>
      <c r="O97" s="67">
        <v>256</v>
      </c>
      <c r="P97" s="67">
        <v>257</v>
      </c>
      <c r="Q97" s="67">
        <v>27</v>
      </c>
      <c r="R97" s="67">
        <v>68</v>
      </c>
      <c r="S97" s="67">
        <v>116</v>
      </c>
      <c r="T97" s="67">
        <v>235</v>
      </c>
      <c r="U97" s="67">
        <v>251</v>
      </c>
    </row>
    <row r="98" spans="1:21" x14ac:dyDescent="0.3">
      <c r="A98" s="46"/>
      <c r="B98" s="46"/>
      <c r="C98" s="34"/>
      <c r="D98" s="80" t="s">
        <v>74</v>
      </c>
      <c r="E98" s="65">
        <v>269</v>
      </c>
      <c r="F98" s="65">
        <v>270</v>
      </c>
      <c r="G98" s="65">
        <v>271</v>
      </c>
      <c r="H98" s="67">
        <v>271</v>
      </c>
      <c r="I98" s="67">
        <v>269</v>
      </c>
      <c r="J98" s="67">
        <v>269</v>
      </c>
      <c r="K98" s="67">
        <v>268</v>
      </c>
      <c r="L98" s="67">
        <v>272</v>
      </c>
      <c r="M98" s="67">
        <v>272</v>
      </c>
      <c r="N98" s="67">
        <f>N4</f>
        <v>272</v>
      </c>
      <c r="O98" s="67">
        <f t="shared" ref="O98:P98" si="32">O4</f>
        <v>274</v>
      </c>
      <c r="P98" s="67">
        <f t="shared" si="32"/>
        <v>271</v>
      </c>
      <c r="Q98" s="67">
        <f>Q4</f>
        <v>271</v>
      </c>
      <c r="R98" s="67">
        <f>R4</f>
        <v>275</v>
      </c>
      <c r="S98" s="67">
        <f>S4</f>
        <v>281</v>
      </c>
      <c r="T98" s="67">
        <f>T4</f>
        <v>281</v>
      </c>
      <c r="U98" s="67">
        <v>279</v>
      </c>
    </row>
    <row r="99" spans="1:21" ht="28.5" x14ac:dyDescent="0.3">
      <c r="A99" s="46"/>
      <c r="B99" s="46"/>
      <c r="C99" s="34"/>
      <c r="D99" s="82" t="s">
        <v>75</v>
      </c>
      <c r="E99" s="61"/>
      <c r="F99" s="61">
        <f>F97/F98</f>
        <v>0.20370370370370369</v>
      </c>
      <c r="G99" s="61">
        <f>G97/G98</f>
        <v>0.28782287822878228</v>
      </c>
      <c r="H99" s="61">
        <f t="shared" ref="H99:U99" si="33">H97/H98</f>
        <v>0.35055350553505538</v>
      </c>
      <c r="I99" s="61">
        <f t="shared" si="33"/>
        <v>0.39776951672862454</v>
      </c>
      <c r="J99" s="61">
        <f t="shared" si="33"/>
        <v>0.41635687732342008</v>
      </c>
      <c r="K99" s="61">
        <f t="shared" si="33"/>
        <v>0.55970149253731338</v>
      </c>
      <c r="L99" s="61">
        <f t="shared" si="33"/>
        <v>0.56617647058823528</v>
      </c>
      <c r="M99" s="61">
        <f t="shared" si="33"/>
        <v>0.77573529411764708</v>
      </c>
      <c r="N99" s="61">
        <f t="shared" si="33"/>
        <v>0.88235294117647056</v>
      </c>
      <c r="O99" s="61">
        <f t="shared" si="33"/>
        <v>0.93430656934306566</v>
      </c>
      <c r="P99" s="61">
        <f t="shared" si="33"/>
        <v>0.94833948339483398</v>
      </c>
      <c r="Q99" s="61">
        <f t="shared" si="33"/>
        <v>9.9630996309963096E-2</v>
      </c>
      <c r="R99" s="61">
        <f t="shared" si="33"/>
        <v>0.24727272727272728</v>
      </c>
      <c r="S99" s="61">
        <f t="shared" si="33"/>
        <v>0.41281138790035588</v>
      </c>
      <c r="T99" s="61">
        <f t="shared" si="33"/>
        <v>0.83629893238434161</v>
      </c>
      <c r="U99" s="61">
        <f t="shared" si="33"/>
        <v>0.89964157706093195</v>
      </c>
    </row>
    <row r="100" spans="1:21" x14ac:dyDescent="0.3">
      <c r="D100" s="62" t="s">
        <v>29</v>
      </c>
      <c r="E100" s="40"/>
      <c r="F100" s="40"/>
      <c r="G100" s="41">
        <f>G99-F99</f>
        <v>8.4119174525078583E-2</v>
      </c>
      <c r="H100" s="41">
        <f t="shared" ref="H100:J100" si="34">H99-G99</f>
        <v>6.2730627306273101E-2</v>
      </c>
      <c r="I100" s="41">
        <f t="shared" si="34"/>
        <v>4.7216011193569163E-2</v>
      </c>
      <c r="J100" s="41">
        <f t="shared" si="34"/>
        <v>1.8587360594795543E-2</v>
      </c>
      <c r="K100" s="41">
        <f>K99-J99</f>
        <v>0.1433446152138933</v>
      </c>
      <c r="L100" s="41">
        <f t="shared" ref="L100:N100" si="35">L99-K99</f>
        <v>6.4749780509218979E-3</v>
      </c>
      <c r="M100" s="41">
        <f t="shared" si="35"/>
        <v>0.2095588235294118</v>
      </c>
      <c r="N100" s="41">
        <f t="shared" si="35"/>
        <v>0.10661764705882348</v>
      </c>
      <c r="O100" s="41">
        <f>O99-M99</f>
        <v>0.15857127522541858</v>
      </c>
      <c r="P100" s="41">
        <f t="shared" ref="P100:U100" si="36">P99-O99</f>
        <v>1.4032914051768319E-2</v>
      </c>
      <c r="Q100" s="41">
        <f t="shared" si="36"/>
        <v>-0.8487084870848709</v>
      </c>
      <c r="R100" s="41">
        <f t="shared" si="36"/>
        <v>0.14764173096276417</v>
      </c>
      <c r="S100" s="41">
        <f t="shared" si="36"/>
        <v>0.16553866062762859</v>
      </c>
      <c r="T100" s="41">
        <f t="shared" si="36"/>
        <v>0.42348754448398573</v>
      </c>
      <c r="U100" s="41">
        <f t="shared" si="36"/>
        <v>6.3342644676590343E-2</v>
      </c>
    </row>
    <row r="101" spans="1:21" x14ac:dyDescent="0.3">
      <c r="A101" s="33"/>
      <c r="B101" s="33"/>
      <c r="C101" s="34"/>
      <c r="D101" s="33"/>
      <c r="E101" s="83"/>
      <c r="F101" s="83" t="s">
        <v>76</v>
      </c>
      <c r="H101" s="27">
        <f>H100*100</f>
        <v>6.2730627306273101</v>
      </c>
      <c r="I101" s="27">
        <f>I100*100</f>
        <v>4.7216011193569161</v>
      </c>
      <c r="J101" s="27">
        <f>J100*100</f>
        <v>1.8587360594795543</v>
      </c>
      <c r="K101" s="27">
        <f>K100*100</f>
        <v>14.334461521389329</v>
      </c>
      <c r="L101" s="27">
        <f t="shared" ref="L101:S101" si="37">L100*100</f>
        <v>0.64749780509218979</v>
      </c>
      <c r="M101" s="27">
        <f t="shared" si="37"/>
        <v>20.955882352941181</v>
      </c>
      <c r="N101" s="27">
        <f>N100*100</f>
        <v>10.661764705882348</v>
      </c>
      <c r="O101" s="27">
        <f>O100*100</f>
        <v>15.857127522541859</v>
      </c>
      <c r="P101" s="27">
        <f t="shared" si="37"/>
        <v>1.4032914051768319</v>
      </c>
      <c r="Q101" s="27">
        <f t="shared" si="37"/>
        <v>-84.870848708487088</v>
      </c>
      <c r="R101" s="27">
        <f t="shared" si="37"/>
        <v>14.764173096276417</v>
      </c>
      <c r="S101" s="27">
        <f t="shared" si="37"/>
        <v>16.553866062762861</v>
      </c>
      <c r="T101" s="27">
        <f>T100*100</f>
        <v>42.348754448398573</v>
      </c>
      <c r="U101" s="27">
        <f>U100*100</f>
        <v>6.3342644676590343</v>
      </c>
    </row>
    <row r="102" spans="1:21" x14ac:dyDescent="0.3">
      <c r="A102" s="33"/>
      <c r="B102" s="33"/>
      <c r="C102" s="34"/>
      <c r="D102" s="33"/>
    </row>
    <row r="103" spans="1:21" ht="49.5" x14ac:dyDescent="0.3">
      <c r="A103" s="57" t="s">
        <v>77</v>
      </c>
      <c r="B103" s="57" t="s">
        <v>78</v>
      </c>
      <c r="C103" s="58" t="s">
        <v>34</v>
      </c>
      <c r="D103" s="57" t="s">
        <v>79</v>
      </c>
    </row>
    <row r="104" spans="1:21" x14ac:dyDescent="0.3">
      <c r="A104" s="46"/>
      <c r="B104" s="46"/>
      <c r="C104" s="34"/>
      <c r="D104" s="29" t="s">
        <v>80</v>
      </c>
      <c r="E104" s="84"/>
      <c r="F104" s="85">
        <v>34569358</v>
      </c>
      <c r="G104" s="86">
        <v>88705176</v>
      </c>
      <c r="H104" s="86">
        <v>118834818.90000001</v>
      </c>
      <c r="I104" s="86">
        <v>189400634.07500002</v>
      </c>
      <c r="J104" s="86">
        <v>200255210.12500003</v>
      </c>
      <c r="K104" s="87">
        <v>305790973.38</v>
      </c>
      <c r="L104" s="87">
        <v>368315755.18079996</v>
      </c>
      <c r="M104" s="87">
        <v>406541846.31879997</v>
      </c>
      <c r="N104" s="87">
        <v>500883137.31479996</v>
      </c>
      <c r="O104" s="87">
        <v>573301257.30280018</v>
      </c>
      <c r="P104" s="87">
        <v>630951676.81680012</v>
      </c>
      <c r="Q104" s="87">
        <v>0</v>
      </c>
      <c r="R104" s="87">
        <v>18000000</v>
      </c>
      <c r="S104" s="87">
        <v>20114000.000799999</v>
      </c>
      <c r="T104" s="87">
        <v>20114000.000799999</v>
      </c>
      <c r="U104" s="87">
        <v>24614000.000799999</v>
      </c>
    </row>
    <row r="105" spans="1:21" x14ac:dyDescent="0.3">
      <c r="A105" s="46"/>
      <c r="B105" s="46"/>
      <c r="C105" s="34"/>
      <c r="D105" s="29" t="s">
        <v>81</v>
      </c>
      <c r="E105" s="88"/>
      <c r="F105" s="89">
        <v>712075000</v>
      </c>
      <c r="G105" s="90">
        <v>712075000</v>
      </c>
      <c r="H105" s="90">
        <v>712075000</v>
      </c>
      <c r="I105" s="90">
        <v>712075000</v>
      </c>
      <c r="J105" s="90">
        <v>712075000</v>
      </c>
      <c r="K105" s="86">
        <v>709199000</v>
      </c>
      <c r="L105" s="86">
        <v>709199000</v>
      </c>
      <c r="M105" s="86">
        <v>709199000</v>
      </c>
      <c r="N105" s="86">
        <v>709199000</v>
      </c>
      <c r="O105" s="86">
        <v>709199000</v>
      </c>
      <c r="P105" s="86">
        <v>709199000</v>
      </c>
      <c r="Q105" s="86">
        <v>393686666.65999997</v>
      </c>
      <c r="R105" s="86">
        <v>393686666.65999997</v>
      </c>
      <c r="S105" s="86">
        <v>393686666.65999997</v>
      </c>
      <c r="T105" s="86">
        <v>393686666.65999997</v>
      </c>
      <c r="U105" s="86">
        <v>393686666.65999997</v>
      </c>
    </row>
    <row r="106" spans="1:21" ht="28.5" x14ac:dyDescent="0.3">
      <c r="A106" s="46"/>
      <c r="B106" s="46"/>
      <c r="C106" s="34"/>
      <c r="D106" s="60" t="s">
        <v>82</v>
      </c>
      <c r="E106" s="61"/>
      <c r="F106" s="61">
        <v>4.8500000000000001E-2</v>
      </c>
      <c r="G106" s="38">
        <f t="shared" ref="G106:U106" si="38">G104/G105</f>
        <v>0.12457279921356598</v>
      </c>
      <c r="H106" s="38">
        <f t="shared" si="38"/>
        <v>0.1668852563283362</v>
      </c>
      <c r="I106" s="38">
        <f t="shared" si="38"/>
        <v>0.26598410852087212</v>
      </c>
      <c r="J106" s="38">
        <f>J104/J105</f>
        <v>0.28122769388758212</v>
      </c>
      <c r="K106" s="38">
        <f t="shared" si="38"/>
        <v>0.43117795340940979</v>
      </c>
      <c r="L106" s="38">
        <f t="shared" si="38"/>
        <v>0.51934048860869797</v>
      </c>
      <c r="M106" s="38">
        <f t="shared" si="38"/>
        <v>0.57324086232326887</v>
      </c>
      <c r="N106" s="38">
        <f t="shared" si="38"/>
        <v>0.70626599489677788</v>
      </c>
      <c r="O106" s="38">
        <f t="shared" si="38"/>
        <v>0.80837854721002167</v>
      </c>
      <c r="P106" s="38">
        <f t="shared" si="38"/>
        <v>0.88966802944843426</v>
      </c>
      <c r="Q106" s="38">
        <f t="shared" si="38"/>
        <v>0</v>
      </c>
      <c r="R106" s="38">
        <f t="shared" si="38"/>
        <v>4.5721639883591382E-2</v>
      </c>
      <c r="S106" s="38">
        <f t="shared" si="38"/>
        <v>5.1091392480840797E-2</v>
      </c>
      <c r="T106" s="38">
        <f t="shared" si="38"/>
        <v>5.1091392480840797E-2</v>
      </c>
      <c r="U106" s="38">
        <f t="shared" si="38"/>
        <v>6.2521802451738634E-2</v>
      </c>
    </row>
    <row r="107" spans="1:21" s="7" customFormat="1" x14ac:dyDescent="0.3">
      <c r="A107" s="2"/>
      <c r="B107" s="49"/>
      <c r="C107" s="2"/>
      <c r="D107" s="62" t="s">
        <v>29</v>
      </c>
      <c r="E107" s="40"/>
      <c r="F107" s="40"/>
      <c r="G107" s="21">
        <f>+G106-F106</f>
        <v>7.6072799213565981E-2</v>
      </c>
      <c r="H107" s="21">
        <f t="shared" ref="H107:P107" si="39">+H106-G106</f>
        <v>4.2312457114770219E-2</v>
      </c>
      <c r="I107" s="21">
        <f t="shared" si="39"/>
        <v>9.9098852192535919E-2</v>
      </c>
      <c r="J107" s="21">
        <f t="shared" si="39"/>
        <v>1.524358536671E-2</v>
      </c>
      <c r="K107" s="21">
        <f t="shared" si="39"/>
        <v>0.14995025952182767</v>
      </c>
      <c r="L107" s="21">
        <f t="shared" si="39"/>
        <v>8.8162535199288183E-2</v>
      </c>
      <c r="M107" s="21">
        <f t="shared" si="39"/>
        <v>5.3900373714570904E-2</v>
      </c>
      <c r="N107" s="21">
        <f t="shared" si="39"/>
        <v>0.13302513257350901</v>
      </c>
      <c r="O107" s="21">
        <f t="shared" si="39"/>
        <v>0.10211255231324379</v>
      </c>
      <c r="P107" s="21">
        <f t="shared" si="39"/>
        <v>8.1289482238412591E-2</v>
      </c>
      <c r="Q107" s="21">
        <f>+Q106-P106</f>
        <v>-0.88966802944843426</v>
      </c>
      <c r="R107" s="21">
        <f>+R106-Q106</f>
        <v>4.5721639883591382E-2</v>
      </c>
      <c r="S107" s="21">
        <f>+S106-R106</f>
        <v>5.3697525972494151E-3</v>
      </c>
      <c r="T107" s="21">
        <f>+T106-S106</f>
        <v>0</v>
      </c>
      <c r="U107" s="21">
        <f>+U106-T106</f>
        <v>1.1430409970897837E-2</v>
      </c>
    </row>
    <row r="108" spans="1:21" s="7" customFormat="1" x14ac:dyDescent="0.3">
      <c r="A108" s="2"/>
      <c r="B108" s="49"/>
      <c r="C108" s="2"/>
      <c r="D108" s="2"/>
      <c r="E108" s="83"/>
      <c r="F108" s="83" t="s">
        <v>76</v>
      </c>
      <c r="H108" s="91">
        <f>H107*100</f>
        <v>4.2312457114770217</v>
      </c>
      <c r="I108" s="91">
        <f>I107*100</f>
        <v>9.9098852192535922</v>
      </c>
      <c r="J108" s="91">
        <f>J107*100</f>
        <v>1.524358536671</v>
      </c>
      <c r="K108" s="91">
        <f>K107*100</f>
        <v>14.995025952182766</v>
      </c>
      <c r="L108" s="91">
        <f t="shared" ref="L108:U108" si="40">L107*100</f>
        <v>8.8162535199288179</v>
      </c>
      <c r="M108" s="91">
        <f t="shared" si="40"/>
        <v>5.3900373714570904</v>
      </c>
      <c r="N108" s="91">
        <f t="shared" si="40"/>
        <v>13.302513257350901</v>
      </c>
      <c r="O108" s="91">
        <f t="shared" si="40"/>
        <v>10.21125523132438</v>
      </c>
      <c r="P108" s="91">
        <f t="shared" si="40"/>
        <v>8.1289482238412596</v>
      </c>
      <c r="Q108" s="91">
        <f t="shared" si="40"/>
        <v>-88.966802944843423</v>
      </c>
      <c r="R108" s="91">
        <f t="shared" si="40"/>
        <v>4.5721639883591383</v>
      </c>
      <c r="S108" s="91">
        <f t="shared" si="40"/>
        <v>0.53697525972494153</v>
      </c>
      <c r="T108" s="91">
        <f t="shared" si="40"/>
        <v>0</v>
      </c>
      <c r="U108" s="91">
        <f t="shared" si="40"/>
        <v>1.1430409970897837</v>
      </c>
    </row>
    <row r="114" spans="4:21" ht="75" x14ac:dyDescent="0.3">
      <c r="D114" s="92"/>
      <c r="E114" s="93" t="s">
        <v>83</v>
      </c>
      <c r="F114" s="94" t="s">
        <v>84</v>
      </c>
      <c r="G114" s="95" t="s">
        <v>85</v>
      </c>
      <c r="H114" s="575" t="s">
        <v>86</v>
      </c>
      <c r="I114" s="576"/>
      <c r="J114" s="576"/>
      <c r="K114" s="576"/>
      <c r="L114" s="577"/>
      <c r="M114" s="94" t="s">
        <v>87</v>
      </c>
      <c r="N114" s="95" t="s">
        <v>88</v>
      </c>
      <c r="O114" s="96"/>
      <c r="P114" s="96"/>
      <c r="Q114" s="97"/>
      <c r="R114" s="98"/>
      <c r="S114" s="98"/>
      <c r="T114" s="98"/>
      <c r="U114" s="98"/>
    </row>
    <row r="115" spans="4:21" hidden="1" x14ac:dyDescent="0.3">
      <c r="D115" s="99">
        <v>44562</v>
      </c>
      <c r="E115" s="100">
        <v>260</v>
      </c>
      <c r="F115" s="100">
        <v>1</v>
      </c>
      <c r="G115" s="100">
        <v>3</v>
      </c>
      <c r="H115" s="101"/>
      <c r="I115" s="101"/>
      <c r="J115" s="101"/>
      <c r="K115" s="101"/>
      <c r="L115" s="101"/>
      <c r="M115" s="100">
        <v>3</v>
      </c>
      <c r="N115" s="100">
        <v>3</v>
      </c>
      <c r="O115" s="101"/>
      <c r="P115" s="101"/>
      <c r="Q115" s="102"/>
      <c r="R115" s="103"/>
      <c r="S115" s="103"/>
      <c r="T115" s="103"/>
      <c r="U115" s="103"/>
    </row>
    <row r="116" spans="4:21" hidden="1" x14ac:dyDescent="0.3">
      <c r="D116" s="99">
        <v>44593</v>
      </c>
      <c r="E116" s="100">
        <v>256</v>
      </c>
      <c r="F116" s="100">
        <v>0</v>
      </c>
      <c r="G116" s="100">
        <v>4</v>
      </c>
      <c r="H116" s="101"/>
      <c r="I116" s="101"/>
      <c r="J116" s="101"/>
      <c r="K116" s="101"/>
      <c r="L116" s="101"/>
      <c r="M116" s="100">
        <v>3</v>
      </c>
      <c r="N116" s="100">
        <v>4</v>
      </c>
      <c r="O116" s="101"/>
      <c r="P116" s="101"/>
      <c r="Q116" s="102"/>
      <c r="R116" s="103"/>
      <c r="S116" s="103"/>
      <c r="T116" s="103"/>
      <c r="U116" s="103"/>
    </row>
    <row r="117" spans="4:21" hidden="1" x14ac:dyDescent="0.3">
      <c r="D117" s="99">
        <v>44621</v>
      </c>
      <c r="E117" s="100">
        <v>251</v>
      </c>
      <c r="F117" s="100">
        <v>1</v>
      </c>
      <c r="G117" s="100">
        <v>1</v>
      </c>
      <c r="H117" s="101"/>
      <c r="I117" s="101"/>
      <c r="J117" s="101"/>
      <c r="K117" s="101"/>
      <c r="L117" s="101"/>
      <c r="M117" s="100">
        <v>1</v>
      </c>
      <c r="N117" s="100">
        <v>1</v>
      </c>
      <c r="O117" s="101"/>
      <c r="P117" s="101"/>
      <c r="Q117" s="102"/>
      <c r="R117" s="103"/>
      <c r="S117" s="103"/>
      <c r="T117" s="103"/>
      <c r="U117" s="103"/>
    </row>
    <row r="118" spans="4:21" hidden="1" x14ac:dyDescent="0.3">
      <c r="D118" s="99">
        <v>44652</v>
      </c>
      <c r="E118" s="100">
        <v>251</v>
      </c>
      <c r="F118" s="100">
        <v>2</v>
      </c>
      <c r="G118" s="100">
        <v>5</v>
      </c>
      <c r="H118" s="101"/>
      <c r="I118" s="101"/>
      <c r="J118" s="101"/>
      <c r="K118" s="101"/>
      <c r="L118" s="101"/>
      <c r="M118" s="100">
        <v>5</v>
      </c>
      <c r="N118" s="100">
        <v>5</v>
      </c>
      <c r="O118" s="101"/>
      <c r="P118" s="101"/>
      <c r="Q118" s="102"/>
      <c r="R118" s="103"/>
      <c r="S118" s="103"/>
      <c r="T118" s="103"/>
      <c r="U118" s="103"/>
    </row>
    <row r="119" spans="4:21" hidden="1" x14ac:dyDescent="0.3">
      <c r="D119" s="99">
        <v>44682</v>
      </c>
      <c r="E119" s="100">
        <v>248</v>
      </c>
      <c r="F119" s="100">
        <v>1</v>
      </c>
      <c r="G119" s="100">
        <v>2</v>
      </c>
      <c r="H119" s="101"/>
      <c r="I119" s="101"/>
      <c r="J119" s="101"/>
      <c r="K119" s="101"/>
      <c r="L119" s="101"/>
      <c r="M119" s="100">
        <v>2</v>
      </c>
      <c r="N119" s="100">
        <v>2</v>
      </c>
      <c r="O119" s="101"/>
      <c r="P119" s="101"/>
      <c r="Q119" s="102"/>
      <c r="R119" s="103"/>
      <c r="S119" s="103"/>
      <c r="T119" s="103"/>
      <c r="U119" s="103"/>
    </row>
    <row r="120" spans="4:21" hidden="1" x14ac:dyDescent="0.3">
      <c r="D120" s="99">
        <v>44713</v>
      </c>
      <c r="E120" s="100">
        <v>247</v>
      </c>
      <c r="F120" s="100">
        <v>5</v>
      </c>
      <c r="G120" s="100">
        <v>1</v>
      </c>
      <c r="H120" s="101"/>
      <c r="I120" s="101"/>
      <c r="J120" s="101"/>
      <c r="K120" s="101"/>
      <c r="L120" s="101"/>
      <c r="M120" s="100">
        <v>1</v>
      </c>
      <c r="N120" s="100">
        <v>1</v>
      </c>
      <c r="O120" s="101"/>
      <c r="P120" s="101"/>
      <c r="Q120" s="102"/>
      <c r="R120" s="103"/>
      <c r="S120" s="103"/>
      <c r="T120" s="103"/>
      <c r="U120" s="103"/>
    </row>
    <row r="121" spans="4:21" hidden="1" x14ac:dyDescent="0.3">
      <c r="D121" s="99">
        <v>44743</v>
      </c>
      <c r="E121" s="100">
        <v>251</v>
      </c>
      <c r="F121" s="100">
        <v>5</v>
      </c>
      <c r="G121" s="100">
        <v>0</v>
      </c>
      <c r="H121" s="101"/>
      <c r="I121" s="101"/>
      <c r="J121" s="101"/>
      <c r="K121" s="101"/>
      <c r="L121" s="101"/>
      <c r="M121" s="100">
        <v>0</v>
      </c>
      <c r="N121" s="100">
        <v>0</v>
      </c>
      <c r="O121" s="101"/>
      <c r="P121" s="101"/>
      <c r="Q121" s="102"/>
      <c r="R121" s="103"/>
      <c r="S121" s="103"/>
      <c r="T121" s="103"/>
      <c r="U121" s="103"/>
    </row>
    <row r="122" spans="4:21" hidden="1" x14ac:dyDescent="0.3">
      <c r="D122" s="99">
        <v>44774</v>
      </c>
      <c r="E122" s="100">
        <v>257</v>
      </c>
      <c r="F122" s="100">
        <v>2</v>
      </c>
      <c r="G122" s="100">
        <v>3</v>
      </c>
      <c r="H122" s="101"/>
      <c r="I122" s="101"/>
      <c r="J122" s="101"/>
      <c r="K122" s="101"/>
      <c r="L122" s="101"/>
      <c r="M122" s="100">
        <v>3</v>
      </c>
      <c r="N122" s="100">
        <v>3</v>
      </c>
      <c r="O122" s="101"/>
      <c r="P122" s="101"/>
      <c r="Q122" s="102"/>
      <c r="R122" s="103"/>
      <c r="S122" s="103"/>
      <c r="T122" s="103"/>
      <c r="U122" s="103"/>
    </row>
    <row r="123" spans="4:21" hidden="1" x14ac:dyDescent="0.3">
      <c r="D123" s="99">
        <v>44805</v>
      </c>
      <c r="E123" s="100">
        <v>256</v>
      </c>
      <c r="F123" s="100">
        <v>2</v>
      </c>
      <c r="G123" s="100">
        <v>2</v>
      </c>
      <c r="H123" s="101"/>
      <c r="I123" s="101"/>
      <c r="J123" s="101"/>
      <c r="K123" s="101"/>
      <c r="L123" s="101"/>
      <c r="M123" s="100">
        <v>1</v>
      </c>
      <c r="N123" s="100">
        <v>2</v>
      </c>
      <c r="O123" s="101"/>
      <c r="P123" s="101"/>
      <c r="Q123" s="102"/>
      <c r="R123" s="103"/>
      <c r="S123" s="103"/>
      <c r="T123" s="103"/>
      <c r="U123" s="103"/>
    </row>
    <row r="124" spans="4:21" hidden="1" x14ac:dyDescent="0.3">
      <c r="D124" s="99">
        <v>44835</v>
      </c>
      <c r="E124" s="100">
        <v>256</v>
      </c>
      <c r="F124" s="100">
        <v>0</v>
      </c>
      <c r="G124" s="100">
        <v>1</v>
      </c>
      <c r="H124" s="101"/>
      <c r="I124" s="101"/>
      <c r="J124" s="101"/>
      <c r="K124" s="101"/>
      <c r="L124" s="101"/>
      <c r="M124" s="100">
        <v>2</v>
      </c>
      <c r="N124" s="100">
        <v>1</v>
      </c>
      <c r="O124" s="101"/>
      <c r="P124" s="101"/>
      <c r="Q124" s="102"/>
      <c r="R124" s="103"/>
      <c r="S124" s="103"/>
      <c r="T124" s="103"/>
      <c r="U124" s="103"/>
    </row>
    <row r="125" spans="4:21" hidden="1" x14ac:dyDescent="0.3">
      <c r="D125" s="99">
        <v>44866</v>
      </c>
      <c r="E125" s="100">
        <v>254</v>
      </c>
      <c r="F125" s="100">
        <v>2</v>
      </c>
      <c r="G125" s="100">
        <v>0</v>
      </c>
      <c r="H125" s="101"/>
      <c r="I125" s="101"/>
      <c r="J125" s="101"/>
      <c r="K125" s="101" t="s">
        <v>89</v>
      </c>
      <c r="L125" s="104" t="s">
        <v>90</v>
      </c>
      <c r="M125" s="100">
        <v>0</v>
      </c>
      <c r="N125" s="100">
        <v>0</v>
      </c>
      <c r="O125" s="101"/>
      <c r="P125" s="101"/>
      <c r="Q125" s="102"/>
      <c r="R125" s="103"/>
      <c r="S125" s="103" t="s">
        <v>91</v>
      </c>
      <c r="T125" s="103"/>
      <c r="U125" s="103"/>
    </row>
    <row r="126" spans="4:21" hidden="1" x14ac:dyDescent="0.3">
      <c r="D126" s="99">
        <v>44896</v>
      </c>
      <c r="E126" s="100">
        <v>256</v>
      </c>
      <c r="F126" s="100">
        <v>2</v>
      </c>
      <c r="G126" s="100">
        <v>0</v>
      </c>
      <c r="H126" s="100">
        <v>23</v>
      </c>
      <c r="I126" s="100">
        <v>22</v>
      </c>
      <c r="J126" s="105">
        <v>8.6538461538461536E-2</v>
      </c>
      <c r="K126" s="106"/>
      <c r="L126" s="107"/>
      <c r="M126" s="100">
        <v>0</v>
      </c>
      <c r="N126" s="100">
        <f>G126</f>
        <v>0</v>
      </c>
      <c r="O126" s="100">
        <v>22</v>
      </c>
      <c r="P126" s="100">
        <v>21</v>
      </c>
      <c r="Q126" s="108">
        <v>0.95454545454545459</v>
      </c>
      <c r="R126" s="109"/>
      <c r="S126" s="109"/>
      <c r="T126" s="109"/>
      <c r="U126" s="109"/>
    </row>
    <row r="127" spans="4:21" hidden="1" x14ac:dyDescent="0.3">
      <c r="D127" s="99">
        <v>44927</v>
      </c>
      <c r="E127" s="100">
        <v>254</v>
      </c>
      <c r="F127" s="110">
        <v>3</v>
      </c>
      <c r="G127" s="100">
        <v>0</v>
      </c>
      <c r="H127" s="100">
        <f>SUM(F116:F127)</f>
        <v>25</v>
      </c>
      <c r="I127" s="100">
        <f t="shared" ref="I127:I128" si="41">SUM(G116:G127)</f>
        <v>19</v>
      </c>
      <c r="J127" s="108">
        <f t="shared" ref="J127:J128" si="42">((H127+I127)/2)/E116</f>
        <v>8.59375E-2</v>
      </c>
      <c r="K127" s="111">
        <f t="shared" ref="K127:K155" si="43">+J127-J126</f>
        <v>-6.0096153846153633E-4</v>
      </c>
      <c r="L127" s="112">
        <f>+K127*10000</f>
        <v>-6.0096153846153637</v>
      </c>
      <c r="M127" s="100">
        <v>0</v>
      </c>
      <c r="N127" s="100">
        <f t="shared" ref="N127:N155" si="44">G127</f>
        <v>0</v>
      </c>
      <c r="O127" s="100">
        <f>SUM(N116:N127)</f>
        <v>19</v>
      </c>
      <c r="P127" s="100">
        <f t="shared" ref="P127:P150" si="45">SUM(M116:M127)</f>
        <v>18</v>
      </c>
      <c r="Q127" s="108">
        <f t="shared" ref="Q127:Q153" si="46">+P127/O127</f>
        <v>0.94736842105263153</v>
      </c>
      <c r="R127" s="108"/>
      <c r="S127" s="108">
        <f>+Q127-Q126</f>
        <v>-7.1770334928230595E-3</v>
      </c>
      <c r="T127" s="108"/>
      <c r="U127" s="108"/>
    </row>
    <row r="128" spans="4:21" hidden="1" x14ac:dyDescent="0.3">
      <c r="D128" s="99">
        <v>44958</v>
      </c>
      <c r="E128" s="100">
        <v>257</v>
      </c>
      <c r="F128" s="110">
        <v>1</v>
      </c>
      <c r="G128" s="100">
        <v>1</v>
      </c>
      <c r="H128" s="100">
        <f t="shared" ref="H128:I141" si="47">SUM(F117:F128)</f>
        <v>26</v>
      </c>
      <c r="I128" s="100">
        <f t="shared" si="41"/>
        <v>16</v>
      </c>
      <c r="J128" s="108">
        <f t="shared" si="42"/>
        <v>8.3665338645418322E-2</v>
      </c>
      <c r="K128" s="111">
        <f t="shared" si="43"/>
        <v>-2.2721613545816782E-3</v>
      </c>
      <c r="L128" s="112">
        <f t="shared" ref="L128:L155" si="48">+K128*10000</f>
        <v>-22.721613545816783</v>
      </c>
      <c r="M128" s="100">
        <v>1</v>
      </c>
      <c r="N128" s="100">
        <f t="shared" si="44"/>
        <v>1</v>
      </c>
      <c r="O128" s="100">
        <f t="shared" ref="O128:O133" si="49">SUM(N117:N128)</f>
        <v>16</v>
      </c>
      <c r="P128" s="100">
        <f t="shared" si="45"/>
        <v>16</v>
      </c>
      <c r="Q128" s="108">
        <f t="shared" si="46"/>
        <v>1</v>
      </c>
      <c r="R128" s="108"/>
      <c r="S128" s="108">
        <f t="shared" ref="S128:S152" si="50">+Q128-Q127</f>
        <v>5.2631578947368474E-2</v>
      </c>
      <c r="T128" s="108"/>
      <c r="U128" s="108"/>
    </row>
    <row r="129" spans="4:21" hidden="1" x14ac:dyDescent="0.3">
      <c r="D129" s="99">
        <v>44986</v>
      </c>
      <c r="E129" s="100">
        <v>256</v>
      </c>
      <c r="F129" s="110">
        <v>1</v>
      </c>
      <c r="G129" s="100">
        <v>1</v>
      </c>
      <c r="H129" s="100">
        <f t="shared" si="47"/>
        <v>26</v>
      </c>
      <c r="I129" s="100">
        <f t="shared" si="47"/>
        <v>16</v>
      </c>
      <c r="J129" s="108">
        <f>((H129+I129)/2)/E118</f>
        <v>8.3665338645418322E-2</v>
      </c>
      <c r="K129" s="111">
        <f t="shared" si="43"/>
        <v>0</v>
      </c>
      <c r="L129" s="112">
        <f t="shared" si="48"/>
        <v>0</v>
      </c>
      <c r="M129" s="100">
        <v>1</v>
      </c>
      <c r="N129" s="100">
        <f t="shared" si="44"/>
        <v>1</v>
      </c>
      <c r="O129" s="100">
        <f t="shared" si="49"/>
        <v>16</v>
      </c>
      <c r="P129" s="100">
        <f t="shared" si="45"/>
        <v>16</v>
      </c>
      <c r="Q129" s="108">
        <f t="shared" si="46"/>
        <v>1</v>
      </c>
      <c r="R129" s="108"/>
      <c r="S129" s="108">
        <f t="shared" si="50"/>
        <v>0</v>
      </c>
      <c r="T129" s="108"/>
      <c r="U129" s="108"/>
    </row>
    <row r="130" spans="4:21" hidden="1" x14ac:dyDescent="0.3">
      <c r="D130" s="99">
        <v>45017</v>
      </c>
      <c r="E130" s="100">
        <v>259</v>
      </c>
      <c r="F130" s="110">
        <v>0</v>
      </c>
      <c r="G130" s="100">
        <v>1</v>
      </c>
      <c r="H130" s="100">
        <f t="shared" si="47"/>
        <v>24</v>
      </c>
      <c r="I130" s="100">
        <f t="shared" si="47"/>
        <v>12</v>
      </c>
      <c r="J130" s="108">
        <f>((H130+I130)/2)/E119</f>
        <v>7.2580645161290328E-2</v>
      </c>
      <c r="K130" s="111">
        <f t="shared" si="43"/>
        <v>-1.1084693484127994E-2</v>
      </c>
      <c r="L130" s="112">
        <f t="shared" si="48"/>
        <v>-110.84693484127995</v>
      </c>
      <c r="M130" s="100">
        <v>0</v>
      </c>
      <c r="N130" s="100">
        <f t="shared" si="44"/>
        <v>1</v>
      </c>
      <c r="O130" s="100">
        <f t="shared" si="49"/>
        <v>12</v>
      </c>
      <c r="P130" s="100">
        <f t="shared" si="45"/>
        <v>11</v>
      </c>
      <c r="Q130" s="108">
        <f t="shared" si="46"/>
        <v>0.91666666666666663</v>
      </c>
      <c r="R130" s="108"/>
      <c r="S130" s="108">
        <f t="shared" si="50"/>
        <v>-8.333333333333337E-2</v>
      </c>
      <c r="T130" s="108"/>
      <c r="U130" s="108"/>
    </row>
    <row r="131" spans="4:21" hidden="1" x14ac:dyDescent="0.3">
      <c r="D131" s="99">
        <v>45047</v>
      </c>
      <c r="E131" s="100">
        <v>258</v>
      </c>
      <c r="F131" s="110">
        <v>2</v>
      </c>
      <c r="G131" s="100">
        <v>0</v>
      </c>
      <c r="H131" s="100">
        <f t="shared" si="47"/>
        <v>25</v>
      </c>
      <c r="I131" s="100">
        <f t="shared" si="47"/>
        <v>10</v>
      </c>
      <c r="J131" s="108">
        <f>((H131+I131)/2)/E120</f>
        <v>7.08502024291498E-2</v>
      </c>
      <c r="K131" s="111">
        <f t="shared" si="43"/>
        <v>-1.7304427321405275E-3</v>
      </c>
      <c r="L131" s="112">
        <f t="shared" si="48"/>
        <v>-17.304427321405274</v>
      </c>
      <c r="M131" s="100">
        <v>0</v>
      </c>
      <c r="N131" s="100">
        <f t="shared" si="44"/>
        <v>0</v>
      </c>
      <c r="O131" s="100">
        <f t="shared" si="49"/>
        <v>10</v>
      </c>
      <c r="P131" s="100">
        <f t="shared" si="45"/>
        <v>9</v>
      </c>
      <c r="Q131" s="108">
        <f t="shared" si="46"/>
        <v>0.9</v>
      </c>
      <c r="R131" s="108"/>
      <c r="S131" s="108">
        <f t="shared" si="50"/>
        <v>-1.6666666666666607E-2</v>
      </c>
      <c r="T131" s="108"/>
      <c r="U131" s="108"/>
    </row>
    <row r="132" spans="4:21" hidden="1" x14ac:dyDescent="0.3">
      <c r="D132" s="99">
        <v>45078</v>
      </c>
      <c r="E132" s="100">
        <v>259</v>
      </c>
      <c r="F132" s="110">
        <v>4</v>
      </c>
      <c r="G132" s="100">
        <v>2</v>
      </c>
      <c r="H132" s="100">
        <f t="shared" ref="H132" si="51">SUM(F121:F132)</f>
        <v>24</v>
      </c>
      <c r="I132" s="100">
        <f t="shared" si="47"/>
        <v>11</v>
      </c>
      <c r="J132" s="108">
        <f>((H132+I132)/2)/E121</f>
        <v>6.9721115537848599E-2</v>
      </c>
      <c r="K132" s="111">
        <f t="shared" si="43"/>
        <v>-1.1290868913012009E-3</v>
      </c>
      <c r="L132" s="112">
        <f t="shared" si="48"/>
        <v>-11.290868913012009</v>
      </c>
      <c r="M132" s="100">
        <v>2</v>
      </c>
      <c r="N132" s="100">
        <f t="shared" si="44"/>
        <v>2</v>
      </c>
      <c r="O132" s="100">
        <f t="shared" si="49"/>
        <v>11</v>
      </c>
      <c r="P132" s="100">
        <f t="shared" si="45"/>
        <v>10</v>
      </c>
      <c r="Q132" s="108">
        <f t="shared" si="46"/>
        <v>0.90909090909090906</v>
      </c>
      <c r="R132" s="108"/>
      <c r="S132" s="108">
        <f t="shared" si="50"/>
        <v>9.0909090909090384E-3</v>
      </c>
      <c r="T132" s="108"/>
      <c r="U132" s="108"/>
    </row>
    <row r="133" spans="4:21" hidden="1" x14ac:dyDescent="0.3">
      <c r="D133" s="99">
        <v>45108</v>
      </c>
      <c r="E133" s="100">
        <v>260</v>
      </c>
      <c r="F133" s="110">
        <v>1</v>
      </c>
      <c r="G133" s="100">
        <v>0</v>
      </c>
      <c r="H133" s="100">
        <f>SUM(F122:F133)</f>
        <v>20</v>
      </c>
      <c r="I133" s="100">
        <f t="shared" si="47"/>
        <v>11</v>
      </c>
      <c r="J133" s="108">
        <f>((H133+I133)/2)/E122</f>
        <v>6.0311284046692608E-2</v>
      </c>
      <c r="K133" s="111">
        <f t="shared" si="43"/>
        <v>-9.4098314911559913E-3</v>
      </c>
      <c r="L133" s="112">
        <f t="shared" si="48"/>
        <v>-94.09831491155991</v>
      </c>
      <c r="M133" s="100">
        <v>0</v>
      </c>
      <c r="N133" s="100">
        <f t="shared" si="44"/>
        <v>0</v>
      </c>
      <c r="O133" s="100">
        <f t="shared" si="49"/>
        <v>11</v>
      </c>
      <c r="P133" s="100">
        <f t="shared" si="45"/>
        <v>10</v>
      </c>
      <c r="Q133" s="108">
        <f t="shared" si="46"/>
        <v>0.90909090909090906</v>
      </c>
      <c r="R133" s="108"/>
      <c r="S133" s="108">
        <f t="shared" si="50"/>
        <v>0</v>
      </c>
      <c r="T133" s="108"/>
      <c r="U133" s="108"/>
    </row>
    <row r="134" spans="4:21" hidden="1" x14ac:dyDescent="0.3">
      <c r="D134" s="99">
        <v>45139</v>
      </c>
      <c r="E134" s="100">
        <v>259</v>
      </c>
      <c r="F134" s="110">
        <v>3</v>
      </c>
      <c r="G134" s="100">
        <v>3</v>
      </c>
      <c r="H134" s="100">
        <f>SUM(F123:F134)</f>
        <v>21</v>
      </c>
      <c r="I134" s="100">
        <f t="shared" si="47"/>
        <v>11</v>
      </c>
      <c r="J134" s="108">
        <f t="shared" ref="J134:J140" si="52">((H134+I134)/2)/E123</f>
        <v>6.25E-2</v>
      </c>
      <c r="K134" s="111">
        <f t="shared" si="43"/>
        <v>2.1887159533073922E-3</v>
      </c>
      <c r="L134" s="112">
        <f t="shared" si="48"/>
        <v>21.887159533073923</v>
      </c>
      <c r="M134" s="100">
        <v>3</v>
      </c>
      <c r="N134" s="100">
        <f t="shared" si="44"/>
        <v>3</v>
      </c>
      <c r="O134" s="100">
        <f t="shared" ref="O134:O145" si="53">SUM(N123:N134)</f>
        <v>11</v>
      </c>
      <c r="P134" s="100">
        <f t="shared" si="45"/>
        <v>10</v>
      </c>
      <c r="Q134" s="108">
        <f t="shared" si="46"/>
        <v>0.90909090909090906</v>
      </c>
      <c r="R134" s="108"/>
      <c r="S134" s="108">
        <f t="shared" si="50"/>
        <v>0</v>
      </c>
      <c r="T134" s="108"/>
      <c r="U134" s="108"/>
    </row>
    <row r="135" spans="4:21" hidden="1" x14ac:dyDescent="0.3">
      <c r="D135" s="99">
        <v>45170</v>
      </c>
      <c r="E135" s="100">
        <v>259</v>
      </c>
      <c r="F135" s="110">
        <v>4</v>
      </c>
      <c r="G135" s="100">
        <v>4</v>
      </c>
      <c r="H135" s="100">
        <f t="shared" ref="H135:H141" si="54">SUM(F124:F135)</f>
        <v>23</v>
      </c>
      <c r="I135" s="100">
        <f t="shared" si="47"/>
        <v>13</v>
      </c>
      <c r="J135" s="108">
        <f>((H135+I135)/2)/E124</f>
        <v>7.03125E-2</v>
      </c>
      <c r="K135" s="111">
        <f t="shared" si="43"/>
        <v>7.8125E-3</v>
      </c>
      <c r="L135" s="112">
        <f t="shared" si="48"/>
        <v>78.125</v>
      </c>
      <c r="M135" s="100">
        <v>2</v>
      </c>
      <c r="N135" s="100">
        <f t="shared" si="44"/>
        <v>4</v>
      </c>
      <c r="O135" s="100">
        <f t="shared" si="53"/>
        <v>13</v>
      </c>
      <c r="P135" s="100">
        <f t="shared" si="45"/>
        <v>11</v>
      </c>
      <c r="Q135" s="108">
        <f t="shared" si="46"/>
        <v>0.84615384615384615</v>
      </c>
      <c r="R135" s="108"/>
      <c r="S135" s="108">
        <f t="shared" si="50"/>
        <v>-6.2937062937062915E-2</v>
      </c>
      <c r="T135" s="108"/>
      <c r="U135" s="108"/>
    </row>
    <row r="136" spans="4:21" hidden="1" x14ac:dyDescent="0.3">
      <c r="D136" s="99">
        <v>45200</v>
      </c>
      <c r="E136" s="100">
        <v>261</v>
      </c>
      <c r="F136" s="110">
        <v>2</v>
      </c>
      <c r="G136" s="100">
        <v>0</v>
      </c>
      <c r="H136" s="100">
        <f t="shared" si="54"/>
        <v>25</v>
      </c>
      <c r="I136" s="100">
        <f t="shared" si="47"/>
        <v>12</v>
      </c>
      <c r="J136" s="108">
        <f t="shared" si="52"/>
        <v>7.2834645669291334E-2</v>
      </c>
      <c r="K136" s="111">
        <f t="shared" si="43"/>
        <v>2.5221456692913341E-3</v>
      </c>
      <c r="L136" s="112">
        <f t="shared" si="48"/>
        <v>25.221456692913343</v>
      </c>
      <c r="M136" s="100">
        <v>0</v>
      </c>
      <c r="N136" s="100">
        <f t="shared" si="44"/>
        <v>0</v>
      </c>
      <c r="O136" s="100">
        <f t="shared" si="53"/>
        <v>12</v>
      </c>
      <c r="P136" s="100">
        <f t="shared" si="45"/>
        <v>9</v>
      </c>
      <c r="Q136" s="108">
        <f t="shared" si="46"/>
        <v>0.75</v>
      </c>
      <c r="R136" s="108"/>
      <c r="S136" s="108">
        <f t="shared" si="50"/>
        <v>-9.6153846153846145E-2</v>
      </c>
      <c r="T136" s="108"/>
      <c r="U136" s="108"/>
    </row>
    <row r="137" spans="4:21" hidden="1" x14ac:dyDescent="0.3">
      <c r="D137" s="99">
        <v>45231</v>
      </c>
      <c r="E137" s="100">
        <v>265</v>
      </c>
      <c r="F137" s="110">
        <v>1</v>
      </c>
      <c r="G137" s="100">
        <v>0</v>
      </c>
      <c r="H137" s="100">
        <f>SUM(F126:F137)</f>
        <v>24</v>
      </c>
      <c r="I137" s="100">
        <f>SUM(G126:G137)</f>
        <v>12</v>
      </c>
      <c r="J137" s="108">
        <f>((H137+I137)/2)/E126</f>
        <v>7.03125E-2</v>
      </c>
      <c r="K137" s="111">
        <f t="shared" si="43"/>
        <v>-2.5221456692913341E-3</v>
      </c>
      <c r="L137" s="112">
        <f t="shared" si="48"/>
        <v>-25.221456692913343</v>
      </c>
      <c r="M137" s="100">
        <v>0</v>
      </c>
      <c r="N137" s="100">
        <f t="shared" si="44"/>
        <v>0</v>
      </c>
      <c r="O137" s="100">
        <f t="shared" si="53"/>
        <v>12</v>
      </c>
      <c r="P137" s="100">
        <f t="shared" si="45"/>
        <v>9</v>
      </c>
      <c r="Q137" s="108">
        <f t="shared" si="46"/>
        <v>0.75</v>
      </c>
      <c r="R137" s="108"/>
      <c r="S137" s="108">
        <f t="shared" si="50"/>
        <v>0</v>
      </c>
      <c r="T137" s="108"/>
      <c r="U137" s="108"/>
    </row>
    <row r="138" spans="4:21" hidden="1" x14ac:dyDescent="0.3">
      <c r="D138" s="99">
        <v>45261</v>
      </c>
      <c r="E138" s="100">
        <v>265</v>
      </c>
      <c r="F138" s="110">
        <v>1</v>
      </c>
      <c r="G138" s="100">
        <v>1</v>
      </c>
      <c r="H138" s="100">
        <f t="shared" si="54"/>
        <v>23</v>
      </c>
      <c r="I138" s="100">
        <f t="shared" si="47"/>
        <v>13</v>
      </c>
      <c r="J138" s="105">
        <f t="shared" si="52"/>
        <v>7.0866141732283464E-2</v>
      </c>
      <c r="K138" s="111">
        <f t="shared" si="43"/>
        <v>5.5364173228346358E-4</v>
      </c>
      <c r="L138" s="112">
        <f t="shared" si="48"/>
        <v>5.5364173228346356</v>
      </c>
      <c r="M138" s="100">
        <v>1</v>
      </c>
      <c r="N138" s="100">
        <f t="shared" si="44"/>
        <v>1</v>
      </c>
      <c r="O138" s="100">
        <f t="shared" si="53"/>
        <v>13</v>
      </c>
      <c r="P138" s="100">
        <f t="shared" si="45"/>
        <v>10</v>
      </c>
      <c r="Q138" s="108">
        <f t="shared" si="46"/>
        <v>0.76923076923076927</v>
      </c>
      <c r="R138" s="108"/>
      <c r="S138" s="108">
        <f t="shared" si="50"/>
        <v>1.9230769230769273E-2</v>
      </c>
      <c r="T138" s="108"/>
      <c r="U138" s="108"/>
    </row>
    <row r="139" spans="4:21" hidden="1" x14ac:dyDescent="0.3">
      <c r="D139" s="99">
        <v>45292</v>
      </c>
      <c r="E139" s="100">
        <v>263</v>
      </c>
      <c r="F139" s="110">
        <v>1</v>
      </c>
      <c r="G139" s="100">
        <v>0</v>
      </c>
      <c r="H139" s="100">
        <f t="shared" si="54"/>
        <v>21</v>
      </c>
      <c r="I139" s="100">
        <f t="shared" si="47"/>
        <v>13</v>
      </c>
      <c r="J139" s="105">
        <f t="shared" si="52"/>
        <v>6.6147859922178989E-2</v>
      </c>
      <c r="K139" s="111">
        <f t="shared" si="43"/>
        <v>-4.7182818101044743E-3</v>
      </c>
      <c r="L139" s="112">
        <f t="shared" si="48"/>
        <v>-47.182818101044745</v>
      </c>
      <c r="M139" s="100">
        <v>0</v>
      </c>
      <c r="N139" s="100">
        <f t="shared" si="44"/>
        <v>0</v>
      </c>
      <c r="O139" s="100">
        <f t="shared" si="53"/>
        <v>13</v>
      </c>
      <c r="P139" s="100">
        <f t="shared" si="45"/>
        <v>10</v>
      </c>
      <c r="Q139" s="108">
        <f t="shared" si="46"/>
        <v>0.76923076923076927</v>
      </c>
      <c r="R139" s="108"/>
      <c r="S139" s="108">
        <f t="shared" si="50"/>
        <v>0</v>
      </c>
      <c r="T139" s="108"/>
      <c r="U139" s="108"/>
    </row>
    <row r="140" spans="4:21" hidden="1" x14ac:dyDescent="0.3">
      <c r="D140" s="99">
        <v>45323</v>
      </c>
      <c r="E140" s="100">
        <f>272-3</f>
        <v>269</v>
      </c>
      <c r="F140" s="110">
        <v>2</v>
      </c>
      <c r="G140" s="113">
        <v>2</v>
      </c>
      <c r="H140" s="100">
        <f t="shared" si="54"/>
        <v>22</v>
      </c>
      <c r="I140" s="100">
        <f t="shared" si="47"/>
        <v>14</v>
      </c>
      <c r="J140" s="105">
        <f t="shared" si="52"/>
        <v>7.03125E-2</v>
      </c>
      <c r="K140" s="111">
        <f t="shared" si="43"/>
        <v>4.1646400778210108E-3</v>
      </c>
      <c r="L140" s="112">
        <f t="shared" si="48"/>
        <v>41.646400778210108</v>
      </c>
      <c r="M140" s="100">
        <v>0</v>
      </c>
      <c r="N140" s="100">
        <v>0</v>
      </c>
      <c r="O140" s="100">
        <f t="shared" si="53"/>
        <v>12</v>
      </c>
      <c r="P140" s="100">
        <f t="shared" si="45"/>
        <v>9</v>
      </c>
      <c r="Q140" s="108">
        <f t="shared" si="46"/>
        <v>0.75</v>
      </c>
      <c r="R140" s="108"/>
      <c r="S140" s="108">
        <f t="shared" si="50"/>
        <v>-1.9230769230769273E-2</v>
      </c>
      <c r="T140" s="108"/>
      <c r="U140" s="108"/>
    </row>
    <row r="141" spans="4:21" hidden="1" x14ac:dyDescent="0.3">
      <c r="D141" s="99">
        <v>45352</v>
      </c>
      <c r="E141" s="100">
        <f>272-3</f>
        <v>269</v>
      </c>
      <c r="F141" s="110">
        <v>2</v>
      </c>
      <c r="G141" s="100">
        <v>0</v>
      </c>
      <c r="H141" s="100">
        <f t="shared" si="54"/>
        <v>23</v>
      </c>
      <c r="I141" s="100">
        <f t="shared" si="47"/>
        <v>13</v>
      </c>
      <c r="J141" s="105">
        <f>((H141+I141)/2)/E130</f>
        <v>6.9498069498069498E-2</v>
      </c>
      <c r="K141" s="111">
        <f t="shared" si="43"/>
        <v>-8.1443050193050204E-4</v>
      </c>
      <c r="L141" s="112">
        <f t="shared" si="48"/>
        <v>-8.1443050193050208</v>
      </c>
      <c r="M141" s="100">
        <v>0</v>
      </c>
      <c r="N141" s="100">
        <f t="shared" si="44"/>
        <v>0</v>
      </c>
      <c r="O141" s="100">
        <f t="shared" si="53"/>
        <v>11</v>
      </c>
      <c r="P141" s="100">
        <f t="shared" si="45"/>
        <v>8</v>
      </c>
      <c r="Q141" s="108">
        <f t="shared" si="46"/>
        <v>0.72727272727272729</v>
      </c>
      <c r="R141" s="108"/>
      <c r="S141" s="108">
        <f t="shared" si="50"/>
        <v>-2.2727272727272707E-2</v>
      </c>
      <c r="T141" s="108"/>
      <c r="U141" s="108"/>
    </row>
    <row r="142" spans="4:21" x14ac:dyDescent="0.3">
      <c r="D142" s="99">
        <v>45383</v>
      </c>
      <c r="E142" s="100">
        <f>268+2</f>
        <v>270</v>
      </c>
      <c r="F142" s="110">
        <v>2</v>
      </c>
      <c r="G142" s="100">
        <v>1</v>
      </c>
      <c r="H142" s="100">
        <f t="shared" ref="H142:I144" si="55">SUM(F131:F142)</f>
        <v>25</v>
      </c>
      <c r="I142" s="100">
        <f t="shared" si="55"/>
        <v>13</v>
      </c>
      <c r="J142" s="105">
        <f t="shared" ref="J142:J151" si="56">((H142+I142)/2)/E131</f>
        <v>7.3643410852713184E-2</v>
      </c>
      <c r="K142" s="111">
        <f t="shared" si="43"/>
        <v>4.1453413546436862E-3</v>
      </c>
      <c r="L142" s="112">
        <f t="shared" si="48"/>
        <v>41.453413546436863</v>
      </c>
      <c r="M142" s="100">
        <v>1</v>
      </c>
      <c r="N142" s="100">
        <f t="shared" si="44"/>
        <v>1</v>
      </c>
      <c r="O142" s="100">
        <f t="shared" si="53"/>
        <v>11</v>
      </c>
      <c r="P142" s="100">
        <f t="shared" si="45"/>
        <v>9</v>
      </c>
      <c r="Q142" s="108">
        <f t="shared" si="46"/>
        <v>0.81818181818181823</v>
      </c>
      <c r="R142" s="108"/>
      <c r="S142" s="108">
        <f t="shared" si="50"/>
        <v>9.0909090909090939E-2</v>
      </c>
      <c r="T142" s="108"/>
      <c r="U142" s="108"/>
    </row>
    <row r="143" spans="4:21" x14ac:dyDescent="0.3">
      <c r="D143" s="99">
        <v>45413</v>
      </c>
      <c r="E143" s="100">
        <v>269</v>
      </c>
      <c r="F143" s="110">
        <v>0</v>
      </c>
      <c r="G143" s="114">
        <v>1</v>
      </c>
      <c r="H143" s="100">
        <f t="shared" si="55"/>
        <v>23</v>
      </c>
      <c r="I143" s="100">
        <f t="shared" si="55"/>
        <v>14</v>
      </c>
      <c r="J143" s="105">
        <f t="shared" si="56"/>
        <v>7.1428571428571425E-2</v>
      </c>
      <c r="K143" s="111">
        <f t="shared" si="43"/>
        <v>-2.2148394241417596E-3</v>
      </c>
      <c r="L143" s="112">
        <f t="shared" si="48"/>
        <v>-22.148394241417595</v>
      </c>
      <c r="M143" s="100">
        <v>1</v>
      </c>
      <c r="N143" s="100">
        <f t="shared" si="44"/>
        <v>1</v>
      </c>
      <c r="O143" s="100">
        <f t="shared" si="53"/>
        <v>12</v>
      </c>
      <c r="P143" s="100">
        <f t="shared" si="45"/>
        <v>10</v>
      </c>
      <c r="Q143" s="108">
        <f t="shared" si="46"/>
        <v>0.83333333333333337</v>
      </c>
      <c r="R143" s="108"/>
      <c r="S143" s="108">
        <f t="shared" si="50"/>
        <v>1.5151515151515138E-2</v>
      </c>
      <c r="T143" s="108"/>
      <c r="U143" s="108"/>
    </row>
    <row r="144" spans="4:21" x14ac:dyDescent="0.3">
      <c r="D144" s="99">
        <v>45444</v>
      </c>
      <c r="E144" s="100">
        <v>269</v>
      </c>
      <c r="F144" s="110">
        <v>3</v>
      </c>
      <c r="G144" s="114">
        <v>1</v>
      </c>
      <c r="H144" s="100">
        <f t="shared" si="55"/>
        <v>22</v>
      </c>
      <c r="I144" s="100">
        <f t="shared" si="55"/>
        <v>13</v>
      </c>
      <c r="J144" s="105">
        <f t="shared" si="56"/>
        <v>6.7307692307692304E-2</v>
      </c>
      <c r="K144" s="111">
        <f t="shared" si="43"/>
        <v>-4.1208791208791201E-3</v>
      </c>
      <c r="L144" s="112">
        <f t="shared" si="48"/>
        <v>-41.208791208791204</v>
      </c>
      <c r="M144" s="100">
        <v>1</v>
      </c>
      <c r="N144" s="100">
        <f t="shared" si="44"/>
        <v>1</v>
      </c>
      <c r="O144" s="100">
        <f t="shared" si="53"/>
        <v>11</v>
      </c>
      <c r="P144" s="100">
        <f t="shared" si="45"/>
        <v>9</v>
      </c>
      <c r="Q144" s="108">
        <f t="shared" si="46"/>
        <v>0.81818181818181823</v>
      </c>
      <c r="R144" s="108"/>
      <c r="S144" s="108">
        <f t="shared" si="50"/>
        <v>-1.5151515151515138E-2</v>
      </c>
      <c r="T144" s="108"/>
      <c r="U144" s="108"/>
    </row>
    <row r="145" spans="4:21" x14ac:dyDescent="0.3">
      <c r="D145" s="99">
        <v>45474</v>
      </c>
      <c r="E145" s="100">
        <v>267</v>
      </c>
      <c r="F145" s="110">
        <v>2</v>
      </c>
      <c r="G145" s="114">
        <v>0</v>
      </c>
      <c r="H145" s="100">
        <f t="shared" ref="H145:I155" si="57">SUM(F134:F145)</f>
        <v>23</v>
      </c>
      <c r="I145" s="100">
        <f t="shared" si="57"/>
        <v>13</v>
      </c>
      <c r="J145" s="105">
        <f t="shared" si="56"/>
        <v>6.9498069498069498E-2</v>
      </c>
      <c r="K145" s="111">
        <f t="shared" si="43"/>
        <v>2.1903771903771935E-3</v>
      </c>
      <c r="L145" s="112">
        <f t="shared" si="48"/>
        <v>21.903771903771936</v>
      </c>
      <c r="M145" s="100">
        <v>0</v>
      </c>
      <c r="N145" s="100">
        <f t="shared" si="44"/>
        <v>0</v>
      </c>
      <c r="O145" s="100">
        <f t="shared" si="53"/>
        <v>11</v>
      </c>
      <c r="P145" s="100">
        <f t="shared" si="45"/>
        <v>9</v>
      </c>
      <c r="Q145" s="108">
        <f t="shared" si="46"/>
        <v>0.81818181818181823</v>
      </c>
      <c r="R145" s="108"/>
      <c r="S145" s="108">
        <f t="shared" si="50"/>
        <v>0</v>
      </c>
      <c r="T145" s="108"/>
      <c r="U145" s="108"/>
    </row>
    <row r="146" spans="4:21" x14ac:dyDescent="0.3">
      <c r="D146" s="99">
        <v>45505</v>
      </c>
      <c r="E146" s="100">
        <v>272</v>
      </c>
      <c r="F146" s="110">
        <v>3</v>
      </c>
      <c r="G146" s="114">
        <v>1</v>
      </c>
      <c r="H146" s="100">
        <f t="shared" si="57"/>
        <v>23</v>
      </c>
      <c r="I146" s="100">
        <f t="shared" si="57"/>
        <v>11</v>
      </c>
      <c r="J146" s="105">
        <f t="shared" si="56"/>
        <v>6.5637065637065631E-2</v>
      </c>
      <c r="K146" s="111">
        <f t="shared" si="43"/>
        <v>-3.8610038610038672E-3</v>
      </c>
      <c r="L146" s="112">
        <f t="shared" si="48"/>
        <v>-38.610038610038671</v>
      </c>
      <c r="M146" s="100">
        <v>1</v>
      </c>
      <c r="N146" s="100">
        <f t="shared" si="44"/>
        <v>1</v>
      </c>
      <c r="O146" s="100">
        <f t="shared" ref="O146:O151" si="58">SUM(N135:N146)</f>
        <v>9</v>
      </c>
      <c r="P146" s="100">
        <f t="shared" si="45"/>
        <v>7</v>
      </c>
      <c r="Q146" s="108">
        <f t="shared" si="46"/>
        <v>0.77777777777777779</v>
      </c>
      <c r="R146" s="108"/>
      <c r="S146" s="108">
        <f t="shared" si="50"/>
        <v>-4.0404040404040442E-2</v>
      </c>
      <c r="T146" s="108"/>
      <c r="U146" s="108"/>
    </row>
    <row r="147" spans="4:21" x14ac:dyDescent="0.3">
      <c r="D147" s="99">
        <v>45536</v>
      </c>
      <c r="E147" s="100">
        <v>272</v>
      </c>
      <c r="F147" s="110">
        <v>0</v>
      </c>
      <c r="G147" s="114">
        <v>0</v>
      </c>
      <c r="H147" s="100">
        <f t="shared" si="57"/>
        <v>19</v>
      </c>
      <c r="I147" s="100">
        <f t="shared" si="57"/>
        <v>7</v>
      </c>
      <c r="J147" s="105">
        <f t="shared" si="56"/>
        <v>4.9808429118773943E-2</v>
      </c>
      <c r="K147" s="111">
        <f t="shared" si="43"/>
        <v>-1.5828636518291687E-2</v>
      </c>
      <c r="L147" s="112">
        <f t="shared" si="48"/>
        <v>-158.28636518291688</v>
      </c>
      <c r="M147" s="100">
        <v>0</v>
      </c>
      <c r="N147" s="100">
        <f t="shared" si="44"/>
        <v>0</v>
      </c>
      <c r="O147" s="100">
        <f t="shared" si="58"/>
        <v>5</v>
      </c>
      <c r="P147" s="100">
        <f t="shared" si="45"/>
        <v>5</v>
      </c>
      <c r="Q147" s="108">
        <f t="shared" si="46"/>
        <v>1</v>
      </c>
      <c r="R147" s="108"/>
      <c r="S147" s="108">
        <f t="shared" si="50"/>
        <v>0.22222222222222221</v>
      </c>
      <c r="T147" s="108"/>
      <c r="U147" s="108"/>
    </row>
    <row r="148" spans="4:21" x14ac:dyDescent="0.3">
      <c r="D148" s="99">
        <v>45566</v>
      </c>
      <c r="E148" s="100">
        <v>272</v>
      </c>
      <c r="F148" s="110">
        <v>0</v>
      </c>
      <c r="G148" s="114">
        <v>1</v>
      </c>
      <c r="H148" s="100">
        <f t="shared" si="57"/>
        <v>17</v>
      </c>
      <c r="I148" s="100">
        <f t="shared" si="57"/>
        <v>8</v>
      </c>
      <c r="J148" s="105">
        <f t="shared" si="56"/>
        <v>4.716981132075472E-2</v>
      </c>
      <c r="K148" s="111">
        <f t="shared" si="43"/>
        <v>-2.638617798019223E-3</v>
      </c>
      <c r="L148" s="112">
        <f t="shared" si="48"/>
        <v>-26.38617798019223</v>
      </c>
      <c r="M148" s="100">
        <v>1</v>
      </c>
      <c r="N148" s="100">
        <f t="shared" si="44"/>
        <v>1</v>
      </c>
      <c r="O148" s="100">
        <f t="shared" si="58"/>
        <v>6</v>
      </c>
      <c r="P148" s="100">
        <f t="shared" si="45"/>
        <v>6</v>
      </c>
      <c r="Q148" s="108">
        <f t="shared" si="46"/>
        <v>1</v>
      </c>
      <c r="R148" s="108"/>
      <c r="S148" s="108">
        <f t="shared" si="50"/>
        <v>0</v>
      </c>
      <c r="T148" s="108"/>
      <c r="U148" s="108"/>
    </row>
    <row r="149" spans="4:21" x14ac:dyDescent="0.3">
      <c r="D149" s="99">
        <v>45597</v>
      </c>
      <c r="E149" s="100">
        <v>271</v>
      </c>
      <c r="F149" s="110">
        <v>4</v>
      </c>
      <c r="G149" s="114">
        <v>2</v>
      </c>
      <c r="H149" s="100">
        <f t="shared" si="57"/>
        <v>20</v>
      </c>
      <c r="I149" s="100">
        <f t="shared" si="57"/>
        <v>10</v>
      </c>
      <c r="J149" s="105">
        <f t="shared" si="56"/>
        <v>5.6603773584905662E-2</v>
      </c>
      <c r="K149" s="111">
        <f t="shared" si="43"/>
        <v>9.4339622641509413E-3</v>
      </c>
      <c r="L149" s="112">
        <f t="shared" si="48"/>
        <v>94.339622641509408</v>
      </c>
      <c r="M149" s="100">
        <v>1</v>
      </c>
      <c r="N149" s="100">
        <f t="shared" si="44"/>
        <v>2</v>
      </c>
      <c r="O149" s="100">
        <f t="shared" si="58"/>
        <v>8</v>
      </c>
      <c r="P149" s="100">
        <f t="shared" si="45"/>
        <v>7</v>
      </c>
      <c r="Q149" s="108">
        <f t="shared" si="46"/>
        <v>0.875</v>
      </c>
      <c r="R149" s="108"/>
      <c r="S149" s="108">
        <f t="shared" si="50"/>
        <v>-0.125</v>
      </c>
      <c r="T149" s="108"/>
      <c r="U149" s="108"/>
    </row>
    <row r="150" spans="4:21" x14ac:dyDescent="0.3">
      <c r="D150" s="99">
        <v>45627</v>
      </c>
      <c r="E150" s="100">
        <v>275</v>
      </c>
      <c r="F150" s="110">
        <v>2</v>
      </c>
      <c r="G150" s="114">
        <v>3</v>
      </c>
      <c r="H150" s="100">
        <f t="shared" si="57"/>
        <v>21</v>
      </c>
      <c r="I150" s="100">
        <f t="shared" si="57"/>
        <v>12</v>
      </c>
      <c r="J150" s="105">
        <f t="shared" si="56"/>
        <v>6.2737642585551326E-2</v>
      </c>
      <c r="K150" s="111">
        <f t="shared" si="43"/>
        <v>6.1338690006456642E-3</v>
      </c>
      <c r="L150" s="112">
        <f t="shared" si="48"/>
        <v>61.338690006456645</v>
      </c>
      <c r="M150" s="100">
        <v>3</v>
      </c>
      <c r="N150" s="100">
        <f t="shared" si="44"/>
        <v>3</v>
      </c>
      <c r="O150" s="100">
        <f t="shared" si="58"/>
        <v>10</v>
      </c>
      <c r="P150" s="100">
        <f t="shared" si="45"/>
        <v>9</v>
      </c>
      <c r="Q150" s="108">
        <f t="shared" si="46"/>
        <v>0.9</v>
      </c>
      <c r="R150" s="108"/>
      <c r="S150" s="108">
        <f t="shared" si="50"/>
        <v>2.5000000000000022E-2</v>
      </c>
      <c r="T150" s="108"/>
      <c r="U150" s="108"/>
    </row>
    <row r="151" spans="4:21" x14ac:dyDescent="0.3">
      <c r="D151" s="99">
        <v>45658</v>
      </c>
      <c r="E151" s="100">
        <v>269</v>
      </c>
      <c r="F151" s="110">
        <v>1</v>
      </c>
      <c r="G151" s="114">
        <v>1</v>
      </c>
      <c r="H151" s="100">
        <f t="shared" ref="H151" si="59">SUM(F140:F151)</f>
        <v>21</v>
      </c>
      <c r="I151" s="100">
        <f t="shared" si="57"/>
        <v>13</v>
      </c>
      <c r="J151" s="105">
        <f t="shared" si="56"/>
        <v>6.3197026022304828E-2</v>
      </c>
      <c r="K151" s="111">
        <f t="shared" si="43"/>
        <v>4.5938343675350213E-4</v>
      </c>
      <c r="L151" s="112">
        <f t="shared" si="48"/>
        <v>4.5938343675350213</v>
      </c>
      <c r="M151" s="100">
        <v>0</v>
      </c>
      <c r="N151" s="100">
        <f t="shared" si="44"/>
        <v>1</v>
      </c>
      <c r="O151" s="100">
        <f t="shared" si="58"/>
        <v>11</v>
      </c>
      <c r="P151" s="100">
        <f t="shared" ref="P151" si="60">SUM(M140:M151)</f>
        <v>9</v>
      </c>
      <c r="Q151" s="108">
        <f t="shared" si="46"/>
        <v>0.81818181818181823</v>
      </c>
      <c r="R151" s="108"/>
      <c r="S151" s="108">
        <f t="shared" si="50"/>
        <v>-8.181818181818179E-2</v>
      </c>
      <c r="T151" s="108"/>
      <c r="U151" s="108"/>
    </row>
    <row r="152" spans="4:21" x14ac:dyDescent="0.3">
      <c r="D152" s="99">
        <v>45689</v>
      </c>
      <c r="E152" s="100">
        <v>271</v>
      </c>
      <c r="F152" s="110">
        <v>5</v>
      </c>
      <c r="G152" s="114">
        <v>1</v>
      </c>
      <c r="H152" s="100">
        <f t="shared" ref="H152:H154" si="61">SUM(F141:F152)</f>
        <v>24</v>
      </c>
      <c r="I152" s="100">
        <f t="shared" si="57"/>
        <v>12</v>
      </c>
      <c r="J152" s="105">
        <f>((H152+I152)/2)/E141</f>
        <v>6.6914498141263934E-2</v>
      </c>
      <c r="K152" s="111">
        <f t="shared" si="43"/>
        <v>3.7174721189591059E-3</v>
      </c>
      <c r="L152" s="112">
        <f t="shared" si="48"/>
        <v>37.174721189591061</v>
      </c>
      <c r="M152" s="100">
        <v>1</v>
      </c>
      <c r="N152" s="100">
        <f t="shared" si="44"/>
        <v>1</v>
      </c>
      <c r="O152" s="100">
        <f t="shared" ref="O152:O154" si="62">SUM(N141:N152)</f>
        <v>12</v>
      </c>
      <c r="P152" s="100">
        <f t="shared" ref="P152:P154" si="63">SUM(M141:M152)</f>
        <v>10</v>
      </c>
      <c r="Q152" s="108">
        <f t="shared" si="46"/>
        <v>0.83333333333333337</v>
      </c>
      <c r="R152" s="108"/>
      <c r="S152" s="108">
        <f t="shared" si="50"/>
        <v>1.5151515151515138E-2</v>
      </c>
      <c r="T152" s="108"/>
      <c r="U152" s="108"/>
    </row>
    <row r="153" spans="4:21" x14ac:dyDescent="0.3">
      <c r="D153" s="99">
        <v>45717</v>
      </c>
      <c r="E153" s="100">
        <v>275</v>
      </c>
      <c r="F153" s="110">
        <v>5</v>
      </c>
      <c r="G153" s="114">
        <v>1</v>
      </c>
      <c r="H153" s="100">
        <f t="shared" si="61"/>
        <v>27</v>
      </c>
      <c r="I153" s="100">
        <f t="shared" si="57"/>
        <v>13</v>
      </c>
      <c r="J153" s="105">
        <f>((H153+I153)/2)/E142</f>
        <v>7.407407407407407E-2</v>
      </c>
      <c r="K153" s="111">
        <f t="shared" si="43"/>
        <v>7.159575932810136E-3</v>
      </c>
      <c r="L153" s="112">
        <f t="shared" si="48"/>
        <v>71.595759328101366</v>
      </c>
      <c r="M153" s="100">
        <v>1</v>
      </c>
      <c r="N153" s="100">
        <f t="shared" si="44"/>
        <v>1</v>
      </c>
      <c r="O153" s="100">
        <f t="shared" si="62"/>
        <v>13</v>
      </c>
      <c r="P153" s="100">
        <f t="shared" si="63"/>
        <v>11</v>
      </c>
      <c r="Q153" s="108">
        <f t="shared" si="46"/>
        <v>0.84615384615384615</v>
      </c>
      <c r="R153" s="108"/>
      <c r="S153" s="108">
        <f>+Q153-Q152</f>
        <v>1.2820512820512775E-2</v>
      </c>
      <c r="T153" s="108"/>
      <c r="U153" s="108"/>
    </row>
    <row r="154" spans="4:21" x14ac:dyDescent="0.3">
      <c r="D154" s="99">
        <v>45748</v>
      </c>
      <c r="E154" s="100">
        <v>281</v>
      </c>
      <c r="F154" s="110">
        <v>1</v>
      </c>
      <c r="G154" s="114">
        <v>1</v>
      </c>
      <c r="H154" s="100">
        <f t="shared" si="61"/>
        <v>26</v>
      </c>
      <c r="I154" s="100">
        <f t="shared" si="57"/>
        <v>13</v>
      </c>
      <c r="J154" s="105">
        <f>((H154+I154)/2)/E143</f>
        <v>7.24907063197026E-2</v>
      </c>
      <c r="K154" s="111">
        <f t="shared" si="43"/>
        <v>-1.5833677543714703E-3</v>
      </c>
      <c r="L154" s="112">
        <f t="shared" si="48"/>
        <v>-15.833677543714703</v>
      </c>
      <c r="M154" s="100">
        <v>1</v>
      </c>
      <c r="N154" s="100">
        <f t="shared" si="44"/>
        <v>1</v>
      </c>
      <c r="O154" s="100">
        <f t="shared" si="62"/>
        <v>13</v>
      </c>
      <c r="P154" s="100">
        <f t="shared" si="63"/>
        <v>11</v>
      </c>
      <c r="Q154" s="108">
        <f>+P154/O154</f>
        <v>0.84615384615384615</v>
      </c>
      <c r="R154" s="108"/>
      <c r="S154" s="108">
        <f>+Q154-Q153</f>
        <v>0</v>
      </c>
      <c r="T154" s="108"/>
      <c r="U154" s="108"/>
    </row>
    <row r="155" spans="4:21" x14ac:dyDescent="0.3">
      <c r="D155" s="99">
        <v>45778</v>
      </c>
      <c r="E155" s="100">
        <v>281</v>
      </c>
      <c r="F155" s="110">
        <v>1</v>
      </c>
      <c r="G155" s="114">
        <v>1</v>
      </c>
      <c r="H155" s="100">
        <f t="shared" ref="H155" si="64">SUM(F144:F155)</f>
        <v>27</v>
      </c>
      <c r="I155" s="100">
        <f t="shared" si="57"/>
        <v>13</v>
      </c>
      <c r="J155" s="105">
        <f>((H155+I155)/2)/E144</f>
        <v>7.434944237918216E-2</v>
      </c>
      <c r="K155" s="111">
        <f t="shared" si="43"/>
        <v>1.8587360594795599E-3</v>
      </c>
      <c r="L155" s="112">
        <f t="shared" si="48"/>
        <v>18.587360594795598</v>
      </c>
      <c r="M155" s="100"/>
      <c r="N155" s="100">
        <f t="shared" si="44"/>
        <v>1</v>
      </c>
      <c r="O155" s="100"/>
      <c r="P155" s="100"/>
      <c r="Q155" s="108"/>
      <c r="R155" s="108"/>
      <c r="S155" s="108"/>
      <c r="T155" s="108"/>
      <c r="U155" s="108"/>
    </row>
    <row r="156" spans="4:21" x14ac:dyDescent="0.3">
      <c r="D156" s="99">
        <v>45809</v>
      </c>
      <c r="E156" s="100"/>
      <c r="F156" s="110"/>
      <c r="G156" s="114"/>
      <c r="H156" s="100"/>
      <c r="I156" s="100"/>
      <c r="J156" s="105"/>
      <c r="K156" s="111"/>
      <c r="L156" s="112"/>
      <c r="M156" s="100"/>
      <c r="N156" s="100"/>
      <c r="O156" s="100"/>
      <c r="P156" s="100"/>
      <c r="Q156" s="108"/>
      <c r="R156" s="108"/>
      <c r="S156" s="108"/>
      <c r="T156" s="108"/>
      <c r="U156" s="108"/>
    </row>
    <row r="157" spans="4:21" x14ac:dyDescent="0.3">
      <c r="D157" s="99">
        <v>45839</v>
      </c>
      <c r="E157" s="100"/>
      <c r="F157" s="110"/>
      <c r="G157" s="114"/>
      <c r="H157" s="100"/>
      <c r="I157" s="100"/>
      <c r="J157" s="105"/>
      <c r="K157" s="111"/>
      <c r="L157" s="112"/>
      <c r="M157" s="100"/>
      <c r="N157" s="100"/>
      <c r="O157" s="100"/>
      <c r="P157" s="100"/>
      <c r="Q157" s="108"/>
      <c r="R157" s="108"/>
      <c r="S157" s="108"/>
      <c r="T157" s="108"/>
      <c r="U157" s="108"/>
    </row>
    <row r="158" spans="4:21" x14ac:dyDescent="0.3">
      <c r="D158" s="99">
        <v>45870</v>
      </c>
      <c r="E158" s="100"/>
      <c r="F158" s="110"/>
      <c r="G158" s="114"/>
      <c r="H158" s="100"/>
      <c r="I158" s="100"/>
      <c r="J158" s="105"/>
      <c r="K158" s="111"/>
      <c r="L158" s="112"/>
      <c r="M158" s="100"/>
      <c r="N158" s="100"/>
      <c r="O158" s="100"/>
      <c r="P158" s="100"/>
      <c r="Q158" s="108"/>
      <c r="R158" s="108"/>
      <c r="S158" s="108"/>
      <c r="T158" s="108"/>
      <c r="U158" s="108"/>
    </row>
    <row r="159" spans="4:21" x14ac:dyDescent="0.3">
      <c r="D159" s="99">
        <v>45901</v>
      </c>
      <c r="E159" s="100"/>
      <c r="F159" s="110"/>
      <c r="G159" s="114"/>
      <c r="H159" s="100"/>
      <c r="I159" s="100"/>
      <c r="J159" s="105"/>
      <c r="K159" s="111"/>
      <c r="L159" s="112"/>
      <c r="M159" s="100"/>
      <c r="N159" s="100"/>
      <c r="O159" s="100"/>
      <c r="P159" s="100"/>
      <c r="Q159" s="108"/>
      <c r="R159" s="108"/>
      <c r="S159" s="108"/>
      <c r="T159" s="108"/>
      <c r="U159" s="108"/>
    </row>
    <row r="160" spans="4:21" x14ac:dyDescent="0.3">
      <c r="D160" s="99">
        <v>45931</v>
      </c>
      <c r="E160" s="100"/>
      <c r="F160" s="110"/>
      <c r="G160" s="114"/>
      <c r="H160" s="100"/>
      <c r="I160" s="100"/>
      <c r="J160" s="105"/>
      <c r="K160" s="111"/>
      <c r="L160" s="112"/>
      <c r="M160" s="100"/>
      <c r="N160" s="100"/>
      <c r="O160" s="100"/>
      <c r="P160" s="100"/>
      <c r="Q160" s="108"/>
      <c r="R160" s="108"/>
      <c r="S160" s="108"/>
      <c r="T160" s="108"/>
      <c r="U160" s="108"/>
    </row>
    <row r="161" spans="2:21" x14ac:dyDescent="0.3">
      <c r="D161" s="99">
        <v>45962</v>
      </c>
      <c r="E161" s="100"/>
      <c r="F161" s="110"/>
      <c r="G161" s="114"/>
      <c r="H161" s="100"/>
      <c r="I161" s="100"/>
      <c r="J161" s="105"/>
      <c r="K161" s="111"/>
      <c r="L161" s="112"/>
      <c r="M161" s="100"/>
      <c r="N161" s="100"/>
      <c r="O161" s="100"/>
      <c r="P161" s="100"/>
      <c r="Q161" s="108"/>
      <c r="R161" s="108"/>
      <c r="S161" s="108"/>
      <c r="T161" s="108"/>
      <c r="U161" s="108"/>
    </row>
    <row r="162" spans="2:21" x14ac:dyDescent="0.3">
      <c r="D162" s="99">
        <v>45992</v>
      </c>
      <c r="E162" s="100"/>
      <c r="F162" s="110"/>
      <c r="G162" s="114"/>
      <c r="H162" s="100"/>
      <c r="I162" s="100"/>
      <c r="J162" s="105"/>
      <c r="K162" s="111"/>
      <c r="L162" s="112"/>
      <c r="M162" s="100"/>
      <c r="N162" s="100"/>
      <c r="O162" s="100"/>
      <c r="P162" s="100"/>
      <c r="Q162" s="108"/>
      <c r="R162" s="108"/>
      <c r="S162" s="108"/>
      <c r="T162" s="108"/>
      <c r="U162" s="108"/>
    </row>
    <row r="164" spans="2:21" x14ac:dyDescent="0.3">
      <c r="B164" s="115" t="s">
        <v>92</v>
      </c>
    </row>
    <row r="165" spans="2:21" x14ac:dyDescent="0.3">
      <c r="B165" s="49" t="s">
        <v>93</v>
      </c>
    </row>
    <row r="166" spans="2:21" ht="33" x14ac:dyDescent="0.3">
      <c r="B166" s="49" t="s">
        <v>94</v>
      </c>
    </row>
    <row r="167" spans="2:21" x14ac:dyDescent="0.3">
      <c r="B167" s="49" t="s">
        <v>95</v>
      </c>
    </row>
    <row r="168" spans="2:21" x14ac:dyDescent="0.3">
      <c r="B168" s="49" t="s">
        <v>96</v>
      </c>
    </row>
    <row r="169" spans="2:21" x14ac:dyDescent="0.3">
      <c r="B169" s="49" t="s">
        <v>97</v>
      </c>
    </row>
  </sheetData>
  <mergeCells count="6">
    <mergeCell ref="H114:L114"/>
    <mergeCell ref="A1:B1"/>
    <mergeCell ref="A13:B13"/>
    <mergeCell ref="A36:B36"/>
    <mergeCell ref="A72:B72"/>
    <mergeCell ref="A94:B94"/>
  </mergeCells>
  <pageMargins left="0.7" right="0.7" top="0.75" bottom="0.75" header="0.3" footer="0.3"/>
  <pageSetup paperSize="9" scale="2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1BE3-4E6C-401D-9ADD-14492192BA8E}">
  <sheetPr codeName="Feuil4">
    <tabColor theme="0" tint="-0.14999847407452621"/>
    <pageSetUpPr fitToPage="1"/>
  </sheetPr>
  <dimension ref="A1:CJ68"/>
  <sheetViews>
    <sheetView zoomScale="69" zoomScaleNormal="69" workbookViewId="0">
      <pane xSplit="1" ySplit="3" topLeftCell="B4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A16" sqref="A16"/>
    </sheetView>
  </sheetViews>
  <sheetFormatPr baseColWidth="10" defaultColWidth="13.5703125" defaultRowHeight="16.5" x14ac:dyDescent="0.3"/>
  <cols>
    <col min="1" max="1" width="42.5703125" style="2" customWidth="1"/>
    <col min="2" max="2" width="1.42578125" style="2" customWidth="1"/>
    <col min="3" max="4" width="13.5703125" style="2" hidden="1" customWidth="1"/>
    <col min="5" max="5" width="14.5703125" style="2" hidden="1" customWidth="1"/>
    <col min="6" max="9" width="14" style="2" hidden="1" customWidth="1"/>
    <col min="10" max="10" width="15.5703125" style="2" hidden="1" customWidth="1"/>
    <col min="11" max="11" width="17.42578125" style="2" hidden="1" customWidth="1"/>
    <col min="12" max="12" width="22.42578125" style="2" hidden="1" customWidth="1"/>
    <col min="13" max="13" width="14" style="2" hidden="1" customWidth="1"/>
    <col min="14" max="14" width="16.42578125" style="2" hidden="1" customWidth="1"/>
    <col min="15" max="15" width="14.5703125" style="2" hidden="1" customWidth="1"/>
    <col min="16" max="16" width="18.5703125" style="2" hidden="1" customWidth="1"/>
    <col min="17" max="17" width="14.5703125" style="2" hidden="1" customWidth="1"/>
    <col min="18" max="18" width="17.42578125" style="2" hidden="1" customWidth="1"/>
    <col min="19" max="19" width="16.5703125" style="2" hidden="1" customWidth="1"/>
    <col min="20" max="21" width="15.42578125" style="2" hidden="1" customWidth="1"/>
    <col min="22" max="22" width="18.42578125" style="2" hidden="1" customWidth="1"/>
    <col min="23" max="23" width="15.42578125" style="2" hidden="1" customWidth="1"/>
    <col min="24" max="24" width="15" style="2" hidden="1" customWidth="1"/>
    <col min="25" max="25" width="19.42578125" style="2" hidden="1" customWidth="1"/>
    <col min="26" max="26" width="15.5703125" style="2" hidden="1" customWidth="1"/>
    <col min="27" max="27" width="17.42578125" style="2" hidden="1" customWidth="1"/>
    <col min="28" max="28" width="19.42578125" style="2" hidden="1" customWidth="1"/>
    <col min="29" max="33" width="13.5703125" style="2" hidden="1" customWidth="1"/>
    <col min="34" max="34" width="14.5703125" style="2" hidden="1" customWidth="1"/>
    <col min="35" max="36" width="13.5703125" style="2" hidden="1" customWidth="1"/>
    <col min="37" max="37" width="16.5703125" style="2" hidden="1" customWidth="1"/>
    <col min="38" max="38" width="13.5703125" style="2" hidden="1" customWidth="1"/>
    <col min="39" max="39" width="15.42578125" style="2" hidden="1" customWidth="1"/>
    <col min="40" max="40" width="15.5703125" style="2" hidden="1" customWidth="1"/>
    <col min="41" max="41" width="2.42578125" style="122" hidden="1" customWidth="1"/>
    <col min="42" max="42" width="14" style="2" hidden="1" customWidth="1"/>
    <col min="43" max="43" width="18.5703125" style="2" hidden="1" customWidth="1"/>
    <col min="44" max="46" width="13.5703125" style="2" hidden="1" customWidth="1"/>
    <col min="47" max="47" width="17.5703125" style="2" hidden="1" customWidth="1"/>
    <col min="48" max="48" width="13.5703125" style="2" hidden="1" customWidth="1"/>
    <col min="49" max="50" width="17.5703125" style="2" hidden="1" customWidth="1"/>
    <col min="51" max="51" width="13" style="2" bestFit="1" customWidth="1"/>
    <col min="52" max="52" width="18.28515625" style="2" bestFit="1" customWidth="1"/>
    <col min="53" max="53" width="13.28515625" style="2" bestFit="1" customWidth="1"/>
    <col min="54" max="55" width="12" style="2" bestFit="1" customWidth="1"/>
    <col min="56" max="56" width="12.28515625" style="2" bestFit="1" customWidth="1"/>
    <col min="57" max="58" width="13.5703125" style="2" bestFit="1" customWidth="1"/>
    <col min="59" max="59" width="12" style="2" bestFit="1" customWidth="1"/>
    <col min="60" max="60" width="16.28515625" style="2" bestFit="1" customWidth="1"/>
    <col min="61" max="61" width="12.28515625" style="2" bestFit="1" customWidth="1"/>
    <col min="62" max="62" width="16.28515625" style="2" bestFit="1" customWidth="1"/>
    <col min="63" max="63" width="17" style="2" bestFit="1" customWidth="1"/>
    <col min="64" max="64" width="12.28515625" style="2" bestFit="1" customWidth="1"/>
    <col min="65" max="65" width="13.5703125" style="2" bestFit="1" customWidth="1"/>
    <col min="66" max="67" width="12.28515625" style="2" bestFit="1" customWidth="1"/>
    <col min="68" max="68" width="17.7109375" style="2" bestFit="1" customWidth="1"/>
    <col min="69" max="69" width="35.5703125" style="2" bestFit="1" customWidth="1"/>
    <col min="70" max="70" width="16.42578125" style="2" customWidth="1"/>
    <col min="71" max="71" width="15" style="2" customWidth="1"/>
    <col min="72" max="73" width="13.5703125" style="2"/>
    <col min="74" max="74" width="17.28515625" style="2" customWidth="1"/>
    <col min="75" max="16384" width="13.5703125" style="2"/>
  </cols>
  <sheetData>
    <row r="1" spans="1:88" ht="34.9" customHeight="1" x14ac:dyDescent="0.3">
      <c r="A1" s="116">
        <f ca="1">TODAY()</f>
        <v>45826</v>
      </c>
      <c r="B1" s="117"/>
      <c r="C1" s="118"/>
      <c r="D1" s="118"/>
      <c r="E1" s="118"/>
      <c r="F1" s="118"/>
      <c r="G1" s="118"/>
      <c r="H1" s="118"/>
      <c r="I1" s="118"/>
      <c r="K1" s="116"/>
      <c r="AE1" s="119"/>
      <c r="AG1" s="120"/>
      <c r="AH1" s="120"/>
      <c r="AI1" s="120"/>
      <c r="AJ1" s="120"/>
      <c r="AK1" s="120"/>
      <c r="AL1" s="120"/>
      <c r="AM1" s="120"/>
      <c r="AN1" s="121" t="s">
        <v>98</v>
      </c>
      <c r="AY1" s="2">
        <v>2024</v>
      </c>
    </row>
    <row r="2" spans="1:88" s="7" customFormat="1" ht="85.5" x14ac:dyDescent="0.3">
      <c r="A2" s="578"/>
      <c r="B2" s="123"/>
      <c r="C2" s="124" t="s">
        <v>99</v>
      </c>
      <c r="D2" s="124" t="s">
        <v>100</v>
      </c>
      <c r="E2" s="125" t="s">
        <v>101</v>
      </c>
      <c r="F2" s="125" t="s">
        <v>102</v>
      </c>
      <c r="G2" s="125" t="s">
        <v>103</v>
      </c>
      <c r="H2" s="125" t="s">
        <v>104</v>
      </c>
      <c r="I2" s="125" t="s">
        <v>105</v>
      </c>
      <c r="J2" s="126" t="s">
        <v>106</v>
      </c>
      <c r="K2" s="126" t="s">
        <v>107</v>
      </c>
      <c r="L2" s="124" t="s">
        <v>108</v>
      </c>
      <c r="M2" s="124" t="s">
        <v>109</v>
      </c>
      <c r="N2" s="124" t="s">
        <v>110</v>
      </c>
      <c r="O2" s="124" t="s">
        <v>111</v>
      </c>
      <c r="P2" s="124" t="s">
        <v>112</v>
      </c>
      <c r="Q2" s="124" t="s">
        <v>113</v>
      </c>
      <c r="R2" s="127" t="s">
        <v>114</v>
      </c>
      <c r="S2" s="127" t="s">
        <v>115</v>
      </c>
      <c r="T2" s="128" t="s">
        <v>116</v>
      </c>
      <c r="U2" s="128" t="s">
        <v>117</v>
      </c>
      <c r="V2" s="129" t="s">
        <v>118</v>
      </c>
      <c r="W2" s="129" t="s">
        <v>119</v>
      </c>
      <c r="X2" s="129" t="s">
        <v>120</v>
      </c>
      <c r="Y2" s="129" t="s">
        <v>121</v>
      </c>
      <c r="Z2" s="129" t="s">
        <v>122</v>
      </c>
      <c r="AA2" s="129" t="s">
        <v>123</v>
      </c>
      <c r="AB2" s="129" t="s">
        <v>124</v>
      </c>
      <c r="AC2" s="124" t="s">
        <v>125</v>
      </c>
      <c r="AD2" s="124" t="s">
        <v>126</v>
      </c>
      <c r="AE2" s="124" t="s">
        <v>127</v>
      </c>
      <c r="AF2" s="124" t="s">
        <v>128</v>
      </c>
      <c r="AG2" s="124" t="s">
        <v>129</v>
      </c>
      <c r="AH2" s="124" t="s">
        <v>130</v>
      </c>
      <c r="AI2" s="124" t="s">
        <v>131</v>
      </c>
      <c r="AJ2" s="124" t="s">
        <v>114</v>
      </c>
      <c r="AK2" s="124" t="s">
        <v>132</v>
      </c>
      <c r="AL2" s="124" t="s">
        <v>133</v>
      </c>
      <c r="AM2" s="124" t="s">
        <v>134</v>
      </c>
      <c r="AN2" s="130" t="s">
        <v>135</v>
      </c>
      <c r="AO2" s="131"/>
      <c r="AP2" s="132" t="s">
        <v>136</v>
      </c>
      <c r="AQ2" s="132" t="s">
        <v>137</v>
      </c>
      <c r="AR2" s="132" t="s">
        <v>138</v>
      </c>
      <c r="AS2" s="132" t="s">
        <v>139</v>
      </c>
      <c r="AT2" s="132" t="s">
        <v>140</v>
      </c>
      <c r="AU2" s="132" t="s">
        <v>141</v>
      </c>
      <c r="AV2" s="132" t="s">
        <v>142</v>
      </c>
      <c r="AW2" s="132" t="s">
        <v>143</v>
      </c>
      <c r="AX2" s="132" t="s">
        <v>144</v>
      </c>
      <c r="AY2" s="132" t="s">
        <v>145</v>
      </c>
      <c r="AZ2" s="132" t="s">
        <v>146</v>
      </c>
      <c r="BA2" s="132" t="s">
        <v>147</v>
      </c>
      <c r="BB2" s="132" t="s">
        <v>148</v>
      </c>
      <c r="BC2" s="132" t="s">
        <v>149</v>
      </c>
      <c r="BD2" s="132" t="s">
        <v>150</v>
      </c>
      <c r="BE2" s="132" t="s">
        <v>151</v>
      </c>
      <c r="BF2" s="132" t="s">
        <v>152</v>
      </c>
      <c r="BG2" s="132" t="s">
        <v>153</v>
      </c>
      <c r="BH2" s="132" t="s">
        <v>154</v>
      </c>
      <c r="BI2" s="132" t="s">
        <v>155</v>
      </c>
      <c r="BJ2" s="132" t="s">
        <v>156</v>
      </c>
      <c r="BK2" s="132" t="s">
        <v>157</v>
      </c>
      <c r="BL2" s="133" t="s">
        <v>158</v>
      </c>
      <c r="BM2" s="132" t="s">
        <v>159</v>
      </c>
      <c r="BN2" s="132" t="s">
        <v>160</v>
      </c>
      <c r="BO2" s="132" t="s">
        <v>161</v>
      </c>
      <c r="BP2" s="133" t="s">
        <v>162</v>
      </c>
      <c r="BQ2" s="134" t="s">
        <v>163</v>
      </c>
      <c r="BR2" s="135" t="s">
        <v>164</v>
      </c>
      <c r="BS2" s="135" t="s">
        <v>165</v>
      </c>
      <c r="BT2" s="135" t="s">
        <v>166</v>
      </c>
      <c r="BU2" s="135" t="s">
        <v>167</v>
      </c>
      <c r="BV2" s="135" t="s">
        <v>168</v>
      </c>
      <c r="BW2" s="135" t="s">
        <v>169</v>
      </c>
      <c r="BX2" s="135" t="s">
        <v>170</v>
      </c>
      <c r="BY2" s="135" t="s">
        <v>160</v>
      </c>
      <c r="BZ2" s="135" t="s">
        <v>171</v>
      </c>
      <c r="CA2" s="135" t="s">
        <v>172</v>
      </c>
      <c r="CB2" s="135" t="s">
        <v>173</v>
      </c>
      <c r="CC2" s="135" t="s">
        <v>174</v>
      </c>
      <c r="CD2" s="135" t="s">
        <v>175</v>
      </c>
      <c r="CE2" s="135" t="s">
        <v>176</v>
      </c>
      <c r="CF2" s="135" t="s">
        <v>177</v>
      </c>
      <c r="CG2" s="133" t="s">
        <v>178</v>
      </c>
      <c r="CH2" s="133" t="s">
        <v>179</v>
      </c>
      <c r="CI2" s="135" t="s">
        <v>180</v>
      </c>
      <c r="CJ2" s="135" t="s">
        <v>181</v>
      </c>
    </row>
    <row r="3" spans="1:88" s="137" customFormat="1" x14ac:dyDescent="0.25">
      <c r="A3" s="579"/>
      <c r="B3" s="136"/>
      <c r="D3" s="137" t="s">
        <v>182</v>
      </c>
      <c r="E3" s="137" t="s">
        <v>183</v>
      </c>
      <c r="F3" s="137" t="s">
        <v>184</v>
      </c>
      <c r="G3" s="137" t="s">
        <v>185</v>
      </c>
      <c r="H3" s="137" t="s">
        <v>186</v>
      </c>
      <c r="I3" s="137" t="s">
        <v>187</v>
      </c>
      <c r="J3" s="137" t="s">
        <v>184</v>
      </c>
      <c r="L3" s="137" t="s">
        <v>186</v>
      </c>
      <c r="N3" s="137" t="s">
        <v>188</v>
      </c>
      <c r="O3" s="137" t="s">
        <v>185</v>
      </c>
      <c r="P3" s="137" t="s">
        <v>189</v>
      </c>
      <c r="Q3" s="137" t="s">
        <v>187</v>
      </c>
      <c r="R3" s="137" t="s">
        <v>185</v>
      </c>
      <c r="S3" s="137" t="s">
        <v>188</v>
      </c>
      <c r="T3" s="137" t="s">
        <v>185</v>
      </c>
      <c r="U3" s="137" t="s">
        <v>190</v>
      </c>
      <c r="V3" s="137" t="s">
        <v>189</v>
      </c>
      <c r="W3" s="137" t="s">
        <v>187</v>
      </c>
      <c r="X3" s="137" t="s">
        <v>191</v>
      </c>
      <c r="Y3" s="137" t="s">
        <v>192</v>
      </c>
      <c r="Z3" s="137" t="s">
        <v>188</v>
      </c>
      <c r="AA3" s="137" t="s">
        <v>185</v>
      </c>
      <c r="AB3" s="137" t="s">
        <v>193</v>
      </c>
      <c r="AC3" s="137" t="s">
        <v>188</v>
      </c>
      <c r="AD3" s="137" t="s">
        <v>189</v>
      </c>
      <c r="AE3" s="137" t="s">
        <v>185</v>
      </c>
      <c r="AN3" s="137" t="s">
        <v>188</v>
      </c>
      <c r="AO3" s="138"/>
      <c r="BQ3" s="139"/>
    </row>
    <row r="4" spans="1:88" s="142" customFormat="1" x14ac:dyDescent="0.3">
      <c r="A4" s="140" t="s">
        <v>194</v>
      </c>
      <c r="B4" s="141"/>
      <c r="C4" s="139">
        <v>44858</v>
      </c>
      <c r="D4" s="139">
        <v>44910</v>
      </c>
      <c r="E4" s="139">
        <v>44944</v>
      </c>
      <c r="F4" s="139">
        <v>44909</v>
      </c>
      <c r="G4" s="139">
        <v>44911</v>
      </c>
      <c r="H4" s="139">
        <v>44909</v>
      </c>
      <c r="I4" s="142">
        <v>44951</v>
      </c>
      <c r="J4" s="139">
        <v>44936</v>
      </c>
      <c r="K4" s="143">
        <v>44973</v>
      </c>
      <c r="L4" s="139">
        <v>44936</v>
      </c>
      <c r="M4" s="139">
        <v>45019</v>
      </c>
      <c r="N4" s="139">
        <v>45012</v>
      </c>
      <c r="O4" s="139">
        <v>44973</v>
      </c>
      <c r="P4" s="139">
        <v>45033</v>
      </c>
      <c r="Q4" s="139">
        <v>45048</v>
      </c>
      <c r="R4" s="139">
        <v>45062</v>
      </c>
      <c r="S4" s="139">
        <v>45076</v>
      </c>
      <c r="T4" s="139">
        <v>45062</v>
      </c>
      <c r="U4" s="139">
        <v>45063</v>
      </c>
      <c r="V4" s="139">
        <v>45086</v>
      </c>
      <c r="W4" s="139">
        <v>45093</v>
      </c>
      <c r="X4" s="139">
        <v>45111</v>
      </c>
      <c r="Y4" s="139">
        <v>45113</v>
      </c>
      <c r="Z4" s="139">
        <v>45159</v>
      </c>
      <c r="AA4" s="139">
        <v>45106</v>
      </c>
      <c r="AB4" s="139">
        <v>45128</v>
      </c>
      <c r="AC4" s="139">
        <v>45092</v>
      </c>
      <c r="AD4" s="139">
        <v>45156</v>
      </c>
      <c r="AE4" s="139">
        <v>45149</v>
      </c>
      <c r="AF4" s="139">
        <v>45188</v>
      </c>
      <c r="AG4" s="139">
        <v>45175</v>
      </c>
      <c r="AH4" s="139">
        <v>45194</v>
      </c>
      <c r="AI4" s="139">
        <v>45191</v>
      </c>
      <c r="AJ4" s="139">
        <v>45215</v>
      </c>
      <c r="AK4" s="139">
        <v>45216</v>
      </c>
      <c r="AL4" s="139">
        <v>45173</v>
      </c>
      <c r="AM4" s="139">
        <v>45181</v>
      </c>
      <c r="AN4" s="139" t="s">
        <v>195</v>
      </c>
      <c r="AO4" s="144"/>
      <c r="AP4" s="139">
        <v>45247</v>
      </c>
      <c r="AQ4" s="139">
        <v>45282</v>
      </c>
      <c r="AR4" s="139">
        <v>45254</v>
      </c>
      <c r="AS4" s="139">
        <v>45308</v>
      </c>
      <c r="AT4" s="139">
        <v>45301</v>
      </c>
      <c r="AU4" s="139">
        <v>45288</v>
      </c>
      <c r="AV4" s="139">
        <v>45282</v>
      </c>
      <c r="AW4" s="139">
        <v>45366</v>
      </c>
      <c r="AX4" s="139">
        <v>45440</v>
      </c>
      <c r="AY4" s="139">
        <v>45301</v>
      </c>
      <c r="AZ4" s="145">
        <v>45406</v>
      </c>
      <c r="BA4" s="139">
        <v>45398</v>
      </c>
      <c r="BB4" s="139">
        <v>45425</v>
      </c>
      <c r="BC4" s="139">
        <v>45414</v>
      </c>
      <c r="BD4" s="139">
        <v>45425</v>
      </c>
      <c r="BE4" s="139">
        <v>45436</v>
      </c>
      <c r="BF4" s="139">
        <v>45456</v>
      </c>
      <c r="BG4" s="139">
        <v>45468</v>
      </c>
      <c r="BH4" s="139">
        <v>45442</v>
      </c>
      <c r="BI4" s="139">
        <v>45523</v>
      </c>
      <c r="BJ4" s="139">
        <v>45517</v>
      </c>
      <c r="BK4" s="139">
        <v>45504</v>
      </c>
      <c r="BL4" s="139">
        <v>45520</v>
      </c>
      <c r="BM4" s="139">
        <v>45579</v>
      </c>
      <c r="BN4" s="139">
        <v>45573</v>
      </c>
      <c r="BO4" s="139">
        <v>45580</v>
      </c>
      <c r="BP4" s="139">
        <v>45526</v>
      </c>
      <c r="BQ4" s="139">
        <v>45386</v>
      </c>
      <c r="BR4" s="139">
        <v>45581</v>
      </c>
      <c r="BS4" s="139">
        <v>45595</v>
      </c>
      <c r="BT4" s="146">
        <v>45639</v>
      </c>
      <c r="BU4" s="139">
        <v>45602</v>
      </c>
      <c r="BV4" s="139">
        <v>45622</v>
      </c>
      <c r="BW4" s="146">
        <v>45628</v>
      </c>
      <c r="BX4" s="139">
        <v>45601</v>
      </c>
      <c r="BY4" s="146">
        <v>45672</v>
      </c>
      <c r="BZ4" s="146">
        <v>45705</v>
      </c>
      <c r="CA4" s="146">
        <v>45705</v>
      </c>
      <c r="CB4" s="146">
        <v>45707</v>
      </c>
      <c r="CC4" s="146">
        <v>45707</v>
      </c>
      <c r="CD4" s="146">
        <v>45646</v>
      </c>
      <c r="CE4" s="146">
        <v>45727</v>
      </c>
      <c r="CF4" s="146">
        <v>45741</v>
      </c>
      <c r="CG4" s="146">
        <v>45671</v>
      </c>
      <c r="CH4" s="146">
        <v>45736</v>
      </c>
      <c r="CI4" s="146">
        <v>45789</v>
      </c>
      <c r="CJ4" s="146">
        <v>45792</v>
      </c>
    </row>
    <row r="5" spans="1:88" s="142" customFormat="1" x14ac:dyDescent="0.25">
      <c r="A5" s="147" t="s">
        <v>196</v>
      </c>
      <c r="B5" s="148"/>
      <c r="C5" s="139">
        <v>44936</v>
      </c>
      <c r="D5" s="139">
        <v>44957</v>
      </c>
      <c r="E5" s="139">
        <v>44958</v>
      </c>
      <c r="F5" s="139">
        <v>44978</v>
      </c>
      <c r="G5" s="139">
        <v>44978</v>
      </c>
      <c r="H5" s="139">
        <v>44984</v>
      </c>
      <c r="I5" s="139">
        <v>44980</v>
      </c>
      <c r="J5" s="139">
        <v>44987</v>
      </c>
      <c r="K5" s="139">
        <v>44998</v>
      </c>
      <c r="L5" s="139">
        <v>45036</v>
      </c>
      <c r="M5" s="139">
        <v>45023</v>
      </c>
      <c r="N5" s="139">
        <v>45035</v>
      </c>
      <c r="O5" s="139">
        <v>45069</v>
      </c>
      <c r="P5" s="139">
        <v>45063</v>
      </c>
      <c r="Q5" s="139">
        <v>45104</v>
      </c>
      <c r="R5" s="139">
        <v>45135</v>
      </c>
      <c r="S5" s="139">
        <v>45127</v>
      </c>
      <c r="T5" s="139">
        <v>45156</v>
      </c>
      <c r="U5" s="139">
        <v>45145</v>
      </c>
      <c r="V5" s="139">
        <v>45137</v>
      </c>
      <c r="W5" s="139">
        <v>45167</v>
      </c>
      <c r="X5" s="139">
        <v>45167</v>
      </c>
      <c r="Y5" s="139">
        <v>45163</v>
      </c>
      <c r="Z5" s="139">
        <v>45170</v>
      </c>
      <c r="AA5" s="139">
        <v>45170</v>
      </c>
      <c r="AB5" s="139">
        <v>45166</v>
      </c>
      <c r="AC5" s="139">
        <v>45181</v>
      </c>
      <c r="AD5" s="139">
        <v>45177</v>
      </c>
      <c r="AE5" s="139">
        <v>45217</v>
      </c>
      <c r="AF5" s="139">
        <v>45201</v>
      </c>
      <c r="AG5" s="139">
        <v>45205</v>
      </c>
      <c r="AH5" s="139">
        <v>45232</v>
      </c>
      <c r="AI5" s="139">
        <v>45287</v>
      </c>
      <c r="AJ5" s="139">
        <v>45278</v>
      </c>
      <c r="AK5" s="139">
        <v>45279</v>
      </c>
      <c r="AL5" s="139">
        <v>45280</v>
      </c>
      <c r="AM5" s="142">
        <v>45280</v>
      </c>
      <c r="AN5" s="139">
        <v>45229</v>
      </c>
      <c r="AO5" s="144"/>
      <c r="AP5" s="139">
        <v>45316</v>
      </c>
      <c r="AQ5" s="139">
        <v>45310</v>
      </c>
      <c r="AR5" s="139">
        <v>45356</v>
      </c>
      <c r="AS5" s="139">
        <v>45363</v>
      </c>
      <c r="AT5" s="139">
        <v>45364</v>
      </c>
      <c r="AU5" s="139">
        <v>45372</v>
      </c>
      <c r="AV5" s="139">
        <v>45386</v>
      </c>
      <c r="AW5" s="139">
        <v>45401</v>
      </c>
      <c r="AX5" s="139">
        <v>45442</v>
      </c>
      <c r="AY5" s="139">
        <v>45419</v>
      </c>
      <c r="AZ5" s="139">
        <v>45439</v>
      </c>
      <c r="BA5" s="139">
        <v>45471</v>
      </c>
      <c r="BB5" s="139">
        <v>45468</v>
      </c>
      <c r="BC5" s="139">
        <v>45456</v>
      </c>
      <c r="BD5" s="139">
        <v>45483</v>
      </c>
      <c r="BE5" s="139">
        <v>45503</v>
      </c>
      <c r="BF5" s="139">
        <v>45498</v>
      </c>
      <c r="BG5" s="139">
        <v>45498</v>
      </c>
      <c r="BH5" s="139">
        <v>45512</v>
      </c>
      <c r="BI5" s="139">
        <v>45566</v>
      </c>
      <c r="BJ5" s="139">
        <v>45574</v>
      </c>
      <c r="BK5" s="139">
        <v>45583</v>
      </c>
      <c r="BL5" s="139">
        <v>45586</v>
      </c>
      <c r="BM5" s="139">
        <v>45618</v>
      </c>
      <c r="BN5" s="139">
        <v>45602</v>
      </c>
      <c r="BO5" s="139">
        <v>45636</v>
      </c>
      <c r="BP5" s="139">
        <v>45653</v>
      </c>
      <c r="BQ5" s="142">
        <v>45622</v>
      </c>
      <c r="BR5" s="139">
        <v>45671</v>
      </c>
      <c r="BS5" s="139">
        <v>45677</v>
      </c>
      <c r="BT5" s="146">
        <v>45672</v>
      </c>
      <c r="BU5" s="139">
        <v>45679</v>
      </c>
      <c r="BV5" s="139">
        <v>45670</v>
      </c>
      <c r="BW5" s="146">
        <v>45706</v>
      </c>
      <c r="BX5" s="139">
        <v>45713</v>
      </c>
      <c r="BY5" s="146">
        <v>45715</v>
      </c>
      <c r="BZ5" s="146">
        <v>45705</v>
      </c>
      <c r="CA5" s="146">
        <v>45730</v>
      </c>
      <c r="CB5" s="146">
        <v>45734</v>
      </c>
      <c r="CC5" s="146">
        <v>45734</v>
      </c>
      <c r="CD5" s="146">
        <v>45772</v>
      </c>
      <c r="CE5" s="146">
        <v>45765</v>
      </c>
      <c r="CF5" s="146">
        <v>45764</v>
      </c>
      <c r="CG5" s="146">
        <v>45782</v>
      </c>
      <c r="CH5" s="146"/>
      <c r="CI5" s="146"/>
      <c r="CJ5" s="146"/>
    </row>
    <row r="6" spans="1:88" s="16" customFormat="1" x14ac:dyDescent="0.25">
      <c r="A6" s="149" t="s">
        <v>197</v>
      </c>
      <c r="B6" s="150"/>
      <c r="C6" s="16" t="s">
        <v>198</v>
      </c>
      <c r="D6" s="16" t="s">
        <v>198</v>
      </c>
      <c r="E6" s="16" t="s">
        <v>198</v>
      </c>
      <c r="F6" s="16" t="s">
        <v>198</v>
      </c>
      <c r="H6" s="16" t="s">
        <v>198</v>
      </c>
      <c r="I6" s="16" t="s">
        <v>198</v>
      </c>
      <c r="J6" s="16" t="s">
        <v>198</v>
      </c>
      <c r="K6" s="16" t="s">
        <v>199</v>
      </c>
      <c r="L6" s="16" t="s">
        <v>200</v>
      </c>
      <c r="M6" s="139" t="s">
        <v>200</v>
      </c>
      <c r="N6" s="16" t="s">
        <v>200</v>
      </c>
      <c r="O6" s="16" t="s">
        <v>199</v>
      </c>
      <c r="P6" s="16" t="s">
        <v>200</v>
      </c>
      <c r="Q6" s="16" t="s">
        <v>200</v>
      </c>
      <c r="AO6" s="151"/>
      <c r="AS6" s="16" t="s">
        <v>201</v>
      </c>
      <c r="CF6" s="139">
        <v>45778</v>
      </c>
    </row>
    <row r="7" spans="1:88" s="16" customFormat="1" x14ac:dyDescent="0.25">
      <c r="A7" s="149" t="s">
        <v>202</v>
      </c>
      <c r="B7" s="150"/>
      <c r="C7" s="16" t="s">
        <v>198</v>
      </c>
      <c r="D7" s="16" t="s">
        <v>198</v>
      </c>
      <c r="E7" s="16" t="s">
        <v>198</v>
      </c>
      <c r="N7" s="16" t="s">
        <v>199</v>
      </c>
      <c r="Q7" s="16" t="s">
        <v>199</v>
      </c>
      <c r="V7" s="16" t="s">
        <v>199</v>
      </c>
      <c r="W7" s="16" t="s">
        <v>199</v>
      </c>
      <c r="AC7" s="16" t="s">
        <v>199</v>
      </c>
      <c r="AO7" s="151"/>
    </row>
    <row r="8" spans="1:88" s="155" customFormat="1" x14ac:dyDescent="0.25">
      <c r="A8" s="152" t="s">
        <v>203</v>
      </c>
      <c r="B8" s="153"/>
      <c r="C8" s="154">
        <f t="shared" ref="C8" si="0">DATEDIF(C9,C17,"d")</f>
        <v>0</v>
      </c>
      <c r="E8" s="155">
        <v>0</v>
      </c>
      <c r="F8" s="154"/>
      <c r="G8" s="154"/>
      <c r="H8" s="154"/>
      <c r="I8" s="154">
        <v>0</v>
      </c>
      <c r="J8" s="154">
        <f ca="1">DATEDIF(J4,A1,"yd")</f>
        <v>159</v>
      </c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6"/>
      <c r="AP8" s="154"/>
      <c r="BC8" s="16"/>
    </row>
    <row r="9" spans="1:88" s="16" customFormat="1" x14ac:dyDescent="0.25">
      <c r="A9" s="149" t="s">
        <v>204</v>
      </c>
      <c r="B9" s="150"/>
      <c r="E9" s="16" t="s">
        <v>205</v>
      </c>
      <c r="F9" s="139"/>
      <c r="G9" s="139"/>
      <c r="H9" s="139"/>
      <c r="J9" s="139"/>
      <c r="L9" s="139"/>
      <c r="N9" s="139">
        <v>45015</v>
      </c>
      <c r="Q9" s="16" t="s">
        <v>199</v>
      </c>
      <c r="AA9" s="139">
        <v>45106</v>
      </c>
      <c r="AC9" s="139">
        <v>45142</v>
      </c>
      <c r="AO9" s="151"/>
      <c r="AP9" s="139"/>
      <c r="BB9" s="139">
        <v>45473</v>
      </c>
    </row>
    <row r="10" spans="1:88" s="16" customFormat="1" ht="28.5" hidden="1" x14ac:dyDescent="0.25">
      <c r="A10" s="157" t="s">
        <v>206</v>
      </c>
      <c r="B10" s="158"/>
      <c r="AO10" s="151"/>
    </row>
    <row r="11" spans="1:88" s="16" customFormat="1" x14ac:dyDescent="0.25">
      <c r="A11" s="149" t="s">
        <v>207</v>
      </c>
      <c r="B11" s="150"/>
      <c r="AO11" s="151"/>
      <c r="BQ11" s="159">
        <f>7/12</f>
        <v>0.58333333333333337</v>
      </c>
    </row>
    <row r="12" spans="1:88" s="161" customFormat="1" hidden="1" x14ac:dyDescent="0.25">
      <c r="A12" s="160" t="s">
        <v>208</v>
      </c>
      <c r="B12" s="150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62"/>
      <c r="AI12" s="13"/>
      <c r="AJ12" s="13"/>
      <c r="AK12" s="13"/>
      <c r="AL12" s="13"/>
      <c r="AM12" s="13"/>
      <c r="AN12" s="13"/>
      <c r="AO12" s="163"/>
      <c r="AP12" s="162"/>
      <c r="AQ12" s="13"/>
      <c r="AR12" s="13"/>
      <c r="AU12" s="13"/>
      <c r="AV12" s="13"/>
      <c r="AW12" s="13"/>
      <c r="AX12" s="13"/>
      <c r="AY12" s="13"/>
      <c r="BA12" s="13"/>
      <c r="BB12" s="13"/>
      <c r="BC12" s="16"/>
      <c r="BD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U12" s="13"/>
      <c r="BV12" s="13"/>
      <c r="BX12" s="13"/>
    </row>
    <row r="13" spans="1:88" s="13" customFormat="1" hidden="1" x14ac:dyDescent="0.25">
      <c r="A13" s="149" t="s">
        <v>209</v>
      </c>
      <c r="B13" s="15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T13" s="16"/>
      <c r="AH13" s="16"/>
      <c r="AO13" s="163"/>
      <c r="AP13" s="16"/>
      <c r="BC13" s="16"/>
    </row>
    <row r="14" spans="1:88" s="13" customFormat="1" x14ac:dyDescent="0.25">
      <c r="A14" s="164" t="s">
        <v>210</v>
      </c>
      <c r="B14" s="158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T14" s="165"/>
      <c r="AH14" s="16"/>
      <c r="AO14" s="163"/>
      <c r="AP14" s="16"/>
      <c r="BC14" s="16"/>
    </row>
    <row r="15" spans="1:88" s="13" customFormat="1" x14ac:dyDescent="0.25">
      <c r="A15" s="164" t="s">
        <v>211</v>
      </c>
      <c r="B15" s="158"/>
      <c r="H15" s="16"/>
      <c r="AO15" s="163"/>
      <c r="BC15" s="16"/>
    </row>
    <row r="16" spans="1:88" s="13" customFormat="1" x14ac:dyDescent="0.25">
      <c r="A16" s="164" t="s">
        <v>212</v>
      </c>
      <c r="B16" s="158"/>
      <c r="H16" s="16"/>
      <c r="AO16" s="163"/>
      <c r="BC16" s="16"/>
    </row>
    <row r="17" spans="1:86" s="145" customFormat="1" x14ac:dyDescent="0.3">
      <c r="A17" s="166" t="s">
        <v>213</v>
      </c>
      <c r="B17" s="167"/>
      <c r="I17" s="142">
        <v>45048</v>
      </c>
      <c r="J17" s="145">
        <v>45001</v>
      </c>
      <c r="L17" s="142">
        <v>45078</v>
      </c>
      <c r="M17" s="145">
        <v>45027</v>
      </c>
      <c r="N17" s="142">
        <v>45078</v>
      </c>
      <c r="O17" s="142">
        <v>45078</v>
      </c>
      <c r="P17" s="142">
        <v>45078</v>
      </c>
      <c r="Q17" s="145">
        <v>45110</v>
      </c>
      <c r="R17" s="145">
        <v>45139</v>
      </c>
      <c r="S17" s="145">
        <v>45139</v>
      </c>
      <c r="T17" s="168">
        <v>45170</v>
      </c>
      <c r="U17" s="168">
        <v>45170</v>
      </c>
      <c r="V17" s="168">
        <v>45170</v>
      </c>
      <c r="W17" s="139">
        <v>45170</v>
      </c>
      <c r="X17" s="169">
        <v>45200</v>
      </c>
      <c r="Y17" s="139">
        <v>45170</v>
      </c>
      <c r="Z17" s="145">
        <v>45182</v>
      </c>
      <c r="AB17" s="145">
        <v>45183</v>
      </c>
      <c r="AC17" s="145">
        <v>45183</v>
      </c>
      <c r="AD17" s="145">
        <v>45201</v>
      </c>
      <c r="AE17" s="145">
        <v>45214</v>
      </c>
      <c r="AF17" s="145">
        <v>45208</v>
      </c>
      <c r="AG17" s="145">
        <v>45202</v>
      </c>
      <c r="AH17" s="145">
        <v>45243</v>
      </c>
      <c r="AI17" s="145">
        <v>45293</v>
      </c>
      <c r="AJ17" s="145">
        <v>45293</v>
      </c>
      <c r="AK17" s="145">
        <v>45293</v>
      </c>
      <c r="AL17" s="145">
        <v>45293</v>
      </c>
      <c r="AM17" s="145">
        <v>45341</v>
      </c>
      <c r="AN17" s="145">
        <v>45278</v>
      </c>
      <c r="AO17" s="170"/>
      <c r="AQ17" s="145">
        <v>45355</v>
      </c>
      <c r="AR17" s="145">
        <v>45376</v>
      </c>
      <c r="AS17" s="139">
        <v>45383</v>
      </c>
      <c r="AT17" s="145">
        <v>45376</v>
      </c>
      <c r="AU17" s="145">
        <v>45383</v>
      </c>
      <c r="AV17" s="145">
        <v>45398</v>
      </c>
      <c r="AW17" s="145">
        <v>45418</v>
      </c>
      <c r="AX17" s="145">
        <v>45446</v>
      </c>
      <c r="AY17" s="145">
        <v>45435</v>
      </c>
      <c r="AZ17" s="145">
        <v>45446</v>
      </c>
      <c r="BA17" s="145">
        <v>45474</v>
      </c>
      <c r="BB17" s="145">
        <v>45498</v>
      </c>
      <c r="BC17" s="145">
        <v>45460</v>
      </c>
      <c r="BD17" s="145">
        <v>45490</v>
      </c>
      <c r="BE17" s="145">
        <v>45511</v>
      </c>
      <c r="BF17" s="145">
        <v>45511</v>
      </c>
      <c r="BG17" s="145">
        <v>45536</v>
      </c>
      <c r="BH17" s="145">
        <v>45520</v>
      </c>
      <c r="BI17" s="145">
        <v>45572</v>
      </c>
      <c r="BJ17" s="145">
        <v>45600</v>
      </c>
      <c r="BK17" s="145">
        <v>45628</v>
      </c>
      <c r="BL17" s="145">
        <v>45611</v>
      </c>
      <c r="BM17" s="145">
        <v>45625</v>
      </c>
      <c r="BN17" s="145">
        <v>45621</v>
      </c>
      <c r="BO17" s="145">
        <v>45642</v>
      </c>
      <c r="BP17" s="145">
        <v>45705</v>
      </c>
      <c r="BQ17" s="145">
        <v>45701</v>
      </c>
      <c r="BR17" s="145">
        <v>45721</v>
      </c>
      <c r="BS17" s="145">
        <v>45695</v>
      </c>
      <c r="BT17" s="145">
        <v>45684</v>
      </c>
      <c r="BU17" s="145">
        <v>45695</v>
      </c>
      <c r="BV17" s="145">
        <v>45679</v>
      </c>
      <c r="BW17" s="171">
        <v>45721</v>
      </c>
      <c r="BX17" s="171">
        <v>45740</v>
      </c>
      <c r="BY17" s="171">
        <v>45721</v>
      </c>
      <c r="BZ17" s="171">
        <v>45754</v>
      </c>
      <c r="CA17" s="171">
        <v>45740</v>
      </c>
      <c r="CB17" s="171">
        <v>45740</v>
      </c>
      <c r="CC17" s="171">
        <v>45740</v>
      </c>
      <c r="CD17" s="171">
        <v>45782</v>
      </c>
      <c r="CE17" s="171">
        <v>45782</v>
      </c>
      <c r="CF17" s="171">
        <v>45778</v>
      </c>
      <c r="CG17" s="171">
        <v>45789</v>
      </c>
      <c r="CH17" s="171"/>
    </row>
    <row r="18" spans="1:86" s="145" customFormat="1" x14ac:dyDescent="0.3">
      <c r="A18" s="166" t="s">
        <v>214</v>
      </c>
      <c r="B18" s="167"/>
      <c r="C18" s="145">
        <v>44902</v>
      </c>
      <c r="D18" s="145">
        <v>44952</v>
      </c>
      <c r="E18" s="145">
        <v>44946</v>
      </c>
      <c r="L18" s="145">
        <v>45034</v>
      </c>
      <c r="O18" s="145">
        <v>45005</v>
      </c>
      <c r="Q18" s="145">
        <v>37774</v>
      </c>
      <c r="R18" s="145">
        <v>45133</v>
      </c>
      <c r="S18" s="145">
        <v>45126</v>
      </c>
      <c r="T18" s="145">
        <v>45148</v>
      </c>
      <c r="U18" s="145">
        <v>45127</v>
      </c>
      <c r="V18" s="145">
        <v>45136</v>
      </c>
      <c r="W18" s="145">
        <v>45119</v>
      </c>
      <c r="X18" s="145">
        <v>45149</v>
      </c>
      <c r="Y18" s="145">
        <v>45140</v>
      </c>
      <c r="Z18" s="145">
        <v>45168</v>
      </c>
      <c r="AA18" s="145">
        <v>45131</v>
      </c>
      <c r="AB18" s="145">
        <v>45156</v>
      </c>
      <c r="AC18" s="145">
        <v>45121</v>
      </c>
      <c r="AD18" s="145">
        <v>45173</v>
      </c>
      <c r="AE18" s="145">
        <v>45191</v>
      </c>
      <c r="AF18" s="145">
        <v>45196</v>
      </c>
      <c r="AG18" s="145">
        <v>45202</v>
      </c>
      <c r="AH18" s="145">
        <v>45224</v>
      </c>
      <c r="AI18" s="145">
        <v>45239</v>
      </c>
      <c r="AJ18" s="145">
        <v>45252</v>
      </c>
      <c r="AK18" s="145">
        <v>45251</v>
      </c>
      <c r="AL18" s="145">
        <v>45215</v>
      </c>
      <c r="AM18" s="145">
        <v>45205</v>
      </c>
      <c r="AO18" s="170"/>
      <c r="AP18" s="145">
        <v>45278</v>
      </c>
      <c r="AQ18" s="145">
        <v>45307</v>
      </c>
      <c r="AR18" s="145">
        <v>45279</v>
      </c>
      <c r="AS18" s="145">
        <v>45336</v>
      </c>
      <c r="AT18" s="145">
        <v>45335</v>
      </c>
      <c r="AU18" s="145">
        <v>45328</v>
      </c>
      <c r="AV18" s="145">
        <v>45366</v>
      </c>
      <c r="AW18" s="145">
        <v>45394</v>
      </c>
      <c r="AX18" s="145">
        <v>45443</v>
      </c>
      <c r="AY18" s="145">
        <v>45364</v>
      </c>
      <c r="AZ18" s="145">
        <v>45349</v>
      </c>
      <c r="BA18" s="145">
        <v>45440</v>
      </c>
      <c r="BB18" s="145">
        <v>45463</v>
      </c>
      <c r="BC18" s="139">
        <v>45442</v>
      </c>
      <c r="BD18" s="145">
        <v>45476</v>
      </c>
      <c r="BE18" s="172">
        <v>45344</v>
      </c>
      <c r="BF18" s="145">
        <v>45486</v>
      </c>
      <c r="BG18" s="145">
        <v>45492</v>
      </c>
      <c r="BH18" s="145">
        <v>45482</v>
      </c>
      <c r="BI18" s="145">
        <v>45559</v>
      </c>
      <c r="BJ18" s="145">
        <v>45540</v>
      </c>
      <c r="BK18" s="145">
        <v>45530</v>
      </c>
      <c r="BL18" s="145">
        <v>45559</v>
      </c>
      <c r="BN18" s="145">
        <v>45594</v>
      </c>
      <c r="BO18" s="145">
        <v>45625</v>
      </c>
      <c r="BP18" s="145">
        <v>45601</v>
      </c>
      <c r="BQ18" s="145">
        <v>45463</v>
      </c>
      <c r="BR18" s="145">
        <v>45638</v>
      </c>
      <c r="BS18" s="145">
        <v>45646</v>
      </c>
      <c r="BT18" s="168"/>
      <c r="BU18" s="145">
        <v>45647</v>
      </c>
      <c r="BV18" s="145">
        <v>45656</v>
      </c>
      <c r="BW18" s="171"/>
      <c r="BX18" s="171">
        <v>45686</v>
      </c>
      <c r="BY18" s="171">
        <v>45700</v>
      </c>
      <c r="BZ18" s="173"/>
      <c r="CA18" s="171">
        <v>45741</v>
      </c>
      <c r="CB18" s="171">
        <v>45721</v>
      </c>
      <c r="CC18" s="171">
        <v>45723</v>
      </c>
      <c r="CD18" s="171">
        <v>45741</v>
      </c>
      <c r="CE18" s="171">
        <v>45755</v>
      </c>
      <c r="CF18" s="171">
        <v>45765</v>
      </c>
      <c r="CG18" s="171">
        <v>45769</v>
      </c>
      <c r="CH18" s="171">
        <v>45761</v>
      </c>
    </row>
    <row r="19" spans="1:86" s="145" customFormat="1" x14ac:dyDescent="0.3">
      <c r="A19" s="166" t="s">
        <v>215</v>
      </c>
      <c r="B19" s="167"/>
      <c r="C19" s="145">
        <v>44910</v>
      </c>
      <c r="D19" s="145">
        <v>44958</v>
      </c>
      <c r="E19" s="145">
        <v>44951</v>
      </c>
      <c r="F19" s="145">
        <v>44956</v>
      </c>
      <c r="G19" s="145">
        <v>44967</v>
      </c>
      <c r="H19" s="145">
        <v>44959</v>
      </c>
      <c r="I19" s="145">
        <v>44956</v>
      </c>
      <c r="J19" s="145">
        <v>44987</v>
      </c>
      <c r="K19" s="145">
        <v>45015</v>
      </c>
      <c r="L19" s="145">
        <v>45037</v>
      </c>
      <c r="M19" s="145">
        <v>45023</v>
      </c>
      <c r="N19" s="145">
        <v>45019</v>
      </c>
      <c r="O19" s="145">
        <v>45015</v>
      </c>
      <c r="P19" s="145">
        <v>45069</v>
      </c>
      <c r="Q19" s="145">
        <v>45079</v>
      </c>
      <c r="R19" s="145">
        <v>45134</v>
      </c>
      <c r="S19" s="145">
        <v>45127</v>
      </c>
      <c r="T19" s="145">
        <v>45149</v>
      </c>
      <c r="U19" s="145">
        <v>45128</v>
      </c>
      <c r="V19" s="168">
        <v>45136</v>
      </c>
      <c r="W19" s="145">
        <v>45134</v>
      </c>
      <c r="X19" s="145">
        <v>45150</v>
      </c>
      <c r="Y19" s="145">
        <v>45141</v>
      </c>
      <c r="Z19" s="168">
        <v>45168</v>
      </c>
      <c r="AA19" s="145">
        <v>45159</v>
      </c>
      <c r="AB19" s="168">
        <v>45162</v>
      </c>
      <c r="AC19" s="145">
        <v>45153</v>
      </c>
      <c r="AD19" s="145">
        <v>45174</v>
      </c>
      <c r="AE19" s="145">
        <v>45195</v>
      </c>
      <c r="AF19" s="145">
        <v>45196</v>
      </c>
      <c r="AG19" s="145">
        <v>45202</v>
      </c>
      <c r="AH19" s="145">
        <v>45225</v>
      </c>
      <c r="AI19" s="145">
        <v>45243</v>
      </c>
      <c r="AJ19" s="145">
        <v>45254</v>
      </c>
      <c r="AK19" s="145">
        <v>45252</v>
      </c>
      <c r="AL19" s="145">
        <v>45257</v>
      </c>
      <c r="AM19" s="145">
        <v>45205</v>
      </c>
      <c r="AO19" s="170"/>
      <c r="AP19" s="145">
        <v>45278</v>
      </c>
      <c r="AQ19" s="145">
        <v>45309</v>
      </c>
      <c r="AR19" s="145">
        <v>45279</v>
      </c>
      <c r="AS19" s="145">
        <v>45341</v>
      </c>
      <c r="AT19" s="145">
        <v>45367</v>
      </c>
      <c r="AU19" s="145">
        <v>45330</v>
      </c>
      <c r="AV19" s="145">
        <v>45371</v>
      </c>
      <c r="AW19" s="145">
        <v>45398</v>
      </c>
      <c r="AX19" s="145">
        <v>45443</v>
      </c>
      <c r="AY19" s="145">
        <v>45369</v>
      </c>
      <c r="AZ19" s="145">
        <v>45422</v>
      </c>
      <c r="BA19" s="145">
        <v>45446</v>
      </c>
      <c r="BB19" s="145">
        <v>45464</v>
      </c>
      <c r="BC19" s="139">
        <v>45446</v>
      </c>
      <c r="BD19" s="145">
        <v>45476</v>
      </c>
      <c r="BE19" s="145">
        <v>45490</v>
      </c>
      <c r="BF19" s="145">
        <v>45488</v>
      </c>
      <c r="BG19" s="145">
        <v>45494</v>
      </c>
      <c r="BH19" s="145">
        <v>45488</v>
      </c>
      <c r="BI19" s="145">
        <v>45562</v>
      </c>
      <c r="BJ19" s="145">
        <v>45540</v>
      </c>
      <c r="BK19" s="145">
        <v>45531</v>
      </c>
      <c r="BL19" s="145">
        <v>45566</v>
      </c>
      <c r="BM19" s="145">
        <v>45609</v>
      </c>
      <c r="BN19" s="145">
        <v>45595</v>
      </c>
      <c r="BO19" s="145">
        <v>45628</v>
      </c>
      <c r="BP19" s="145">
        <v>45621</v>
      </c>
      <c r="BQ19" s="145">
        <v>45467</v>
      </c>
      <c r="BR19" s="145">
        <v>45638</v>
      </c>
      <c r="BS19" s="145">
        <v>45665</v>
      </c>
      <c r="BT19" s="168"/>
      <c r="BU19" s="145">
        <v>45663</v>
      </c>
      <c r="BV19" s="145">
        <v>45665</v>
      </c>
      <c r="BW19" s="171"/>
      <c r="BX19" s="171">
        <v>45688</v>
      </c>
      <c r="BY19" s="171">
        <v>45700</v>
      </c>
      <c r="BZ19" s="173"/>
      <c r="CA19" s="171">
        <v>45748</v>
      </c>
      <c r="CB19" s="171">
        <v>45726</v>
      </c>
      <c r="CC19" s="171">
        <v>45726</v>
      </c>
      <c r="CD19" s="171">
        <v>45748</v>
      </c>
      <c r="CE19" s="171">
        <v>45761</v>
      </c>
      <c r="CF19" s="171">
        <v>45400</v>
      </c>
      <c r="CG19" s="171">
        <v>45771</v>
      </c>
      <c r="CH19" s="171">
        <v>45763</v>
      </c>
    </row>
    <row r="20" spans="1:86" s="145" customFormat="1" x14ac:dyDescent="0.3">
      <c r="A20" s="166"/>
      <c r="B20" s="167"/>
      <c r="AO20" s="170"/>
      <c r="BC20" s="16"/>
    </row>
    <row r="21" spans="1:86" s="176" customFormat="1" ht="14.25" x14ac:dyDescent="0.2">
      <c r="A21" s="174" t="s">
        <v>216</v>
      </c>
      <c r="B21" s="175"/>
      <c r="C21" s="176">
        <f t="shared" ref="C21:J21" si="1">DATEDIF(C4,C19,"yd")</f>
        <v>52</v>
      </c>
      <c r="D21" s="176">
        <f t="shared" si="1"/>
        <v>48</v>
      </c>
      <c r="E21" s="176">
        <f t="shared" si="1"/>
        <v>7</v>
      </c>
      <c r="F21" s="176">
        <f t="shared" si="1"/>
        <v>47</v>
      </c>
      <c r="G21" s="176">
        <f t="shared" si="1"/>
        <v>56</v>
      </c>
      <c r="H21" s="176">
        <f t="shared" si="1"/>
        <v>50</v>
      </c>
      <c r="I21" s="176">
        <f t="shared" si="1"/>
        <v>5</v>
      </c>
      <c r="J21" s="176">
        <f t="shared" si="1"/>
        <v>51</v>
      </c>
      <c r="K21" s="176">
        <f>DATEDIF(K4,K19,"yd")</f>
        <v>42</v>
      </c>
      <c r="L21" s="176">
        <f t="shared" ref="L21:AB21" si="2">DATEDIF(L4,L19,"yd")</f>
        <v>101</v>
      </c>
      <c r="M21" s="176">
        <f t="shared" si="2"/>
        <v>4</v>
      </c>
      <c r="N21" s="176">
        <f t="shared" si="2"/>
        <v>7</v>
      </c>
      <c r="O21" s="176">
        <f t="shared" si="2"/>
        <v>42</v>
      </c>
      <c r="P21" s="176">
        <f t="shared" si="2"/>
        <v>36</v>
      </c>
      <c r="Q21" s="176">
        <f t="shared" si="2"/>
        <v>31</v>
      </c>
      <c r="R21" s="176">
        <f t="shared" si="2"/>
        <v>72</v>
      </c>
      <c r="S21" s="176">
        <f>DATEDIF(S4,S19,"yd")</f>
        <v>51</v>
      </c>
      <c r="T21" s="176">
        <f t="shared" si="2"/>
        <v>87</v>
      </c>
      <c r="U21" s="176">
        <f t="shared" si="2"/>
        <v>65</v>
      </c>
      <c r="V21" s="176">
        <f t="shared" si="2"/>
        <v>50</v>
      </c>
      <c r="W21" s="176">
        <f t="shared" si="2"/>
        <v>41</v>
      </c>
      <c r="X21" s="176">
        <f>DATEDIF(X4,X19,"yd")</f>
        <v>39</v>
      </c>
      <c r="Y21" s="176">
        <f>DATEDIF(Y4,Y19,"yd")</f>
        <v>28</v>
      </c>
      <c r="Z21" s="176">
        <f>DATEDIF(Z4,Z19,"yd")</f>
        <v>9</v>
      </c>
      <c r="AA21" s="176">
        <f t="shared" si="2"/>
        <v>53</v>
      </c>
      <c r="AB21" s="176">
        <f t="shared" si="2"/>
        <v>34</v>
      </c>
      <c r="AC21" s="176">
        <f>DATEDIF(AC4,AC19,"yd")</f>
        <v>61</v>
      </c>
      <c r="AD21" s="176">
        <f>DATEDIF(AD4,AD19,"yd")</f>
        <v>18</v>
      </c>
      <c r="AE21" s="176">
        <f t="shared" ref="AE21:AJ21" si="3">DATEDIF(AE4,AE19,"yd")</f>
        <v>46</v>
      </c>
      <c r="AF21" s="176">
        <f>DATEDIF(AF4,AF19,"yd")</f>
        <v>8</v>
      </c>
      <c r="AG21" s="176">
        <f>DATEDIF(AG4,AG19,"yd")</f>
        <v>27</v>
      </c>
      <c r="AH21" s="176">
        <f>DATEDIF(AH4,AH19,"yd")</f>
        <v>31</v>
      </c>
      <c r="AI21" s="176">
        <f t="shared" si="3"/>
        <v>52</v>
      </c>
      <c r="AJ21" s="176">
        <f t="shared" si="3"/>
        <v>39</v>
      </c>
      <c r="AK21" s="176">
        <f>DATEDIF(AK4,AK19,"yd")</f>
        <v>36</v>
      </c>
      <c r="AL21" s="176">
        <f t="shared" ref="AL21:BD21" si="4">DATEDIF(AL4,AL19,"yd")</f>
        <v>84</v>
      </c>
      <c r="AM21" s="176">
        <f>DATEDIF(AM4,AM19,"yd")</f>
        <v>24</v>
      </c>
      <c r="AN21" s="176" t="e">
        <f>DATEDIF(AN4,AN19,"yd")</f>
        <v>#VALUE!</v>
      </c>
      <c r="AO21" s="177"/>
      <c r="AP21" s="176">
        <f t="shared" si="4"/>
        <v>31</v>
      </c>
      <c r="AQ21" s="176">
        <f t="shared" si="4"/>
        <v>27</v>
      </c>
      <c r="AR21" s="176">
        <f t="shared" si="4"/>
        <v>25</v>
      </c>
      <c r="AS21" s="176">
        <f>DATEDIF(AS4,AS19,"yd")</f>
        <v>33</v>
      </c>
      <c r="AT21" s="176">
        <f>DATEDIF(AT4,AT19,"yd")</f>
        <v>66</v>
      </c>
      <c r="AU21" s="176">
        <f>DATEDIF(AU4,AU19,"yd")</f>
        <v>42</v>
      </c>
      <c r="AV21" s="176">
        <f t="shared" si="4"/>
        <v>89</v>
      </c>
      <c r="AW21" s="176">
        <f t="shared" si="4"/>
        <v>32</v>
      </c>
      <c r="AX21" s="176">
        <f t="shared" si="4"/>
        <v>3</v>
      </c>
      <c r="AY21" s="176">
        <f>DATEDIF(AY4,AY19,"yd")</f>
        <v>68</v>
      </c>
      <c r="AZ21" s="176">
        <f t="shared" si="4"/>
        <v>16</v>
      </c>
      <c r="BA21" s="176">
        <f t="shared" si="4"/>
        <v>48</v>
      </c>
      <c r="BB21" s="176">
        <f t="shared" si="4"/>
        <v>39</v>
      </c>
      <c r="BC21" s="176">
        <f>DATEDIF(BC4,BC19,"yd")</f>
        <v>32</v>
      </c>
      <c r="BD21" s="176">
        <f t="shared" si="4"/>
        <v>51</v>
      </c>
      <c r="BE21" s="176">
        <f>DATEDIF(BE4,BE19,"yd")</f>
        <v>54</v>
      </c>
      <c r="BF21" s="176">
        <f t="shared" ref="BF21:BI21" si="5">DATEDIF(BF4,BF19,"yd")</f>
        <v>32</v>
      </c>
      <c r="BG21" s="176">
        <f t="shared" si="5"/>
        <v>26</v>
      </c>
      <c r="BH21" s="176">
        <f t="shared" si="5"/>
        <v>46</v>
      </c>
      <c r="BI21" s="176">
        <f t="shared" si="5"/>
        <v>39</v>
      </c>
      <c r="BJ21" s="176">
        <f>DATEDIF(BJ4,BJ19,"yd")</f>
        <v>23</v>
      </c>
      <c r="BK21" s="176">
        <f t="shared" ref="BK21" si="6">DATEDIF(BK4,BK19,"yd")</f>
        <v>27</v>
      </c>
      <c r="BL21" s="176">
        <f>DATEDIF(BL4,BL19,"yd")</f>
        <v>46</v>
      </c>
      <c r="BM21" s="176">
        <f>DATEDIF(BM4,BM19,"yd")</f>
        <v>30</v>
      </c>
      <c r="BN21" s="176">
        <f t="shared" ref="BN21:BU21" si="7">DATEDIF(BN4,BN19,"yd")</f>
        <v>22</v>
      </c>
      <c r="BO21" s="176">
        <f t="shared" si="7"/>
        <v>48</v>
      </c>
      <c r="BP21" s="176">
        <f>DATEDIF(BP4,BP19,"yd")</f>
        <v>95</v>
      </c>
      <c r="BQ21" s="176">
        <f>DATEDIF(BQ4,BQ19,"yd")</f>
        <v>81</v>
      </c>
      <c r="BR21" s="176">
        <f t="shared" si="7"/>
        <v>57</v>
      </c>
      <c r="BS21" s="176">
        <f t="shared" si="7"/>
        <v>70</v>
      </c>
      <c r="BU21" s="176">
        <f t="shared" si="7"/>
        <v>61</v>
      </c>
      <c r="BV21" s="176">
        <f>DATEDIF(BV4,BV19,"yd")</f>
        <v>43</v>
      </c>
      <c r="BW21" s="176" t="e">
        <f t="shared" ref="BW21:CH21" si="8">DATEDIF(BW4,BW19,"yd")</f>
        <v>#NUM!</v>
      </c>
      <c r="BX21" s="176">
        <f t="shared" si="8"/>
        <v>87</v>
      </c>
      <c r="BY21" s="176">
        <f t="shared" si="8"/>
        <v>28</v>
      </c>
      <c r="BZ21" s="176" t="e">
        <f t="shared" si="8"/>
        <v>#NUM!</v>
      </c>
      <c r="CA21" s="176">
        <f t="shared" si="8"/>
        <v>43</v>
      </c>
      <c r="CB21" s="176">
        <f t="shared" si="8"/>
        <v>19</v>
      </c>
      <c r="CC21" s="176">
        <f t="shared" si="8"/>
        <v>19</v>
      </c>
      <c r="CD21" s="176">
        <f t="shared" si="8"/>
        <v>102</v>
      </c>
      <c r="CE21" s="176">
        <f t="shared" si="8"/>
        <v>34</v>
      </c>
      <c r="CF21" s="176" t="e">
        <f t="shared" si="8"/>
        <v>#NUM!</v>
      </c>
      <c r="CG21" s="176">
        <f t="shared" si="8"/>
        <v>100</v>
      </c>
      <c r="CH21" s="176">
        <f t="shared" si="8"/>
        <v>27</v>
      </c>
    </row>
    <row r="22" spans="1:86" s="180" customFormat="1" x14ac:dyDescent="0.2">
      <c r="A22" s="178" t="s">
        <v>217</v>
      </c>
      <c r="B22" s="179"/>
      <c r="D22" s="180">
        <f>AVERAGE(C21:D21)</f>
        <v>50</v>
      </c>
      <c r="I22" s="180">
        <f>AVERAGE(C21:I21)</f>
        <v>37.857142857142854</v>
      </c>
      <c r="K22" s="180">
        <f>AVERAGE(C21:K21)</f>
        <v>39.777777777777779</v>
      </c>
      <c r="N22" s="180">
        <f>AVERAGE(C21:N21)</f>
        <v>39.166666666666664</v>
      </c>
      <c r="Q22" s="180">
        <f>AVERAGE(C21:Q21)</f>
        <v>38.6</v>
      </c>
      <c r="S22" s="180">
        <f>AVERAGE(C21:U21)</f>
        <v>44.94736842105263</v>
      </c>
      <c r="U22" s="180">
        <f>AVERAGE(C21:U21)</f>
        <v>44.94736842105263</v>
      </c>
      <c r="V22" s="180">
        <f>AVERAGE(C21:V21)</f>
        <v>45.2</v>
      </c>
      <c r="W22" s="180">
        <f>AVERAGE(C21:W21)</f>
        <v>45</v>
      </c>
      <c r="X22" s="180">
        <f>AVERAGE(C21:X21)</f>
        <v>44.727272727272727</v>
      </c>
      <c r="Y22" s="180">
        <f>AVERAGE(C21:Y21)</f>
        <v>44</v>
      </c>
      <c r="Z22" s="181">
        <f>AVERAGE(C21:Z21)</f>
        <v>42.541666666666664</v>
      </c>
      <c r="AA22" s="180">
        <f>AVERAGE(C21:AA21)</f>
        <v>42.96</v>
      </c>
      <c r="AB22" s="180">
        <f>AVERAGE(C21:AB21)</f>
        <v>42.615384615384613</v>
      </c>
      <c r="AC22" s="180">
        <f>AVERAGE(C21:AC21)</f>
        <v>43.296296296296298</v>
      </c>
      <c r="AD22" s="180">
        <f>AVERAGE(C21:AD21)</f>
        <v>42.392857142857146</v>
      </c>
      <c r="AE22" s="180">
        <f>AVERAGE(C21:AE21)</f>
        <v>42.517241379310342</v>
      </c>
      <c r="AF22" s="180">
        <f>AVERAGE(C21:AF21)</f>
        <v>41.366666666666667</v>
      </c>
      <c r="AG22" s="180">
        <f>AVERAGE(C21:AG21)</f>
        <v>40.903225806451616</v>
      </c>
      <c r="AH22" s="180">
        <f t="shared" ref="AH22" si="9">AVERAGE(E21:AH21)</f>
        <v>39.966666666666669</v>
      </c>
      <c r="AI22" s="180">
        <f>AVERAGE(G21:AI21)</f>
        <v>41.275862068965516</v>
      </c>
      <c r="AJ22" s="180">
        <f>AVERAGE(G21:AJ21)</f>
        <v>41.2</v>
      </c>
      <c r="AK22" s="180">
        <f>AVERAGE(G21:AK21)</f>
        <v>41.032258064516128</v>
      </c>
      <c r="AL22" s="180">
        <f>AVERAGE(G21:AL21)</f>
        <v>42.375</v>
      </c>
      <c r="AM22" s="180">
        <f>AVERAGE(E21:AM21)</f>
        <v>40.971428571428568</v>
      </c>
      <c r="AN22" s="180" t="e">
        <f>AVERAGE(G21:AP21)</f>
        <v>#VALUE!</v>
      </c>
      <c r="AO22" s="182"/>
      <c r="AQ22" s="180">
        <f>AVERAGE(AP21:AQ21)</f>
        <v>29</v>
      </c>
      <c r="AR22" s="180">
        <f>AVERAGE($AP21:AR21)</f>
        <v>27.666666666666668</v>
      </c>
      <c r="AS22" s="180">
        <f>AVERAGE($AP21:AS21)</f>
        <v>29</v>
      </c>
      <c r="AT22" s="180">
        <f>AVERAGE($AP21:AT21)</f>
        <v>36.4</v>
      </c>
      <c r="AU22" s="180">
        <f>AVERAGE($AP21:AU21)</f>
        <v>37.333333333333336</v>
      </c>
      <c r="AV22" s="180">
        <f>AVERAGE($AP21:AV21)</f>
        <v>44.714285714285715</v>
      </c>
      <c r="AW22" s="180">
        <f>AVERAGE($AP21:AW21)</f>
        <v>43.125</v>
      </c>
      <c r="AX22" s="180">
        <f>AVERAGE($AP21:AX21)</f>
        <v>38.666666666666664</v>
      </c>
      <c r="AY22" s="180">
        <f>AVERAGE($AP21:AY21)</f>
        <v>41.6</v>
      </c>
      <c r="AZ22" s="180">
        <f>AVERAGE($AP21:AZ21)</f>
        <v>39.272727272727273</v>
      </c>
      <c r="BA22" s="180">
        <f>AVERAGE($AP21:BA21)</f>
        <v>40</v>
      </c>
      <c r="BB22" s="180">
        <f>AVERAGE($AP21:BB21)</f>
        <v>39.92307692307692</v>
      </c>
      <c r="BC22" s="176">
        <f>AVERAGE($AP21:BC21)</f>
        <v>39.357142857142854</v>
      </c>
      <c r="BD22" s="180">
        <f>AVERAGE($AP21:BD21)</f>
        <v>40.133333333333333</v>
      </c>
      <c r="BE22" s="180">
        <f>AVERAGE($AP21:BE21)</f>
        <v>41</v>
      </c>
      <c r="BF22" s="180">
        <f>AVERAGE($AP21:BF21)</f>
        <v>40.470588235294116</v>
      </c>
      <c r="BG22" s="180">
        <f>AVERAGE($AP21:BG21)</f>
        <v>39.666666666666664</v>
      </c>
      <c r="BH22" s="180">
        <f>AVERAGE($AP21:BH21)</f>
        <v>40</v>
      </c>
      <c r="BI22" s="180">
        <f>AVERAGE($AP21:BI21)</f>
        <v>39.950000000000003</v>
      </c>
      <c r="BJ22" s="180">
        <f>AVERAGE($AP21:BL21)</f>
        <v>38.913043478260867</v>
      </c>
      <c r="BK22" s="180">
        <f>AVERAGE($AP21:BK21)</f>
        <v>38.590909090909093</v>
      </c>
      <c r="BL22" s="180">
        <f>AVERAGE($AP21:BL21)</f>
        <v>38.913043478260867</v>
      </c>
      <c r="BM22" s="180">
        <f>AVERAGE($AP21:BM21)</f>
        <v>38.541666666666664</v>
      </c>
      <c r="BN22" s="180">
        <f>AVERAGE($AP21:BN21)</f>
        <v>37.880000000000003</v>
      </c>
      <c r="BO22" s="180">
        <f>AVERAGE($AP21:BO21)</f>
        <v>38.269230769230766</v>
      </c>
      <c r="BP22" s="180">
        <f>AVERAGE($AP21:BP21)</f>
        <v>40.370370370370374</v>
      </c>
      <c r="BQ22" s="180">
        <f>AVERAGE($AP21:BQ21)</f>
        <v>41.821428571428569</v>
      </c>
      <c r="BR22" s="180">
        <f>AVERAGE($AP21:BR21)</f>
        <v>42.344827586206897</v>
      </c>
      <c r="BS22" s="180">
        <f>AVERAGE($AP21:BS21)</f>
        <v>43.266666666666666</v>
      </c>
      <c r="BU22" s="180">
        <f>AVERAGE($AP21:BU21)</f>
        <v>43.838709677419352</v>
      </c>
      <c r="BV22" s="180">
        <f>AVERAGE($AP21:BV21)</f>
        <v>43.8125</v>
      </c>
    </row>
    <row r="23" spans="1:86" s="180" customFormat="1" x14ac:dyDescent="0.25">
      <c r="A23" s="178"/>
      <c r="B23" s="179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4"/>
      <c r="AP23" s="183"/>
    </row>
    <row r="24" spans="1:86" s="180" customFormat="1" x14ac:dyDescent="0.25">
      <c r="A24" s="185" t="s">
        <v>218</v>
      </c>
      <c r="B24" s="179"/>
      <c r="C24" s="186">
        <f t="shared" ref="C24:AC24" si="10">DATEDIF(C4,C5,"yd")</f>
        <v>78</v>
      </c>
      <c r="D24" s="187">
        <f t="shared" si="10"/>
        <v>47</v>
      </c>
      <c r="E24" s="188">
        <f t="shared" si="10"/>
        <v>14</v>
      </c>
      <c r="F24" s="189">
        <f t="shared" si="10"/>
        <v>69</v>
      </c>
      <c r="G24" s="189">
        <f>DATEDIF(G4,G5,"yd")</f>
        <v>67</v>
      </c>
      <c r="H24" s="189">
        <f t="shared" si="10"/>
        <v>75</v>
      </c>
      <c r="I24" s="188">
        <f t="shared" si="10"/>
        <v>29</v>
      </c>
      <c r="J24" s="187">
        <f t="shared" si="10"/>
        <v>51</v>
      </c>
      <c r="K24" s="187">
        <f t="shared" si="10"/>
        <v>25</v>
      </c>
      <c r="L24" s="189">
        <f t="shared" si="10"/>
        <v>100</v>
      </c>
      <c r="M24" s="189">
        <f>DATEDIF(M4,M5,"yd")</f>
        <v>4</v>
      </c>
      <c r="N24" s="186">
        <f>DATEDIF(N4,N5,"yd")</f>
        <v>23</v>
      </c>
      <c r="O24" s="186">
        <f t="shared" si="10"/>
        <v>96</v>
      </c>
      <c r="P24" s="186">
        <f t="shared" si="10"/>
        <v>30</v>
      </c>
      <c r="Q24" s="189">
        <f t="shared" si="10"/>
        <v>56</v>
      </c>
      <c r="R24" s="189">
        <f t="shared" si="10"/>
        <v>73</v>
      </c>
      <c r="S24" s="188">
        <f>DATEDIF(S4,S5,"yd")</f>
        <v>51</v>
      </c>
      <c r="T24" s="189">
        <f t="shared" si="10"/>
        <v>94</v>
      </c>
      <c r="U24" s="189">
        <f t="shared" si="10"/>
        <v>82</v>
      </c>
      <c r="V24" s="183">
        <f t="shared" si="10"/>
        <v>51</v>
      </c>
      <c r="W24" s="183">
        <f t="shared" si="10"/>
        <v>74</v>
      </c>
      <c r="X24" s="183">
        <f>DATEDIF(X4,X5,"yd")</f>
        <v>56</v>
      </c>
      <c r="Y24" s="183">
        <f>DATEDIF(Y4,Y5,"yd")</f>
        <v>50</v>
      </c>
      <c r="Z24" s="183">
        <f>DATEDIF(Z4,Z5,"yd")</f>
        <v>11</v>
      </c>
      <c r="AA24" s="183">
        <f t="shared" si="10"/>
        <v>64</v>
      </c>
      <c r="AB24" s="183">
        <f t="shared" si="10"/>
        <v>38</v>
      </c>
      <c r="AC24" s="183">
        <f t="shared" si="10"/>
        <v>89</v>
      </c>
      <c r="AD24" s="183">
        <f>DATEDIF(AD4,AD5,"yd")</f>
        <v>21</v>
      </c>
      <c r="AE24" s="183">
        <f t="shared" ref="AE24:AF24" si="11">DATEDIF(AE4,AE5,"yd")</f>
        <v>68</v>
      </c>
      <c r="AF24" s="183">
        <f t="shared" si="11"/>
        <v>13</v>
      </c>
      <c r="AG24" s="183">
        <f>DATEDIF(AG4,AG5,"yd")</f>
        <v>30</v>
      </c>
      <c r="AH24" s="183">
        <f>DATEDIF(AH4,AH5,"yd")</f>
        <v>38</v>
      </c>
      <c r="AI24" s="183">
        <f t="shared" ref="AI24:AK24" si="12">DATEDIF(AI4,AI5,"yd")</f>
        <v>96</v>
      </c>
      <c r="AJ24" s="183">
        <f t="shared" si="12"/>
        <v>63</v>
      </c>
      <c r="AK24" s="183">
        <f t="shared" si="12"/>
        <v>63</v>
      </c>
      <c r="AL24" s="183">
        <f>DATEDIF(AL4,AL5,"yd")</f>
        <v>107</v>
      </c>
      <c r="AM24" s="183">
        <f>DATEDIF(AM4,AP5,"yd")</f>
        <v>135</v>
      </c>
      <c r="AN24" s="183"/>
      <c r="AO24" s="184"/>
      <c r="AP24" s="183">
        <f>DATEDIF(AP4,AP5,"yd")</f>
        <v>69</v>
      </c>
      <c r="AQ24" s="183">
        <f t="shared" ref="AQ24" si="13">DATEDIF(AQ4,AQ5,"yd")</f>
        <v>28</v>
      </c>
      <c r="AR24" s="183">
        <f>DATEDIF(AR4,AR5,"yd")</f>
        <v>102</v>
      </c>
      <c r="AS24" s="183">
        <f t="shared" ref="AS24:BH24" si="14">DATEDIF(AS4,AS5,"yd")</f>
        <v>55</v>
      </c>
      <c r="AT24" s="183">
        <f>DATEDIF(AT4,AT5,"yd")</f>
        <v>63</v>
      </c>
      <c r="AU24" s="183">
        <f t="shared" si="14"/>
        <v>84</v>
      </c>
      <c r="AV24" s="183">
        <f t="shared" si="14"/>
        <v>104</v>
      </c>
      <c r="AW24" s="183">
        <f t="shared" si="14"/>
        <v>35</v>
      </c>
      <c r="AX24" s="183">
        <f t="shared" si="14"/>
        <v>2</v>
      </c>
      <c r="AY24" s="183">
        <f t="shared" si="14"/>
        <v>118</v>
      </c>
      <c r="AZ24" s="183">
        <f t="shared" si="14"/>
        <v>33</v>
      </c>
      <c r="BA24" s="183">
        <f t="shared" si="14"/>
        <v>73</v>
      </c>
      <c r="BB24" s="183">
        <f t="shared" si="14"/>
        <v>43</v>
      </c>
      <c r="BC24" s="183">
        <f t="shared" si="14"/>
        <v>42</v>
      </c>
      <c r="BD24" s="183">
        <f t="shared" si="14"/>
        <v>58</v>
      </c>
      <c r="BE24" s="183">
        <f t="shared" si="14"/>
        <v>67</v>
      </c>
      <c r="BF24" s="183">
        <f t="shared" si="14"/>
        <v>42</v>
      </c>
      <c r="BG24" s="183">
        <f t="shared" si="14"/>
        <v>30</v>
      </c>
      <c r="BH24" s="183">
        <f t="shared" si="14"/>
        <v>70</v>
      </c>
      <c r="BI24" s="183">
        <f>DATEDIF(BI4,BI5,"yd")</f>
        <v>43</v>
      </c>
      <c r="BJ24" s="183">
        <f>DATEDIF(BJ4,BJ5,"yd")</f>
        <v>57</v>
      </c>
      <c r="BK24" s="183">
        <f t="shared" ref="BK24:CE24" si="15">DATEDIF(BK4,BK5,"yd")</f>
        <v>79</v>
      </c>
      <c r="BL24" s="183">
        <f t="shared" si="15"/>
        <v>66</v>
      </c>
      <c r="BM24" s="183">
        <f t="shared" si="15"/>
        <v>39</v>
      </c>
      <c r="BN24" s="183">
        <f t="shared" si="15"/>
        <v>29</v>
      </c>
      <c r="BO24" s="183">
        <f t="shared" si="15"/>
        <v>56</v>
      </c>
      <c r="BP24" s="183">
        <f t="shared" si="15"/>
        <v>127</v>
      </c>
      <c r="BQ24" s="183">
        <f>DATEDIF(BQ4,BQ5,"yd")</f>
        <v>236</v>
      </c>
      <c r="BR24" s="190">
        <f t="shared" si="15"/>
        <v>90</v>
      </c>
      <c r="BS24" s="190">
        <f t="shared" si="15"/>
        <v>82</v>
      </c>
      <c r="BT24" s="190">
        <f t="shared" si="15"/>
        <v>33</v>
      </c>
      <c r="BU24" s="190">
        <f>DATEDIF(BU4,BU5,"yd")</f>
        <v>77</v>
      </c>
      <c r="BV24" s="190">
        <f>DATEDIF(BV4,BV5,"yd")</f>
        <v>48</v>
      </c>
      <c r="BW24" s="183">
        <f t="shared" si="15"/>
        <v>78</v>
      </c>
      <c r="BX24" s="183">
        <f t="shared" si="15"/>
        <v>112</v>
      </c>
      <c r="BY24" s="183">
        <f t="shared" si="15"/>
        <v>43</v>
      </c>
      <c r="BZ24" s="183">
        <f t="shared" si="15"/>
        <v>0</v>
      </c>
      <c r="CA24" s="183">
        <f t="shared" si="15"/>
        <v>25</v>
      </c>
      <c r="CB24" s="183">
        <f t="shared" si="15"/>
        <v>27</v>
      </c>
      <c r="CC24" s="183">
        <f t="shared" si="15"/>
        <v>27</v>
      </c>
      <c r="CD24" s="183">
        <f t="shared" si="15"/>
        <v>126</v>
      </c>
      <c r="CE24" s="183">
        <f t="shared" si="15"/>
        <v>38</v>
      </c>
      <c r="CF24" s="183">
        <f>DATEDIF(CF4,CF5,"yd")</f>
        <v>23</v>
      </c>
      <c r="CG24" s="183">
        <f>DATEDIF(CG4,CG5,"yd")</f>
        <v>111</v>
      </c>
      <c r="CH24" s="183" t="e">
        <f>DATEDIF(CH4,CH5,"yd")</f>
        <v>#NUM!</v>
      </c>
    </row>
    <row r="25" spans="1:86" x14ac:dyDescent="0.3">
      <c r="A25" s="191" t="s">
        <v>219</v>
      </c>
      <c r="B25" s="192"/>
      <c r="D25" s="186">
        <f>AVERAGE(C24:D24)</f>
        <v>62.5</v>
      </c>
      <c r="E25" s="186">
        <f t="shared" ref="E25:H25" si="16">AVERAGE(D24:E24)</f>
        <v>30.5</v>
      </c>
      <c r="F25" s="186">
        <f t="shared" si="16"/>
        <v>41.5</v>
      </c>
      <c r="G25" s="186">
        <f t="shared" si="16"/>
        <v>68</v>
      </c>
      <c r="H25" s="186">
        <f t="shared" si="16"/>
        <v>71</v>
      </c>
      <c r="I25" s="189">
        <f>AVERAGE(C24:I24)</f>
        <v>54.142857142857146</v>
      </c>
      <c r="J25" s="193"/>
      <c r="K25" s="187">
        <f>AVERAGE(C24:K24)</f>
        <v>50.555555555555557</v>
      </c>
      <c r="L25" s="7"/>
      <c r="M25" s="194">
        <f>AVERAGE(C24:M24)</f>
        <v>50.81818181818182</v>
      </c>
      <c r="N25" s="7"/>
      <c r="O25" s="27"/>
      <c r="P25" s="195">
        <f t="shared" ref="P25" si="17">AVERAGE(C24:P24)</f>
        <v>50.571428571428569</v>
      </c>
      <c r="Q25" s="27"/>
      <c r="R25" s="27"/>
      <c r="S25" s="196">
        <f>AVERAGE(C24:U24)</f>
        <v>56</v>
      </c>
      <c r="T25" s="27"/>
      <c r="U25" s="27"/>
      <c r="V25" s="196">
        <f>AVERAGE(C24:V24)</f>
        <v>55.75</v>
      </c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7">
        <f>AVERAGE(AP24:BI24)</f>
        <v>58.05</v>
      </c>
      <c r="BL25" s="197">
        <f>AVERAGE(AP24:BL24)</f>
        <v>59.260869565217391</v>
      </c>
      <c r="BO25" s="197">
        <f>AVERAGE(AP24:BO24)</f>
        <v>57.192307692307693</v>
      </c>
      <c r="BQ25" s="198">
        <f>AVERAGE(AY24:BP24)</f>
        <v>59.555555555555557</v>
      </c>
      <c r="BV25" s="199">
        <f>AVERAGE(BR24:BV24)</f>
        <v>66</v>
      </c>
      <c r="BZ25" s="200">
        <f>AVERAGE(BR24:BZ24)</f>
        <v>62.555555555555557</v>
      </c>
      <c r="CA25" s="200">
        <f t="shared" ref="CA25:CB25" si="18">AVERAGE(BS24:CA24)</f>
        <v>55.333333333333336</v>
      </c>
      <c r="CB25" s="200">
        <f t="shared" si="18"/>
        <v>49.222222222222221</v>
      </c>
      <c r="CC25" s="200">
        <f>AVERAGE(BU24:CC24)</f>
        <v>48.555555555555557</v>
      </c>
      <c r="CD25" s="200">
        <f t="shared" ref="CD25" si="19">AVERAGE(BV24:CD24)</f>
        <v>54</v>
      </c>
      <c r="CE25" s="200">
        <f>AVERAGE(BX24:CE24)</f>
        <v>49.75</v>
      </c>
      <c r="CF25" s="199">
        <f>AVERAGE(BR24:CF24)</f>
        <v>55.266666666666666</v>
      </c>
      <c r="CG25" s="200">
        <f t="shared" ref="CG25:CH25" si="20">AVERAGE(BZ24:CG24)</f>
        <v>47.125</v>
      </c>
      <c r="CH25" s="200" t="e">
        <f t="shared" si="20"/>
        <v>#NUM!</v>
      </c>
    </row>
    <row r="26" spans="1:86" x14ac:dyDescent="0.3">
      <c r="A26" s="191"/>
      <c r="B26" s="201"/>
      <c r="D26" s="180"/>
      <c r="E26" s="193"/>
      <c r="I26" s="180"/>
      <c r="J26" s="193"/>
      <c r="K26" s="202"/>
      <c r="L26" s="7"/>
      <c r="M26" s="180"/>
      <c r="N26" s="7"/>
      <c r="O26" s="27"/>
      <c r="P26" s="27"/>
      <c r="Q26" s="27"/>
      <c r="R26" s="27"/>
      <c r="S26" s="27"/>
      <c r="T26" s="27"/>
      <c r="U26" s="27"/>
      <c r="AD26" s="203"/>
      <c r="BR26" s="190">
        <v>1</v>
      </c>
      <c r="BS26" s="190">
        <v>2</v>
      </c>
      <c r="BT26" s="190">
        <v>3</v>
      </c>
      <c r="BU26" s="190">
        <v>4</v>
      </c>
      <c r="BV26" s="190">
        <v>5</v>
      </c>
      <c r="BW26" s="190">
        <v>6</v>
      </c>
      <c r="BX26" s="190">
        <v>7</v>
      </c>
      <c r="BY26" s="190">
        <v>8</v>
      </c>
      <c r="BZ26" s="190">
        <v>9</v>
      </c>
      <c r="CA26" s="190">
        <v>10</v>
      </c>
      <c r="CB26" s="190">
        <v>11</v>
      </c>
      <c r="CC26" s="190">
        <v>12</v>
      </c>
    </row>
    <row r="27" spans="1:86" x14ac:dyDescent="0.3">
      <c r="C27" s="204">
        <v>1</v>
      </c>
      <c r="D27" s="204">
        <v>2</v>
      </c>
      <c r="E27" s="204">
        <v>3</v>
      </c>
      <c r="F27" s="204">
        <v>4</v>
      </c>
      <c r="G27" s="204">
        <v>5</v>
      </c>
      <c r="H27" s="204">
        <v>6</v>
      </c>
      <c r="I27" s="204">
        <v>7</v>
      </c>
      <c r="J27" s="204">
        <v>8</v>
      </c>
      <c r="K27" s="204">
        <v>9</v>
      </c>
      <c r="L27" s="204">
        <v>10</v>
      </c>
      <c r="M27" s="204">
        <v>11</v>
      </c>
      <c r="N27" s="204">
        <v>12</v>
      </c>
      <c r="O27" s="204">
        <v>13</v>
      </c>
      <c r="P27" s="204">
        <v>14</v>
      </c>
      <c r="Q27" s="204">
        <v>15</v>
      </c>
      <c r="R27" s="204">
        <v>16</v>
      </c>
      <c r="S27" s="204">
        <v>17</v>
      </c>
      <c r="T27" s="204">
        <v>18</v>
      </c>
      <c r="U27" s="204">
        <v>19</v>
      </c>
      <c r="V27" s="204">
        <v>20</v>
      </c>
      <c r="W27" s="204">
        <v>21</v>
      </c>
      <c r="X27" s="204">
        <v>22</v>
      </c>
      <c r="Y27" s="204">
        <v>23</v>
      </c>
      <c r="Z27" s="204">
        <v>24</v>
      </c>
      <c r="AA27" s="204">
        <v>25</v>
      </c>
      <c r="AB27" s="204">
        <v>26</v>
      </c>
      <c r="AC27" s="204">
        <v>27</v>
      </c>
      <c r="AD27" s="204">
        <v>28</v>
      </c>
      <c r="AE27" s="204">
        <v>29</v>
      </c>
      <c r="AF27" s="204">
        <v>30</v>
      </c>
      <c r="AG27" s="204">
        <v>31</v>
      </c>
      <c r="AH27" s="204">
        <v>32</v>
      </c>
      <c r="AI27" s="204">
        <v>33</v>
      </c>
      <c r="AJ27" s="204">
        <v>34</v>
      </c>
      <c r="AK27" s="204">
        <v>35</v>
      </c>
      <c r="AL27" s="204">
        <v>36</v>
      </c>
      <c r="AP27" s="205">
        <v>1</v>
      </c>
      <c r="AQ27" s="205">
        <v>2</v>
      </c>
      <c r="AR27" s="205">
        <v>3</v>
      </c>
      <c r="AS27" s="205">
        <v>4</v>
      </c>
      <c r="AT27" s="205">
        <v>5</v>
      </c>
      <c r="AU27" s="205">
        <v>6</v>
      </c>
      <c r="AV27" s="205">
        <v>7</v>
      </c>
      <c r="AW27" s="205">
        <v>8</v>
      </c>
      <c r="AX27" s="205">
        <v>9</v>
      </c>
      <c r="AY27" s="205">
        <v>10</v>
      </c>
      <c r="AZ27" s="205">
        <v>11</v>
      </c>
      <c r="BA27" s="205">
        <v>12</v>
      </c>
      <c r="BB27" s="205">
        <v>13</v>
      </c>
      <c r="BC27" s="205">
        <v>14</v>
      </c>
      <c r="BD27" s="205">
        <v>15</v>
      </c>
      <c r="BE27" s="205">
        <v>16</v>
      </c>
      <c r="BF27" s="205">
        <v>17</v>
      </c>
      <c r="BG27" s="205">
        <v>18</v>
      </c>
      <c r="BH27" s="205">
        <v>19</v>
      </c>
      <c r="BI27" s="205">
        <v>20</v>
      </c>
      <c r="BJ27" s="205">
        <v>21</v>
      </c>
      <c r="BK27" s="205">
        <v>22</v>
      </c>
      <c r="BL27" s="205">
        <v>23</v>
      </c>
      <c r="BM27" s="205">
        <v>24</v>
      </c>
      <c r="BN27" s="205">
        <v>25</v>
      </c>
      <c r="BO27" s="205">
        <v>26</v>
      </c>
      <c r="BP27" s="205">
        <v>27</v>
      </c>
      <c r="BQ27" s="205">
        <v>28</v>
      </c>
      <c r="BT27" s="190">
        <v>1</v>
      </c>
      <c r="BU27" s="190"/>
      <c r="BV27" s="190">
        <v>2</v>
      </c>
      <c r="BY27" s="190">
        <v>3</v>
      </c>
      <c r="BZ27" s="190">
        <v>4</v>
      </c>
      <c r="CA27" s="190">
        <v>5</v>
      </c>
      <c r="CB27" s="190">
        <v>6</v>
      </c>
      <c r="CC27" s="190">
        <v>7</v>
      </c>
    </row>
    <row r="28" spans="1:86" s="206" customFormat="1" x14ac:dyDescent="0.3">
      <c r="A28" s="206" t="s">
        <v>220</v>
      </c>
      <c r="D28" s="204">
        <v>1</v>
      </c>
      <c r="E28" s="204">
        <v>2</v>
      </c>
      <c r="I28" s="204">
        <v>3</v>
      </c>
      <c r="J28" s="204">
        <v>4</v>
      </c>
      <c r="K28" s="204">
        <v>5</v>
      </c>
      <c r="L28" s="207"/>
      <c r="M28" s="204">
        <v>6</v>
      </c>
      <c r="N28" s="204">
        <v>7</v>
      </c>
      <c r="O28" s="204">
        <v>8</v>
      </c>
      <c r="P28" s="208">
        <v>9</v>
      </c>
      <c r="Q28" s="208">
        <v>10</v>
      </c>
      <c r="R28" s="209"/>
      <c r="S28" s="208">
        <v>11</v>
      </c>
      <c r="T28" s="209"/>
      <c r="U28" s="209"/>
      <c r="V28" s="208">
        <v>12</v>
      </c>
      <c r="W28" s="210"/>
      <c r="X28" s="208">
        <v>13</v>
      </c>
      <c r="Y28" s="208">
        <v>14</v>
      </c>
      <c r="Z28" s="208">
        <v>15</v>
      </c>
      <c r="AA28" s="209"/>
      <c r="AB28" s="208">
        <v>16</v>
      </c>
      <c r="AC28" s="211"/>
      <c r="AD28" s="208">
        <v>17</v>
      </c>
      <c r="AE28" s="208">
        <v>18</v>
      </c>
      <c r="AF28" s="208">
        <v>19</v>
      </c>
      <c r="AG28" s="208">
        <v>20</v>
      </c>
      <c r="AH28" s="208">
        <v>22</v>
      </c>
      <c r="AI28" s="208">
        <v>23</v>
      </c>
      <c r="AJ28" s="2"/>
      <c r="AK28" s="2"/>
      <c r="AL28" s="2"/>
      <c r="AM28" s="2"/>
      <c r="AN28" s="2"/>
      <c r="AO28" s="122"/>
      <c r="AP28" s="7"/>
      <c r="AQ28" s="205">
        <v>1</v>
      </c>
      <c r="AR28" s="7"/>
      <c r="AS28" s="205">
        <v>2</v>
      </c>
      <c r="AT28" s="205"/>
      <c r="AU28" s="205"/>
      <c r="AV28" s="205"/>
      <c r="AW28" s="205">
        <v>3</v>
      </c>
      <c r="AX28" s="205">
        <v>4</v>
      </c>
      <c r="AY28" s="205"/>
      <c r="AZ28" s="205">
        <v>5</v>
      </c>
      <c r="BB28" s="206">
        <v>6</v>
      </c>
      <c r="BC28" s="206">
        <v>7</v>
      </c>
      <c r="BF28" s="206">
        <v>8</v>
      </c>
      <c r="BG28" s="206">
        <v>9</v>
      </c>
      <c r="BI28" s="206">
        <v>10</v>
      </c>
      <c r="BL28" s="206">
        <v>10</v>
      </c>
      <c r="BM28" s="206">
        <v>11</v>
      </c>
      <c r="BN28" s="206">
        <v>12</v>
      </c>
      <c r="BO28" s="206">
        <v>13</v>
      </c>
      <c r="BP28" s="206">
        <v>13</v>
      </c>
      <c r="BQ28" s="206">
        <v>13</v>
      </c>
      <c r="BV28" s="212">
        <f>BV27/BV26</f>
        <v>0.4</v>
      </c>
      <c r="BZ28" s="212">
        <f>BZ27/BZ26</f>
        <v>0.44444444444444442</v>
      </c>
      <c r="CC28" s="212">
        <f>CC27/CC26</f>
        <v>0.58333333333333337</v>
      </c>
    </row>
    <row r="29" spans="1:86" x14ac:dyDescent="0.3">
      <c r="L29" s="2">
        <v>1</v>
      </c>
      <c r="M29" s="2">
        <v>2</v>
      </c>
      <c r="N29" s="2">
        <v>3</v>
      </c>
      <c r="O29" s="2">
        <v>4</v>
      </c>
      <c r="P29" s="2">
        <v>5</v>
      </c>
      <c r="Q29" s="2">
        <v>6</v>
      </c>
      <c r="R29" s="2">
        <v>1</v>
      </c>
      <c r="S29" s="2">
        <v>2</v>
      </c>
      <c r="T29" s="2">
        <v>3</v>
      </c>
      <c r="U29" s="2">
        <v>4</v>
      </c>
      <c r="V29" s="2">
        <v>5</v>
      </c>
      <c r="W29" s="2">
        <v>6</v>
      </c>
      <c r="X29" s="2">
        <v>7</v>
      </c>
      <c r="Y29" s="2">
        <v>8</v>
      </c>
      <c r="Z29" s="2">
        <v>9</v>
      </c>
      <c r="AA29" s="2">
        <v>10</v>
      </c>
      <c r="AB29" s="2">
        <v>11</v>
      </c>
      <c r="AC29" s="2">
        <v>12</v>
      </c>
      <c r="AD29" s="2">
        <v>13</v>
      </c>
      <c r="AE29" s="2">
        <v>1</v>
      </c>
      <c r="AF29" s="2">
        <v>2</v>
      </c>
      <c r="AG29" s="2">
        <v>3</v>
      </c>
      <c r="AH29" s="2">
        <v>4</v>
      </c>
      <c r="AI29" s="2">
        <v>5</v>
      </c>
      <c r="AJ29" s="2">
        <v>6</v>
      </c>
      <c r="AK29" s="2">
        <v>7</v>
      </c>
      <c r="AL29" s="2">
        <v>8</v>
      </c>
      <c r="AU29" s="213">
        <f>AS28/AU27</f>
        <v>0.33333333333333331</v>
      </c>
      <c r="AZ29" s="213">
        <f>AZ28/AZ27</f>
        <v>0.45454545454545453</v>
      </c>
      <c r="BI29" s="213">
        <f>BI28/BI27</f>
        <v>0.5</v>
      </c>
      <c r="BL29" s="213">
        <f>BL28/BL27</f>
        <v>0.43478260869565216</v>
      </c>
      <c r="BO29" s="213">
        <f>BO28/BO27</f>
        <v>0.5</v>
      </c>
      <c r="BQ29" s="213">
        <f>BQ28/BQ27</f>
        <v>0.4642857142857143</v>
      </c>
    </row>
    <row r="30" spans="1:86" x14ac:dyDescent="0.3">
      <c r="K30" s="214">
        <f>5/9</f>
        <v>0.55555555555555558</v>
      </c>
      <c r="M30" s="2">
        <v>1</v>
      </c>
      <c r="N30" s="2">
        <v>2</v>
      </c>
      <c r="O30" s="2">
        <v>3</v>
      </c>
      <c r="P30" s="2">
        <v>4</v>
      </c>
      <c r="Q30" s="2">
        <v>5</v>
      </c>
      <c r="S30" s="2">
        <v>1</v>
      </c>
      <c r="V30" s="2">
        <v>2</v>
      </c>
      <c r="X30" s="2">
        <v>3</v>
      </c>
      <c r="Y30" s="2">
        <v>4</v>
      </c>
      <c r="Z30" s="2">
        <v>5</v>
      </c>
      <c r="AB30" s="2">
        <v>6</v>
      </c>
      <c r="AD30" s="2">
        <v>7</v>
      </c>
      <c r="AE30" s="2">
        <v>1</v>
      </c>
      <c r="AF30" s="2">
        <v>2</v>
      </c>
      <c r="AG30" s="2">
        <v>3</v>
      </c>
      <c r="AH30" s="2">
        <v>4</v>
      </c>
      <c r="AI30" s="2">
        <v>5</v>
      </c>
      <c r="AP30" s="215"/>
      <c r="AQ30" s="216"/>
      <c r="AR30" s="215"/>
      <c r="AU30" s="215"/>
      <c r="AY30" s="215"/>
    </row>
    <row r="31" spans="1:86" x14ac:dyDescent="0.3">
      <c r="Q31" s="214">
        <f>Q30/Q29</f>
        <v>0.83333333333333337</v>
      </c>
      <c r="AD31" s="214">
        <f>AD30/AD29</f>
        <v>0.53846153846153844</v>
      </c>
      <c r="AL31" s="2">
        <f>AI30/AL29</f>
        <v>0.625</v>
      </c>
      <c r="AP31" s="217"/>
      <c r="AQ31" s="217"/>
      <c r="AR31" s="217"/>
      <c r="AU31" s="217"/>
      <c r="AY31" s="217"/>
    </row>
    <row r="32" spans="1:86" x14ac:dyDescent="0.3">
      <c r="AP32" s="218"/>
      <c r="AQ32" s="218"/>
      <c r="AR32" s="218"/>
      <c r="AU32" s="218"/>
      <c r="AY32" s="218"/>
    </row>
    <row r="33" spans="31:51" x14ac:dyDescent="0.3">
      <c r="AL33" s="2">
        <f>AI28/AL27</f>
        <v>0.63888888888888884</v>
      </c>
      <c r="AP33" s="218"/>
      <c r="AQ33" s="218"/>
      <c r="AR33" s="218"/>
      <c r="AU33" s="218"/>
      <c r="AY33" s="218"/>
    </row>
    <row r="34" spans="31:51" x14ac:dyDescent="0.3">
      <c r="AP34" s="219"/>
      <c r="AQ34" s="219"/>
      <c r="AR34" s="219"/>
      <c r="AU34" s="219"/>
      <c r="AY34" s="219"/>
    </row>
    <row r="35" spans="31:51" x14ac:dyDescent="0.3">
      <c r="AP35" s="219"/>
      <c r="AQ35" s="219"/>
      <c r="AR35" s="219"/>
      <c r="AU35" s="219"/>
      <c r="AY35" s="219"/>
    </row>
    <row r="36" spans="31:51" x14ac:dyDescent="0.3">
      <c r="AP36" s="220"/>
      <c r="AQ36" s="220"/>
      <c r="AR36" s="220"/>
      <c r="AU36" s="220"/>
      <c r="AY36" s="220"/>
    </row>
    <row r="37" spans="31:51" x14ac:dyDescent="0.3">
      <c r="AP37" s="219"/>
      <c r="AQ37" s="219"/>
      <c r="AR37" s="219"/>
      <c r="AU37" s="219"/>
      <c r="AY37" s="219"/>
    </row>
    <row r="38" spans="31:51" x14ac:dyDescent="0.3">
      <c r="AP38" s="219"/>
      <c r="AQ38" s="219"/>
      <c r="AR38" s="219"/>
      <c r="AU38" s="219"/>
      <c r="AY38" s="219"/>
    </row>
    <row r="39" spans="31:51" x14ac:dyDescent="0.3">
      <c r="AP39" s="219"/>
      <c r="AQ39" s="219"/>
      <c r="AR39" s="219"/>
      <c r="AU39" s="219"/>
      <c r="AY39" s="219"/>
    </row>
    <row r="40" spans="31:51" x14ac:dyDescent="0.3">
      <c r="AP40" s="221"/>
      <c r="AQ40" s="221"/>
      <c r="AR40" s="221"/>
      <c r="AU40" s="221"/>
      <c r="AY40" s="221"/>
    </row>
    <row r="41" spans="31:51" x14ac:dyDescent="0.3">
      <c r="AP41" s="221"/>
      <c r="AQ41" s="221"/>
      <c r="AR41" s="221"/>
      <c r="AU41" s="221"/>
      <c r="AY41" s="221"/>
    </row>
    <row r="42" spans="31:51" x14ac:dyDescent="0.3">
      <c r="AP42" s="221"/>
      <c r="AQ42" s="221"/>
      <c r="AR42" s="221"/>
      <c r="AU42" s="221"/>
      <c r="AY42" s="221"/>
    </row>
    <row r="43" spans="31:51" x14ac:dyDescent="0.3">
      <c r="AP43" s="221"/>
      <c r="AQ43" s="221"/>
      <c r="AR43" s="221"/>
      <c r="AU43" s="221"/>
      <c r="AY43" s="221"/>
    </row>
    <row r="44" spans="31:51" x14ac:dyDescent="0.3">
      <c r="AP44" s="221"/>
      <c r="AQ44" s="221"/>
      <c r="AR44" s="221"/>
      <c r="AU44" s="221"/>
      <c r="AY44" s="221"/>
    </row>
    <row r="45" spans="31:51" x14ac:dyDescent="0.3">
      <c r="AP45" s="222"/>
      <c r="AQ45" s="222"/>
      <c r="AR45" s="222"/>
      <c r="AU45" s="222"/>
      <c r="AY45" s="222"/>
    </row>
    <row r="46" spans="31:51" x14ac:dyDescent="0.3">
      <c r="AP46" s="222"/>
      <c r="AQ46" s="222"/>
      <c r="AR46" s="222"/>
      <c r="AU46" s="222"/>
      <c r="AY46" s="222"/>
    </row>
    <row r="47" spans="31:51" x14ac:dyDescent="0.3">
      <c r="AP47" s="222"/>
      <c r="AQ47" s="222"/>
      <c r="AR47" s="222"/>
      <c r="AU47" s="222"/>
      <c r="AY47" s="222"/>
    </row>
    <row r="48" spans="31:51" x14ac:dyDescent="0.3">
      <c r="AP48" s="222"/>
      <c r="AQ48" s="222"/>
      <c r="AR48" s="222"/>
      <c r="AU48" s="222"/>
      <c r="AY48" s="222"/>
    </row>
    <row r="49" spans="29:51" x14ac:dyDescent="0.3">
      <c r="AP49" s="223"/>
      <c r="AQ49" s="223"/>
      <c r="AR49" s="223"/>
      <c r="AU49" s="223"/>
      <c r="AY49" s="223"/>
    </row>
    <row r="50" spans="29:51" x14ac:dyDescent="0.3">
      <c r="AP50" s="224"/>
      <c r="AQ50" s="224"/>
      <c r="AR50" s="224"/>
      <c r="AU50" s="224"/>
      <c r="AY50" s="224"/>
    </row>
    <row r="51" spans="29:51" x14ac:dyDescent="0.3">
      <c r="AP51" s="224"/>
      <c r="AQ51" s="224"/>
      <c r="AR51" s="224"/>
      <c r="AU51" s="224"/>
      <c r="AY51" s="224"/>
    </row>
    <row r="52" spans="29:51" x14ac:dyDescent="0.3">
      <c r="AP52" s="224"/>
      <c r="AQ52" s="224"/>
      <c r="AR52" s="224"/>
      <c r="AU52" s="224"/>
      <c r="AY52" s="224"/>
    </row>
    <row r="53" spans="29:51" x14ac:dyDescent="0.3">
      <c r="AP53" s="225"/>
      <c r="AQ53" s="225"/>
      <c r="AR53" s="225"/>
      <c r="AU53" s="225"/>
      <c r="AY53" s="225"/>
    </row>
    <row r="54" spans="29:51" x14ac:dyDescent="0.3">
      <c r="AP54" s="225"/>
      <c r="AQ54" s="225"/>
      <c r="AR54" s="225"/>
      <c r="AU54" s="225"/>
      <c r="AY54" s="225"/>
    </row>
    <row r="55" spans="29:51" x14ac:dyDescent="0.3">
      <c r="AP55" s="225"/>
      <c r="AQ55" s="225"/>
      <c r="AR55" s="225"/>
      <c r="AU55" s="225"/>
      <c r="AY55" s="225"/>
    </row>
    <row r="56" spans="29:51" x14ac:dyDescent="0.3">
      <c r="AP56" s="226"/>
      <c r="AQ56" s="227"/>
      <c r="AR56" s="227"/>
      <c r="AU56" s="227"/>
      <c r="AY56" s="227"/>
    </row>
    <row r="57" spans="29:51" x14ac:dyDescent="0.3">
      <c r="AP57" s="225"/>
      <c r="AQ57" s="225"/>
      <c r="AR57" s="225"/>
      <c r="AU57" s="225"/>
      <c r="AY57" s="225"/>
    </row>
    <row r="58" spans="29:51" x14ac:dyDescent="0.3">
      <c r="AP58" s="225"/>
      <c r="AQ58" s="225"/>
      <c r="AR58" s="225"/>
      <c r="AU58" s="225"/>
      <c r="AY58" s="225"/>
    </row>
    <row r="59" spans="29:51" x14ac:dyDescent="0.3">
      <c r="AP59" s="225"/>
      <c r="AQ59" s="225"/>
      <c r="AR59" s="225"/>
      <c r="AU59" s="225"/>
      <c r="AY59" s="225"/>
    </row>
    <row r="60" spans="29:51" x14ac:dyDescent="0.3">
      <c r="AP60" s="225"/>
      <c r="AQ60" s="225"/>
      <c r="AR60" s="225"/>
      <c r="AU60" s="225"/>
      <c r="AY60" s="225"/>
    </row>
    <row r="61" spans="29:51" x14ac:dyDescent="0.3">
      <c r="AP61" s="225"/>
      <c r="AQ61" s="225"/>
      <c r="AR61" s="225"/>
      <c r="AU61" s="225"/>
      <c r="AY61" s="225"/>
    </row>
    <row r="62" spans="29:51" x14ac:dyDescent="0.3">
      <c r="AP62" s="225"/>
      <c r="AQ62" s="225"/>
      <c r="AR62" s="225"/>
      <c r="AU62" s="225"/>
      <c r="AY62" s="225"/>
    </row>
    <row r="63" spans="29:51" x14ac:dyDescent="0.3"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8"/>
      <c r="AP63" s="225"/>
      <c r="AQ63" s="225"/>
      <c r="AR63" s="225"/>
      <c r="AU63" s="225"/>
      <c r="AY63" s="225"/>
    </row>
    <row r="64" spans="29:51" x14ac:dyDescent="0.3"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8"/>
      <c r="AP64" s="225"/>
      <c r="AQ64" s="225"/>
      <c r="AR64" s="225"/>
      <c r="AU64" s="225"/>
      <c r="AY64" s="225"/>
    </row>
    <row r="65" spans="29:51" x14ac:dyDescent="0.3"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8"/>
      <c r="AP65" s="225"/>
      <c r="AQ65" s="225"/>
      <c r="AR65" s="225"/>
      <c r="AU65" s="225"/>
      <c r="AY65" s="225"/>
    </row>
    <row r="66" spans="29:51" x14ac:dyDescent="0.3"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8"/>
      <c r="AP66" s="225"/>
      <c r="AQ66" s="225"/>
      <c r="AR66" s="225"/>
      <c r="AU66" s="225"/>
      <c r="AY66" s="225"/>
    </row>
    <row r="67" spans="29:51" x14ac:dyDescent="0.3"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8"/>
      <c r="AP67" s="225"/>
      <c r="AQ67" s="225"/>
      <c r="AR67" s="225"/>
      <c r="AU67" s="225"/>
      <c r="AY67" s="225"/>
    </row>
    <row r="68" spans="29:51" x14ac:dyDescent="0.3"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8"/>
      <c r="AP68" s="225"/>
      <c r="AQ68" s="225"/>
      <c r="AR68" s="225"/>
      <c r="AU68" s="225"/>
      <c r="AY68" s="225"/>
    </row>
  </sheetData>
  <mergeCells count="1">
    <mergeCell ref="A2:A3"/>
  </mergeCells>
  <pageMargins left="0.7" right="0.7" top="0.75" bottom="0.75" header="0.3" footer="0.3"/>
  <pageSetup paperSize="9" scale="54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AEBE-5526-40AE-A846-1BB3B9F839FF}">
  <sheetPr codeName="Feuil5">
    <tabColor theme="0" tint="-0.14999847407452621"/>
  </sheetPr>
  <dimension ref="A1:BN27"/>
  <sheetViews>
    <sheetView showGridLines="0" zoomScale="70" zoomScaleNormal="70" workbookViewId="0">
      <pane xSplit="6" ySplit="4" topLeftCell="AB5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AE12" sqref="AE12:AP12"/>
    </sheetView>
  </sheetViews>
  <sheetFormatPr baseColWidth="10" defaultColWidth="11.42578125" defaultRowHeight="58.5" customHeight="1" x14ac:dyDescent="0.25"/>
  <cols>
    <col min="1" max="1" width="3.5703125" style="229" customWidth="1"/>
    <col min="2" max="2" width="35.5703125" style="230" customWidth="1"/>
    <col min="3" max="3" width="27.42578125" style="230" customWidth="1"/>
    <col min="4" max="4" width="30.7109375" style="230" customWidth="1"/>
    <col min="5" max="5" width="17.5703125" style="230" customWidth="1"/>
    <col min="6" max="6" width="15.7109375" style="230" customWidth="1"/>
    <col min="7" max="20" width="7.5703125" style="230" customWidth="1"/>
    <col min="21" max="21" width="8.5703125" style="230" customWidth="1"/>
    <col min="22" max="25" width="7.5703125" style="230" customWidth="1"/>
    <col min="26" max="26" width="9.5703125" style="230" customWidth="1"/>
    <col min="27" max="29" width="7.5703125" style="230" customWidth="1"/>
    <col min="30" max="30" width="9" style="230" customWidth="1"/>
    <col min="31" max="42" width="8.42578125" style="230" customWidth="1"/>
    <col min="43" max="49" width="7.42578125" style="230" customWidth="1"/>
    <col min="50" max="50" width="8.7109375" style="230" customWidth="1"/>
    <col min="51" max="51" width="9" style="230" customWidth="1"/>
    <col min="52" max="52" width="8.7109375" style="230" customWidth="1"/>
    <col min="53" max="54" width="7.42578125" style="230" customWidth="1"/>
    <col min="55" max="16384" width="11.42578125" style="230"/>
  </cols>
  <sheetData>
    <row r="1" spans="1:66" ht="58.5" customHeight="1" x14ac:dyDescent="0.25">
      <c r="C1"/>
      <c r="D1" s="231" t="s">
        <v>221</v>
      </c>
      <c r="E1" s="231"/>
    </row>
    <row r="2" spans="1:66" ht="58.5" customHeight="1" x14ac:dyDescent="0.25">
      <c r="D2" s="231" t="s">
        <v>222</v>
      </c>
      <c r="E2" s="232">
        <v>45489</v>
      </c>
    </row>
    <row r="3" spans="1:66" ht="58.5" customHeight="1" x14ac:dyDescent="0.25">
      <c r="G3" s="629">
        <v>2021</v>
      </c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629"/>
      <c r="S3" s="630">
        <v>2022</v>
      </c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>
        <v>2023</v>
      </c>
      <c r="AF3" s="630"/>
      <c r="AG3" s="630"/>
      <c r="AH3" s="630"/>
      <c r="AI3" s="630"/>
      <c r="AJ3" s="630"/>
      <c r="AK3" s="630"/>
      <c r="AL3" s="630"/>
      <c r="AM3" s="630"/>
      <c r="AN3" s="630"/>
      <c r="AO3" s="630"/>
      <c r="AP3" s="630"/>
      <c r="AQ3" s="630">
        <v>2024</v>
      </c>
      <c r="AR3" s="630"/>
      <c r="AS3" s="630"/>
      <c r="AT3" s="630"/>
      <c r="AU3" s="630"/>
      <c r="AV3" s="630"/>
      <c r="AW3" s="630"/>
      <c r="AX3" s="630"/>
      <c r="AY3" s="630"/>
      <c r="AZ3" s="630"/>
      <c r="BA3" s="630"/>
      <c r="BB3" s="630"/>
      <c r="BC3" s="630">
        <v>2025</v>
      </c>
      <c r="BD3" s="630"/>
      <c r="BE3" s="630"/>
      <c r="BF3" s="630"/>
      <c r="BG3" s="630"/>
      <c r="BH3" s="630"/>
      <c r="BI3" s="630"/>
      <c r="BJ3" s="630"/>
      <c r="BK3" s="630"/>
      <c r="BL3" s="630"/>
      <c r="BM3" s="630"/>
      <c r="BN3" s="630"/>
    </row>
    <row r="4" spans="1:66" ht="58.5" customHeight="1" x14ac:dyDescent="0.25">
      <c r="G4" s="233">
        <v>44197</v>
      </c>
      <c r="H4" s="233">
        <v>44228</v>
      </c>
      <c r="I4" s="233">
        <v>44256</v>
      </c>
      <c r="J4" s="233">
        <v>44287</v>
      </c>
      <c r="K4" s="233">
        <v>44317</v>
      </c>
      <c r="L4" s="233">
        <v>44348</v>
      </c>
      <c r="M4" s="233">
        <v>44378</v>
      </c>
      <c r="N4" s="233">
        <v>44409</v>
      </c>
      <c r="O4" s="233">
        <v>44440</v>
      </c>
      <c r="P4" s="233">
        <v>44470</v>
      </c>
      <c r="Q4" s="233">
        <v>44501</v>
      </c>
      <c r="R4" s="233">
        <v>44531</v>
      </c>
      <c r="S4" s="234">
        <v>44562</v>
      </c>
      <c r="T4" s="234">
        <v>44593</v>
      </c>
      <c r="U4" s="234">
        <v>44621</v>
      </c>
      <c r="V4" s="234">
        <v>44652</v>
      </c>
      <c r="W4" s="234">
        <v>44682</v>
      </c>
      <c r="X4" s="234">
        <v>44713</v>
      </c>
      <c r="Y4" s="234">
        <v>44743</v>
      </c>
      <c r="Z4" s="234">
        <v>44774</v>
      </c>
      <c r="AA4" s="234">
        <v>44805</v>
      </c>
      <c r="AB4" s="234">
        <v>44835</v>
      </c>
      <c r="AC4" s="234">
        <v>44866</v>
      </c>
      <c r="AD4" s="234">
        <v>44896</v>
      </c>
      <c r="AE4" s="234">
        <v>44927</v>
      </c>
      <c r="AF4" s="234">
        <v>44958</v>
      </c>
      <c r="AG4" s="234">
        <v>44986</v>
      </c>
      <c r="AH4" s="234">
        <v>45017</v>
      </c>
      <c r="AI4" s="234">
        <v>45047</v>
      </c>
      <c r="AJ4" s="234">
        <v>45078</v>
      </c>
      <c r="AK4" s="234">
        <v>45108</v>
      </c>
      <c r="AL4" s="234">
        <v>45139</v>
      </c>
      <c r="AM4" s="234">
        <v>45170</v>
      </c>
      <c r="AN4" s="234">
        <v>45200</v>
      </c>
      <c r="AO4" s="234">
        <v>45231</v>
      </c>
      <c r="AP4" s="234">
        <v>45261</v>
      </c>
      <c r="AQ4" s="234">
        <v>45292</v>
      </c>
      <c r="AR4" s="234">
        <v>45323</v>
      </c>
      <c r="AS4" s="234">
        <v>45352</v>
      </c>
      <c r="AT4" s="234">
        <v>45383</v>
      </c>
      <c r="AU4" s="234">
        <v>45413</v>
      </c>
      <c r="AV4" s="234">
        <v>45444</v>
      </c>
      <c r="AW4" s="234">
        <v>45474</v>
      </c>
      <c r="AX4" s="234">
        <v>45505</v>
      </c>
      <c r="AY4" s="234">
        <v>45536</v>
      </c>
      <c r="AZ4" s="234">
        <v>45566</v>
      </c>
      <c r="BA4" s="234">
        <v>45597</v>
      </c>
      <c r="BB4" s="234">
        <v>45627</v>
      </c>
      <c r="BC4" s="234">
        <v>45658</v>
      </c>
      <c r="BD4" s="234">
        <v>45689</v>
      </c>
      <c r="BE4" s="234">
        <v>45717</v>
      </c>
      <c r="BF4" s="234">
        <v>45748</v>
      </c>
      <c r="BG4" s="234">
        <v>45778</v>
      </c>
      <c r="BH4" s="234">
        <v>45809</v>
      </c>
      <c r="BI4" s="234">
        <v>45839</v>
      </c>
      <c r="BJ4" s="234">
        <v>45870</v>
      </c>
      <c r="BK4" s="234">
        <v>45901</v>
      </c>
      <c r="BL4" s="234">
        <v>45931</v>
      </c>
      <c r="BM4" s="234">
        <v>45962</v>
      </c>
      <c r="BN4" s="234">
        <v>45992</v>
      </c>
    </row>
    <row r="5" spans="1:66" ht="58.5" customHeight="1" x14ac:dyDescent="0.25">
      <c r="A5" s="229" t="s">
        <v>223</v>
      </c>
      <c r="B5" s="235" t="s">
        <v>224</v>
      </c>
      <c r="C5" s="235" t="s">
        <v>225</v>
      </c>
      <c r="D5" s="235" t="s">
        <v>226</v>
      </c>
      <c r="E5" s="236" t="s">
        <v>227</v>
      </c>
      <c r="F5" s="236" t="s">
        <v>6</v>
      </c>
      <c r="G5" s="237">
        <f>0.5%/263*100</f>
        <v>1.9011406844106464E-3</v>
      </c>
      <c r="H5" s="237">
        <f>2%/263*100</f>
        <v>7.6045627376425855E-3</v>
      </c>
      <c r="I5" s="237">
        <f>4.5%/263*100</f>
        <v>1.7110266159695818E-2</v>
      </c>
      <c r="J5" s="237">
        <f>5%/263*100</f>
        <v>1.9011406844106467E-2</v>
      </c>
      <c r="K5" s="237">
        <f>6%/263*100</f>
        <v>2.2813688212927757E-2</v>
      </c>
      <c r="L5" s="237">
        <f>7.5%/263*100</f>
        <v>2.8517110266159697E-2</v>
      </c>
      <c r="M5" s="237">
        <f>9.5%/263*100</f>
        <v>3.6121673003802278E-2</v>
      </c>
      <c r="N5" s="237">
        <f>11%/263*100</f>
        <v>4.1825095057034224E-2</v>
      </c>
      <c r="O5" s="237">
        <f>13%/263*100</f>
        <v>4.9429657794676812E-2</v>
      </c>
      <c r="P5" s="237">
        <f>14%/263*100</f>
        <v>5.3231939163498103E-2</v>
      </c>
      <c r="Q5" s="237">
        <f>16.5%/263*100</f>
        <v>6.2737642585551326E-2</v>
      </c>
      <c r="R5" s="237">
        <f>18%/263*100</f>
        <v>6.8441064638783272E-2</v>
      </c>
      <c r="S5" s="238">
        <v>1.1538461538461539E-2</v>
      </c>
      <c r="T5" s="238">
        <v>2.1153846153846155E-2</v>
      </c>
      <c r="U5" s="238">
        <v>2.5000000000000001E-2</v>
      </c>
      <c r="V5" s="238">
        <v>3.8461538461538464E-2</v>
      </c>
      <c r="W5" s="238">
        <v>4.4230769230769233E-2</v>
      </c>
      <c r="X5" s="238">
        <v>5.5769230769230772E-2</v>
      </c>
      <c r="Y5" s="238">
        <v>7.1153846153846151E-2</v>
      </c>
      <c r="Z5" s="238">
        <v>8.0769230769230774E-2</v>
      </c>
      <c r="AA5" s="238">
        <v>8.8461538461538466E-2</v>
      </c>
      <c r="AB5" s="238">
        <v>9.2307692307692313E-2</v>
      </c>
      <c r="AC5" s="238">
        <v>9.6153846153846159E-2</v>
      </c>
      <c r="AD5" s="238">
        <v>0.10961538461538461</v>
      </c>
      <c r="AE5" s="238">
        <v>0.107421875</v>
      </c>
      <c r="AF5" s="238">
        <v>0.10358565737051793</v>
      </c>
      <c r="AG5" s="238">
        <v>0.10756972111553785</v>
      </c>
      <c r="AH5" s="238">
        <v>0.10080645161290322</v>
      </c>
      <c r="AI5" s="238">
        <v>9.9190283400809723E-2</v>
      </c>
      <c r="AJ5" s="238">
        <v>0.10199999999999999</v>
      </c>
      <c r="AK5" s="238">
        <v>8.7599999999999997E-2</v>
      </c>
      <c r="AL5" s="238">
        <v>9.3299999999999994E-2</v>
      </c>
      <c r="AM5" s="238">
        <v>0.1027</v>
      </c>
      <c r="AN5" s="238">
        <v>0.1082</v>
      </c>
      <c r="AO5" s="238">
        <v>0.1043</v>
      </c>
      <c r="AP5" s="238">
        <v>9.8346183071525567E-2</v>
      </c>
      <c r="AQ5" s="238">
        <v>6.6147859922178989E-2</v>
      </c>
      <c r="AR5" s="238">
        <v>7.03125E-2</v>
      </c>
      <c r="AS5" s="238">
        <v>6.9498069498069498E-2</v>
      </c>
      <c r="AT5" s="238">
        <v>7.3643410852713184E-2</v>
      </c>
      <c r="AU5" s="238">
        <v>7.1428571428571425E-2</v>
      </c>
      <c r="AV5" s="238">
        <v>6.7299999999999999E-2</v>
      </c>
      <c r="AW5" s="238">
        <v>6.9500000000000006E-2</v>
      </c>
      <c r="AX5" s="238">
        <v>0.12</v>
      </c>
      <c r="AY5" s="238">
        <v>0.1</v>
      </c>
      <c r="AZ5" s="238">
        <v>0.1</v>
      </c>
      <c r="BA5" s="238">
        <v>0.10910159028136761</v>
      </c>
      <c r="BB5" s="238"/>
      <c r="BC5" s="238"/>
      <c r="BD5" s="238"/>
      <c r="BE5" s="238"/>
      <c r="BF5" s="238"/>
      <c r="BG5" s="238"/>
      <c r="BH5" s="238"/>
      <c r="BI5" s="238"/>
      <c r="BJ5" s="238"/>
      <c r="BK5" s="238"/>
      <c r="BL5" s="238"/>
      <c r="BM5" s="238"/>
      <c r="BN5" s="238"/>
    </row>
    <row r="6" spans="1:66" ht="58.5" customHeight="1" x14ac:dyDescent="0.25">
      <c r="A6" s="229" t="s">
        <v>223</v>
      </c>
      <c r="B6" s="235" t="s">
        <v>228</v>
      </c>
      <c r="C6" s="235" t="s">
        <v>229</v>
      </c>
      <c r="D6" s="235" t="s">
        <v>230</v>
      </c>
      <c r="E6" s="236" t="s">
        <v>231</v>
      </c>
      <c r="F6" s="236" t="s">
        <v>232</v>
      </c>
      <c r="G6" s="583">
        <f>2/3</f>
        <v>0.66666666666666663</v>
      </c>
      <c r="H6" s="584"/>
      <c r="I6" s="585"/>
      <c r="J6" s="583">
        <v>0.33333333333333331</v>
      </c>
      <c r="K6" s="584"/>
      <c r="L6" s="585"/>
      <c r="M6" s="583">
        <f>5/7</f>
        <v>0.7142857142857143</v>
      </c>
      <c r="N6" s="584"/>
      <c r="O6" s="585"/>
      <c r="P6" s="583"/>
      <c r="Q6" s="584"/>
      <c r="R6" s="585"/>
      <c r="S6" s="583">
        <v>1</v>
      </c>
      <c r="T6" s="584"/>
      <c r="U6" s="585"/>
      <c r="V6" s="583">
        <v>0.3</v>
      </c>
      <c r="W6" s="584"/>
      <c r="X6" s="585"/>
      <c r="Y6" s="583">
        <v>0.8571428571428571</v>
      </c>
      <c r="Z6" s="584"/>
      <c r="AA6" s="585"/>
      <c r="AB6" s="583">
        <v>0.5714285714285714</v>
      </c>
      <c r="AC6" s="584"/>
      <c r="AD6" s="585"/>
      <c r="AE6" s="583">
        <v>0.55555555555555602</v>
      </c>
      <c r="AF6" s="584"/>
      <c r="AG6" s="585"/>
      <c r="AH6" s="583">
        <v>0.83</v>
      </c>
      <c r="AI6" s="584"/>
      <c r="AJ6" s="585"/>
      <c r="AK6" s="621">
        <v>0.53849999999999998</v>
      </c>
      <c r="AL6" s="581"/>
      <c r="AM6" s="582"/>
      <c r="AN6" s="621">
        <v>0.625</v>
      </c>
      <c r="AO6" s="581"/>
      <c r="AP6" s="582"/>
      <c r="AQ6" s="583">
        <v>0.33</v>
      </c>
      <c r="AR6" s="584"/>
      <c r="AS6" s="585"/>
      <c r="AT6" s="583">
        <v>0.56999999999999995</v>
      </c>
      <c r="AU6" s="584"/>
      <c r="AV6" s="585"/>
      <c r="AW6" s="621">
        <v>0.4</v>
      </c>
      <c r="AX6" s="581"/>
      <c r="AY6" s="582"/>
      <c r="AZ6" s="628">
        <v>0.33</v>
      </c>
      <c r="BA6" s="581"/>
      <c r="BB6" s="582"/>
      <c r="BC6" s="583">
        <v>0.57999999999999996</v>
      </c>
      <c r="BD6" s="584"/>
      <c r="BE6" s="585"/>
      <c r="BF6" s="583"/>
      <c r="BG6" s="584"/>
      <c r="BH6" s="585"/>
      <c r="BI6" s="580"/>
      <c r="BJ6" s="581"/>
      <c r="BK6" s="582"/>
      <c r="BL6" s="580"/>
      <c r="BM6" s="581"/>
      <c r="BN6" s="582"/>
    </row>
    <row r="7" spans="1:66" ht="58.5" customHeight="1" x14ac:dyDescent="0.25">
      <c r="A7" s="229" t="s">
        <v>223</v>
      </c>
      <c r="B7" s="235" t="s">
        <v>233</v>
      </c>
      <c r="C7" s="235" t="s">
        <v>234</v>
      </c>
      <c r="D7" s="235" t="s">
        <v>235</v>
      </c>
      <c r="E7" s="236" t="s">
        <v>236</v>
      </c>
      <c r="F7" s="236" t="s">
        <v>237</v>
      </c>
      <c r="G7" s="625">
        <f>1/246</f>
        <v>4.0650406504065045E-3</v>
      </c>
      <c r="H7" s="626"/>
      <c r="I7" s="626"/>
      <c r="J7" s="626"/>
      <c r="K7" s="626"/>
      <c r="L7" s="626"/>
      <c r="M7" s="626"/>
      <c r="N7" s="626"/>
      <c r="O7" s="626"/>
      <c r="P7" s="626"/>
      <c r="Q7" s="626"/>
      <c r="R7" s="627"/>
      <c r="S7" s="625">
        <v>8.9099999999999957E-2</v>
      </c>
      <c r="T7" s="626"/>
      <c r="U7" s="626"/>
      <c r="V7" s="626"/>
      <c r="W7" s="626"/>
      <c r="X7" s="626"/>
      <c r="Y7" s="626"/>
      <c r="Z7" s="626"/>
      <c r="AA7" s="626"/>
      <c r="AB7" s="626"/>
      <c r="AC7" s="626"/>
      <c r="AD7" s="627"/>
      <c r="AE7" s="621">
        <v>5.0599999999999999E-2</v>
      </c>
      <c r="AF7" s="581"/>
      <c r="AG7" s="581"/>
      <c r="AH7" s="581"/>
      <c r="AI7" s="581"/>
      <c r="AJ7" s="581"/>
      <c r="AK7" s="581"/>
      <c r="AL7" s="581"/>
      <c r="AM7" s="581"/>
      <c r="AN7" s="581"/>
      <c r="AO7" s="581"/>
      <c r="AP7" s="582"/>
      <c r="AQ7" s="604">
        <f>1/275</f>
        <v>3.6363636363636364E-3</v>
      </c>
      <c r="AR7" s="605"/>
      <c r="AS7" s="605"/>
      <c r="AT7" s="605"/>
      <c r="AU7" s="605"/>
      <c r="AV7" s="605"/>
      <c r="AW7" s="605"/>
      <c r="AX7" s="605"/>
      <c r="AY7" s="605"/>
      <c r="AZ7" s="605"/>
      <c r="BA7" s="605"/>
      <c r="BB7" s="606"/>
      <c r="BC7" s="604"/>
      <c r="BD7" s="605"/>
      <c r="BE7" s="605"/>
      <c r="BF7" s="605"/>
      <c r="BG7" s="605"/>
      <c r="BH7" s="605"/>
      <c r="BI7" s="605"/>
      <c r="BJ7" s="605"/>
      <c r="BK7" s="605"/>
      <c r="BL7" s="605"/>
      <c r="BM7" s="605"/>
      <c r="BN7" s="606"/>
    </row>
    <row r="8" spans="1:66" ht="58.5" customHeight="1" x14ac:dyDescent="0.25">
      <c r="A8" s="229" t="s">
        <v>238</v>
      </c>
      <c r="B8" s="235" t="s">
        <v>239</v>
      </c>
      <c r="C8" s="235" t="s">
        <v>240</v>
      </c>
      <c r="D8" s="235" t="s">
        <v>241</v>
      </c>
      <c r="E8" s="236" t="s">
        <v>242</v>
      </c>
      <c r="F8" s="236" t="s">
        <v>232</v>
      </c>
      <c r="G8" s="580"/>
      <c r="H8" s="581"/>
      <c r="I8" s="581"/>
      <c r="J8" s="581"/>
      <c r="K8" s="581"/>
      <c r="L8" s="581"/>
      <c r="M8" s="581"/>
      <c r="N8" s="581"/>
      <c r="O8" s="582"/>
      <c r="P8" s="580">
        <v>0</v>
      </c>
      <c r="Q8" s="581"/>
      <c r="R8" s="582"/>
      <c r="S8" s="580">
        <v>0</v>
      </c>
      <c r="T8" s="581"/>
      <c r="U8" s="582"/>
      <c r="V8" s="580">
        <v>0</v>
      </c>
      <c r="W8" s="581"/>
      <c r="X8" s="582"/>
      <c r="Y8" s="580">
        <v>0</v>
      </c>
      <c r="Z8" s="581"/>
      <c r="AA8" s="582"/>
      <c r="AB8" s="580">
        <v>0</v>
      </c>
      <c r="AC8" s="581"/>
      <c r="AD8" s="582"/>
      <c r="AE8" s="580">
        <v>0</v>
      </c>
      <c r="AF8" s="581"/>
      <c r="AG8" s="582"/>
      <c r="AH8" s="580">
        <v>0</v>
      </c>
      <c r="AI8" s="581"/>
      <c r="AJ8" s="582"/>
      <c r="AK8" s="580">
        <v>0</v>
      </c>
      <c r="AL8" s="581"/>
      <c r="AM8" s="582"/>
      <c r="AN8" s="580">
        <v>0</v>
      </c>
      <c r="AO8" s="581"/>
      <c r="AP8" s="582"/>
      <c r="AQ8" s="580">
        <v>0</v>
      </c>
      <c r="AR8" s="581"/>
      <c r="AS8" s="582"/>
      <c r="AT8" s="580">
        <v>0</v>
      </c>
      <c r="AU8" s="581"/>
      <c r="AV8" s="582"/>
      <c r="AW8" s="580"/>
      <c r="AX8" s="581"/>
      <c r="AY8" s="582"/>
      <c r="AZ8" s="580"/>
      <c r="BA8" s="581"/>
      <c r="BB8" s="582"/>
      <c r="BC8" s="580"/>
      <c r="BD8" s="581"/>
      <c r="BE8" s="582"/>
      <c r="BF8" s="580"/>
      <c r="BG8" s="581"/>
      <c r="BH8" s="582"/>
      <c r="BI8" s="580"/>
      <c r="BJ8" s="581"/>
      <c r="BK8" s="582"/>
      <c r="BL8" s="580"/>
      <c r="BM8" s="581"/>
      <c r="BN8" s="582"/>
    </row>
    <row r="9" spans="1:66" ht="58.5" customHeight="1" x14ac:dyDescent="0.25">
      <c r="B9" s="235" t="s">
        <v>243</v>
      </c>
      <c r="C9" s="235" t="s">
        <v>244</v>
      </c>
      <c r="D9" s="235" t="s">
        <v>245</v>
      </c>
      <c r="E9" s="236" t="s">
        <v>236</v>
      </c>
      <c r="F9" s="236" t="s">
        <v>6</v>
      </c>
      <c r="G9" s="580"/>
      <c r="H9" s="581"/>
      <c r="I9" s="581"/>
      <c r="J9" s="581"/>
      <c r="K9" s="581"/>
      <c r="L9" s="581"/>
      <c r="M9" s="581"/>
      <c r="N9" s="581"/>
      <c r="O9" s="582"/>
      <c r="P9" s="241">
        <f>2/9</f>
        <v>0.22222222222222221</v>
      </c>
      <c r="Q9" s="241">
        <f>4/9</f>
        <v>0.44444444444444442</v>
      </c>
      <c r="R9" s="241">
        <v>0</v>
      </c>
      <c r="S9" s="241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2">
        <v>0</v>
      </c>
      <c r="AF9" s="242">
        <v>0</v>
      </c>
      <c r="AG9" s="242">
        <v>0</v>
      </c>
      <c r="AH9" s="242">
        <v>0</v>
      </c>
      <c r="AI9" s="242">
        <v>0</v>
      </c>
      <c r="AJ9" s="242">
        <v>0</v>
      </c>
      <c r="AK9" s="242">
        <v>0</v>
      </c>
      <c r="AL9" s="242">
        <v>0</v>
      </c>
      <c r="AM9" s="242">
        <v>0</v>
      </c>
      <c r="AN9" s="242">
        <v>0</v>
      </c>
      <c r="AO9" s="242">
        <v>0</v>
      </c>
      <c r="AP9" s="242">
        <v>0</v>
      </c>
      <c r="AQ9" s="241">
        <v>0</v>
      </c>
      <c r="AR9" s="241">
        <v>0</v>
      </c>
      <c r="AS9" s="241">
        <v>0</v>
      </c>
      <c r="AT9" s="241">
        <v>0</v>
      </c>
      <c r="AU9" s="241">
        <v>0</v>
      </c>
      <c r="AV9" s="241">
        <v>0</v>
      </c>
      <c r="AW9" s="241">
        <v>0</v>
      </c>
      <c r="AX9" s="241">
        <v>0</v>
      </c>
      <c r="AY9" s="241">
        <v>0</v>
      </c>
      <c r="AZ9" s="241">
        <v>0</v>
      </c>
      <c r="BA9" s="241">
        <v>0</v>
      </c>
      <c r="BB9" s="241">
        <v>0</v>
      </c>
      <c r="BC9" s="241"/>
      <c r="BD9" s="241"/>
      <c r="BE9" s="241"/>
      <c r="BF9" s="241"/>
      <c r="BG9" s="241"/>
      <c r="BH9" s="241"/>
      <c r="BI9" s="241"/>
      <c r="BJ9" s="241"/>
      <c r="BK9" s="241"/>
      <c r="BL9" s="241"/>
      <c r="BM9" s="241"/>
      <c r="BN9" s="241"/>
    </row>
    <row r="10" spans="1:66" ht="58.5" customHeight="1" x14ac:dyDescent="0.25">
      <c r="B10" s="235" t="s">
        <v>246</v>
      </c>
      <c r="C10" s="235" t="s">
        <v>234</v>
      </c>
      <c r="D10" s="235" t="s">
        <v>247</v>
      </c>
      <c r="E10" s="236" t="s">
        <v>248</v>
      </c>
      <c r="F10" s="236" t="s">
        <v>237</v>
      </c>
      <c r="G10" s="622">
        <f>5718/261</f>
        <v>21.908045977011493</v>
      </c>
      <c r="H10" s="623"/>
      <c r="I10" s="623"/>
      <c r="J10" s="623"/>
      <c r="K10" s="623"/>
      <c r="L10" s="623"/>
      <c r="M10" s="623"/>
      <c r="N10" s="623"/>
      <c r="O10" s="623"/>
      <c r="P10" s="623"/>
      <c r="Q10" s="623"/>
      <c r="R10" s="624"/>
      <c r="S10" s="619" t="s">
        <v>249</v>
      </c>
      <c r="T10" s="581"/>
      <c r="U10" s="581"/>
      <c r="V10" s="581"/>
      <c r="W10" s="581"/>
      <c r="X10" s="581"/>
      <c r="Y10" s="581"/>
      <c r="Z10" s="581"/>
      <c r="AA10" s="581"/>
      <c r="AB10" s="581"/>
      <c r="AC10" s="581"/>
      <c r="AD10" s="582"/>
      <c r="AE10" s="619">
        <v>26.84</v>
      </c>
      <c r="AF10" s="581"/>
      <c r="AG10" s="581"/>
      <c r="AH10" s="581"/>
      <c r="AI10" s="581"/>
      <c r="AJ10" s="581"/>
      <c r="AK10" s="581"/>
      <c r="AL10" s="581"/>
      <c r="AM10" s="581"/>
      <c r="AN10" s="581"/>
      <c r="AO10" s="581"/>
      <c r="AP10" s="582"/>
      <c r="AQ10" s="595">
        <f>8944.5/'CODIR 2024-2025'!P4</f>
        <v>33.005535055350556</v>
      </c>
      <c r="AR10" s="596"/>
      <c r="AS10" s="596"/>
      <c r="AT10" s="596"/>
      <c r="AU10" s="596"/>
      <c r="AV10" s="596"/>
      <c r="AW10" s="596"/>
      <c r="AX10" s="596"/>
      <c r="AY10" s="596"/>
      <c r="AZ10" s="596"/>
      <c r="BA10" s="596"/>
      <c r="BB10" s="597"/>
      <c r="BC10" s="595"/>
      <c r="BD10" s="596"/>
      <c r="BE10" s="596"/>
      <c r="BF10" s="596"/>
      <c r="BG10" s="596"/>
      <c r="BH10" s="596"/>
      <c r="BI10" s="596"/>
      <c r="BJ10" s="596"/>
      <c r="BK10" s="596"/>
      <c r="BL10" s="596"/>
      <c r="BM10" s="596"/>
      <c r="BN10" s="597"/>
    </row>
    <row r="11" spans="1:66" ht="58.5" customHeight="1" x14ac:dyDescent="0.25">
      <c r="B11" s="235" t="s">
        <v>246</v>
      </c>
      <c r="C11" s="235" t="s">
        <v>234</v>
      </c>
      <c r="D11" s="235" t="s">
        <v>250</v>
      </c>
      <c r="E11" s="236" t="s">
        <v>251</v>
      </c>
      <c r="F11" s="236" t="s">
        <v>237</v>
      </c>
      <c r="G11" s="583">
        <f>+(261-7)/261</f>
        <v>0.97318007662835249</v>
      </c>
      <c r="H11" s="584"/>
      <c r="I11" s="584"/>
      <c r="J11" s="584"/>
      <c r="K11" s="584"/>
      <c r="L11" s="584"/>
      <c r="M11" s="584"/>
      <c r="N11" s="584"/>
      <c r="O11" s="584"/>
      <c r="P11" s="584"/>
      <c r="Q11" s="584"/>
      <c r="R11" s="585"/>
      <c r="S11" s="619" t="s">
        <v>252</v>
      </c>
      <c r="T11" s="581"/>
      <c r="U11" s="581"/>
      <c r="V11" s="581"/>
      <c r="W11" s="581"/>
      <c r="X11" s="581"/>
      <c r="Y11" s="581"/>
      <c r="Z11" s="581"/>
      <c r="AA11" s="581"/>
      <c r="AB11" s="581"/>
      <c r="AC11" s="581"/>
      <c r="AD11" s="582"/>
      <c r="AE11" s="616">
        <v>0.98571428571428577</v>
      </c>
      <c r="AF11" s="617"/>
      <c r="AG11" s="617"/>
      <c r="AH11" s="617"/>
      <c r="AI11" s="617"/>
      <c r="AJ11" s="617"/>
      <c r="AK11" s="617"/>
      <c r="AL11" s="617"/>
      <c r="AM11" s="617"/>
      <c r="AN11" s="617"/>
      <c r="AO11" s="617"/>
      <c r="AP11" s="618"/>
      <c r="AQ11" s="604">
        <f>257/'CODIR 2024-2025'!P4</f>
        <v>0.94833948339483398</v>
      </c>
      <c r="AR11" s="605"/>
      <c r="AS11" s="605"/>
      <c r="AT11" s="605"/>
      <c r="AU11" s="605"/>
      <c r="AV11" s="605"/>
      <c r="AW11" s="605"/>
      <c r="AX11" s="605"/>
      <c r="AY11" s="605"/>
      <c r="AZ11" s="605"/>
      <c r="BA11" s="605"/>
      <c r="BB11" s="606"/>
      <c r="BC11" s="604"/>
      <c r="BD11" s="605"/>
      <c r="BE11" s="605"/>
      <c r="BF11" s="605"/>
      <c r="BG11" s="605"/>
      <c r="BH11" s="605"/>
      <c r="BI11" s="605"/>
      <c r="BJ11" s="605"/>
      <c r="BK11" s="605"/>
      <c r="BL11" s="605"/>
      <c r="BM11" s="605"/>
      <c r="BN11" s="606"/>
    </row>
    <row r="12" spans="1:66" ht="58.5" customHeight="1" x14ac:dyDescent="0.25">
      <c r="B12" s="235" t="s">
        <v>246</v>
      </c>
      <c r="C12" s="235" t="s">
        <v>253</v>
      </c>
      <c r="D12" s="235" t="s">
        <v>254</v>
      </c>
      <c r="E12" s="236" t="s">
        <v>251</v>
      </c>
      <c r="F12" s="236" t="s">
        <v>237</v>
      </c>
      <c r="G12" s="583">
        <f>124260411/312863150</f>
        <v>0.3971717698297163</v>
      </c>
      <c r="H12" s="584"/>
      <c r="I12" s="584"/>
      <c r="J12" s="584"/>
      <c r="K12" s="584"/>
      <c r="L12" s="584"/>
      <c r="M12" s="584"/>
      <c r="N12" s="584"/>
      <c r="O12" s="584"/>
      <c r="P12" s="584"/>
      <c r="Q12" s="584"/>
      <c r="R12" s="585"/>
      <c r="S12" s="620">
        <v>0.68400000000000005</v>
      </c>
      <c r="T12" s="605"/>
      <c r="U12" s="605"/>
      <c r="V12" s="605"/>
      <c r="W12" s="605"/>
      <c r="X12" s="605"/>
      <c r="Y12" s="605"/>
      <c r="Z12" s="605"/>
      <c r="AA12" s="605"/>
      <c r="AB12" s="605"/>
      <c r="AC12" s="605"/>
      <c r="AD12" s="606"/>
      <c r="AE12" s="621">
        <v>0.84550000000000003</v>
      </c>
      <c r="AF12" s="581"/>
      <c r="AG12" s="581"/>
      <c r="AH12" s="581"/>
      <c r="AI12" s="581"/>
      <c r="AJ12" s="581"/>
      <c r="AK12" s="581"/>
      <c r="AL12" s="581"/>
      <c r="AM12" s="581"/>
      <c r="AN12" s="581"/>
      <c r="AO12" s="581"/>
      <c r="AP12" s="582"/>
      <c r="AQ12" s="604">
        <v>0.88970000000000005</v>
      </c>
      <c r="AR12" s="605"/>
      <c r="AS12" s="605"/>
      <c r="AT12" s="605"/>
      <c r="AU12" s="605"/>
      <c r="AV12" s="605"/>
      <c r="AW12" s="605"/>
      <c r="AX12" s="605"/>
      <c r="AY12" s="605"/>
      <c r="AZ12" s="605"/>
      <c r="BA12" s="605"/>
      <c r="BB12" s="606"/>
      <c r="BC12" s="604"/>
      <c r="BD12" s="605"/>
      <c r="BE12" s="605"/>
      <c r="BF12" s="605"/>
      <c r="BG12" s="605"/>
      <c r="BH12" s="605"/>
      <c r="BI12" s="605"/>
      <c r="BJ12" s="605"/>
      <c r="BK12" s="606"/>
      <c r="BL12" s="604"/>
      <c r="BM12" s="605"/>
      <c r="BN12" s="606"/>
    </row>
    <row r="13" spans="1:66" ht="58.5" customHeight="1" x14ac:dyDescent="0.25">
      <c r="B13" s="235" t="s">
        <v>246</v>
      </c>
      <c r="C13" s="235" t="s">
        <v>255</v>
      </c>
      <c r="D13" s="235" t="s">
        <v>256</v>
      </c>
      <c r="E13" s="236" t="s">
        <v>257</v>
      </c>
      <c r="F13" s="236" t="s">
        <v>237</v>
      </c>
      <c r="G13" s="604">
        <f>312863150/8383692570</f>
        <v>3.7318060912627189E-2</v>
      </c>
      <c r="H13" s="605"/>
      <c r="I13" s="605"/>
      <c r="J13" s="605"/>
      <c r="K13" s="605"/>
      <c r="L13" s="605"/>
      <c r="M13" s="605"/>
      <c r="N13" s="605"/>
      <c r="O13" s="605"/>
      <c r="P13" s="605"/>
      <c r="Q13" s="605"/>
      <c r="R13" s="606"/>
      <c r="S13" s="604">
        <f>400000000/8556345206</f>
        <v>4.6748931976179083E-2</v>
      </c>
      <c r="T13" s="605"/>
      <c r="U13" s="605"/>
      <c r="V13" s="605"/>
      <c r="W13" s="605"/>
      <c r="X13" s="605"/>
      <c r="Y13" s="605"/>
      <c r="Z13" s="605"/>
      <c r="AA13" s="605"/>
      <c r="AB13" s="605"/>
      <c r="AC13" s="605"/>
      <c r="AD13" s="606"/>
      <c r="AE13" s="580"/>
      <c r="AF13" s="581"/>
      <c r="AG13" s="581"/>
      <c r="AH13" s="581"/>
      <c r="AI13" s="581"/>
      <c r="AJ13" s="581"/>
      <c r="AK13" s="581"/>
      <c r="AL13" s="581"/>
      <c r="AM13" s="581"/>
      <c r="AN13" s="581"/>
      <c r="AO13" s="581"/>
      <c r="AP13" s="582"/>
      <c r="AQ13" s="616">
        <f>630951676.82/12245736139.54</f>
        <v>5.1524193370681357E-2</v>
      </c>
      <c r="AR13" s="617"/>
      <c r="AS13" s="617"/>
      <c r="AT13" s="617"/>
      <c r="AU13" s="617"/>
      <c r="AV13" s="617"/>
      <c r="AW13" s="617"/>
      <c r="AX13" s="617"/>
      <c r="AY13" s="617"/>
      <c r="AZ13" s="617"/>
      <c r="BA13" s="617"/>
      <c r="BB13" s="618"/>
      <c r="BC13" s="589"/>
      <c r="BD13" s="590"/>
      <c r="BE13" s="590"/>
      <c r="BF13" s="590"/>
      <c r="BG13" s="590"/>
      <c r="BH13" s="590"/>
      <c r="BI13" s="590"/>
      <c r="BJ13" s="590"/>
      <c r="BK13" s="590"/>
      <c r="BL13" s="590"/>
      <c r="BM13" s="590"/>
      <c r="BN13" s="591"/>
    </row>
    <row r="14" spans="1:66" ht="58.5" customHeight="1" x14ac:dyDescent="0.25">
      <c r="B14" s="235" t="s">
        <v>246</v>
      </c>
      <c r="C14" s="235" t="s">
        <v>234</v>
      </c>
      <c r="D14" s="235" t="s">
        <v>258</v>
      </c>
      <c r="E14" s="236" t="s">
        <v>251</v>
      </c>
      <c r="F14" s="236" t="s">
        <v>237</v>
      </c>
      <c r="G14" s="610"/>
      <c r="H14" s="611"/>
      <c r="I14" s="611"/>
      <c r="J14" s="611"/>
      <c r="K14" s="611"/>
      <c r="L14" s="611"/>
      <c r="M14" s="611"/>
      <c r="N14" s="611"/>
      <c r="O14" s="611"/>
      <c r="P14" s="611"/>
      <c r="Q14" s="611"/>
      <c r="R14" s="612"/>
      <c r="S14" s="580" t="s">
        <v>259</v>
      </c>
      <c r="T14" s="581"/>
      <c r="U14" s="581"/>
      <c r="V14" s="581"/>
      <c r="W14" s="581"/>
      <c r="X14" s="581"/>
      <c r="Y14" s="581"/>
      <c r="Z14" s="581"/>
      <c r="AA14" s="581"/>
      <c r="AB14" s="581"/>
      <c r="AC14" s="581"/>
      <c r="AD14" s="582"/>
      <c r="AE14" s="613">
        <v>0.33</v>
      </c>
      <c r="AF14" s="614"/>
      <c r="AG14" s="614"/>
      <c r="AH14" s="614"/>
      <c r="AI14" s="614"/>
      <c r="AJ14" s="614"/>
      <c r="AK14" s="614"/>
      <c r="AL14" s="614"/>
      <c r="AM14" s="614"/>
      <c r="AN14" s="614"/>
      <c r="AO14" s="614"/>
      <c r="AP14" s="615"/>
      <c r="AQ14" s="604">
        <f>8944.5/21290.5</f>
        <v>0.42011695357084144</v>
      </c>
      <c r="AR14" s="605"/>
      <c r="AS14" s="605"/>
      <c r="AT14" s="605"/>
      <c r="AU14" s="605"/>
      <c r="AV14" s="605"/>
      <c r="AW14" s="605"/>
      <c r="AX14" s="605"/>
      <c r="AY14" s="605"/>
      <c r="AZ14" s="605"/>
      <c r="BA14" s="605"/>
      <c r="BB14" s="606"/>
      <c r="BC14" s="604"/>
      <c r="BD14" s="605"/>
      <c r="BE14" s="605"/>
      <c r="BF14" s="605"/>
      <c r="BG14" s="605"/>
      <c r="BH14" s="605"/>
      <c r="BI14" s="605"/>
      <c r="BJ14" s="605"/>
      <c r="BK14" s="605"/>
      <c r="BL14" s="605"/>
      <c r="BM14" s="605"/>
      <c r="BN14" s="606"/>
    </row>
    <row r="15" spans="1:66" ht="58.5" customHeight="1" x14ac:dyDescent="0.25">
      <c r="B15" s="235" t="s">
        <v>246</v>
      </c>
      <c r="C15" s="235" t="s">
        <v>260</v>
      </c>
      <c r="D15" s="235" t="s">
        <v>261</v>
      </c>
      <c r="E15" s="236">
        <v>1</v>
      </c>
      <c r="F15" s="236" t="s">
        <v>237</v>
      </c>
      <c r="G15" s="610"/>
      <c r="H15" s="611"/>
      <c r="I15" s="611"/>
      <c r="J15" s="611"/>
      <c r="K15" s="611"/>
      <c r="L15" s="611"/>
      <c r="M15" s="611"/>
      <c r="N15" s="611"/>
      <c r="O15" s="611"/>
      <c r="P15" s="611"/>
      <c r="Q15" s="611"/>
      <c r="R15" s="612"/>
      <c r="S15" s="580" t="s">
        <v>259</v>
      </c>
      <c r="T15" s="581"/>
      <c r="U15" s="581"/>
      <c r="V15" s="581"/>
      <c r="W15" s="581"/>
      <c r="X15" s="581"/>
      <c r="Y15" s="581"/>
      <c r="Z15" s="581"/>
      <c r="AA15" s="581"/>
      <c r="AB15" s="581"/>
      <c r="AC15" s="581"/>
      <c r="AD15" s="582"/>
      <c r="AE15" s="613">
        <v>0.24</v>
      </c>
      <c r="AF15" s="614"/>
      <c r="AG15" s="614"/>
      <c r="AH15" s="614"/>
      <c r="AI15" s="614"/>
      <c r="AJ15" s="614"/>
      <c r="AK15" s="614"/>
      <c r="AL15" s="614"/>
      <c r="AM15" s="614"/>
      <c r="AN15" s="614"/>
      <c r="AO15" s="614"/>
      <c r="AP15" s="615"/>
      <c r="AQ15" s="604">
        <f>1665/3749.5</f>
        <v>0.44405920789438591</v>
      </c>
      <c r="AR15" s="605"/>
      <c r="AS15" s="605"/>
      <c r="AT15" s="605"/>
      <c r="AU15" s="605"/>
      <c r="AV15" s="605"/>
      <c r="AW15" s="605"/>
      <c r="AX15" s="605"/>
      <c r="AY15" s="605"/>
      <c r="AZ15" s="605"/>
      <c r="BA15" s="605"/>
      <c r="BB15" s="606"/>
      <c r="BC15" s="604"/>
      <c r="BD15" s="605"/>
      <c r="BE15" s="605"/>
      <c r="BF15" s="605"/>
      <c r="BG15" s="605"/>
      <c r="BH15" s="605"/>
      <c r="BI15" s="605"/>
      <c r="BJ15" s="605"/>
      <c r="BK15" s="605"/>
      <c r="BL15" s="605"/>
      <c r="BM15" s="605"/>
      <c r="BN15" s="606"/>
    </row>
    <row r="16" spans="1:66" ht="58.5" customHeight="1" x14ac:dyDescent="0.25">
      <c r="B16" s="235" t="s">
        <v>246</v>
      </c>
      <c r="C16" s="235" t="s">
        <v>260</v>
      </c>
      <c r="D16" s="235" t="s">
        <v>262</v>
      </c>
      <c r="E16" s="236">
        <v>0.8</v>
      </c>
      <c r="F16" s="236" t="s">
        <v>237</v>
      </c>
      <c r="G16" s="610"/>
      <c r="H16" s="611"/>
      <c r="I16" s="611"/>
      <c r="J16" s="611"/>
      <c r="K16" s="611"/>
      <c r="L16" s="611"/>
      <c r="M16" s="611"/>
      <c r="N16" s="611"/>
      <c r="O16" s="611"/>
      <c r="P16" s="611"/>
      <c r="Q16" s="611"/>
      <c r="R16" s="612"/>
      <c r="S16" s="580" t="s">
        <v>259</v>
      </c>
      <c r="T16" s="581"/>
      <c r="U16" s="581"/>
      <c r="V16" s="581"/>
      <c r="W16" s="581"/>
      <c r="X16" s="581"/>
      <c r="Y16" s="581"/>
      <c r="Z16" s="581"/>
      <c r="AA16" s="581"/>
      <c r="AB16" s="581"/>
      <c r="AC16" s="581"/>
      <c r="AD16" s="582"/>
      <c r="AE16" s="589">
        <v>0.44</v>
      </c>
      <c r="AF16" s="590"/>
      <c r="AG16" s="590"/>
      <c r="AH16" s="590"/>
      <c r="AI16" s="590"/>
      <c r="AJ16" s="590"/>
      <c r="AK16" s="590"/>
      <c r="AL16" s="590"/>
      <c r="AM16" s="590"/>
      <c r="AN16" s="590"/>
      <c r="AO16" s="590"/>
      <c r="AP16" s="591"/>
      <c r="AQ16" s="604">
        <f>7279.5/17541</f>
        <v>0.41499914486061229</v>
      </c>
      <c r="AR16" s="605"/>
      <c r="AS16" s="605"/>
      <c r="AT16" s="605"/>
      <c r="AU16" s="605"/>
      <c r="AV16" s="605"/>
      <c r="AW16" s="605"/>
      <c r="AX16" s="605"/>
      <c r="AY16" s="605"/>
      <c r="AZ16" s="605"/>
      <c r="BA16" s="605"/>
      <c r="BB16" s="606"/>
      <c r="BC16" s="604"/>
      <c r="BD16" s="605"/>
      <c r="BE16" s="605"/>
      <c r="BF16" s="605"/>
      <c r="BG16" s="605"/>
      <c r="BH16" s="605"/>
      <c r="BI16" s="605"/>
      <c r="BJ16" s="605"/>
      <c r="BK16" s="605"/>
      <c r="BL16" s="605"/>
      <c r="BM16" s="605"/>
      <c r="BN16" s="606"/>
    </row>
    <row r="17" spans="2:66" ht="58.5" customHeight="1" x14ac:dyDescent="0.25">
      <c r="B17" s="235" t="s">
        <v>263</v>
      </c>
      <c r="C17" s="235" t="s">
        <v>264</v>
      </c>
      <c r="D17" s="235" t="s">
        <v>265</v>
      </c>
      <c r="E17" s="236" t="s">
        <v>266</v>
      </c>
      <c r="F17" s="236" t="s">
        <v>237</v>
      </c>
      <c r="G17" s="586">
        <f>1/16</f>
        <v>6.25E-2</v>
      </c>
      <c r="H17" s="587"/>
      <c r="I17" s="587"/>
      <c r="J17" s="587"/>
      <c r="K17" s="587"/>
      <c r="L17" s="587"/>
      <c r="M17" s="587"/>
      <c r="N17" s="587"/>
      <c r="O17" s="587"/>
      <c r="P17" s="587"/>
      <c r="Q17" s="587"/>
      <c r="R17" s="588"/>
      <c r="S17" s="589">
        <f>2/53</f>
        <v>3.7735849056603772E-2</v>
      </c>
      <c r="T17" s="590"/>
      <c r="U17" s="590"/>
      <c r="V17" s="590"/>
      <c r="W17" s="590"/>
      <c r="X17" s="590"/>
      <c r="Y17" s="590"/>
      <c r="Z17" s="590"/>
      <c r="AA17" s="590"/>
      <c r="AB17" s="590"/>
      <c r="AC17" s="590"/>
      <c r="AD17" s="591"/>
      <c r="AE17" s="589">
        <f>0/31</f>
        <v>0</v>
      </c>
      <c r="AF17" s="590"/>
      <c r="AG17" s="590"/>
      <c r="AH17" s="590"/>
      <c r="AI17" s="590"/>
      <c r="AJ17" s="590"/>
      <c r="AK17" s="590"/>
      <c r="AL17" s="590"/>
      <c r="AM17" s="590"/>
      <c r="AN17" s="590"/>
      <c r="AO17" s="590"/>
      <c r="AP17" s="591"/>
      <c r="AQ17" s="604">
        <f>4/36</f>
        <v>0.1111111111111111</v>
      </c>
      <c r="AR17" s="605"/>
      <c r="AS17" s="605"/>
      <c r="AT17" s="605"/>
      <c r="AU17" s="605"/>
      <c r="AV17" s="605"/>
      <c r="AW17" s="605"/>
      <c r="AX17" s="605"/>
      <c r="AY17" s="605"/>
      <c r="AZ17" s="605"/>
      <c r="BA17" s="605"/>
      <c r="BB17" s="606"/>
      <c r="BC17" s="583"/>
      <c r="BD17" s="584"/>
      <c r="BE17" s="584"/>
      <c r="BF17" s="584"/>
      <c r="BG17" s="584"/>
      <c r="BH17" s="584"/>
      <c r="BI17" s="584"/>
      <c r="BJ17" s="584"/>
      <c r="BK17" s="584"/>
      <c r="BL17" s="584"/>
      <c r="BM17" s="584"/>
      <c r="BN17" s="585"/>
    </row>
    <row r="18" spans="2:66" ht="58.5" customHeight="1" x14ac:dyDescent="0.25">
      <c r="B18" s="235" t="s">
        <v>267</v>
      </c>
      <c r="C18" s="235" t="s">
        <v>229</v>
      </c>
      <c r="D18" s="235" t="s">
        <v>268</v>
      </c>
      <c r="E18" s="236" t="s">
        <v>269</v>
      </c>
      <c r="F18" s="236" t="s">
        <v>232</v>
      </c>
      <c r="G18" s="586"/>
      <c r="H18" s="587"/>
      <c r="I18" s="587"/>
      <c r="J18" s="587"/>
      <c r="K18" s="587"/>
      <c r="L18" s="587"/>
      <c r="M18" s="587">
        <f>4/7</f>
        <v>0.5714285714285714</v>
      </c>
      <c r="N18" s="587"/>
      <c r="O18" s="587"/>
      <c r="P18" s="587"/>
      <c r="Q18" s="587"/>
      <c r="R18" s="588"/>
      <c r="S18" s="589">
        <v>41</v>
      </c>
      <c r="T18" s="590"/>
      <c r="U18" s="590"/>
      <c r="V18" s="590">
        <v>42</v>
      </c>
      <c r="W18" s="590"/>
      <c r="X18" s="590"/>
      <c r="Y18" s="590">
        <v>45</v>
      </c>
      <c r="Z18" s="590"/>
      <c r="AA18" s="590"/>
      <c r="AB18" s="590">
        <v>44</v>
      </c>
      <c r="AC18" s="590"/>
      <c r="AD18" s="591"/>
      <c r="AE18" s="589" t="s">
        <v>270</v>
      </c>
      <c r="AF18" s="590"/>
      <c r="AG18" s="590"/>
      <c r="AH18" s="590"/>
      <c r="AI18" s="590"/>
      <c r="AJ18" s="590"/>
      <c r="AK18" s="590"/>
      <c r="AL18" s="590"/>
      <c r="AM18" s="590"/>
      <c r="AN18" s="590"/>
      <c r="AO18" s="590"/>
      <c r="AP18" s="591"/>
      <c r="AQ18" s="589" t="s">
        <v>271</v>
      </c>
      <c r="AR18" s="590"/>
      <c r="AS18" s="590"/>
      <c r="AT18" s="590"/>
      <c r="AU18" s="590"/>
      <c r="AV18" s="590"/>
      <c r="AW18" s="590"/>
      <c r="AX18" s="590"/>
      <c r="AY18" s="590"/>
      <c r="AZ18" s="590"/>
      <c r="BA18" s="590"/>
      <c r="BB18" s="591"/>
      <c r="BC18" s="583"/>
      <c r="BD18" s="584"/>
      <c r="BE18" s="585"/>
      <c r="BF18" s="583"/>
      <c r="BG18" s="584"/>
      <c r="BH18" s="585"/>
      <c r="BI18" s="583"/>
      <c r="BJ18" s="584"/>
      <c r="BK18" s="585"/>
      <c r="BL18" s="583"/>
      <c r="BM18" s="584"/>
      <c r="BN18" s="585"/>
    </row>
    <row r="19" spans="2:66" ht="58.5" customHeight="1" x14ac:dyDescent="0.25">
      <c r="B19" s="235" t="s">
        <v>272</v>
      </c>
      <c r="C19" s="235" t="s">
        <v>273</v>
      </c>
      <c r="D19" s="235" t="s">
        <v>274</v>
      </c>
      <c r="E19" s="236">
        <v>1</v>
      </c>
      <c r="F19" s="236" t="s">
        <v>275</v>
      </c>
      <c r="G19" s="586" t="s">
        <v>205</v>
      </c>
      <c r="H19" s="587"/>
      <c r="I19" s="587"/>
      <c r="J19" s="587"/>
      <c r="K19" s="587"/>
      <c r="L19" s="587"/>
      <c r="M19" s="587">
        <f>14/14</f>
        <v>1</v>
      </c>
      <c r="N19" s="587"/>
      <c r="O19" s="587"/>
      <c r="P19" s="587"/>
      <c r="Q19" s="587"/>
      <c r="R19" s="588"/>
      <c r="S19" s="589">
        <v>16</v>
      </c>
      <c r="T19" s="590"/>
      <c r="U19" s="590"/>
      <c r="V19" s="590"/>
      <c r="W19" s="590"/>
      <c r="X19" s="590"/>
      <c r="Y19" s="590">
        <v>1</v>
      </c>
      <c r="Z19" s="590"/>
      <c r="AA19" s="590"/>
      <c r="AB19" s="590"/>
      <c r="AC19" s="590"/>
      <c r="AD19" s="591"/>
      <c r="AE19" s="589">
        <v>1</v>
      </c>
      <c r="AF19" s="590"/>
      <c r="AG19" s="590"/>
      <c r="AH19" s="590"/>
      <c r="AI19" s="590"/>
      <c r="AJ19" s="590"/>
      <c r="AK19" s="590"/>
      <c r="AL19" s="590"/>
      <c r="AM19" s="590"/>
      <c r="AN19" s="590"/>
      <c r="AO19" s="590"/>
      <c r="AP19" s="591"/>
      <c r="AQ19" s="583"/>
      <c r="AR19" s="584"/>
      <c r="AS19" s="584"/>
      <c r="AT19" s="584"/>
      <c r="AU19" s="584"/>
      <c r="AV19" s="585"/>
      <c r="AW19" s="583"/>
      <c r="AX19" s="584"/>
      <c r="AY19" s="584"/>
      <c r="AZ19" s="584"/>
      <c r="BA19" s="584"/>
      <c r="BB19" s="585"/>
      <c r="BC19" s="583"/>
      <c r="BD19" s="584"/>
      <c r="BE19" s="584"/>
      <c r="BF19" s="584"/>
      <c r="BG19" s="584"/>
      <c r="BH19" s="585"/>
      <c r="BI19" s="583"/>
      <c r="BJ19" s="584"/>
      <c r="BK19" s="584"/>
      <c r="BL19" s="584"/>
      <c r="BM19" s="584"/>
      <c r="BN19" s="585"/>
    </row>
    <row r="20" spans="2:66" ht="58.5" customHeight="1" x14ac:dyDescent="0.25">
      <c r="B20" s="235" t="s">
        <v>276</v>
      </c>
      <c r="C20" s="235" t="s">
        <v>273</v>
      </c>
      <c r="D20" s="235" t="s">
        <v>277</v>
      </c>
      <c r="E20" s="236">
        <v>1</v>
      </c>
      <c r="F20" s="236" t="s">
        <v>275</v>
      </c>
      <c r="G20" s="586">
        <f>107/150</f>
        <v>0.71333333333333337</v>
      </c>
      <c r="H20" s="587"/>
      <c r="I20" s="587"/>
      <c r="J20" s="587"/>
      <c r="K20" s="587"/>
      <c r="L20" s="587"/>
      <c r="M20" s="587">
        <f>107/154</f>
        <v>0.69480519480519476</v>
      </c>
      <c r="N20" s="587"/>
      <c r="O20" s="587"/>
      <c r="P20" s="587"/>
      <c r="Q20" s="587"/>
      <c r="R20" s="588"/>
      <c r="S20" s="589">
        <f>97/153</f>
        <v>0.63398692810457513</v>
      </c>
      <c r="T20" s="590"/>
      <c r="U20" s="590"/>
      <c r="V20" s="590"/>
      <c r="W20" s="590"/>
      <c r="X20" s="590"/>
      <c r="Y20" s="590">
        <f>99/159</f>
        <v>0.62264150943396224</v>
      </c>
      <c r="Z20" s="590"/>
      <c r="AA20" s="590"/>
      <c r="AB20" s="590"/>
      <c r="AC20" s="590"/>
      <c r="AD20" s="591"/>
      <c r="AE20" s="601">
        <f>103/156</f>
        <v>0.66025641025641024</v>
      </c>
      <c r="AF20" s="602"/>
      <c r="AG20" s="602"/>
      <c r="AH20" s="602"/>
      <c r="AI20" s="602"/>
      <c r="AJ20" s="602"/>
      <c r="AK20" s="602"/>
      <c r="AL20" s="602"/>
      <c r="AM20" s="602"/>
      <c r="AN20" s="602"/>
      <c r="AO20" s="602"/>
      <c r="AP20" s="603"/>
      <c r="AQ20" s="583"/>
      <c r="AR20" s="584"/>
      <c r="AS20" s="584"/>
      <c r="AT20" s="584"/>
      <c r="AU20" s="584"/>
      <c r="AV20" s="585"/>
      <c r="AW20" s="583"/>
      <c r="AX20" s="584"/>
      <c r="AY20" s="584"/>
      <c r="AZ20" s="584"/>
      <c r="BA20" s="584"/>
      <c r="BB20" s="585"/>
      <c r="BC20" s="583"/>
      <c r="BD20" s="584"/>
      <c r="BE20" s="584"/>
      <c r="BF20" s="584"/>
      <c r="BG20" s="584"/>
      <c r="BH20" s="585"/>
      <c r="BI20" s="583"/>
      <c r="BJ20" s="584"/>
      <c r="BK20" s="584"/>
      <c r="BL20" s="584"/>
      <c r="BM20" s="584"/>
      <c r="BN20" s="585"/>
    </row>
    <row r="21" spans="2:66" ht="58.5" customHeight="1" x14ac:dyDescent="0.25">
      <c r="B21" s="235" t="s">
        <v>276</v>
      </c>
      <c r="C21" s="235" t="s">
        <v>278</v>
      </c>
      <c r="D21" s="235" t="s">
        <v>279</v>
      </c>
      <c r="E21" s="236">
        <v>1</v>
      </c>
      <c r="F21" s="236" t="s">
        <v>237</v>
      </c>
      <c r="G21" s="586">
        <f>(2187/107)/(3531/150)</f>
        <v>0.86827749942432442</v>
      </c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8"/>
      <c r="S21" s="589">
        <f>(2113.5/97)/(3631.5/153)</f>
        <v>0.91798566665389181</v>
      </c>
      <c r="T21" s="590"/>
      <c r="U21" s="590"/>
      <c r="V21" s="590"/>
      <c r="W21" s="590"/>
      <c r="X21" s="590"/>
      <c r="Y21" s="590"/>
      <c r="Z21" s="590"/>
      <c r="AA21" s="590"/>
      <c r="AB21" s="590"/>
      <c r="AC21" s="590"/>
      <c r="AD21" s="591"/>
      <c r="AE21" s="589">
        <v>0.34</v>
      </c>
      <c r="AF21" s="590"/>
      <c r="AG21" s="590"/>
      <c r="AH21" s="590"/>
      <c r="AI21" s="590"/>
      <c r="AJ21" s="590"/>
      <c r="AK21" s="590"/>
      <c r="AL21" s="590"/>
      <c r="AM21" s="590"/>
      <c r="AN21" s="590"/>
      <c r="AO21" s="590"/>
      <c r="AP21" s="591"/>
      <c r="AQ21" s="604">
        <v>0.5534</v>
      </c>
      <c r="AR21" s="605"/>
      <c r="AS21" s="605"/>
      <c r="AT21" s="605"/>
      <c r="AU21" s="605"/>
      <c r="AV21" s="605"/>
      <c r="AW21" s="605"/>
      <c r="AX21" s="605"/>
      <c r="AY21" s="605"/>
      <c r="AZ21" s="605"/>
      <c r="BA21" s="605"/>
      <c r="BB21" s="606"/>
      <c r="BC21" s="604"/>
      <c r="BD21" s="605"/>
      <c r="BE21" s="605"/>
      <c r="BF21" s="605"/>
      <c r="BG21" s="605"/>
      <c r="BH21" s="605"/>
      <c r="BI21" s="605"/>
      <c r="BJ21" s="605"/>
      <c r="BK21" s="605"/>
      <c r="BL21" s="605"/>
      <c r="BM21" s="605"/>
      <c r="BN21" s="606"/>
    </row>
    <row r="22" spans="2:66" ht="58.5" customHeight="1" x14ac:dyDescent="0.25">
      <c r="B22" s="235" t="s">
        <v>276</v>
      </c>
      <c r="C22" s="235" t="s">
        <v>280</v>
      </c>
      <c r="D22" s="235" t="s">
        <v>281</v>
      </c>
      <c r="E22" s="236">
        <v>1</v>
      </c>
      <c r="F22" s="236" t="s">
        <v>237</v>
      </c>
      <c r="G22" s="586">
        <f>(3253685255.39/107)/(4452789375.4/150)</f>
        <v>1.0243558874417298</v>
      </c>
      <c r="H22" s="587"/>
      <c r="I22" s="587"/>
      <c r="J22" s="587"/>
      <c r="K22" s="587"/>
      <c r="L22" s="587"/>
      <c r="M22" s="587"/>
      <c r="N22" s="587"/>
      <c r="O22" s="587"/>
      <c r="P22" s="587"/>
      <c r="Q22" s="587"/>
      <c r="R22" s="588"/>
      <c r="S22" s="589">
        <f>(3539475314/97)/(5147129841/153)</f>
        <v>1.0846595899388407</v>
      </c>
      <c r="T22" s="590"/>
      <c r="U22" s="590"/>
      <c r="V22" s="590"/>
      <c r="W22" s="590"/>
      <c r="X22" s="590"/>
      <c r="Y22" s="590"/>
      <c r="Z22" s="590"/>
      <c r="AA22" s="590"/>
      <c r="AB22" s="590"/>
      <c r="AC22" s="590"/>
      <c r="AD22" s="591"/>
      <c r="AE22" s="601">
        <f>38285543/34408597</f>
        <v>1.1126737599908534</v>
      </c>
      <c r="AF22" s="602"/>
      <c r="AG22" s="602"/>
      <c r="AH22" s="602"/>
      <c r="AI22" s="602"/>
      <c r="AJ22" s="602"/>
      <c r="AK22" s="602"/>
      <c r="AL22" s="602"/>
      <c r="AM22" s="602"/>
      <c r="AN22" s="602"/>
      <c r="AO22" s="602"/>
      <c r="AP22" s="603"/>
      <c r="AQ22" s="604">
        <f>3773493.93/3830522.74</f>
        <v>0.98511200327712978</v>
      </c>
      <c r="AR22" s="605"/>
      <c r="AS22" s="605"/>
      <c r="AT22" s="605"/>
      <c r="AU22" s="605"/>
      <c r="AV22" s="605"/>
      <c r="AW22" s="605"/>
      <c r="AX22" s="605"/>
      <c r="AY22" s="605"/>
      <c r="AZ22" s="605"/>
      <c r="BA22" s="605"/>
      <c r="BB22" s="606"/>
      <c r="BC22" s="583"/>
      <c r="BD22" s="584"/>
      <c r="BE22" s="584"/>
      <c r="BF22" s="584"/>
      <c r="BG22" s="584"/>
      <c r="BH22" s="584"/>
      <c r="BI22" s="584"/>
      <c r="BJ22" s="584"/>
      <c r="BK22" s="584"/>
      <c r="BL22" s="584"/>
      <c r="BM22" s="584"/>
      <c r="BN22" s="585"/>
    </row>
    <row r="23" spans="2:66" ht="58.5" customHeight="1" x14ac:dyDescent="0.25">
      <c r="B23" s="235" t="s">
        <v>282</v>
      </c>
      <c r="C23" s="235" t="s">
        <v>273</v>
      </c>
      <c r="D23" s="235" t="s">
        <v>283</v>
      </c>
      <c r="E23" s="236"/>
      <c r="F23" s="236" t="s">
        <v>275</v>
      </c>
      <c r="G23" s="586">
        <f>(63/257)*100%</f>
        <v>0.24513618677042801</v>
      </c>
      <c r="H23" s="587"/>
      <c r="I23" s="587"/>
      <c r="J23" s="587"/>
      <c r="K23" s="587"/>
      <c r="L23" s="587"/>
      <c r="M23" s="587">
        <f>(67/261)*100%</f>
        <v>0.25670498084291188</v>
      </c>
      <c r="N23" s="587"/>
      <c r="O23" s="587"/>
      <c r="P23" s="587"/>
      <c r="Q23" s="587"/>
      <c r="R23" s="588"/>
      <c r="S23" s="589">
        <v>0.25600000000000001</v>
      </c>
      <c r="T23" s="590"/>
      <c r="U23" s="590"/>
      <c r="V23" s="590"/>
      <c r="W23" s="590"/>
      <c r="X23" s="590"/>
      <c r="Y23" s="590">
        <f>69/258</f>
        <v>0.26744186046511625</v>
      </c>
      <c r="Z23" s="590"/>
      <c r="AA23" s="590"/>
      <c r="AB23" s="590"/>
      <c r="AC23" s="590"/>
      <c r="AD23" s="591"/>
      <c r="AE23" s="607">
        <f>73/259</f>
        <v>0.28185328185328185</v>
      </c>
      <c r="AF23" s="608"/>
      <c r="AG23" s="608"/>
      <c r="AH23" s="608"/>
      <c r="AI23" s="608"/>
      <c r="AJ23" s="609"/>
      <c r="AK23" s="245">
        <f>74/259</f>
        <v>0.2857142857142857</v>
      </c>
      <c r="AL23" s="245">
        <v>0.27479999999999999</v>
      </c>
      <c r="AM23" s="245">
        <v>0.27750000000000002</v>
      </c>
      <c r="AN23" s="245">
        <v>0.28299999999999997</v>
      </c>
      <c r="AO23" s="245">
        <f>68/265</f>
        <v>0.25660377358490566</v>
      </c>
      <c r="AP23" s="246">
        <f>76/265</f>
        <v>0.28679245283018867</v>
      </c>
      <c r="AQ23" s="583">
        <f>80/272</f>
        <v>0.29411764705882354</v>
      </c>
      <c r="AR23" s="584"/>
      <c r="AS23" s="584"/>
      <c r="AT23" s="584"/>
      <c r="AU23" s="584"/>
      <c r="AV23" s="585"/>
      <c r="AW23" s="583"/>
      <c r="AX23" s="584"/>
      <c r="AY23" s="584"/>
      <c r="AZ23" s="584"/>
      <c r="BA23" s="584"/>
      <c r="BB23" s="585"/>
      <c r="BC23" s="583"/>
      <c r="BD23" s="584"/>
      <c r="BE23" s="584"/>
      <c r="BF23" s="584"/>
      <c r="BG23" s="584"/>
      <c r="BH23" s="585"/>
      <c r="BI23" s="583"/>
      <c r="BJ23" s="584"/>
      <c r="BK23" s="584"/>
      <c r="BL23" s="584"/>
      <c r="BM23" s="584"/>
      <c r="BN23" s="585"/>
    </row>
    <row r="24" spans="2:66" ht="58.5" customHeight="1" x14ac:dyDescent="0.25">
      <c r="B24" s="235" t="s">
        <v>282</v>
      </c>
      <c r="C24" s="235" t="s">
        <v>273</v>
      </c>
      <c r="D24" s="235" t="s">
        <v>284</v>
      </c>
      <c r="E24" s="236"/>
      <c r="F24" s="236" t="s">
        <v>275</v>
      </c>
      <c r="G24" s="586">
        <f>(256/257)*100%</f>
        <v>0.99610894941634243</v>
      </c>
      <c r="H24" s="587"/>
      <c r="I24" s="587"/>
      <c r="J24" s="587"/>
      <c r="K24" s="587"/>
      <c r="L24" s="587"/>
      <c r="M24" s="587">
        <f>(258/261)*100%</f>
        <v>0.9885057471264368</v>
      </c>
      <c r="N24" s="587"/>
      <c r="O24" s="587"/>
      <c r="P24" s="587"/>
      <c r="Q24" s="587"/>
      <c r="R24" s="588"/>
      <c r="S24" s="589">
        <f>(247/247)</f>
        <v>1</v>
      </c>
      <c r="T24" s="590"/>
      <c r="U24" s="590"/>
      <c r="V24" s="590"/>
      <c r="W24" s="590"/>
      <c r="X24" s="590"/>
      <c r="Y24" s="590">
        <f>1-(3/258)</f>
        <v>0.98837209302325579</v>
      </c>
      <c r="Z24" s="590"/>
      <c r="AA24" s="590"/>
      <c r="AB24" s="590"/>
      <c r="AC24" s="590"/>
      <c r="AD24" s="591"/>
      <c r="AE24" s="598">
        <f>1-(2/259)</f>
        <v>0.99227799227799229</v>
      </c>
      <c r="AF24" s="599"/>
      <c r="AG24" s="599"/>
      <c r="AH24" s="599"/>
      <c r="AI24" s="599"/>
      <c r="AJ24" s="600"/>
      <c r="AK24" s="245">
        <f>259/259</f>
        <v>1</v>
      </c>
      <c r="AL24" s="245">
        <f>1-(3/259)</f>
        <v>0.98841698841698844</v>
      </c>
      <c r="AM24" s="245">
        <f>1-(4/261)</f>
        <v>0.98467432950191569</v>
      </c>
      <c r="AN24" s="245">
        <f>1-(6/264)</f>
        <v>0.97727272727272729</v>
      </c>
      <c r="AO24" s="245">
        <f>1-(6/265)</f>
        <v>0.97735849056603774</v>
      </c>
      <c r="AP24" s="246">
        <v>0.98</v>
      </c>
      <c r="AQ24" s="583">
        <f>265/272</f>
        <v>0.97426470588235292</v>
      </c>
      <c r="AR24" s="584"/>
      <c r="AS24" s="584"/>
      <c r="AT24" s="584"/>
      <c r="AU24" s="584"/>
      <c r="AV24" s="585"/>
      <c r="AW24" s="583"/>
      <c r="AX24" s="584"/>
      <c r="AY24" s="584"/>
      <c r="AZ24" s="584"/>
      <c r="BA24" s="584"/>
      <c r="BB24" s="585"/>
      <c r="BC24" s="583"/>
      <c r="BD24" s="584"/>
      <c r="BE24" s="584"/>
      <c r="BF24" s="584"/>
      <c r="BG24" s="584"/>
      <c r="BH24" s="585"/>
      <c r="BI24" s="583"/>
      <c r="BJ24" s="584"/>
      <c r="BK24" s="584"/>
      <c r="BL24" s="584"/>
      <c r="BM24" s="584"/>
      <c r="BN24" s="585"/>
    </row>
    <row r="25" spans="2:66" ht="58.5" customHeight="1" x14ac:dyDescent="0.25">
      <c r="B25" s="235" t="s">
        <v>282</v>
      </c>
      <c r="C25" s="235" t="s">
        <v>273</v>
      </c>
      <c r="D25" s="235" t="s">
        <v>285</v>
      </c>
      <c r="E25" s="236"/>
      <c r="F25" s="236" t="s">
        <v>275</v>
      </c>
      <c r="G25" s="586">
        <v>38.32</v>
      </c>
      <c r="H25" s="587"/>
      <c r="I25" s="587"/>
      <c r="J25" s="587"/>
      <c r="K25" s="587"/>
      <c r="L25" s="587"/>
      <c r="M25" s="587">
        <v>38.49</v>
      </c>
      <c r="N25" s="587"/>
      <c r="O25" s="587"/>
      <c r="P25" s="587"/>
      <c r="Q25" s="587"/>
      <c r="R25" s="588"/>
      <c r="S25" s="589">
        <v>39.299999999999997</v>
      </c>
      <c r="T25" s="590"/>
      <c r="U25" s="590"/>
      <c r="V25" s="590"/>
      <c r="W25" s="590"/>
      <c r="X25" s="590"/>
      <c r="Y25" s="590">
        <v>39.18</v>
      </c>
      <c r="Z25" s="590"/>
      <c r="AA25" s="590"/>
      <c r="AB25" s="590"/>
      <c r="AC25" s="590"/>
      <c r="AD25" s="591"/>
      <c r="AE25" s="592">
        <v>39.840000000000003</v>
      </c>
      <c r="AF25" s="593"/>
      <c r="AG25" s="593"/>
      <c r="AH25" s="593"/>
      <c r="AI25" s="593"/>
      <c r="AJ25" s="594"/>
      <c r="AK25" s="239">
        <v>40</v>
      </c>
      <c r="AL25" s="239">
        <v>40.049999999999997</v>
      </c>
      <c r="AM25" s="239">
        <v>40.049999999999997</v>
      </c>
      <c r="AN25" s="239">
        <v>39.99</v>
      </c>
      <c r="AO25" s="239">
        <v>40.07</v>
      </c>
      <c r="AP25" s="240">
        <v>40.18</v>
      </c>
      <c r="AQ25" s="595">
        <v>39.950000000000003</v>
      </c>
      <c r="AR25" s="596"/>
      <c r="AS25" s="596"/>
      <c r="AT25" s="596"/>
      <c r="AU25" s="596"/>
      <c r="AV25" s="597"/>
      <c r="AW25" s="583"/>
      <c r="AX25" s="584"/>
      <c r="AY25" s="584"/>
      <c r="AZ25" s="584"/>
      <c r="BA25" s="584"/>
      <c r="BB25" s="585"/>
      <c r="BC25" s="595"/>
      <c r="BD25" s="596"/>
      <c r="BE25" s="596"/>
      <c r="BF25" s="596"/>
      <c r="BG25" s="596"/>
      <c r="BH25" s="597"/>
      <c r="BI25" s="583"/>
      <c r="BJ25" s="584"/>
      <c r="BK25" s="584"/>
      <c r="BL25" s="584"/>
      <c r="BM25" s="584"/>
      <c r="BN25" s="585"/>
    </row>
    <row r="26" spans="2:66" ht="58.5" customHeight="1" x14ac:dyDescent="0.25">
      <c r="B26" s="235" t="s">
        <v>282</v>
      </c>
      <c r="C26" s="235" t="s">
        <v>273</v>
      </c>
      <c r="D26" s="235" t="s">
        <v>286</v>
      </c>
      <c r="E26" s="236"/>
      <c r="F26" s="236" t="s">
        <v>275</v>
      </c>
      <c r="G26" s="586">
        <v>9.33</v>
      </c>
      <c r="H26" s="587"/>
      <c r="I26" s="587"/>
      <c r="J26" s="587"/>
      <c r="K26" s="587"/>
      <c r="L26" s="587"/>
      <c r="M26" s="587">
        <v>9.0500000000000007</v>
      </c>
      <c r="N26" s="587"/>
      <c r="O26" s="587"/>
      <c r="P26" s="587"/>
      <c r="Q26" s="587"/>
      <c r="R26" s="588"/>
      <c r="S26" s="589">
        <v>9.1</v>
      </c>
      <c r="T26" s="590"/>
      <c r="U26" s="590"/>
      <c r="V26" s="590"/>
      <c r="W26" s="590"/>
      <c r="X26" s="590"/>
      <c r="Y26" s="590">
        <v>8.8000000000000007</v>
      </c>
      <c r="Z26" s="590"/>
      <c r="AA26" s="590"/>
      <c r="AB26" s="590"/>
      <c r="AC26" s="590"/>
      <c r="AD26" s="591"/>
      <c r="AE26" s="592">
        <v>10.08</v>
      </c>
      <c r="AF26" s="593"/>
      <c r="AG26" s="593"/>
      <c r="AH26" s="593"/>
      <c r="AI26" s="593"/>
      <c r="AJ26" s="594"/>
      <c r="AK26" s="243">
        <v>9.86</v>
      </c>
      <c r="AL26" s="243">
        <v>9.9499999999999993</v>
      </c>
      <c r="AM26" s="243">
        <v>9.8000000000000007</v>
      </c>
      <c r="AN26" s="243">
        <v>9.64</v>
      </c>
      <c r="AO26" s="243">
        <v>9.69</v>
      </c>
      <c r="AP26" s="244">
        <v>10.33</v>
      </c>
      <c r="AQ26" s="595">
        <v>10.15</v>
      </c>
      <c r="AR26" s="596"/>
      <c r="AS26" s="596"/>
      <c r="AT26" s="596"/>
      <c r="AU26" s="596"/>
      <c r="AV26" s="597"/>
      <c r="AW26" s="583"/>
      <c r="AX26" s="584"/>
      <c r="AY26" s="584"/>
      <c r="AZ26" s="584"/>
      <c r="BA26" s="584"/>
      <c r="BB26" s="585"/>
      <c r="BC26" s="595"/>
      <c r="BD26" s="596"/>
      <c r="BE26" s="596"/>
      <c r="BF26" s="596"/>
      <c r="BG26" s="596"/>
      <c r="BH26" s="597"/>
      <c r="BI26" s="583"/>
      <c r="BJ26" s="584"/>
      <c r="BK26" s="584"/>
      <c r="BL26" s="584"/>
      <c r="BM26" s="584"/>
      <c r="BN26" s="585"/>
    </row>
    <row r="27" spans="2:66" ht="49.15" customHeight="1" x14ac:dyDescent="0.25">
      <c r="B27" s="235" t="s">
        <v>282</v>
      </c>
      <c r="C27" s="235" t="s">
        <v>273</v>
      </c>
      <c r="D27" s="235" t="s">
        <v>287</v>
      </c>
      <c r="E27" s="236"/>
      <c r="F27" s="236" t="s">
        <v>275</v>
      </c>
      <c r="G27" s="580" t="s">
        <v>288</v>
      </c>
      <c r="H27" s="581"/>
      <c r="I27" s="581"/>
      <c r="J27" s="581"/>
      <c r="K27" s="581"/>
      <c r="L27" s="582"/>
      <c r="M27" s="580" t="s">
        <v>288</v>
      </c>
      <c r="N27" s="581"/>
      <c r="O27" s="581"/>
      <c r="P27" s="581"/>
      <c r="Q27" s="581"/>
      <c r="R27" s="582"/>
      <c r="S27" s="580" t="s">
        <v>288</v>
      </c>
      <c r="T27" s="581"/>
      <c r="U27" s="581"/>
      <c r="V27" s="581"/>
      <c r="W27" s="581"/>
      <c r="X27" s="582"/>
      <c r="Y27" s="580"/>
      <c r="Z27" s="581"/>
      <c r="AA27" s="581"/>
      <c r="AB27" s="581"/>
      <c r="AC27" s="581"/>
      <c r="AD27" s="582"/>
      <c r="AE27" s="580"/>
      <c r="AF27" s="581"/>
      <c r="AG27" s="581"/>
      <c r="AH27" s="581"/>
      <c r="AI27" s="581"/>
      <c r="AJ27" s="582"/>
      <c r="AK27" s="580"/>
      <c r="AL27" s="581"/>
      <c r="AM27" s="581"/>
      <c r="AN27" s="581"/>
      <c r="AO27" s="581"/>
      <c r="AP27" s="582"/>
      <c r="AQ27" s="580"/>
      <c r="AR27" s="581"/>
      <c r="AS27" s="581"/>
      <c r="AT27" s="581"/>
      <c r="AU27" s="581"/>
      <c r="AV27" s="582"/>
      <c r="AW27" s="580"/>
      <c r="AX27" s="581"/>
      <c r="AY27" s="581"/>
      <c r="AZ27" s="581"/>
      <c r="BA27" s="581"/>
      <c r="BB27" s="582"/>
      <c r="BC27" s="580"/>
      <c r="BD27" s="581"/>
      <c r="BE27" s="581"/>
      <c r="BF27" s="581"/>
      <c r="BG27" s="581"/>
      <c r="BH27" s="582"/>
      <c r="BI27" s="580"/>
      <c r="BJ27" s="581"/>
      <c r="BK27" s="581"/>
      <c r="BL27" s="581"/>
      <c r="BM27" s="581"/>
      <c r="BN27" s="582"/>
    </row>
  </sheetData>
  <autoFilter ref="A4:F27" xr:uid="{00000000-0001-0000-0A00-000000000000}"/>
  <mergeCells count="160">
    <mergeCell ref="G3:R3"/>
    <mergeCell ref="S3:AD3"/>
    <mergeCell ref="AE3:AP3"/>
    <mergeCell ref="AQ3:BB3"/>
    <mergeCell ref="BC3:BN3"/>
    <mergeCell ref="G6:I6"/>
    <mergeCell ref="J6:L6"/>
    <mergeCell ref="M6:O6"/>
    <mergeCell ref="P6:R6"/>
    <mergeCell ref="S6:U6"/>
    <mergeCell ref="BF6:BH6"/>
    <mergeCell ref="BI6:BK6"/>
    <mergeCell ref="BL6:BN6"/>
    <mergeCell ref="G7:R7"/>
    <mergeCell ref="S7:AD7"/>
    <mergeCell ref="AE7:AP7"/>
    <mergeCell ref="AQ7:BB7"/>
    <mergeCell ref="BC7:BN7"/>
    <mergeCell ref="AN6:AP6"/>
    <mergeCell ref="AQ6:AS6"/>
    <mergeCell ref="AT6:AV6"/>
    <mergeCell ref="AW6:AY6"/>
    <mergeCell ref="AZ6:BB6"/>
    <mergeCell ref="BC6:BE6"/>
    <mergeCell ref="V6:X6"/>
    <mergeCell ref="Y6:AA6"/>
    <mergeCell ref="AB6:AD6"/>
    <mergeCell ref="AE6:AG6"/>
    <mergeCell ref="AH6:AJ6"/>
    <mergeCell ref="AK6:AM6"/>
    <mergeCell ref="G9:O9"/>
    <mergeCell ref="G10:R10"/>
    <mergeCell ref="S10:AD10"/>
    <mergeCell ref="AE10:AP10"/>
    <mergeCell ref="AQ10:BB10"/>
    <mergeCell ref="BC10:BN10"/>
    <mergeCell ref="AW8:AY8"/>
    <mergeCell ref="AZ8:BB8"/>
    <mergeCell ref="BC8:BE8"/>
    <mergeCell ref="BF8:BH8"/>
    <mergeCell ref="BI8:BK8"/>
    <mergeCell ref="BL8:BN8"/>
    <mergeCell ref="AE8:AG8"/>
    <mergeCell ref="AH8:AJ8"/>
    <mergeCell ref="AK8:AM8"/>
    <mergeCell ref="AN8:AP8"/>
    <mergeCell ref="AQ8:AS8"/>
    <mergeCell ref="AT8:AV8"/>
    <mergeCell ref="G8:O8"/>
    <mergeCell ref="P8:R8"/>
    <mergeCell ref="S8:U8"/>
    <mergeCell ref="V8:X8"/>
    <mergeCell ref="Y8:AA8"/>
    <mergeCell ref="AB8:AD8"/>
    <mergeCell ref="BL12:BN12"/>
    <mergeCell ref="G13:R13"/>
    <mergeCell ref="S13:AD13"/>
    <mergeCell ref="AE13:AP13"/>
    <mergeCell ref="AQ13:BB13"/>
    <mergeCell ref="BC13:BN13"/>
    <mergeCell ref="G11:R11"/>
    <mergeCell ref="S11:AD11"/>
    <mergeCell ref="AE11:AP11"/>
    <mergeCell ref="AQ11:BB11"/>
    <mergeCell ref="BC11:BN11"/>
    <mergeCell ref="G12:R12"/>
    <mergeCell ref="S12:AD12"/>
    <mergeCell ref="AE12:AP12"/>
    <mergeCell ref="AQ12:BB12"/>
    <mergeCell ref="BC12:BK12"/>
    <mergeCell ref="G14:R14"/>
    <mergeCell ref="S14:AD14"/>
    <mergeCell ref="AE14:AP14"/>
    <mergeCell ref="AQ14:BB14"/>
    <mergeCell ref="BC14:BN14"/>
    <mergeCell ref="G15:R15"/>
    <mergeCell ref="S15:AD15"/>
    <mergeCell ref="AE15:AP15"/>
    <mergeCell ref="AQ15:BB15"/>
    <mergeCell ref="BC15:BN15"/>
    <mergeCell ref="G16:R16"/>
    <mergeCell ref="S16:AD16"/>
    <mergeCell ref="AE16:AP16"/>
    <mergeCell ref="AQ16:BB16"/>
    <mergeCell ref="BC16:BN16"/>
    <mergeCell ref="G17:R17"/>
    <mergeCell ref="S17:AD17"/>
    <mergeCell ref="AE17:AP17"/>
    <mergeCell ref="AQ17:BB17"/>
    <mergeCell ref="BC17:BN17"/>
    <mergeCell ref="BI18:BK18"/>
    <mergeCell ref="BL18:BN18"/>
    <mergeCell ref="G19:R19"/>
    <mergeCell ref="S19:AD19"/>
    <mergeCell ref="AE19:AP19"/>
    <mergeCell ref="AQ19:AV19"/>
    <mergeCell ref="AW19:BB19"/>
    <mergeCell ref="BC19:BH19"/>
    <mergeCell ref="BI19:BN19"/>
    <mergeCell ref="G18:R18"/>
    <mergeCell ref="S18:AD18"/>
    <mergeCell ref="AE18:AP18"/>
    <mergeCell ref="AQ18:BB18"/>
    <mergeCell ref="BC18:BE18"/>
    <mergeCell ref="BF18:BH18"/>
    <mergeCell ref="BI20:BN20"/>
    <mergeCell ref="G21:R21"/>
    <mergeCell ref="S21:AD21"/>
    <mergeCell ref="AE21:AP21"/>
    <mergeCell ref="AQ21:BB21"/>
    <mergeCell ref="BC21:BN21"/>
    <mergeCell ref="G20:R20"/>
    <mergeCell ref="S20:AD20"/>
    <mergeCell ref="AE20:AP20"/>
    <mergeCell ref="AQ20:AV20"/>
    <mergeCell ref="AW20:BB20"/>
    <mergeCell ref="BC20:BH20"/>
    <mergeCell ref="G22:R22"/>
    <mergeCell ref="S22:AD22"/>
    <mergeCell ref="AE22:AP22"/>
    <mergeCell ref="AQ22:BB22"/>
    <mergeCell ref="BC22:BN22"/>
    <mergeCell ref="G23:R23"/>
    <mergeCell ref="S23:AD23"/>
    <mergeCell ref="AE23:AJ23"/>
    <mergeCell ref="AQ23:AV23"/>
    <mergeCell ref="AW23:BB23"/>
    <mergeCell ref="BC23:BH23"/>
    <mergeCell ref="BI23:BN23"/>
    <mergeCell ref="G24:R24"/>
    <mergeCell ref="S24:AD24"/>
    <mergeCell ref="AE24:AJ24"/>
    <mergeCell ref="AQ24:AV24"/>
    <mergeCell ref="AW24:BB24"/>
    <mergeCell ref="BC24:BH24"/>
    <mergeCell ref="BI24:BN24"/>
    <mergeCell ref="BI25:BN25"/>
    <mergeCell ref="G26:R26"/>
    <mergeCell ref="S26:AD26"/>
    <mergeCell ref="AE26:AJ26"/>
    <mergeCell ref="AQ26:AV26"/>
    <mergeCell ref="AW26:BB26"/>
    <mergeCell ref="BC26:BH26"/>
    <mergeCell ref="BI26:BN26"/>
    <mergeCell ref="G25:R25"/>
    <mergeCell ref="S25:AD25"/>
    <mergeCell ref="AE25:AJ25"/>
    <mergeCell ref="AQ25:AV25"/>
    <mergeCell ref="AW25:BB25"/>
    <mergeCell ref="BC25:BH25"/>
    <mergeCell ref="AQ27:AV27"/>
    <mergeCell ref="AW27:BB27"/>
    <mergeCell ref="BC27:BH27"/>
    <mergeCell ref="BI27:BN27"/>
    <mergeCell ref="G27:L27"/>
    <mergeCell ref="M27:R27"/>
    <mergeCell ref="S27:X27"/>
    <mergeCell ref="Y27:AD27"/>
    <mergeCell ref="AE27:AJ27"/>
    <mergeCell ref="AK27:AP27"/>
  </mergeCells>
  <conditionalFormatting sqref="C1:C1048576">
    <cfRule type="containsText" dxfId="3" priority="1" operator="containsText" text="HERI">
      <formula>NOT(ISERROR(SEARCH("HERI",C1)))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8061-D291-4FDC-B3EA-E2C6E85E3E5A}">
  <sheetPr codeName="Feuil6">
    <tabColor theme="0" tint="-0.14999847407452621"/>
    <pageSetUpPr fitToPage="1"/>
  </sheetPr>
  <dimension ref="A1:S139"/>
  <sheetViews>
    <sheetView showGridLines="0" zoomScale="70" zoomScaleNormal="70" workbookViewId="0">
      <pane xSplit="3" ySplit="9" topLeftCell="D10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B11" sqref="B11:H18"/>
    </sheetView>
  </sheetViews>
  <sheetFormatPr baseColWidth="10" defaultColWidth="10.5703125" defaultRowHeight="16.5" x14ac:dyDescent="0.25"/>
  <cols>
    <col min="1" max="1" width="8" style="247" customWidth="1"/>
    <col min="2" max="2" width="10.5703125" style="264" customWidth="1"/>
    <col min="3" max="3" width="49.5703125" style="247" customWidth="1"/>
    <col min="4" max="4" width="40" style="247" bestFit="1" customWidth="1"/>
    <col min="5" max="5" width="20.5703125" style="247" bestFit="1" customWidth="1"/>
    <col min="6" max="6" width="20" style="294" customWidth="1"/>
    <col min="7" max="7" width="26.5703125" style="294" customWidth="1"/>
    <col min="8" max="8" width="21.42578125" style="294" bestFit="1" customWidth="1"/>
    <col min="9" max="9" width="18.5703125" style="294" customWidth="1"/>
    <col min="10" max="10" width="35.5703125" style="294" customWidth="1"/>
    <col min="11" max="11" width="16.42578125" style="253" bestFit="1" customWidth="1"/>
    <col min="12" max="12" width="7.42578125" style="15" bestFit="1" customWidth="1"/>
    <col min="13" max="13" width="11.42578125" style="272" hidden="1" customWidth="1"/>
    <col min="14" max="14" width="9.42578125" style="272" hidden="1" customWidth="1"/>
    <col min="15" max="16" width="10" style="272" hidden="1" customWidth="1"/>
    <col min="17" max="17" width="10.5703125" style="15"/>
    <col min="18" max="18" width="26" style="15" bestFit="1" customWidth="1"/>
    <col min="19" max="19" width="17.7109375" style="15" bestFit="1" customWidth="1"/>
    <col min="20" max="16384" width="10.5703125" style="15"/>
  </cols>
  <sheetData>
    <row r="1" spans="1:19" s="157" customFormat="1" x14ac:dyDescent="0.25">
      <c r="A1" s="247"/>
      <c r="B1" s="248"/>
      <c r="C1" s="249" t="s">
        <v>289</v>
      </c>
      <c r="D1" s="249"/>
      <c r="E1" s="249"/>
      <c r="F1" s="250">
        <f>S5</f>
        <v>393686666.65999997</v>
      </c>
      <c r="G1" s="251" t="s">
        <v>290</v>
      </c>
      <c r="H1" s="252">
        <f>+H2/F1</f>
        <v>1.0160364438896591E-3</v>
      </c>
      <c r="I1" s="251"/>
      <c r="K1" s="253"/>
      <c r="L1" s="254"/>
      <c r="M1" s="255"/>
      <c r="N1" s="255"/>
      <c r="O1" s="255"/>
      <c r="P1" s="255"/>
      <c r="R1" t="s">
        <v>291</v>
      </c>
      <c r="S1" s="256"/>
    </row>
    <row r="2" spans="1:19" s="157" customFormat="1" x14ac:dyDescent="0.25">
      <c r="A2" s="247"/>
      <c r="B2" s="248"/>
      <c r="C2" s="257"/>
      <c r="D2" s="257"/>
      <c r="E2" s="257"/>
      <c r="F2" s="257">
        <f t="shared" ref="F2:G2" si="0">SUBTOTAL(9,F10:F123)</f>
        <v>400000.00079999998</v>
      </c>
      <c r="G2" s="257">
        <f t="shared" si="0"/>
        <v>0</v>
      </c>
      <c r="H2" s="257">
        <f>SUBTOTAL(9,H10:H266)</f>
        <v>400000.00079999998</v>
      </c>
      <c r="I2" s="251"/>
      <c r="J2" s="251">
        <f>F1-H2</f>
        <v>393286666.65919995</v>
      </c>
      <c r="K2" s="253"/>
      <c r="M2" s="258"/>
      <c r="N2" s="258"/>
      <c r="O2" s="258"/>
      <c r="P2" s="258"/>
      <c r="R2" t="s">
        <v>292</v>
      </c>
      <c r="S2" s="256">
        <v>266980740.74000001</v>
      </c>
    </row>
    <row r="3" spans="1:19" s="157" customFormat="1" x14ac:dyDescent="0.25">
      <c r="A3" s="247"/>
      <c r="B3" s="248"/>
      <c r="C3" s="257"/>
      <c r="D3" s="257"/>
      <c r="E3" s="259" t="s">
        <v>293</v>
      </c>
      <c r="F3" s="260">
        <f>SUMIF($B$10:$B$127,"&lt;="&amp;DATE(2025,3,31),F$10:F$127)</f>
        <v>400000.00079999998</v>
      </c>
      <c r="G3" s="260">
        <f>SUMIF($B$10:$B$127,"&lt;="&amp;DATE(2025,3,31),G$10:G$127)</f>
        <v>0</v>
      </c>
      <c r="H3" s="260">
        <f>SUMIF($B$10:$B$127,"&lt;="&amp;DATE(2025,3,31),H$10:H$127)</f>
        <v>400000.00079999998</v>
      </c>
      <c r="I3" s="261">
        <f>H3/$F$1</f>
        <v>1.0160364438896591E-3</v>
      </c>
      <c r="J3" s="251"/>
      <c r="K3" s="253"/>
      <c r="M3" s="258"/>
      <c r="N3" s="258"/>
      <c r="O3" s="258"/>
      <c r="P3" s="258"/>
      <c r="R3" t="s">
        <v>294</v>
      </c>
      <c r="S3" s="256">
        <v>33372592.59</v>
      </c>
    </row>
    <row r="4" spans="1:19" s="157" customFormat="1" x14ac:dyDescent="0.25">
      <c r="A4" s="247"/>
      <c r="B4" s="248"/>
      <c r="C4" s="257"/>
      <c r="D4" s="257"/>
      <c r="E4" s="259" t="s">
        <v>295</v>
      </c>
      <c r="F4" s="260">
        <f>SUMIF($B$10:$B$127,"&lt;="&amp;DATE(2025,6,30),F$10:F$127)</f>
        <v>400000.00079999998</v>
      </c>
      <c r="G4" s="260">
        <f>SUMIF($B$10:$B$127,"&lt;="&amp;DATE(2025,6,30),G$10:G$127)</f>
        <v>0</v>
      </c>
      <c r="H4" s="260">
        <f>SUMIF($B$10:$B$127,"&lt;="&amp;DATE(2025,6,30),H$10:H$127)</f>
        <v>400000.00079999998</v>
      </c>
      <c r="I4" s="261">
        <f t="shared" ref="I4:I5" si="1">H4/$F$1</f>
        <v>1.0160364438896591E-3</v>
      </c>
      <c r="J4" s="251"/>
      <c r="K4" s="253"/>
      <c r="M4" s="258"/>
      <c r="N4" s="258"/>
      <c r="O4" s="258"/>
      <c r="P4" s="258"/>
      <c r="R4" t="s">
        <v>296</v>
      </c>
      <c r="S4" s="256">
        <v>93333333.329999998</v>
      </c>
    </row>
    <row r="5" spans="1:19" s="157" customFormat="1" x14ac:dyDescent="0.25">
      <c r="A5" s="247"/>
      <c r="B5" s="248"/>
      <c r="C5" s="257"/>
      <c r="D5" s="257"/>
      <c r="E5" s="259" t="s">
        <v>297</v>
      </c>
      <c r="F5" s="260">
        <f>SUMIF($B$10:$B$127,"&lt;="&amp;DATE(2025,9,30),F$10:F$127)</f>
        <v>400000.00079999998</v>
      </c>
      <c r="G5" s="260">
        <f>SUMIF($B$10:$B$127,"&lt;="&amp;DATE(2025,9,30),G$10:G$127)</f>
        <v>0</v>
      </c>
      <c r="H5" s="260">
        <f>SUMIF($B$10:$B$127,"&lt;="&amp;DATE(2025,9,30),H$10:H$127)</f>
        <v>400000.00079999998</v>
      </c>
      <c r="I5" s="261">
        <f t="shared" si="1"/>
        <v>1.0160364438896591E-3</v>
      </c>
      <c r="J5" s="251"/>
      <c r="K5" s="253"/>
      <c r="M5" s="258"/>
      <c r="N5" s="258"/>
      <c r="O5" s="258"/>
      <c r="P5" s="258"/>
      <c r="R5" t="s">
        <v>298</v>
      </c>
      <c r="S5" s="256">
        <f>SUM(S2:S4)</f>
        <v>393686666.65999997</v>
      </c>
    </row>
    <row r="6" spans="1:19" s="157" customFormat="1" x14ac:dyDescent="0.25">
      <c r="A6" s="247"/>
      <c r="B6" s="248"/>
      <c r="C6" s="257"/>
      <c r="D6" s="257"/>
      <c r="E6" s="259" t="s">
        <v>299</v>
      </c>
      <c r="F6" s="260">
        <f>SUMIF($B$10:$B$127,"&lt;="&amp;DATE(2025,12,31),F$10:F$127)</f>
        <v>400000.00079999998</v>
      </c>
      <c r="G6" s="260">
        <f>SUMIF($B$10:$B$127,"&lt;="&amp;DATE(2025,12,31),G$10:G$127)</f>
        <v>0</v>
      </c>
      <c r="H6" s="260">
        <f>SUMIF($B$10:$B$139,"&lt;="&amp;DATE(2025,12,31),H$10:H$139)</f>
        <v>400000.00079999998</v>
      </c>
      <c r="I6" s="261">
        <f>H6/$F$1</f>
        <v>1.0160364438896591E-3</v>
      </c>
      <c r="J6" s="251"/>
      <c r="K6" s="253"/>
      <c r="M6" s="258"/>
      <c r="N6" s="258"/>
      <c r="O6" s="258"/>
      <c r="P6" s="258"/>
      <c r="R6" s="262"/>
      <c r="S6" s="149"/>
    </row>
    <row r="7" spans="1:19" s="157" customFormat="1" ht="8.25" customHeight="1" x14ac:dyDescent="0.25">
      <c r="A7" s="247"/>
      <c r="B7" s="248"/>
      <c r="C7" s="257"/>
      <c r="D7" s="257"/>
      <c r="E7" s="257"/>
      <c r="F7" s="263"/>
      <c r="G7" s="251"/>
      <c r="H7" s="257"/>
      <c r="I7" s="251"/>
      <c r="J7" s="251"/>
      <c r="K7" s="253"/>
      <c r="M7" s="258"/>
      <c r="N7" s="258"/>
      <c r="O7" s="258"/>
      <c r="P7" s="258"/>
      <c r="R7" s="262"/>
      <c r="S7" s="149"/>
    </row>
    <row r="8" spans="1:19" x14ac:dyDescent="0.25">
      <c r="C8" s="265"/>
      <c r="D8" s="265"/>
      <c r="E8" s="265"/>
      <c r="F8" s="631" t="s">
        <v>300</v>
      </c>
      <c r="G8" s="631"/>
      <c r="H8" s="631"/>
      <c r="I8" s="251"/>
      <c r="J8" s="251"/>
      <c r="M8" s="266"/>
      <c r="N8" s="266"/>
      <c r="O8" s="266"/>
      <c r="P8" s="266"/>
      <c r="R8" s="267">
        <f>SUM(R1:R2)</f>
        <v>0</v>
      </c>
    </row>
    <row r="9" spans="1:19" x14ac:dyDescent="0.25">
      <c r="B9" s="268" t="s">
        <v>301</v>
      </c>
      <c r="C9" s="269" t="s">
        <v>302</v>
      </c>
      <c r="D9" s="269" t="s">
        <v>303</v>
      </c>
      <c r="E9" s="269" t="s">
        <v>304</v>
      </c>
      <c r="F9" s="270" t="s">
        <v>305</v>
      </c>
      <c r="G9" s="270" t="s">
        <v>306</v>
      </c>
      <c r="H9" s="270" t="s">
        <v>298</v>
      </c>
      <c r="I9" s="251"/>
      <c r="J9" s="251" t="s">
        <v>307</v>
      </c>
      <c r="M9" s="271"/>
      <c r="N9" s="271"/>
      <c r="O9" s="271"/>
      <c r="P9" s="271" t="s">
        <v>308</v>
      </c>
    </row>
    <row r="10" spans="1:19" s="281" customFormat="1" x14ac:dyDescent="0.25">
      <c r="A10" s="272"/>
      <c r="B10" s="273">
        <v>45689</v>
      </c>
      <c r="C10" s="274" t="s">
        <v>309</v>
      </c>
      <c r="D10" s="274" t="s">
        <v>310</v>
      </c>
      <c r="E10" s="274" t="s">
        <v>311</v>
      </c>
      <c r="F10" s="275">
        <v>400000.00079999998</v>
      </c>
      <c r="G10" s="276"/>
      <c r="H10" s="275">
        <f>G10+F10</f>
        <v>400000.00079999998</v>
      </c>
      <c r="I10" s="277"/>
      <c r="J10" s="278"/>
      <c r="K10" s="279">
        <f>K9+H10</f>
        <v>400000.00079999998</v>
      </c>
      <c r="L10" s="280">
        <f>K10/$F$1</f>
        <v>1.0160364438896591E-3</v>
      </c>
      <c r="M10" s="274"/>
      <c r="N10" s="274"/>
      <c r="O10" s="274"/>
      <c r="P10" s="274"/>
    </row>
    <row r="11" spans="1:19" s="14" customFormat="1" x14ac:dyDescent="0.25">
      <c r="A11" s="272"/>
      <c r="B11" s="273"/>
      <c r="C11" s="274"/>
      <c r="D11" s="274"/>
      <c r="E11" s="274"/>
      <c r="F11" s="275"/>
      <c r="G11" s="282"/>
      <c r="H11" s="275"/>
      <c r="I11" s="277"/>
      <c r="J11" s="278"/>
      <c r="K11" s="279">
        <f>K10+H11</f>
        <v>400000.00079999998</v>
      </c>
      <c r="L11" s="280">
        <f>K11/$F$1</f>
        <v>1.0160364438896591E-3</v>
      </c>
      <c r="M11" s="274"/>
      <c r="N11" s="274"/>
      <c r="O11" s="274"/>
      <c r="P11" s="274"/>
    </row>
    <row r="12" spans="1:19" s="14" customFormat="1" x14ac:dyDescent="0.25">
      <c r="A12" s="272"/>
      <c r="B12" s="273"/>
      <c r="C12" s="274"/>
      <c r="D12" s="274"/>
      <c r="E12" s="274"/>
      <c r="F12" s="275"/>
      <c r="G12" s="282"/>
      <c r="H12" s="275"/>
      <c r="I12" s="277"/>
      <c r="J12" s="278"/>
      <c r="K12" s="279">
        <f t="shared" ref="K12:K75" si="2">K11+H12</f>
        <v>400000.00079999998</v>
      </c>
      <c r="L12" s="280">
        <f t="shared" ref="L12:L75" si="3">K12/$F$1</f>
        <v>1.0160364438896591E-3</v>
      </c>
      <c r="M12" s="274"/>
      <c r="N12" s="274"/>
      <c r="O12" s="274"/>
      <c r="P12" s="274"/>
    </row>
    <row r="13" spans="1:19" s="14" customFormat="1" x14ac:dyDescent="0.25">
      <c r="A13" s="272"/>
      <c r="B13" s="273"/>
      <c r="C13" s="274"/>
      <c r="D13" s="274"/>
      <c r="E13" s="274"/>
      <c r="F13" s="275"/>
      <c r="G13" s="276"/>
      <c r="H13" s="275"/>
      <c r="I13" s="277"/>
      <c r="J13" s="278"/>
      <c r="K13" s="279">
        <f t="shared" si="2"/>
        <v>400000.00079999998</v>
      </c>
      <c r="L13" s="280">
        <f t="shared" si="3"/>
        <v>1.0160364438896591E-3</v>
      </c>
      <c r="M13" s="274"/>
      <c r="N13" s="274"/>
      <c r="O13" s="274"/>
      <c r="P13" s="274"/>
    </row>
    <row r="14" spans="1:19" s="14" customFormat="1" x14ac:dyDescent="0.25">
      <c r="A14" s="272"/>
      <c r="B14" s="273"/>
      <c r="C14" s="274"/>
      <c r="D14" s="274"/>
      <c r="E14" s="274"/>
      <c r="F14" s="275"/>
      <c r="G14" s="282"/>
      <c r="H14" s="275"/>
      <c r="I14" s="277"/>
      <c r="J14" s="278"/>
      <c r="K14" s="279">
        <f t="shared" si="2"/>
        <v>400000.00079999998</v>
      </c>
      <c r="L14" s="280">
        <f t="shared" si="3"/>
        <v>1.0160364438896591E-3</v>
      </c>
      <c r="M14" s="274"/>
      <c r="N14" s="274"/>
      <c r="O14" s="274"/>
      <c r="P14" s="274"/>
    </row>
    <row r="15" spans="1:19" s="14" customFormat="1" x14ac:dyDescent="0.25">
      <c r="A15" s="272"/>
      <c r="B15" s="273"/>
      <c r="C15" s="283"/>
      <c r="D15" s="274"/>
      <c r="E15" s="274"/>
      <c r="F15" s="275"/>
      <c r="G15" s="276"/>
      <c r="H15" s="275"/>
      <c r="I15" s="277"/>
      <c r="J15" s="278"/>
      <c r="K15" s="279">
        <f t="shared" si="2"/>
        <v>400000.00079999998</v>
      </c>
      <c r="L15" s="280">
        <f t="shared" si="3"/>
        <v>1.0160364438896591E-3</v>
      </c>
      <c r="M15" s="274"/>
      <c r="N15" s="274"/>
      <c r="O15" s="274"/>
      <c r="P15" s="274"/>
    </row>
    <row r="16" spans="1:19" s="14" customFormat="1" x14ac:dyDescent="0.25">
      <c r="A16" s="272"/>
      <c r="B16" s="273"/>
      <c r="C16" s="274"/>
      <c r="D16" s="274"/>
      <c r="E16" s="274"/>
      <c r="F16" s="276"/>
      <c r="G16" s="276"/>
      <c r="H16" s="275"/>
      <c r="I16" s="277"/>
      <c r="J16" s="278"/>
      <c r="K16" s="279">
        <f t="shared" si="2"/>
        <v>400000.00079999998</v>
      </c>
      <c r="L16" s="280">
        <f t="shared" si="3"/>
        <v>1.0160364438896591E-3</v>
      </c>
      <c r="M16" s="274"/>
      <c r="N16" s="274"/>
      <c r="O16" s="274"/>
      <c r="P16" s="274"/>
    </row>
    <row r="17" spans="1:16" s="14" customFormat="1" x14ac:dyDescent="0.25">
      <c r="A17" s="272"/>
      <c r="B17" s="273"/>
      <c r="C17" s="274"/>
      <c r="D17" s="274"/>
      <c r="E17" s="274"/>
      <c r="F17" s="276"/>
      <c r="G17" s="275"/>
      <c r="H17" s="275"/>
      <c r="I17" s="277"/>
      <c r="J17" s="278"/>
      <c r="K17" s="279">
        <f t="shared" si="2"/>
        <v>400000.00079999998</v>
      </c>
      <c r="L17" s="280">
        <f t="shared" si="3"/>
        <v>1.0160364438896591E-3</v>
      </c>
      <c r="M17" s="274"/>
      <c r="N17" s="274"/>
      <c r="O17" s="274"/>
      <c r="P17" s="274"/>
    </row>
    <row r="18" spans="1:16" s="14" customFormat="1" x14ac:dyDescent="0.25">
      <c r="A18" s="272"/>
      <c r="B18" s="273"/>
      <c r="C18" s="274"/>
      <c r="D18" s="274"/>
      <c r="E18" s="274"/>
      <c r="F18" s="275"/>
      <c r="G18" s="276"/>
      <c r="H18" s="275"/>
      <c r="I18" s="277"/>
      <c r="J18" s="278"/>
      <c r="K18" s="279">
        <f t="shared" si="2"/>
        <v>400000.00079999998</v>
      </c>
      <c r="L18" s="280">
        <f t="shared" si="3"/>
        <v>1.0160364438896591E-3</v>
      </c>
      <c r="M18" s="274"/>
      <c r="N18" s="274"/>
      <c r="O18" s="274"/>
      <c r="P18" s="274"/>
    </row>
    <row r="19" spans="1:16" s="281" customFormat="1" x14ac:dyDescent="0.25">
      <c r="A19" s="272"/>
      <c r="B19" s="273"/>
      <c r="C19" s="274"/>
      <c r="D19" s="274"/>
      <c r="E19" s="274"/>
      <c r="F19" s="275"/>
      <c r="G19" s="276"/>
      <c r="H19" s="275">
        <f t="shared" ref="H19:H74" si="4">G19+F19</f>
        <v>0</v>
      </c>
      <c r="I19" s="277"/>
      <c r="J19" s="278"/>
      <c r="K19" s="279">
        <f t="shared" si="2"/>
        <v>400000.00079999998</v>
      </c>
      <c r="L19" s="280">
        <f t="shared" si="3"/>
        <v>1.0160364438896591E-3</v>
      </c>
      <c r="M19" s="274"/>
      <c r="N19" s="274"/>
      <c r="O19" s="274"/>
      <c r="P19" s="274"/>
    </row>
    <row r="20" spans="1:16" s="14" customFormat="1" x14ac:dyDescent="0.25">
      <c r="A20" s="272"/>
      <c r="B20" s="273"/>
      <c r="C20" s="274"/>
      <c r="D20" s="274"/>
      <c r="E20" s="274"/>
      <c r="F20" s="275"/>
      <c r="G20" s="275"/>
      <c r="H20" s="275">
        <f t="shared" si="4"/>
        <v>0</v>
      </c>
      <c r="I20" s="277"/>
      <c r="J20" s="278"/>
      <c r="K20" s="279">
        <f t="shared" si="2"/>
        <v>400000.00079999998</v>
      </c>
      <c r="L20" s="280">
        <f t="shared" si="3"/>
        <v>1.0160364438896591E-3</v>
      </c>
      <c r="M20" s="274"/>
      <c r="N20" s="274"/>
      <c r="O20" s="274"/>
      <c r="P20" s="274"/>
    </row>
    <row r="21" spans="1:16" s="14" customFormat="1" x14ac:dyDescent="0.25">
      <c r="A21" s="272"/>
      <c r="B21" s="273"/>
      <c r="C21" s="283"/>
      <c r="D21" s="274"/>
      <c r="E21" s="274"/>
      <c r="F21" s="275"/>
      <c r="G21" s="282"/>
      <c r="H21" s="275">
        <f t="shared" si="4"/>
        <v>0</v>
      </c>
      <c r="I21" s="277"/>
      <c r="J21" s="278"/>
      <c r="K21" s="279">
        <f t="shared" si="2"/>
        <v>400000.00079999998</v>
      </c>
      <c r="L21" s="280">
        <f t="shared" si="3"/>
        <v>1.0160364438896591E-3</v>
      </c>
      <c r="M21" s="274"/>
      <c r="N21" s="274"/>
      <c r="O21" s="274"/>
      <c r="P21" s="274"/>
    </row>
    <row r="22" spans="1:16" s="14" customFormat="1" x14ac:dyDescent="0.25">
      <c r="A22" s="272"/>
      <c r="B22" s="273"/>
      <c r="C22" s="283"/>
      <c r="D22" s="274"/>
      <c r="E22" s="274"/>
      <c r="F22" s="275"/>
      <c r="G22" s="276"/>
      <c r="H22" s="275">
        <f t="shared" si="4"/>
        <v>0</v>
      </c>
      <c r="I22" s="277"/>
      <c r="J22" s="278"/>
      <c r="K22" s="279">
        <f t="shared" si="2"/>
        <v>400000.00079999998</v>
      </c>
      <c r="L22" s="280">
        <f t="shared" si="3"/>
        <v>1.0160364438896591E-3</v>
      </c>
      <c r="M22" s="274"/>
      <c r="N22" s="274"/>
      <c r="O22" s="274"/>
      <c r="P22" s="274"/>
    </row>
    <row r="23" spans="1:16" s="14" customFormat="1" x14ac:dyDescent="0.25">
      <c r="A23" s="272"/>
      <c r="B23" s="273"/>
      <c r="C23" s="283"/>
      <c r="D23" s="274"/>
      <c r="E23" s="274"/>
      <c r="F23" s="275"/>
      <c r="G23" s="276"/>
      <c r="H23" s="275">
        <f t="shared" si="4"/>
        <v>0</v>
      </c>
      <c r="I23" s="277"/>
      <c r="J23" s="278"/>
      <c r="K23" s="279">
        <f t="shared" si="2"/>
        <v>400000.00079999998</v>
      </c>
      <c r="L23" s="280">
        <f t="shared" si="3"/>
        <v>1.0160364438896591E-3</v>
      </c>
      <c r="M23" s="274"/>
      <c r="N23" s="274"/>
      <c r="O23" s="274"/>
      <c r="P23" s="274"/>
    </row>
    <row r="24" spans="1:16" s="14" customFormat="1" x14ac:dyDescent="0.25">
      <c r="A24" s="272"/>
      <c r="B24" s="273"/>
      <c r="C24" s="283"/>
      <c r="D24" s="274"/>
      <c r="E24" s="274"/>
      <c r="F24" s="284"/>
      <c r="G24" s="276"/>
      <c r="H24" s="275">
        <f t="shared" si="4"/>
        <v>0</v>
      </c>
      <c r="I24" s="277"/>
      <c r="J24" s="278"/>
      <c r="K24" s="279">
        <f t="shared" si="2"/>
        <v>400000.00079999998</v>
      </c>
      <c r="L24" s="280">
        <f t="shared" si="3"/>
        <v>1.0160364438896591E-3</v>
      </c>
      <c r="M24" s="274"/>
      <c r="N24" s="274"/>
      <c r="O24" s="274"/>
      <c r="P24" s="274"/>
    </row>
    <row r="25" spans="1:16" s="14" customFormat="1" x14ac:dyDescent="0.25">
      <c r="A25" s="272"/>
      <c r="B25" s="273"/>
      <c r="C25" s="285"/>
      <c r="E25" s="274"/>
      <c r="F25" s="286"/>
      <c r="G25" s="285"/>
      <c r="H25" s="275">
        <f t="shared" si="4"/>
        <v>0</v>
      </c>
      <c r="I25" s="277"/>
      <c r="J25" s="278"/>
      <c r="K25" s="279">
        <f t="shared" si="2"/>
        <v>400000.00079999998</v>
      </c>
      <c r="L25" s="280">
        <f t="shared" si="3"/>
        <v>1.0160364438896591E-3</v>
      </c>
    </row>
    <row r="26" spans="1:16" s="281" customFormat="1" x14ac:dyDescent="0.25">
      <c r="A26" s="272"/>
      <c r="B26" s="273"/>
      <c r="C26" s="274"/>
      <c r="D26" s="274"/>
      <c r="E26" s="274"/>
      <c r="F26" s="275"/>
      <c r="G26" s="276"/>
      <c r="H26" s="275">
        <f t="shared" si="4"/>
        <v>0</v>
      </c>
      <c r="I26" s="277"/>
      <c r="J26" s="278"/>
      <c r="K26" s="279">
        <f t="shared" si="2"/>
        <v>400000.00079999998</v>
      </c>
      <c r="L26" s="280">
        <f t="shared" si="3"/>
        <v>1.0160364438896591E-3</v>
      </c>
      <c r="M26" s="274"/>
      <c r="N26" s="274"/>
      <c r="O26" s="274"/>
      <c r="P26" s="274"/>
    </row>
    <row r="27" spans="1:16" s="14" customFormat="1" x14ac:dyDescent="0.25">
      <c r="A27" s="272"/>
      <c r="B27" s="273"/>
      <c r="C27" s="287"/>
      <c r="D27" s="274"/>
      <c r="E27" s="274"/>
      <c r="F27" s="275"/>
      <c r="G27" s="276"/>
      <c r="H27" s="275">
        <f t="shared" si="4"/>
        <v>0</v>
      </c>
      <c r="I27" s="277"/>
      <c r="J27" s="278"/>
      <c r="K27" s="279">
        <f t="shared" si="2"/>
        <v>400000.00079999998</v>
      </c>
      <c r="L27" s="280">
        <f t="shared" si="3"/>
        <v>1.0160364438896591E-3</v>
      </c>
      <c r="M27" s="274"/>
      <c r="N27" s="274"/>
      <c r="O27" s="274"/>
      <c r="P27" s="274"/>
    </row>
    <row r="28" spans="1:16" s="14" customFormat="1" x14ac:dyDescent="0.25">
      <c r="A28" s="272"/>
      <c r="B28" s="273"/>
      <c r="C28" s="287"/>
      <c r="D28" s="274"/>
      <c r="E28" s="274"/>
      <c r="F28" s="275"/>
      <c r="G28" s="276"/>
      <c r="H28" s="275">
        <f t="shared" si="4"/>
        <v>0</v>
      </c>
      <c r="I28" s="277"/>
      <c r="J28" s="278"/>
      <c r="K28" s="279">
        <f t="shared" si="2"/>
        <v>400000.00079999998</v>
      </c>
      <c r="L28" s="280">
        <f t="shared" si="3"/>
        <v>1.0160364438896591E-3</v>
      </c>
      <c r="M28" s="274"/>
      <c r="N28" s="274"/>
      <c r="O28" s="274"/>
      <c r="P28" s="274"/>
    </row>
    <row r="29" spans="1:16" s="14" customFormat="1" x14ac:dyDescent="0.25">
      <c r="A29" s="272"/>
      <c r="B29" s="273"/>
      <c r="C29" s="287"/>
      <c r="D29" s="274"/>
      <c r="E29" s="274"/>
      <c r="F29" s="275"/>
      <c r="G29" s="275"/>
      <c r="H29" s="275">
        <f t="shared" si="4"/>
        <v>0</v>
      </c>
      <c r="I29" s="277"/>
      <c r="J29" s="278"/>
      <c r="K29" s="279">
        <f t="shared" si="2"/>
        <v>400000.00079999998</v>
      </c>
      <c r="L29" s="280">
        <f t="shared" si="3"/>
        <v>1.0160364438896591E-3</v>
      </c>
      <c r="M29" s="274"/>
      <c r="N29" s="274"/>
      <c r="O29" s="274"/>
      <c r="P29" s="274"/>
    </row>
    <row r="30" spans="1:16" s="14" customFormat="1" x14ac:dyDescent="0.25">
      <c r="A30" s="272"/>
      <c r="B30" s="273"/>
      <c r="C30" s="287"/>
      <c r="D30" s="274"/>
      <c r="E30" s="274"/>
      <c r="F30" s="275"/>
      <c r="G30" s="276"/>
      <c r="H30" s="275">
        <f t="shared" si="4"/>
        <v>0</v>
      </c>
      <c r="I30" s="277"/>
      <c r="J30" s="278"/>
      <c r="K30" s="279">
        <f t="shared" si="2"/>
        <v>400000.00079999998</v>
      </c>
      <c r="L30" s="280">
        <f t="shared" si="3"/>
        <v>1.0160364438896591E-3</v>
      </c>
      <c r="M30" s="274"/>
      <c r="N30" s="274"/>
      <c r="O30" s="274"/>
      <c r="P30" s="274"/>
    </row>
    <row r="31" spans="1:16" s="14" customFormat="1" x14ac:dyDescent="0.25">
      <c r="A31" s="272"/>
      <c r="B31" s="273"/>
      <c r="C31" s="287"/>
      <c r="D31" s="274"/>
      <c r="E31" s="274"/>
      <c r="F31" s="275"/>
      <c r="G31" s="275"/>
      <c r="H31" s="275">
        <f t="shared" si="4"/>
        <v>0</v>
      </c>
      <c r="I31" s="277"/>
      <c r="J31" s="278"/>
      <c r="K31" s="279">
        <f t="shared" si="2"/>
        <v>400000.00079999998</v>
      </c>
      <c r="L31" s="280">
        <f t="shared" si="3"/>
        <v>1.0160364438896591E-3</v>
      </c>
      <c r="M31" s="274"/>
      <c r="N31" s="274"/>
      <c r="O31" s="274"/>
      <c r="P31" s="274"/>
    </row>
    <row r="32" spans="1:16" s="14" customFormat="1" x14ac:dyDescent="0.25">
      <c r="A32" s="272"/>
      <c r="B32" s="273"/>
      <c r="C32" s="287"/>
      <c r="D32" s="274"/>
      <c r="E32" s="274"/>
      <c r="F32" s="275"/>
      <c r="G32" s="276"/>
      <c r="H32" s="275">
        <f t="shared" si="4"/>
        <v>0</v>
      </c>
      <c r="I32" s="277"/>
      <c r="J32" s="278"/>
      <c r="K32" s="279">
        <f t="shared" si="2"/>
        <v>400000.00079999998</v>
      </c>
      <c r="L32" s="280">
        <f t="shared" si="3"/>
        <v>1.0160364438896591E-3</v>
      </c>
      <c r="M32" s="274"/>
      <c r="N32" s="274"/>
      <c r="O32" s="274"/>
      <c r="P32" s="274"/>
    </row>
    <row r="33" spans="1:16" s="14" customFormat="1" x14ac:dyDescent="0.25">
      <c r="A33" s="272"/>
      <c r="B33" s="273"/>
      <c r="C33" s="288"/>
      <c r="D33" s="274"/>
      <c r="E33" s="274"/>
      <c r="F33" s="275"/>
      <c r="G33" s="276"/>
      <c r="H33" s="275">
        <f t="shared" si="4"/>
        <v>0</v>
      </c>
      <c r="I33" s="277"/>
      <c r="J33" s="278"/>
      <c r="K33" s="279">
        <f t="shared" si="2"/>
        <v>400000.00079999998</v>
      </c>
      <c r="L33" s="280">
        <f t="shared" si="3"/>
        <v>1.0160364438896591E-3</v>
      </c>
      <c r="M33" s="272"/>
      <c r="N33" s="272"/>
      <c r="O33" s="272"/>
      <c r="P33" s="272"/>
    </row>
    <row r="34" spans="1:16" s="14" customFormat="1" x14ac:dyDescent="0.25">
      <c r="A34" s="272"/>
      <c r="B34" s="273"/>
      <c r="C34" s="287"/>
      <c r="D34" s="274"/>
      <c r="E34" s="274"/>
      <c r="F34" s="275"/>
      <c r="G34" s="276"/>
      <c r="H34" s="275">
        <f t="shared" si="4"/>
        <v>0</v>
      </c>
      <c r="I34" s="277"/>
      <c r="J34" s="278"/>
      <c r="K34" s="279">
        <f t="shared" si="2"/>
        <v>400000.00079999998</v>
      </c>
      <c r="L34" s="280">
        <f t="shared" si="3"/>
        <v>1.0160364438896591E-3</v>
      </c>
      <c r="M34" s="274"/>
      <c r="N34" s="274"/>
      <c r="O34" s="274"/>
      <c r="P34" s="274"/>
    </row>
    <row r="35" spans="1:16" s="14" customFormat="1" x14ac:dyDescent="0.25">
      <c r="A35" s="272"/>
      <c r="B35" s="273"/>
      <c r="C35" s="287"/>
      <c r="D35" s="274"/>
      <c r="E35" s="274"/>
      <c r="F35" s="275"/>
      <c r="G35" s="276"/>
      <c r="H35" s="275">
        <f t="shared" si="4"/>
        <v>0</v>
      </c>
      <c r="I35" s="277"/>
      <c r="J35" s="278"/>
      <c r="K35" s="279">
        <f t="shared" si="2"/>
        <v>400000.00079999998</v>
      </c>
      <c r="L35" s="280">
        <f t="shared" si="3"/>
        <v>1.0160364438896591E-3</v>
      </c>
      <c r="M35" s="274"/>
      <c r="N35" s="274"/>
      <c r="O35" s="274"/>
      <c r="P35" s="274"/>
    </row>
    <row r="36" spans="1:16" s="14" customFormat="1" x14ac:dyDescent="0.25">
      <c r="A36" s="272"/>
      <c r="B36" s="273"/>
      <c r="C36" s="287"/>
      <c r="D36" s="274"/>
      <c r="E36" s="274"/>
      <c r="F36" s="275"/>
      <c r="G36" s="275"/>
      <c r="H36" s="275">
        <f t="shared" si="4"/>
        <v>0</v>
      </c>
      <c r="I36" s="277"/>
      <c r="J36" s="278"/>
      <c r="K36" s="279">
        <f t="shared" si="2"/>
        <v>400000.00079999998</v>
      </c>
      <c r="L36" s="280">
        <f t="shared" si="3"/>
        <v>1.0160364438896591E-3</v>
      </c>
      <c r="M36" s="274"/>
      <c r="N36" s="274"/>
      <c r="O36" s="274"/>
      <c r="P36" s="274"/>
    </row>
    <row r="37" spans="1:16" s="14" customFormat="1" x14ac:dyDescent="0.25">
      <c r="A37" s="272"/>
      <c r="B37" s="273"/>
      <c r="C37" s="287"/>
      <c r="D37" s="274"/>
      <c r="E37" s="274"/>
      <c r="F37" s="275"/>
      <c r="G37" s="276"/>
      <c r="H37" s="275">
        <f t="shared" si="4"/>
        <v>0</v>
      </c>
      <c r="I37" s="277"/>
      <c r="J37" s="278"/>
      <c r="K37" s="279">
        <f t="shared" si="2"/>
        <v>400000.00079999998</v>
      </c>
      <c r="L37" s="280">
        <f t="shared" si="3"/>
        <v>1.0160364438896591E-3</v>
      </c>
      <c r="M37" s="274"/>
      <c r="N37" s="274"/>
      <c r="O37" s="274"/>
      <c r="P37" s="274"/>
    </row>
    <row r="38" spans="1:16" s="14" customFormat="1" x14ac:dyDescent="0.25">
      <c r="A38" s="272"/>
      <c r="B38" s="273"/>
      <c r="C38" s="287"/>
      <c r="D38" s="274"/>
      <c r="E38" s="274"/>
      <c r="F38" s="275"/>
      <c r="G38" s="275"/>
      <c r="H38" s="275">
        <f t="shared" si="4"/>
        <v>0</v>
      </c>
      <c r="I38" s="277"/>
      <c r="J38" s="278"/>
      <c r="K38" s="279">
        <f t="shared" si="2"/>
        <v>400000.00079999998</v>
      </c>
      <c r="L38" s="280">
        <f t="shared" si="3"/>
        <v>1.0160364438896591E-3</v>
      </c>
      <c r="M38" s="274"/>
      <c r="N38" s="274"/>
      <c r="O38" s="274"/>
      <c r="P38" s="274"/>
    </row>
    <row r="39" spans="1:16" s="14" customFormat="1" x14ac:dyDescent="0.25">
      <c r="A39" s="272"/>
      <c r="B39" s="273"/>
      <c r="C39" s="287"/>
      <c r="D39" s="274"/>
      <c r="E39" s="274"/>
      <c r="F39" s="276"/>
      <c r="G39" s="276"/>
      <c r="H39" s="275">
        <f t="shared" si="4"/>
        <v>0</v>
      </c>
      <c r="I39" s="277"/>
      <c r="J39" s="278"/>
      <c r="K39" s="279">
        <f t="shared" si="2"/>
        <v>400000.00079999998</v>
      </c>
      <c r="L39" s="280">
        <f t="shared" si="3"/>
        <v>1.0160364438896591E-3</v>
      </c>
      <c r="M39" s="274"/>
      <c r="N39" s="274"/>
      <c r="O39" s="274"/>
      <c r="P39" s="274"/>
    </row>
    <row r="40" spans="1:16" s="14" customFormat="1" x14ac:dyDescent="0.25">
      <c r="A40" s="272"/>
      <c r="B40" s="273"/>
      <c r="C40" s="287"/>
      <c r="D40" s="274"/>
      <c r="E40" s="274"/>
      <c r="F40" s="275"/>
      <c r="G40" s="275"/>
      <c r="H40" s="275">
        <f t="shared" si="4"/>
        <v>0</v>
      </c>
      <c r="I40" s="277"/>
      <c r="J40" s="278"/>
      <c r="K40" s="279">
        <f t="shared" si="2"/>
        <v>400000.00079999998</v>
      </c>
      <c r="L40" s="280">
        <f t="shared" si="3"/>
        <v>1.0160364438896591E-3</v>
      </c>
      <c r="M40" s="274"/>
      <c r="N40" s="274"/>
      <c r="O40" s="274"/>
      <c r="P40" s="274"/>
    </row>
    <row r="41" spans="1:16" s="14" customFormat="1" x14ac:dyDescent="0.25">
      <c r="A41" s="272"/>
      <c r="B41" s="289"/>
      <c r="C41" s="287"/>
      <c r="D41" s="274"/>
      <c r="E41" s="274"/>
      <c r="F41" s="275"/>
      <c r="G41" s="276"/>
      <c r="H41" s="275">
        <f t="shared" si="4"/>
        <v>0</v>
      </c>
      <c r="I41" s="277"/>
      <c r="J41" s="278"/>
      <c r="K41" s="279">
        <f t="shared" si="2"/>
        <v>400000.00079999998</v>
      </c>
      <c r="L41" s="280">
        <f t="shared" si="3"/>
        <v>1.0160364438896591E-3</v>
      </c>
      <c r="M41" s="274"/>
      <c r="N41" s="274"/>
      <c r="O41" s="274"/>
      <c r="P41" s="274"/>
    </row>
    <row r="42" spans="1:16" s="14" customFormat="1" x14ac:dyDescent="0.25">
      <c r="A42" s="272"/>
      <c r="B42" s="289"/>
      <c r="C42" s="287"/>
      <c r="D42" s="274"/>
      <c r="E42" s="274"/>
      <c r="F42" s="275"/>
      <c r="G42" s="276"/>
      <c r="H42" s="275">
        <f t="shared" si="4"/>
        <v>0</v>
      </c>
      <c r="I42" s="277"/>
      <c r="J42" s="278"/>
      <c r="K42" s="279">
        <f t="shared" si="2"/>
        <v>400000.00079999998</v>
      </c>
      <c r="L42" s="280">
        <f t="shared" si="3"/>
        <v>1.0160364438896591E-3</v>
      </c>
      <c r="M42" s="274"/>
      <c r="N42" s="274"/>
      <c r="O42" s="274"/>
      <c r="P42" s="274"/>
    </row>
    <row r="43" spans="1:16" s="14" customFormat="1" x14ac:dyDescent="0.25">
      <c r="A43" s="272"/>
      <c r="B43" s="289"/>
      <c r="C43" s="287"/>
      <c r="D43" s="274"/>
      <c r="E43" s="274"/>
      <c r="F43" s="275"/>
      <c r="G43" s="276"/>
      <c r="H43" s="275">
        <f t="shared" si="4"/>
        <v>0</v>
      </c>
      <c r="I43" s="277"/>
      <c r="J43" s="278"/>
      <c r="K43" s="279">
        <f t="shared" si="2"/>
        <v>400000.00079999998</v>
      </c>
      <c r="L43" s="280">
        <f t="shared" si="3"/>
        <v>1.0160364438896591E-3</v>
      </c>
      <c r="M43" s="274"/>
      <c r="N43" s="274"/>
      <c r="O43" s="274"/>
      <c r="P43" s="274"/>
    </row>
    <row r="44" spans="1:16" s="14" customFormat="1" x14ac:dyDescent="0.25">
      <c r="A44" s="272"/>
      <c r="B44" s="289"/>
      <c r="C44" s="287"/>
      <c r="D44" s="274"/>
      <c r="E44" s="274"/>
      <c r="F44" s="275"/>
      <c r="G44" s="276"/>
      <c r="H44" s="275">
        <f t="shared" si="4"/>
        <v>0</v>
      </c>
      <c r="I44" s="277"/>
      <c r="J44" s="278"/>
      <c r="K44" s="279">
        <f t="shared" si="2"/>
        <v>400000.00079999998</v>
      </c>
      <c r="L44" s="280">
        <f t="shared" si="3"/>
        <v>1.0160364438896591E-3</v>
      </c>
      <c r="M44" s="274"/>
      <c r="N44" s="274"/>
      <c r="O44" s="274"/>
      <c r="P44" s="274"/>
    </row>
    <row r="45" spans="1:16" s="14" customFormat="1" x14ac:dyDescent="0.25">
      <c r="A45" s="272"/>
      <c r="B45" s="289"/>
      <c r="C45" s="287"/>
      <c r="D45" s="274"/>
      <c r="E45" s="274"/>
      <c r="F45" s="275"/>
      <c r="G45" s="276"/>
      <c r="H45" s="275">
        <f t="shared" si="4"/>
        <v>0</v>
      </c>
      <c r="I45" s="277"/>
      <c r="J45" s="278"/>
      <c r="K45" s="279">
        <f t="shared" si="2"/>
        <v>400000.00079999998</v>
      </c>
      <c r="L45" s="280">
        <f t="shared" si="3"/>
        <v>1.0160364438896591E-3</v>
      </c>
      <c r="M45" s="274"/>
      <c r="N45" s="274"/>
      <c r="O45" s="274"/>
      <c r="P45" s="274"/>
    </row>
    <row r="46" spans="1:16" s="14" customFormat="1" x14ac:dyDescent="0.25">
      <c r="A46" s="272"/>
      <c r="B46" s="289"/>
      <c r="C46" s="287"/>
      <c r="D46" s="274"/>
      <c r="E46" s="274"/>
      <c r="F46" s="275"/>
      <c r="G46" s="282"/>
      <c r="H46" s="275">
        <f t="shared" si="4"/>
        <v>0</v>
      </c>
      <c r="I46" s="277"/>
      <c r="J46" s="278"/>
      <c r="K46" s="279">
        <f t="shared" si="2"/>
        <v>400000.00079999998</v>
      </c>
      <c r="L46" s="280">
        <f t="shared" si="3"/>
        <v>1.0160364438896591E-3</v>
      </c>
      <c r="M46" s="274"/>
      <c r="N46" s="274"/>
      <c r="O46" s="274"/>
      <c r="P46" s="274"/>
    </row>
    <row r="47" spans="1:16" s="14" customFormat="1" x14ac:dyDescent="0.25">
      <c r="A47" s="272"/>
      <c r="B47" s="289"/>
      <c r="C47" s="287"/>
      <c r="D47" s="274"/>
      <c r="E47" s="274"/>
      <c r="F47" s="275"/>
      <c r="G47" s="276"/>
      <c r="H47" s="275">
        <f t="shared" si="4"/>
        <v>0</v>
      </c>
      <c r="I47" s="277"/>
      <c r="J47" s="278"/>
      <c r="K47" s="279">
        <f t="shared" si="2"/>
        <v>400000.00079999998</v>
      </c>
      <c r="L47" s="280">
        <f t="shared" si="3"/>
        <v>1.0160364438896591E-3</v>
      </c>
      <c r="M47" s="274"/>
      <c r="N47" s="274"/>
      <c r="O47" s="274"/>
      <c r="P47" s="274"/>
    </row>
    <row r="48" spans="1:16" s="14" customFormat="1" x14ac:dyDescent="0.25">
      <c r="A48" s="272"/>
      <c r="B48" s="289"/>
      <c r="C48" s="287"/>
      <c r="D48" s="274"/>
      <c r="E48" s="274"/>
      <c r="F48" s="275"/>
      <c r="G48" s="276"/>
      <c r="H48" s="275">
        <f t="shared" si="4"/>
        <v>0</v>
      </c>
      <c r="I48" s="277"/>
      <c r="J48" s="278"/>
      <c r="K48" s="279">
        <f t="shared" si="2"/>
        <v>400000.00079999998</v>
      </c>
      <c r="L48" s="280">
        <f t="shared" si="3"/>
        <v>1.0160364438896591E-3</v>
      </c>
      <c r="M48" s="274"/>
      <c r="N48" s="274"/>
      <c r="O48" s="274"/>
      <c r="P48" s="274"/>
    </row>
    <row r="49" spans="1:16" s="14" customFormat="1" x14ac:dyDescent="0.25">
      <c r="A49" s="272"/>
      <c r="B49" s="289"/>
      <c r="C49" s="287"/>
      <c r="D49" s="274"/>
      <c r="E49" s="274"/>
      <c r="F49" s="275"/>
      <c r="G49" s="276"/>
      <c r="H49" s="275">
        <f t="shared" si="4"/>
        <v>0</v>
      </c>
      <c r="I49" s="277"/>
      <c r="J49" s="278"/>
      <c r="K49" s="279">
        <f t="shared" si="2"/>
        <v>400000.00079999998</v>
      </c>
      <c r="L49" s="280">
        <f t="shared" si="3"/>
        <v>1.0160364438896591E-3</v>
      </c>
      <c r="M49" s="274"/>
      <c r="N49" s="274"/>
      <c r="O49" s="274"/>
      <c r="P49" s="274"/>
    </row>
    <row r="50" spans="1:16" s="14" customFormat="1" x14ac:dyDescent="0.25">
      <c r="A50" s="272"/>
      <c r="B50" s="289"/>
      <c r="C50" s="287"/>
      <c r="D50" s="274"/>
      <c r="E50" s="274"/>
      <c r="F50" s="275"/>
      <c r="G50" s="275"/>
      <c r="H50" s="275">
        <f t="shared" si="4"/>
        <v>0</v>
      </c>
      <c r="I50" s="277"/>
      <c r="J50" s="278"/>
      <c r="K50" s="279">
        <f t="shared" si="2"/>
        <v>400000.00079999998</v>
      </c>
      <c r="L50" s="280">
        <f t="shared" si="3"/>
        <v>1.0160364438896591E-3</v>
      </c>
      <c r="M50" s="274"/>
      <c r="N50" s="274"/>
      <c r="O50" s="274"/>
      <c r="P50" s="274"/>
    </row>
    <row r="51" spans="1:16" s="14" customFormat="1" x14ac:dyDescent="0.25">
      <c r="A51" s="272"/>
      <c r="B51" s="289"/>
      <c r="C51"/>
      <c r="D51" s="274"/>
      <c r="E51"/>
      <c r="F51" s="275"/>
      <c r="G51" s="275"/>
      <c r="H51" s="275">
        <f t="shared" si="4"/>
        <v>0</v>
      </c>
      <c r="I51" s="277"/>
      <c r="J51" s="278"/>
      <c r="K51" s="279">
        <f t="shared" si="2"/>
        <v>400000.00079999998</v>
      </c>
      <c r="L51" s="280">
        <f t="shared" si="3"/>
        <v>1.0160364438896591E-3</v>
      </c>
      <c r="M51" s="274"/>
      <c r="N51" s="274"/>
      <c r="O51" s="274"/>
      <c r="P51" s="274"/>
    </row>
    <row r="52" spans="1:16" s="14" customFormat="1" x14ac:dyDescent="0.25">
      <c r="A52" s="272"/>
      <c r="B52" s="289"/>
      <c r="C52" s="287"/>
      <c r="D52" s="274"/>
      <c r="E52" s="274"/>
      <c r="F52" s="275"/>
      <c r="G52" s="275"/>
      <c r="H52" s="275">
        <f t="shared" si="4"/>
        <v>0</v>
      </c>
      <c r="I52" s="277"/>
      <c r="J52" s="278"/>
      <c r="K52" s="279">
        <f t="shared" si="2"/>
        <v>400000.00079999998</v>
      </c>
      <c r="L52" s="280">
        <f t="shared" si="3"/>
        <v>1.0160364438896591E-3</v>
      </c>
      <c r="M52" s="274"/>
      <c r="N52" s="274"/>
      <c r="O52" s="274"/>
      <c r="P52" s="274"/>
    </row>
    <row r="53" spans="1:16" s="14" customFormat="1" x14ac:dyDescent="0.25">
      <c r="A53" s="272"/>
      <c r="B53" s="289"/>
      <c r="C53" s="287"/>
      <c r="D53" s="274"/>
      <c r="E53" s="274"/>
      <c r="F53" s="275"/>
      <c r="G53" s="276"/>
      <c r="H53" s="275">
        <f t="shared" si="4"/>
        <v>0</v>
      </c>
      <c r="I53" s="277"/>
      <c r="J53" s="278"/>
      <c r="K53" s="279">
        <f t="shared" si="2"/>
        <v>400000.00079999998</v>
      </c>
      <c r="L53" s="280">
        <f t="shared" si="3"/>
        <v>1.0160364438896591E-3</v>
      </c>
      <c r="M53" s="274"/>
      <c r="N53" s="274"/>
      <c r="O53" s="274"/>
      <c r="P53" s="274"/>
    </row>
    <row r="54" spans="1:16" s="14" customFormat="1" x14ac:dyDescent="0.25">
      <c r="A54" s="272"/>
      <c r="B54" s="289"/>
      <c r="C54" s="287"/>
      <c r="D54" s="274"/>
      <c r="E54" s="274"/>
      <c r="F54" s="276"/>
      <c r="G54" s="276"/>
      <c r="H54" s="275">
        <f t="shared" si="4"/>
        <v>0</v>
      </c>
      <c r="I54" s="277"/>
      <c r="J54" s="278"/>
      <c r="K54" s="279">
        <f t="shared" si="2"/>
        <v>400000.00079999998</v>
      </c>
      <c r="L54" s="280">
        <f t="shared" si="3"/>
        <v>1.0160364438896591E-3</v>
      </c>
      <c r="M54" s="274"/>
      <c r="N54" s="274"/>
      <c r="O54" s="274"/>
      <c r="P54" s="274"/>
    </row>
    <row r="55" spans="1:16" s="14" customFormat="1" x14ac:dyDescent="0.25">
      <c r="A55" s="272"/>
      <c r="B55" s="289"/>
      <c r="C55" s="287"/>
      <c r="D55" s="274"/>
      <c r="E55" s="274"/>
      <c r="F55" s="275"/>
      <c r="G55" s="276"/>
      <c r="H55" s="275">
        <f t="shared" si="4"/>
        <v>0</v>
      </c>
      <c r="I55" s="277"/>
      <c r="J55" s="278"/>
      <c r="K55" s="279">
        <f t="shared" si="2"/>
        <v>400000.00079999998</v>
      </c>
      <c r="L55" s="280">
        <f t="shared" si="3"/>
        <v>1.0160364438896591E-3</v>
      </c>
      <c r="M55" s="274"/>
      <c r="N55" s="274"/>
      <c r="O55" s="274"/>
      <c r="P55" s="274"/>
    </row>
    <row r="56" spans="1:16" s="14" customFormat="1" x14ac:dyDescent="0.25">
      <c r="A56" s="272"/>
      <c r="B56" s="289"/>
      <c r="C56" s="287"/>
      <c r="D56" s="274"/>
      <c r="E56" s="274"/>
      <c r="F56" s="275"/>
      <c r="G56" s="276"/>
      <c r="H56" s="275">
        <f t="shared" si="4"/>
        <v>0</v>
      </c>
      <c r="I56" s="277"/>
      <c r="J56" s="278"/>
      <c r="K56" s="279">
        <f t="shared" si="2"/>
        <v>400000.00079999998</v>
      </c>
      <c r="L56" s="280">
        <f t="shared" si="3"/>
        <v>1.0160364438896591E-3</v>
      </c>
      <c r="M56" s="274"/>
      <c r="N56" s="274"/>
      <c r="O56" s="274"/>
      <c r="P56" s="274"/>
    </row>
    <row r="57" spans="1:16" s="14" customFormat="1" x14ac:dyDescent="0.25">
      <c r="A57" s="272"/>
      <c r="B57" s="289"/>
      <c r="C57" s="287"/>
      <c r="D57" s="274"/>
      <c r="E57" s="274"/>
      <c r="F57" s="278"/>
      <c r="G57" s="282"/>
      <c r="H57" s="275">
        <f t="shared" si="4"/>
        <v>0</v>
      </c>
      <c r="I57" s="277"/>
      <c r="J57" s="278"/>
      <c r="K57" s="279">
        <f t="shared" si="2"/>
        <v>400000.00079999998</v>
      </c>
      <c r="L57" s="280">
        <f t="shared" si="3"/>
        <v>1.0160364438896591E-3</v>
      </c>
      <c r="M57" s="274"/>
      <c r="N57" s="274"/>
      <c r="O57" s="274"/>
      <c r="P57" s="274"/>
    </row>
    <row r="58" spans="1:16" s="14" customFormat="1" x14ac:dyDescent="0.25">
      <c r="A58" s="272"/>
      <c r="B58" s="289"/>
      <c r="C58" s="287"/>
      <c r="D58" s="274"/>
      <c r="E58" s="274"/>
      <c r="F58" s="276"/>
      <c r="G58" s="276"/>
      <c r="H58" s="275">
        <f t="shared" si="4"/>
        <v>0</v>
      </c>
      <c r="I58" s="277"/>
      <c r="J58" s="278"/>
      <c r="K58" s="279">
        <f t="shared" si="2"/>
        <v>400000.00079999998</v>
      </c>
      <c r="L58" s="280">
        <f t="shared" si="3"/>
        <v>1.0160364438896591E-3</v>
      </c>
      <c r="M58" s="274"/>
      <c r="N58" s="274"/>
      <c r="O58" s="274"/>
      <c r="P58" s="274"/>
    </row>
    <row r="59" spans="1:16" s="14" customFormat="1" x14ac:dyDescent="0.25">
      <c r="A59" s="272"/>
      <c r="B59" s="289"/>
      <c r="C59" s="287"/>
      <c r="D59" s="274"/>
      <c r="E59" s="274"/>
      <c r="F59" s="276"/>
      <c r="G59" s="276"/>
      <c r="H59" s="275">
        <f t="shared" si="4"/>
        <v>0</v>
      </c>
      <c r="I59" s="277"/>
      <c r="J59" s="278"/>
      <c r="K59" s="279">
        <f t="shared" si="2"/>
        <v>400000.00079999998</v>
      </c>
      <c r="L59" s="280">
        <f t="shared" si="3"/>
        <v>1.0160364438896591E-3</v>
      </c>
      <c r="M59" s="274"/>
      <c r="N59" s="274"/>
      <c r="O59" s="274"/>
      <c r="P59" s="274"/>
    </row>
    <row r="60" spans="1:16" s="14" customFormat="1" x14ac:dyDescent="0.25">
      <c r="A60" s="272"/>
      <c r="B60" s="289"/>
      <c r="C60" s="287"/>
      <c r="D60" s="274"/>
      <c r="E60" s="274"/>
      <c r="F60" s="276"/>
      <c r="G60" s="276"/>
      <c r="H60" s="275">
        <f t="shared" si="4"/>
        <v>0</v>
      </c>
      <c r="I60" s="277"/>
      <c r="J60" s="278"/>
      <c r="K60" s="279">
        <f t="shared" si="2"/>
        <v>400000.00079999998</v>
      </c>
      <c r="L60" s="280">
        <f t="shared" si="3"/>
        <v>1.0160364438896591E-3</v>
      </c>
      <c r="M60" s="274"/>
      <c r="N60" s="274"/>
      <c r="O60" s="274"/>
      <c r="P60" s="274"/>
    </row>
    <row r="61" spans="1:16" s="14" customFormat="1" x14ac:dyDescent="0.25">
      <c r="A61" s="272"/>
      <c r="B61" s="289"/>
      <c r="C61" s="287"/>
      <c r="D61" s="274"/>
      <c r="E61" s="274"/>
      <c r="F61" s="276"/>
      <c r="G61" s="276"/>
      <c r="H61" s="275">
        <f t="shared" si="4"/>
        <v>0</v>
      </c>
      <c r="I61" s="277"/>
      <c r="J61" s="278"/>
      <c r="K61" s="279">
        <f t="shared" si="2"/>
        <v>400000.00079999998</v>
      </c>
      <c r="L61" s="280">
        <f t="shared" si="3"/>
        <v>1.0160364438896591E-3</v>
      </c>
      <c r="M61" s="274"/>
      <c r="N61" s="274"/>
      <c r="O61" s="274"/>
      <c r="P61" s="274"/>
    </row>
    <row r="62" spans="1:16" s="14" customFormat="1" x14ac:dyDescent="0.25">
      <c r="A62" s="272"/>
      <c r="B62" s="289"/>
      <c r="C62" s="287"/>
      <c r="D62" s="274"/>
      <c r="E62" s="274"/>
      <c r="F62" s="276"/>
      <c r="G62" s="276"/>
      <c r="H62" s="275">
        <f t="shared" si="4"/>
        <v>0</v>
      </c>
      <c r="I62" s="277"/>
      <c r="J62" s="278"/>
      <c r="K62" s="279">
        <f t="shared" si="2"/>
        <v>400000.00079999998</v>
      </c>
      <c r="L62" s="280">
        <f t="shared" si="3"/>
        <v>1.0160364438896591E-3</v>
      </c>
      <c r="M62" s="274"/>
      <c r="N62" s="274"/>
      <c r="O62" s="274"/>
      <c r="P62" s="274"/>
    </row>
    <row r="63" spans="1:16" s="14" customFormat="1" x14ac:dyDescent="0.25">
      <c r="A63" s="272"/>
      <c r="B63" s="289"/>
      <c r="C63" s="287"/>
      <c r="D63" s="274"/>
      <c r="E63" s="274"/>
      <c r="F63" s="276"/>
      <c r="G63" s="276"/>
      <c r="H63" s="275">
        <f t="shared" si="4"/>
        <v>0</v>
      </c>
      <c r="I63" s="277"/>
      <c r="J63" s="278"/>
      <c r="K63" s="279">
        <f t="shared" si="2"/>
        <v>400000.00079999998</v>
      </c>
      <c r="L63" s="280">
        <f t="shared" si="3"/>
        <v>1.0160364438896591E-3</v>
      </c>
      <c r="M63" s="274"/>
      <c r="N63" s="274"/>
      <c r="O63" s="274"/>
      <c r="P63" s="274"/>
    </row>
    <row r="64" spans="1:16" s="14" customFormat="1" x14ac:dyDescent="0.25">
      <c r="A64" s="272"/>
      <c r="B64" s="289"/>
      <c r="C64" s="287"/>
      <c r="D64" s="274"/>
      <c r="E64" s="274"/>
      <c r="F64" s="276"/>
      <c r="G64" s="276"/>
      <c r="H64" s="275">
        <f t="shared" si="4"/>
        <v>0</v>
      </c>
      <c r="I64" s="277"/>
      <c r="J64" s="278"/>
      <c r="K64" s="279">
        <f t="shared" si="2"/>
        <v>400000.00079999998</v>
      </c>
      <c r="L64" s="280">
        <f t="shared" si="3"/>
        <v>1.0160364438896591E-3</v>
      </c>
      <c r="M64" s="274"/>
      <c r="N64" s="274"/>
      <c r="O64" s="274"/>
      <c r="P64" s="274"/>
    </row>
    <row r="65" spans="1:16" s="14" customFormat="1" x14ac:dyDescent="0.25">
      <c r="A65" s="272"/>
      <c r="B65" s="289"/>
      <c r="C65" s="287"/>
      <c r="D65" s="274"/>
      <c r="E65" s="274"/>
      <c r="F65" s="275"/>
      <c r="G65" s="276"/>
      <c r="H65" s="275">
        <f t="shared" si="4"/>
        <v>0</v>
      </c>
      <c r="I65" s="277"/>
      <c r="J65" s="278"/>
      <c r="K65" s="279">
        <f t="shared" si="2"/>
        <v>400000.00079999998</v>
      </c>
      <c r="L65" s="280">
        <f t="shared" si="3"/>
        <v>1.0160364438896591E-3</v>
      </c>
      <c r="M65" s="274"/>
      <c r="N65" s="274"/>
      <c r="O65" s="274"/>
      <c r="P65" s="274"/>
    </row>
    <row r="66" spans="1:16" s="14" customFormat="1" x14ac:dyDescent="0.25">
      <c r="A66" s="272"/>
      <c r="B66" s="289"/>
      <c r="C66" s="287"/>
      <c r="D66" s="274"/>
      <c r="E66" s="274"/>
      <c r="F66" s="275"/>
      <c r="G66" s="276"/>
      <c r="H66" s="275">
        <f t="shared" si="4"/>
        <v>0</v>
      </c>
      <c r="I66" s="277"/>
      <c r="J66" s="278"/>
      <c r="K66" s="279">
        <f t="shared" si="2"/>
        <v>400000.00079999998</v>
      </c>
      <c r="L66" s="280">
        <f t="shared" si="3"/>
        <v>1.0160364438896591E-3</v>
      </c>
      <c r="M66" s="274"/>
      <c r="N66" s="274"/>
      <c r="O66" s="274"/>
      <c r="P66" s="274"/>
    </row>
    <row r="67" spans="1:16" s="14" customFormat="1" x14ac:dyDescent="0.25">
      <c r="A67" s="272"/>
      <c r="B67" s="289"/>
      <c r="C67" s="287"/>
      <c r="D67" s="274"/>
      <c r="E67" s="274"/>
      <c r="F67" s="275"/>
      <c r="G67" s="276"/>
      <c r="H67" s="275">
        <f t="shared" si="4"/>
        <v>0</v>
      </c>
      <c r="I67" s="277"/>
      <c r="J67" s="278"/>
      <c r="K67" s="279">
        <f t="shared" si="2"/>
        <v>400000.00079999998</v>
      </c>
      <c r="L67" s="280">
        <f t="shared" si="3"/>
        <v>1.0160364438896591E-3</v>
      </c>
      <c r="M67" s="274"/>
      <c r="N67" s="274"/>
      <c r="O67" s="274"/>
      <c r="P67" s="274"/>
    </row>
    <row r="68" spans="1:16" s="14" customFormat="1" x14ac:dyDescent="0.25">
      <c r="A68" s="272"/>
      <c r="B68" s="289"/>
      <c r="C68" s="287"/>
      <c r="D68" s="274"/>
      <c r="E68" s="274"/>
      <c r="F68" s="275"/>
      <c r="G68" s="276"/>
      <c r="H68" s="275">
        <f t="shared" si="4"/>
        <v>0</v>
      </c>
      <c r="I68" s="277"/>
      <c r="J68" s="278"/>
      <c r="K68" s="279">
        <f t="shared" si="2"/>
        <v>400000.00079999998</v>
      </c>
      <c r="L68" s="280">
        <f t="shared" si="3"/>
        <v>1.0160364438896591E-3</v>
      </c>
      <c r="M68" s="274"/>
      <c r="N68" s="274"/>
      <c r="O68" s="274"/>
      <c r="P68" s="274"/>
    </row>
    <row r="69" spans="1:16" s="14" customFormat="1" x14ac:dyDescent="0.25">
      <c r="A69" s="272"/>
      <c r="B69" s="289"/>
      <c r="C69" s="287"/>
      <c r="D69" s="274"/>
      <c r="E69" s="274"/>
      <c r="F69" s="275"/>
      <c r="G69" s="276"/>
      <c r="H69" s="275">
        <f t="shared" si="4"/>
        <v>0</v>
      </c>
      <c r="I69" s="277"/>
      <c r="J69" s="278"/>
      <c r="K69" s="279">
        <f t="shared" si="2"/>
        <v>400000.00079999998</v>
      </c>
      <c r="L69" s="280">
        <f t="shared" si="3"/>
        <v>1.0160364438896591E-3</v>
      </c>
      <c r="M69" s="274"/>
      <c r="N69" s="274"/>
      <c r="O69" s="274"/>
      <c r="P69" s="274"/>
    </row>
    <row r="70" spans="1:16" s="14" customFormat="1" x14ac:dyDescent="0.25">
      <c r="A70" s="272"/>
      <c r="B70" s="289"/>
      <c r="C70" s="287"/>
      <c r="D70" s="274"/>
      <c r="E70" s="274"/>
      <c r="F70" s="275"/>
      <c r="G70" s="276"/>
      <c r="H70" s="275">
        <f t="shared" si="4"/>
        <v>0</v>
      </c>
      <c r="I70" s="277"/>
      <c r="J70" s="278"/>
      <c r="K70" s="279">
        <f t="shared" si="2"/>
        <v>400000.00079999998</v>
      </c>
      <c r="L70" s="280">
        <f t="shared" si="3"/>
        <v>1.0160364438896591E-3</v>
      </c>
      <c r="M70" s="274"/>
      <c r="N70" s="274"/>
      <c r="O70" s="274"/>
      <c r="P70" s="274"/>
    </row>
    <row r="71" spans="1:16" s="14" customFormat="1" x14ac:dyDescent="0.25">
      <c r="A71" s="272"/>
      <c r="B71" s="289"/>
      <c r="C71" s="287"/>
      <c r="D71" s="274"/>
      <c r="E71" s="274"/>
      <c r="F71" s="275"/>
      <c r="G71" s="275"/>
      <c r="H71" s="275">
        <f t="shared" si="4"/>
        <v>0</v>
      </c>
      <c r="I71" s="277"/>
      <c r="J71" s="278"/>
      <c r="K71" s="279">
        <f t="shared" si="2"/>
        <v>400000.00079999998</v>
      </c>
      <c r="L71" s="280">
        <f t="shared" si="3"/>
        <v>1.0160364438896591E-3</v>
      </c>
      <c r="M71" s="274"/>
      <c r="N71" s="274"/>
      <c r="O71" s="274"/>
      <c r="P71" s="274"/>
    </row>
    <row r="72" spans="1:16" s="14" customFormat="1" x14ac:dyDescent="0.25">
      <c r="A72" s="272"/>
      <c r="B72" s="289"/>
      <c r="C72" s="287"/>
      <c r="D72" s="274"/>
      <c r="E72" s="274"/>
      <c r="F72" s="275"/>
      <c r="G72" s="276"/>
      <c r="H72" s="275">
        <f t="shared" si="4"/>
        <v>0</v>
      </c>
      <c r="I72" s="277"/>
      <c r="J72" s="278"/>
      <c r="K72" s="279">
        <f t="shared" si="2"/>
        <v>400000.00079999998</v>
      </c>
      <c r="L72" s="280">
        <f t="shared" si="3"/>
        <v>1.0160364438896591E-3</v>
      </c>
      <c r="M72" s="274"/>
      <c r="N72" s="274"/>
      <c r="O72" s="274"/>
      <c r="P72" s="274"/>
    </row>
    <row r="73" spans="1:16" s="14" customFormat="1" x14ac:dyDescent="0.25">
      <c r="A73" s="272"/>
      <c r="B73" s="289"/>
      <c r="C73" s="287"/>
      <c r="D73" s="274"/>
      <c r="E73" s="274"/>
      <c r="F73" s="275"/>
      <c r="G73" s="276"/>
      <c r="H73" s="275">
        <f t="shared" si="4"/>
        <v>0</v>
      </c>
      <c r="I73" s="277"/>
      <c r="J73" s="278"/>
      <c r="K73" s="279">
        <f t="shared" si="2"/>
        <v>400000.00079999998</v>
      </c>
      <c r="L73" s="280">
        <f t="shared" si="3"/>
        <v>1.0160364438896591E-3</v>
      </c>
      <c r="M73" s="274"/>
      <c r="N73" s="274"/>
      <c r="O73" s="274"/>
      <c r="P73" s="274"/>
    </row>
    <row r="74" spans="1:16" s="14" customFormat="1" x14ac:dyDescent="0.25">
      <c r="A74" s="272"/>
      <c r="B74" s="289"/>
      <c r="C74" s="287"/>
      <c r="D74" s="274"/>
      <c r="E74" s="274"/>
      <c r="F74" s="275"/>
      <c r="G74" s="276"/>
      <c r="H74" s="275">
        <f t="shared" si="4"/>
        <v>0</v>
      </c>
      <c r="I74" s="277"/>
      <c r="J74" s="278"/>
      <c r="K74" s="279">
        <f t="shared" si="2"/>
        <v>400000.00079999998</v>
      </c>
      <c r="L74" s="280">
        <f t="shared" si="3"/>
        <v>1.0160364438896591E-3</v>
      </c>
      <c r="M74" s="274"/>
      <c r="N74" s="274"/>
      <c r="O74" s="274"/>
      <c r="P74" s="274"/>
    </row>
    <row r="75" spans="1:16" s="14" customFormat="1" x14ac:dyDescent="0.25">
      <c r="A75" s="272"/>
      <c r="B75" s="289"/>
      <c r="C75" s="287"/>
      <c r="D75" s="274"/>
      <c r="E75" s="274"/>
      <c r="F75" s="275"/>
      <c r="G75" s="276"/>
      <c r="H75" s="275">
        <f t="shared" ref="H75:H138" si="5">G75+F75</f>
        <v>0</v>
      </c>
      <c r="I75" s="277"/>
      <c r="J75" s="278"/>
      <c r="K75" s="279">
        <f t="shared" si="2"/>
        <v>400000.00079999998</v>
      </c>
      <c r="L75" s="280">
        <f t="shared" si="3"/>
        <v>1.0160364438896591E-3</v>
      </c>
      <c r="M75" s="274"/>
      <c r="N75" s="274"/>
      <c r="O75" s="274"/>
      <c r="P75" s="274"/>
    </row>
    <row r="76" spans="1:16" s="14" customFormat="1" x14ac:dyDescent="0.25">
      <c r="A76" s="272"/>
      <c r="B76" s="289"/>
      <c r="C76" s="287"/>
      <c r="D76" s="274"/>
      <c r="E76" s="274"/>
      <c r="F76" s="275"/>
      <c r="G76" s="276"/>
      <c r="H76" s="275">
        <f t="shared" si="5"/>
        <v>0</v>
      </c>
      <c r="I76" s="277"/>
      <c r="J76" s="278"/>
      <c r="K76" s="279">
        <f t="shared" ref="K76:K139" si="6">K75+H76</f>
        <v>400000.00079999998</v>
      </c>
      <c r="L76" s="280">
        <f t="shared" ref="L76:L139" si="7">K76/$F$1</f>
        <v>1.0160364438896591E-3</v>
      </c>
      <c r="M76" s="274"/>
      <c r="N76" s="274"/>
      <c r="O76" s="274"/>
      <c r="P76" s="274"/>
    </row>
    <row r="77" spans="1:16" s="14" customFormat="1" x14ac:dyDescent="0.25">
      <c r="A77" s="272"/>
      <c r="B77" s="289"/>
      <c r="C77" s="287"/>
      <c r="D77" s="274"/>
      <c r="E77" s="274"/>
      <c r="F77" s="275"/>
      <c r="G77" s="276"/>
      <c r="H77" s="275">
        <f t="shared" si="5"/>
        <v>0</v>
      </c>
      <c r="I77" s="277"/>
      <c r="J77" s="278"/>
      <c r="K77" s="279">
        <f t="shared" si="6"/>
        <v>400000.00079999998</v>
      </c>
      <c r="L77" s="280">
        <f t="shared" si="7"/>
        <v>1.0160364438896591E-3</v>
      </c>
      <c r="M77" s="274"/>
      <c r="N77" s="274"/>
      <c r="O77" s="274"/>
      <c r="P77" s="274"/>
    </row>
    <row r="78" spans="1:16" s="14" customFormat="1" x14ac:dyDescent="0.25">
      <c r="A78" s="272"/>
      <c r="B78" s="289"/>
      <c r="C78" s="287"/>
      <c r="D78" s="274"/>
      <c r="E78" s="274"/>
      <c r="F78" s="275"/>
      <c r="G78" s="276"/>
      <c r="H78" s="275">
        <f t="shared" si="5"/>
        <v>0</v>
      </c>
      <c r="I78" s="277"/>
      <c r="J78" s="278"/>
      <c r="K78" s="279">
        <f t="shared" si="6"/>
        <v>400000.00079999998</v>
      </c>
      <c r="L78" s="280">
        <f t="shared" si="7"/>
        <v>1.0160364438896591E-3</v>
      </c>
      <c r="M78" s="274"/>
      <c r="N78" s="274"/>
      <c r="O78" s="274"/>
      <c r="P78" s="274"/>
    </row>
    <row r="79" spans="1:16" s="14" customFormat="1" x14ac:dyDescent="0.25">
      <c r="A79" s="272"/>
      <c r="B79" s="289"/>
      <c r="C79" s="287"/>
      <c r="D79" s="274"/>
      <c r="E79" s="274"/>
      <c r="F79" s="275"/>
      <c r="G79" s="275"/>
      <c r="H79" s="275">
        <f t="shared" si="5"/>
        <v>0</v>
      </c>
      <c r="I79" s="277"/>
      <c r="J79" s="278"/>
      <c r="K79" s="279">
        <f t="shared" si="6"/>
        <v>400000.00079999998</v>
      </c>
      <c r="L79" s="280">
        <f t="shared" si="7"/>
        <v>1.0160364438896591E-3</v>
      </c>
      <c r="M79" s="274"/>
      <c r="N79" s="274"/>
      <c r="O79" s="274"/>
      <c r="P79" s="274"/>
    </row>
    <row r="80" spans="1:16" s="14" customFormat="1" x14ac:dyDescent="0.25">
      <c r="A80" s="272"/>
      <c r="B80" s="289"/>
      <c r="C80" s="287"/>
      <c r="D80" s="274"/>
      <c r="E80" s="274"/>
      <c r="F80" s="275"/>
      <c r="G80" s="276"/>
      <c r="H80" s="275">
        <f t="shared" si="5"/>
        <v>0</v>
      </c>
      <c r="I80" s="277"/>
      <c r="J80" s="278"/>
      <c r="K80" s="279">
        <f t="shared" si="6"/>
        <v>400000.00079999998</v>
      </c>
      <c r="L80" s="280">
        <f t="shared" si="7"/>
        <v>1.0160364438896591E-3</v>
      </c>
      <c r="M80" s="274"/>
      <c r="N80" s="274"/>
      <c r="O80" s="274"/>
      <c r="P80" s="274"/>
    </row>
    <row r="81" spans="1:16" s="14" customFormat="1" x14ac:dyDescent="0.25">
      <c r="A81" s="272"/>
      <c r="B81" s="289"/>
      <c r="C81" s="287"/>
      <c r="D81" s="274"/>
      <c r="E81" s="274"/>
      <c r="F81" s="275"/>
      <c r="G81" s="276"/>
      <c r="H81" s="275">
        <f t="shared" si="5"/>
        <v>0</v>
      </c>
      <c r="I81" s="277"/>
      <c r="J81" s="278"/>
      <c r="K81" s="279">
        <f t="shared" si="6"/>
        <v>400000.00079999998</v>
      </c>
      <c r="L81" s="280">
        <f t="shared" si="7"/>
        <v>1.0160364438896591E-3</v>
      </c>
      <c r="M81" s="274"/>
      <c r="N81" s="274"/>
      <c r="O81" s="274"/>
      <c r="P81" s="274"/>
    </row>
    <row r="82" spans="1:16" s="14" customFormat="1" x14ac:dyDescent="0.25">
      <c r="A82" s="272"/>
      <c r="B82" s="289"/>
      <c r="C82" s="287"/>
      <c r="D82" s="274"/>
      <c r="E82" s="274"/>
      <c r="F82" s="275"/>
      <c r="G82" s="276"/>
      <c r="H82" s="275">
        <f t="shared" si="5"/>
        <v>0</v>
      </c>
      <c r="I82" s="277"/>
      <c r="J82" s="278"/>
      <c r="K82" s="279">
        <f t="shared" si="6"/>
        <v>400000.00079999998</v>
      </c>
      <c r="L82" s="280">
        <f t="shared" si="7"/>
        <v>1.0160364438896591E-3</v>
      </c>
      <c r="M82" s="274"/>
      <c r="N82" s="274"/>
      <c r="O82" s="274"/>
      <c r="P82" s="274"/>
    </row>
    <row r="83" spans="1:16" s="14" customFormat="1" x14ac:dyDescent="0.25">
      <c r="A83" s="272"/>
      <c r="B83" s="289"/>
      <c r="C83" s="287"/>
      <c r="D83" s="274"/>
      <c r="E83" s="274"/>
      <c r="F83" s="275"/>
      <c r="G83" s="276"/>
      <c r="H83" s="275">
        <f t="shared" si="5"/>
        <v>0</v>
      </c>
      <c r="I83" s="277"/>
      <c r="J83" s="278"/>
      <c r="K83" s="279">
        <f t="shared" si="6"/>
        <v>400000.00079999998</v>
      </c>
      <c r="L83" s="280">
        <f t="shared" si="7"/>
        <v>1.0160364438896591E-3</v>
      </c>
      <c r="M83" s="274"/>
      <c r="N83" s="274"/>
      <c r="O83" s="274"/>
      <c r="P83" s="274"/>
    </row>
    <row r="84" spans="1:16" s="14" customFormat="1" x14ac:dyDescent="0.25">
      <c r="A84" s="272"/>
      <c r="B84" s="289"/>
      <c r="C84" s="287"/>
      <c r="D84" s="274"/>
      <c r="E84" s="274"/>
      <c r="F84" s="275"/>
      <c r="G84" s="276"/>
      <c r="H84" s="275">
        <f t="shared" si="5"/>
        <v>0</v>
      </c>
      <c r="I84" s="277"/>
      <c r="J84" s="278"/>
      <c r="K84" s="279">
        <f t="shared" si="6"/>
        <v>400000.00079999998</v>
      </c>
      <c r="L84" s="280">
        <f t="shared" si="7"/>
        <v>1.0160364438896591E-3</v>
      </c>
      <c r="M84" s="274"/>
      <c r="N84" s="274"/>
      <c r="O84" s="274"/>
      <c r="P84" s="274"/>
    </row>
    <row r="85" spans="1:16" s="14" customFormat="1" x14ac:dyDescent="0.25">
      <c r="A85" s="272"/>
      <c r="B85" s="289"/>
      <c r="C85" s="287"/>
      <c r="D85" s="274"/>
      <c r="E85" s="274"/>
      <c r="F85" s="275"/>
      <c r="G85" s="276"/>
      <c r="H85" s="275">
        <f t="shared" si="5"/>
        <v>0</v>
      </c>
      <c r="I85" s="277"/>
      <c r="J85" s="278"/>
      <c r="K85" s="279">
        <f t="shared" si="6"/>
        <v>400000.00079999998</v>
      </c>
      <c r="L85" s="280">
        <f t="shared" si="7"/>
        <v>1.0160364438896591E-3</v>
      </c>
      <c r="M85" s="274"/>
      <c r="N85" s="274"/>
      <c r="O85" s="274"/>
      <c r="P85" s="274"/>
    </row>
    <row r="86" spans="1:16" s="14" customFormat="1" x14ac:dyDescent="0.25">
      <c r="A86" s="272"/>
      <c r="B86" s="289"/>
      <c r="C86" s="287"/>
      <c r="D86" s="274"/>
      <c r="E86" s="274"/>
      <c r="F86" s="275"/>
      <c r="G86" s="276"/>
      <c r="H86" s="275">
        <f t="shared" si="5"/>
        <v>0</v>
      </c>
      <c r="I86" s="277"/>
      <c r="J86" s="278"/>
      <c r="K86" s="279">
        <f t="shared" si="6"/>
        <v>400000.00079999998</v>
      </c>
      <c r="L86" s="280">
        <f t="shared" si="7"/>
        <v>1.0160364438896591E-3</v>
      </c>
      <c r="M86" s="274"/>
      <c r="N86" s="274"/>
      <c r="O86" s="274"/>
      <c r="P86" s="274"/>
    </row>
    <row r="87" spans="1:16" s="14" customFormat="1" x14ac:dyDescent="0.25">
      <c r="A87" s="272"/>
      <c r="B87" s="289"/>
      <c r="C87" s="287"/>
      <c r="D87" s="274"/>
      <c r="E87" s="274"/>
      <c r="F87" s="275"/>
      <c r="G87" s="276"/>
      <c r="H87" s="275">
        <f t="shared" si="5"/>
        <v>0</v>
      </c>
      <c r="I87" s="277"/>
      <c r="J87" s="278"/>
      <c r="K87" s="279">
        <f t="shared" si="6"/>
        <v>400000.00079999998</v>
      </c>
      <c r="L87" s="280">
        <f t="shared" si="7"/>
        <v>1.0160364438896591E-3</v>
      </c>
      <c r="M87" s="274"/>
      <c r="N87" s="274"/>
      <c r="O87" s="274"/>
      <c r="P87" s="274"/>
    </row>
    <row r="88" spans="1:16" s="14" customFormat="1" x14ac:dyDescent="0.25">
      <c r="A88" s="272"/>
      <c r="B88" s="289"/>
      <c r="C88" s="287"/>
      <c r="D88" s="274"/>
      <c r="E88" s="274"/>
      <c r="F88" s="275"/>
      <c r="G88" s="276"/>
      <c r="H88" s="275">
        <f t="shared" si="5"/>
        <v>0</v>
      </c>
      <c r="I88" s="277"/>
      <c r="J88" s="278"/>
      <c r="K88" s="279">
        <f t="shared" si="6"/>
        <v>400000.00079999998</v>
      </c>
      <c r="L88" s="280">
        <f t="shared" si="7"/>
        <v>1.0160364438896591E-3</v>
      </c>
      <c r="M88" s="274"/>
      <c r="N88" s="274"/>
      <c r="O88" s="274"/>
      <c r="P88" s="274"/>
    </row>
    <row r="89" spans="1:16" s="14" customFormat="1" x14ac:dyDescent="0.25">
      <c r="A89" s="272"/>
      <c r="B89" s="289"/>
      <c r="C89" s="287"/>
      <c r="D89" s="274"/>
      <c r="E89" s="274"/>
      <c r="F89" s="275"/>
      <c r="G89" s="276"/>
      <c r="H89" s="275">
        <f t="shared" si="5"/>
        <v>0</v>
      </c>
      <c r="I89" s="277"/>
      <c r="J89" s="278"/>
      <c r="K89" s="279">
        <f t="shared" si="6"/>
        <v>400000.00079999998</v>
      </c>
      <c r="L89" s="280">
        <f t="shared" si="7"/>
        <v>1.0160364438896591E-3</v>
      </c>
      <c r="M89" s="274"/>
      <c r="N89" s="274"/>
      <c r="O89" s="274"/>
      <c r="P89" s="274"/>
    </row>
    <row r="90" spans="1:16" s="14" customFormat="1" x14ac:dyDescent="0.25">
      <c r="A90" s="272"/>
      <c r="B90" s="289"/>
      <c r="C90" s="287"/>
      <c r="D90" s="274"/>
      <c r="E90" s="290"/>
      <c r="F90" s="275"/>
      <c r="G90" s="275"/>
      <c r="H90" s="275">
        <f t="shared" si="5"/>
        <v>0</v>
      </c>
      <c r="I90" s="277"/>
      <c r="J90" s="278"/>
      <c r="K90" s="279">
        <f t="shared" si="6"/>
        <v>400000.00079999998</v>
      </c>
      <c r="L90" s="280">
        <f t="shared" si="7"/>
        <v>1.0160364438896591E-3</v>
      </c>
      <c r="M90" s="274"/>
      <c r="N90" s="274"/>
      <c r="O90" s="274"/>
      <c r="P90" s="274"/>
    </row>
    <row r="91" spans="1:16" s="14" customFormat="1" x14ac:dyDescent="0.25">
      <c r="A91" s="272"/>
      <c r="B91" s="289"/>
      <c r="C91" s="287"/>
      <c r="D91" s="274"/>
      <c r="E91" s="274"/>
      <c r="F91" s="275"/>
      <c r="G91" s="276"/>
      <c r="H91" s="275">
        <f t="shared" si="5"/>
        <v>0</v>
      </c>
      <c r="I91" s="277"/>
      <c r="J91" s="278"/>
      <c r="K91" s="279">
        <f t="shared" si="6"/>
        <v>400000.00079999998</v>
      </c>
      <c r="L91" s="280">
        <f t="shared" si="7"/>
        <v>1.0160364438896591E-3</v>
      </c>
      <c r="M91" s="274"/>
      <c r="N91" s="274"/>
      <c r="O91" s="274"/>
      <c r="P91" s="274"/>
    </row>
    <row r="92" spans="1:16" s="14" customFormat="1" x14ac:dyDescent="0.25">
      <c r="A92" s="272"/>
      <c r="B92" s="289"/>
      <c r="C92" s="287"/>
      <c r="D92" s="274"/>
      <c r="E92" s="274"/>
      <c r="F92" s="275"/>
      <c r="G92" s="275"/>
      <c r="H92" s="275">
        <f t="shared" si="5"/>
        <v>0</v>
      </c>
      <c r="I92" s="277"/>
      <c r="J92" s="278"/>
      <c r="K92" s="279">
        <f t="shared" si="6"/>
        <v>400000.00079999998</v>
      </c>
      <c r="L92" s="280">
        <f t="shared" si="7"/>
        <v>1.0160364438896591E-3</v>
      </c>
      <c r="M92" s="274"/>
      <c r="N92" s="274"/>
      <c r="O92" s="274"/>
      <c r="P92" s="274"/>
    </row>
    <row r="93" spans="1:16" s="14" customFormat="1" x14ac:dyDescent="0.25">
      <c r="A93" s="272"/>
      <c r="B93" s="289"/>
      <c r="C93" s="287"/>
      <c r="D93" s="274"/>
      <c r="E93" s="274"/>
      <c r="F93" s="275"/>
      <c r="G93" s="275"/>
      <c r="H93" s="275">
        <f t="shared" si="5"/>
        <v>0</v>
      </c>
      <c r="I93" s="277"/>
      <c r="J93" s="278"/>
      <c r="K93" s="279">
        <f t="shared" si="6"/>
        <v>400000.00079999998</v>
      </c>
      <c r="L93" s="280">
        <f t="shared" si="7"/>
        <v>1.0160364438896591E-3</v>
      </c>
      <c r="M93" s="274"/>
      <c r="N93" s="274"/>
      <c r="O93" s="274"/>
      <c r="P93" s="274"/>
    </row>
    <row r="94" spans="1:16" s="14" customFormat="1" x14ac:dyDescent="0.25">
      <c r="A94" s="272"/>
      <c r="B94" s="289"/>
      <c r="C94" s="287"/>
      <c r="D94" s="274"/>
      <c r="E94" s="274"/>
      <c r="F94" s="275"/>
      <c r="G94" s="276"/>
      <c r="H94" s="275">
        <f t="shared" si="5"/>
        <v>0</v>
      </c>
      <c r="I94" s="277"/>
      <c r="J94" s="278"/>
      <c r="K94" s="279">
        <f t="shared" si="6"/>
        <v>400000.00079999998</v>
      </c>
      <c r="L94" s="280">
        <f t="shared" si="7"/>
        <v>1.0160364438896591E-3</v>
      </c>
      <c r="M94" s="274"/>
      <c r="N94" s="274"/>
      <c r="O94" s="274"/>
      <c r="P94" s="274"/>
    </row>
    <row r="95" spans="1:16" s="14" customFormat="1" x14ac:dyDescent="0.25">
      <c r="A95" s="272"/>
      <c r="B95" s="289"/>
      <c r="C95" s="287"/>
      <c r="D95" s="274"/>
      <c r="E95" s="274"/>
      <c r="F95" s="275"/>
      <c r="G95" s="276"/>
      <c r="H95" s="275">
        <f t="shared" si="5"/>
        <v>0</v>
      </c>
      <c r="I95" s="277"/>
      <c r="J95" s="278"/>
      <c r="K95" s="279">
        <f t="shared" si="6"/>
        <v>400000.00079999998</v>
      </c>
      <c r="L95" s="280">
        <f t="shared" si="7"/>
        <v>1.0160364438896591E-3</v>
      </c>
      <c r="M95" s="274"/>
      <c r="N95" s="274"/>
      <c r="O95" s="274"/>
      <c r="P95" s="274"/>
    </row>
    <row r="96" spans="1:16" s="14" customFormat="1" x14ac:dyDescent="0.25">
      <c r="A96" s="272"/>
      <c r="B96" s="289"/>
      <c r="C96" s="287"/>
      <c r="D96" s="274"/>
      <c r="E96" s="274"/>
      <c r="F96" s="275"/>
      <c r="G96" s="276"/>
      <c r="H96" s="275">
        <f t="shared" si="5"/>
        <v>0</v>
      </c>
      <c r="I96" s="277"/>
      <c r="J96" s="278"/>
      <c r="K96" s="279">
        <f t="shared" si="6"/>
        <v>400000.00079999998</v>
      </c>
      <c r="L96" s="280">
        <f t="shared" si="7"/>
        <v>1.0160364438896591E-3</v>
      </c>
      <c r="M96" s="274"/>
      <c r="N96" s="274"/>
      <c r="O96" s="274"/>
      <c r="P96" s="274"/>
    </row>
    <row r="97" spans="1:18" s="14" customFormat="1" x14ac:dyDescent="0.25">
      <c r="A97" s="272"/>
      <c r="B97" s="289"/>
      <c r="C97" s="287"/>
      <c r="D97" s="274"/>
      <c r="E97" s="274"/>
      <c r="F97" s="275"/>
      <c r="G97" s="276"/>
      <c r="H97" s="275">
        <f t="shared" si="5"/>
        <v>0</v>
      </c>
      <c r="I97" s="277"/>
      <c r="J97" s="278"/>
      <c r="K97" s="279">
        <f t="shared" si="6"/>
        <v>400000.00079999998</v>
      </c>
      <c r="L97" s="280">
        <f t="shared" si="7"/>
        <v>1.0160364438896591E-3</v>
      </c>
      <c r="M97" s="274"/>
      <c r="N97" s="274"/>
      <c r="O97" s="274"/>
      <c r="P97" s="274"/>
    </row>
    <row r="98" spans="1:18" s="14" customFormat="1" x14ac:dyDescent="0.25">
      <c r="A98" s="272"/>
      <c r="B98" s="289"/>
      <c r="C98" s="287"/>
      <c r="D98" s="287"/>
      <c r="E98" s="274"/>
      <c r="F98" s="275"/>
      <c r="G98" s="276"/>
      <c r="H98" s="275">
        <f t="shared" si="5"/>
        <v>0</v>
      </c>
      <c r="I98" s="277"/>
      <c r="J98" s="278"/>
      <c r="K98" s="279">
        <f t="shared" si="6"/>
        <v>400000.00079999998</v>
      </c>
      <c r="L98" s="280">
        <f t="shared" si="7"/>
        <v>1.0160364438896591E-3</v>
      </c>
      <c r="M98" s="274"/>
      <c r="N98" s="274"/>
      <c r="O98" s="274"/>
      <c r="P98" s="274"/>
    </row>
    <row r="99" spans="1:18" s="14" customFormat="1" x14ac:dyDescent="0.25">
      <c r="A99" s="272"/>
      <c r="B99" s="289"/>
      <c r="C99"/>
      <c r="D99" s="274"/>
      <c r="E99" s="290"/>
      <c r="F99" s="275"/>
      <c r="G99" s="276"/>
      <c r="H99" s="275">
        <f t="shared" si="5"/>
        <v>0</v>
      </c>
      <c r="I99" s="277"/>
      <c r="J99" s="278"/>
      <c r="K99" s="279">
        <f t="shared" si="6"/>
        <v>400000.00079999998</v>
      </c>
      <c r="L99" s="280">
        <f t="shared" si="7"/>
        <v>1.0160364438896591E-3</v>
      </c>
      <c r="M99" s="274"/>
      <c r="N99" s="274"/>
      <c r="O99" s="274"/>
      <c r="P99" s="274"/>
    </row>
    <row r="100" spans="1:18" s="14" customFormat="1" x14ac:dyDescent="0.25">
      <c r="A100" s="272"/>
      <c r="B100" s="289"/>
      <c r="C100" s="287"/>
      <c r="D100" s="274"/>
      <c r="E100" s="274"/>
      <c r="F100" s="275"/>
      <c r="G100" s="276"/>
      <c r="H100" s="275">
        <f t="shared" si="5"/>
        <v>0</v>
      </c>
      <c r="I100" s="278"/>
      <c r="J100" s="278"/>
      <c r="K100" s="279">
        <f t="shared" si="6"/>
        <v>400000.00079999998</v>
      </c>
      <c r="L100" s="280">
        <f t="shared" si="7"/>
        <v>1.0160364438896591E-3</v>
      </c>
      <c r="M100" s="274"/>
      <c r="N100" s="274"/>
      <c r="O100" s="274"/>
      <c r="P100" s="274"/>
    </row>
    <row r="101" spans="1:18" s="14" customFormat="1" x14ac:dyDescent="0.25">
      <c r="A101" s="272"/>
      <c r="B101" s="289"/>
      <c r="C101" s="287"/>
      <c r="D101" s="274"/>
      <c r="E101" s="274"/>
      <c r="F101" s="275"/>
      <c r="G101" s="275"/>
      <c r="H101" s="275">
        <f t="shared" si="5"/>
        <v>0</v>
      </c>
      <c r="I101" s="278"/>
      <c r="J101" s="278"/>
      <c r="K101" s="279">
        <f t="shared" si="6"/>
        <v>400000.00079999998</v>
      </c>
      <c r="L101" s="280">
        <f t="shared" si="7"/>
        <v>1.0160364438896591E-3</v>
      </c>
      <c r="M101" s="274"/>
      <c r="N101" s="274"/>
      <c r="O101" s="274"/>
      <c r="P101" s="274"/>
    </row>
    <row r="102" spans="1:18" s="14" customFormat="1" x14ac:dyDescent="0.25">
      <c r="A102" s="272"/>
      <c r="B102" s="289"/>
      <c r="C102" s="287"/>
      <c r="D102" s="274"/>
      <c r="E102" s="274"/>
      <c r="F102" s="275"/>
      <c r="G102" s="275"/>
      <c r="H102" s="275">
        <f t="shared" si="5"/>
        <v>0</v>
      </c>
      <c r="I102" s="278"/>
      <c r="J102" s="278"/>
      <c r="K102" s="279">
        <f t="shared" si="6"/>
        <v>400000.00079999998</v>
      </c>
      <c r="L102" s="280">
        <f t="shared" si="7"/>
        <v>1.0160364438896591E-3</v>
      </c>
      <c r="M102" s="274"/>
      <c r="N102" s="274"/>
      <c r="O102" s="274"/>
      <c r="P102" s="274"/>
    </row>
    <row r="103" spans="1:18" s="14" customFormat="1" x14ac:dyDescent="0.25">
      <c r="A103" s="272"/>
      <c r="B103" s="289"/>
      <c r="C103" s="287"/>
      <c r="D103" s="274"/>
      <c r="E103" s="274"/>
      <c r="F103" s="275"/>
      <c r="G103" s="276"/>
      <c r="H103" s="275">
        <f t="shared" si="5"/>
        <v>0</v>
      </c>
      <c r="I103" s="278"/>
      <c r="J103" s="278"/>
      <c r="K103" s="279">
        <f t="shared" si="6"/>
        <v>400000.00079999998</v>
      </c>
      <c r="L103" s="280">
        <f t="shared" si="7"/>
        <v>1.0160364438896591E-3</v>
      </c>
      <c r="M103" s="274"/>
      <c r="N103" s="274"/>
      <c r="O103" s="274"/>
      <c r="P103" s="274"/>
    </row>
    <row r="104" spans="1:18" s="14" customFormat="1" x14ac:dyDescent="0.25">
      <c r="A104" s="272"/>
      <c r="B104" s="289"/>
      <c r="C104" s="287"/>
      <c r="D104" s="274"/>
      <c r="E104" s="274"/>
      <c r="F104" s="275"/>
      <c r="G104" s="276"/>
      <c r="H104" s="275">
        <f t="shared" si="5"/>
        <v>0</v>
      </c>
      <c r="I104" s="278"/>
      <c r="J104" s="278"/>
      <c r="K104" s="279">
        <f t="shared" si="6"/>
        <v>400000.00079999998</v>
      </c>
      <c r="L104" s="280">
        <f t="shared" si="7"/>
        <v>1.0160364438896591E-3</v>
      </c>
      <c r="M104" s="274"/>
      <c r="N104" s="274"/>
      <c r="O104" s="274"/>
      <c r="P104" s="274"/>
    </row>
    <row r="105" spans="1:18" s="14" customFormat="1" x14ac:dyDescent="0.25">
      <c r="A105" s="272"/>
      <c r="B105" s="289"/>
      <c r="C105" s="287"/>
      <c r="D105" s="274"/>
      <c r="E105" s="274"/>
      <c r="F105" s="276"/>
      <c r="G105" s="276"/>
      <c r="H105" s="275">
        <f t="shared" si="5"/>
        <v>0</v>
      </c>
      <c r="I105" s="278"/>
      <c r="J105" s="278"/>
      <c r="K105" s="279">
        <f t="shared" si="6"/>
        <v>400000.00079999998</v>
      </c>
      <c r="L105" s="280">
        <f t="shared" si="7"/>
        <v>1.0160364438896591E-3</v>
      </c>
      <c r="M105" s="274"/>
      <c r="N105" s="274"/>
      <c r="O105" s="274"/>
      <c r="P105" s="274"/>
    </row>
    <row r="106" spans="1:18" s="14" customFormat="1" x14ac:dyDescent="0.25">
      <c r="A106" s="272"/>
      <c r="B106" s="289"/>
      <c r="C106" s="287"/>
      <c r="D106" s="274"/>
      <c r="E106" s="274"/>
      <c r="F106" s="275"/>
      <c r="G106" s="276"/>
      <c r="H106" s="275">
        <f t="shared" si="5"/>
        <v>0</v>
      </c>
      <c r="I106" s="278"/>
      <c r="J106" s="278"/>
      <c r="K106" s="279">
        <f t="shared" si="6"/>
        <v>400000.00079999998</v>
      </c>
      <c r="L106" s="280">
        <f t="shared" si="7"/>
        <v>1.0160364438896591E-3</v>
      </c>
      <c r="M106" s="274"/>
      <c r="N106" s="274"/>
      <c r="O106" s="274"/>
      <c r="P106" s="274"/>
      <c r="R106" s="185"/>
    </row>
    <row r="107" spans="1:18" s="14" customFormat="1" x14ac:dyDescent="0.25">
      <c r="A107" s="272"/>
      <c r="B107" s="289"/>
      <c r="C107" s="287"/>
      <c r="D107" s="274"/>
      <c r="E107" s="274"/>
      <c r="F107" s="275"/>
      <c r="G107" s="276"/>
      <c r="H107" s="275">
        <f t="shared" si="5"/>
        <v>0</v>
      </c>
      <c r="I107" s="278"/>
      <c r="J107" s="278"/>
      <c r="K107" s="279">
        <f t="shared" si="6"/>
        <v>400000.00079999998</v>
      </c>
      <c r="L107" s="280">
        <f t="shared" si="7"/>
        <v>1.0160364438896591E-3</v>
      </c>
      <c r="M107" s="274"/>
      <c r="N107" s="274"/>
      <c r="O107" s="274"/>
      <c r="P107" s="274"/>
      <c r="R107" s="185"/>
    </row>
    <row r="108" spans="1:18" s="14" customFormat="1" x14ac:dyDescent="0.25">
      <c r="A108" s="272"/>
      <c r="B108" s="289"/>
      <c r="C108" s="287"/>
      <c r="D108" s="274"/>
      <c r="E108" s="274"/>
      <c r="F108" s="275"/>
      <c r="G108" s="276"/>
      <c r="H108" s="275">
        <f t="shared" si="5"/>
        <v>0</v>
      </c>
      <c r="I108" s="277"/>
      <c r="J108" s="278"/>
      <c r="K108" s="279">
        <f t="shared" si="6"/>
        <v>400000.00079999998</v>
      </c>
      <c r="L108" s="280">
        <f t="shared" si="7"/>
        <v>1.0160364438896591E-3</v>
      </c>
      <c r="M108" s="274"/>
      <c r="N108" s="274"/>
      <c r="O108" s="274"/>
      <c r="P108" s="274"/>
    </row>
    <row r="109" spans="1:18" s="14" customFormat="1" x14ac:dyDescent="0.25">
      <c r="A109" s="272"/>
      <c r="B109" s="289"/>
      <c r="C109" s="287"/>
      <c r="D109" s="274"/>
      <c r="E109" s="274"/>
      <c r="F109" s="275"/>
      <c r="G109" s="276"/>
      <c r="H109" s="275">
        <f t="shared" si="5"/>
        <v>0</v>
      </c>
      <c r="I109" s="277"/>
      <c r="J109" s="278"/>
      <c r="K109" s="279">
        <f t="shared" si="6"/>
        <v>400000.00079999998</v>
      </c>
      <c r="L109" s="280">
        <f t="shared" si="7"/>
        <v>1.0160364438896591E-3</v>
      </c>
      <c r="M109" s="274"/>
      <c r="N109" s="274"/>
      <c r="O109" s="274"/>
      <c r="P109" s="274"/>
    </row>
    <row r="110" spans="1:18" s="14" customFormat="1" x14ac:dyDescent="0.25">
      <c r="A110" s="272"/>
      <c r="B110" s="289"/>
      <c r="C110" s="287"/>
      <c r="D110" s="274"/>
      <c r="E110" s="274"/>
      <c r="F110" s="275"/>
      <c r="G110" s="276"/>
      <c r="H110" s="275">
        <f t="shared" si="5"/>
        <v>0</v>
      </c>
      <c r="I110" s="278"/>
      <c r="J110" s="278"/>
      <c r="K110" s="279">
        <f t="shared" si="6"/>
        <v>400000.00079999998</v>
      </c>
      <c r="L110" s="280">
        <f t="shared" si="7"/>
        <v>1.0160364438896591E-3</v>
      </c>
      <c r="M110" s="274"/>
      <c r="N110" s="274"/>
      <c r="O110" s="274"/>
      <c r="P110" s="274"/>
    </row>
    <row r="111" spans="1:18" s="14" customFormat="1" x14ac:dyDescent="0.25">
      <c r="A111" s="272"/>
      <c r="B111" s="289"/>
      <c r="C111" s="287"/>
      <c r="D111" s="274"/>
      <c r="E111" s="274"/>
      <c r="F111" s="275"/>
      <c r="G111" s="276"/>
      <c r="H111" s="275">
        <f t="shared" si="5"/>
        <v>0</v>
      </c>
      <c r="I111" s="278"/>
      <c r="J111" s="278"/>
      <c r="K111" s="279">
        <f t="shared" si="6"/>
        <v>400000.00079999998</v>
      </c>
      <c r="L111" s="280">
        <f t="shared" si="7"/>
        <v>1.0160364438896591E-3</v>
      </c>
      <c r="M111" s="274"/>
      <c r="N111" s="274"/>
      <c r="O111" s="274"/>
      <c r="P111" s="274"/>
    </row>
    <row r="112" spans="1:18" s="14" customFormat="1" x14ac:dyDescent="0.25">
      <c r="A112" s="272"/>
      <c r="B112" s="289"/>
      <c r="C112" s="287"/>
      <c r="D112" s="274"/>
      <c r="E112" s="274"/>
      <c r="F112" s="275"/>
      <c r="G112" s="275"/>
      <c r="H112" s="275">
        <f t="shared" si="5"/>
        <v>0</v>
      </c>
      <c r="I112" s="278"/>
      <c r="J112" s="278"/>
      <c r="K112" s="279">
        <f t="shared" si="6"/>
        <v>400000.00079999998</v>
      </c>
      <c r="L112" s="280">
        <f t="shared" si="7"/>
        <v>1.0160364438896591E-3</v>
      </c>
      <c r="M112" s="274"/>
      <c r="N112" s="274"/>
      <c r="O112" s="274"/>
      <c r="P112" s="274"/>
    </row>
    <row r="113" spans="1:16" s="281" customFormat="1" x14ac:dyDescent="0.25">
      <c r="A113" s="272"/>
      <c r="B113" s="289"/>
      <c r="C113" s="287"/>
      <c r="D113" s="274"/>
      <c r="E113" s="274"/>
      <c r="F113" s="275"/>
      <c r="G113" s="275"/>
      <c r="H113" s="275">
        <f t="shared" si="5"/>
        <v>0</v>
      </c>
      <c r="I113" s="277"/>
      <c r="J113" s="278"/>
      <c r="K113" s="279">
        <f t="shared" si="6"/>
        <v>400000.00079999998</v>
      </c>
      <c r="L113" s="280">
        <f t="shared" si="7"/>
        <v>1.0160364438896591E-3</v>
      </c>
      <c r="M113" s="274"/>
      <c r="N113" s="274"/>
      <c r="O113" s="274"/>
      <c r="P113" s="274"/>
    </row>
    <row r="114" spans="1:16" s="281" customFormat="1" x14ac:dyDescent="0.25">
      <c r="A114" s="272"/>
      <c r="B114" s="289"/>
      <c r="C114" s="287"/>
      <c r="D114" s="291"/>
      <c r="E114" s="274"/>
      <c r="F114" s="275"/>
      <c r="G114" s="276"/>
      <c r="H114" s="275">
        <f t="shared" si="5"/>
        <v>0</v>
      </c>
      <c r="I114" s="277"/>
      <c r="J114" s="278"/>
      <c r="K114" s="279">
        <f t="shared" si="6"/>
        <v>400000.00079999998</v>
      </c>
      <c r="L114" s="280">
        <f t="shared" si="7"/>
        <v>1.0160364438896591E-3</v>
      </c>
      <c r="M114" s="274"/>
      <c r="N114" s="274"/>
      <c r="O114" s="274"/>
      <c r="P114" s="274"/>
    </row>
    <row r="115" spans="1:16" s="14" customFormat="1" x14ac:dyDescent="0.25">
      <c r="A115" s="272"/>
      <c r="B115" s="289"/>
      <c r="C115" s="287"/>
      <c r="D115" s="274"/>
      <c r="E115" s="274"/>
      <c r="F115" s="275"/>
      <c r="G115" s="276"/>
      <c r="H115" s="275">
        <f t="shared" si="5"/>
        <v>0</v>
      </c>
      <c r="I115" s="278"/>
      <c r="J115" s="278"/>
      <c r="K115" s="279">
        <f t="shared" si="6"/>
        <v>400000.00079999998</v>
      </c>
      <c r="L115" s="280">
        <f t="shared" si="7"/>
        <v>1.0160364438896591E-3</v>
      </c>
      <c r="M115" s="274"/>
      <c r="N115" s="274"/>
      <c r="O115" s="274"/>
      <c r="P115" s="274"/>
    </row>
    <row r="116" spans="1:16" s="14" customFormat="1" x14ac:dyDescent="0.25">
      <c r="A116" s="272"/>
      <c r="B116" s="289"/>
      <c r="C116" s="287"/>
      <c r="D116" s="292"/>
      <c r="E116" s="274"/>
      <c r="F116" s="275"/>
      <c r="G116" s="276"/>
      <c r="H116" s="275">
        <f t="shared" si="5"/>
        <v>0</v>
      </c>
      <c r="I116" s="278"/>
      <c r="J116" s="278"/>
      <c r="K116" s="279">
        <f t="shared" si="6"/>
        <v>400000.00079999998</v>
      </c>
      <c r="L116" s="280">
        <f t="shared" si="7"/>
        <v>1.0160364438896591E-3</v>
      </c>
      <c r="M116" s="274"/>
      <c r="N116" s="274"/>
      <c r="O116" s="274"/>
      <c r="P116" s="274"/>
    </row>
    <row r="117" spans="1:16" s="14" customFormat="1" x14ac:dyDescent="0.25">
      <c r="A117" s="272"/>
      <c r="B117" s="289"/>
      <c r="C117" s="287"/>
      <c r="D117" s="274"/>
      <c r="E117" s="274"/>
      <c r="F117" s="275"/>
      <c r="G117" s="276"/>
      <c r="H117" s="275">
        <f t="shared" si="5"/>
        <v>0</v>
      </c>
      <c r="I117" s="278"/>
      <c r="J117" s="278"/>
      <c r="K117" s="279">
        <f t="shared" si="6"/>
        <v>400000.00079999998</v>
      </c>
      <c r="L117" s="280">
        <f t="shared" si="7"/>
        <v>1.0160364438896591E-3</v>
      </c>
      <c r="M117" s="274"/>
      <c r="N117" s="274"/>
      <c r="O117" s="274"/>
      <c r="P117" s="274"/>
    </row>
    <row r="118" spans="1:16" s="14" customFormat="1" x14ac:dyDescent="0.25">
      <c r="A118" s="272"/>
      <c r="B118" s="289"/>
      <c r="C118" s="287"/>
      <c r="D118" s="274"/>
      <c r="E118" s="274"/>
      <c r="F118" s="275"/>
      <c r="G118" s="276"/>
      <c r="H118" s="275">
        <f t="shared" si="5"/>
        <v>0</v>
      </c>
      <c r="I118" s="278"/>
      <c r="J118" s="278"/>
      <c r="K118" s="279">
        <f t="shared" si="6"/>
        <v>400000.00079999998</v>
      </c>
      <c r="L118" s="280">
        <f t="shared" si="7"/>
        <v>1.0160364438896591E-3</v>
      </c>
      <c r="M118" s="274"/>
      <c r="N118" s="274"/>
      <c r="O118" s="274"/>
      <c r="P118" s="274"/>
    </row>
    <row r="119" spans="1:16" s="14" customFormat="1" x14ac:dyDescent="0.25">
      <c r="A119" s="272"/>
      <c r="B119" s="289"/>
      <c r="C119" s="287"/>
      <c r="D119" s="274"/>
      <c r="E119" s="274"/>
      <c r="F119" s="275"/>
      <c r="G119" s="276"/>
      <c r="H119" s="275">
        <f t="shared" si="5"/>
        <v>0</v>
      </c>
      <c r="I119" s="278"/>
      <c r="J119" s="278"/>
      <c r="K119" s="279">
        <f t="shared" si="6"/>
        <v>400000.00079999998</v>
      </c>
      <c r="L119" s="280">
        <f t="shared" si="7"/>
        <v>1.0160364438896591E-3</v>
      </c>
      <c r="M119" s="274"/>
      <c r="N119" s="274"/>
      <c r="O119" s="274"/>
      <c r="P119" s="274"/>
    </row>
    <row r="120" spans="1:16" s="14" customFormat="1" x14ac:dyDescent="0.25">
      <c r="A120" s="272"/>
      <c r="B120" s="289"/>
      <c r="C120" s="287"/>
      <c r="D120" s="274"/>
      <c r="E120" s="274"/>
      <c r="F120" s="275"/>
      <c r="G120" s="275"/>
      <c r="H120" s="275">
        <f t="shared" si="5"/>
        <v>0</v>
      </c>
      <c r="I120" s="278"/>
      <c r="J120" s="278"/>
      <c r="K120" s="279">
        <f t="shared" si="6"/>
        <v>400000.00079999998</v>
      </c>
      <c r="L120" s="280">
        <f t="shared" si="7"/>
        <v>1.0160364438896591E-3</v>
      </c>
      <c r="M120" s="274"/>
      <c r="N120" s="274"/>
      <c r="O120" s="274"/>
      <c r="P120" s="274"/>
    </row>
    <row r="121" spans="1:16" s="14" customFormat="1" x14ac:dyDescent="0.25">
      <c r="A121" s="272"/>
      <c r="B121" s="289"/>
      <c r="C121" s="287"/>
      <c r="D121" s="274"/>
      <c r="E121" s="274"/>
      <c r="F121" s="275"/>
      <c r="G121" s="276"/>
      <c r="H121" s="275">
        <f t="shared" si="5"/>
        <v>0</v>
      </c>
      <c r="I121" s="278"/>
      <c r="J121" s="278"/>
      <c r="K121" s="279">
        <f t="shared" si="6"/>
        <v>400000.00079999998</v>
      </c>
      <c r="L121" s="280">
        <f t="shared" si="7"/>
        <v>1.0160364438896591E-3</v>
      </c>
      <c r="M121" s="274"/>
      <c r="N121" s="274"/>
      <c r="O121" s="274"/>
      <c r="P121" s="274"/>
    </row>
    <row r="122" spans="1:16" s="14" customFormat="1" x14ac:dyDescent="0.25">
      <c r="A122" s="272"/>
      <c r="B122" s="289"/>
      <c r="C122" s="287"/>
      <c r="D122" s="274"/>
      <c r="E122" s="274"/>
      <c r="F122" s="275"/>
      <c r="G122" s="275"/>
      <c r="H122" s="275">
        <f t="shared" si="5"/>
        <v>0</v>
      </c>
      <c r="I122" s="278"/>
      <c r="J122" s="278"/>
      <c r="K122" s="279">
        <f t="shared" si="6"/>
        <v>400000.00079999998</v>
      </c>
      <c r="L122" s="280">
        <f t="shared" si="7"/>
        <v>1.0160364438896591E-3</v>
      </c>
      <c r="M122" s="274"/>
      <c r="N122" s="274"/>
      <c r="O122" s="274"/>
      <c r="P122" s="274"/>
    </row>
    <row r="123" spans="1:16" s="14" customFormat="1" x14ac:dyDescent="0.25">
      <c r="A123" s="272"/>
      <c r="B123" s="289"/>
      <c r="C123" s="287"/>
      <c r="D123" s="274"/>
      <c r="E123" s="274"/>
      <c r="F123" s="275"/>
      <c r="G123" s="276"/>
      <c r="H123" s="275">
        <f t="shared" si="5"/>
        <v>0</v>
      </c>
      <c r="I123" s="278"/>
      <c r="J123" s="278"/>
      <c r="K123" s="279">
        <f t="shared" si="6"/>
        <v>400000.00079999998</v>
      </c>
      <c r="L123" s="280">
        <f t="shared" si="7"/>
        <v>1.0160364438896591E-3</v>
      </c>
      <c r="M123" s="274"/>
      <c r="N123" s="274"/>
      <c r="O123" s="274"/>
      <c r="P123" s="274"/>
    </row>
    <row r="124" spans="1:16" s="14" customFormat="1" x14ac:dyDescent="0.25">
      <c r="A124" s="272"/>
      <c r="B124" s="289"/>
      <c r="C124" s="287"/>
      <c r="D124" s="274"/>
      <c r="E124" s="274"/>
      <c r="F124" s="275"/>
      <c r="G124" s="276"/>
      <c r="H124" s="275">
        <f t="shared" si="5"/>
        <v>0</v>
      </c>
      <c r="I124" s="278"/>
      <c r="J124" s="278"/>
      <c r="K124" s="279">
        <f t="shared" si="6"/>
        <v>400000.00079999998</v>
      </c>
      <c r="L124" s="280">
        <f t="shared" si="7"/>
        <v>1.0160364438896591E-3</v>
      </c>
      <c r="M124" s="274"/>
      <c r="N124" s="274"/>
      <c r="O124" s="274"/>
      <c r="P124" s="274"/>
    </row>
    <row r="125" spans="1:16" s="14" customFormat="1" x14ac:dyDescent="0.25">
      <c r="A125" s="272"/>
      <c r="B125" s="289"/>
      <c r="C125" s="287"/>
      <c r="D125" s="274"/>
      <c r="E125" s="274"/>
      <c r="F125" s="275"/>
      <c r="G125" s="276"/>
      <c r="H125" s="275">
        <f t="shared" si="5"/>
        <v>0</v>
      </c>
      <c r="I125" s="278"/>
      <c r="J125" s="278"/>
      <c r="K125" s="279">
        <f t="shared" si="6"/>
        <v>400000.00079999998</v>
      </c>
      <c r="L125" s="280">
        <f t="shared" si="7"/>
        <v>1.0160364438896591E-3</v>
      </c>
      <c r="M125" s="274"/>
      <c r="N125" s="274"/>
      <c r="O125" s="274"/>
      <c r="P125" s="274"/>
    </row>
    <row r="126" spans="1:16" s="14" customFormat="1" x14ac:dyDescent="0.25">
      <c r="A126" s="272"/>
      <c r="B126" s="289"/>
      <c r="C126" s="287"/>
      <c r="D126" s="274"/>
      <c r="E126" s="274"/>
      <c r="F126" s="275"/>
      <c r="G126" s="276"/>
      <c r="H126" s="275">
        <f t="shared" si="5"/>
        <v>0</v>
      </c>
      <c r="I126" s="278"/>
      <c r="J126" s="278"/>
      <c r="K126" s="279">
        <f t="shared" si="6"/>
        <v>400000.00079999998</v>
      </c>
      <c r="L126" s="280">
        <f t="shared" si="7"/>
        <v>1.0160364438896591E-3</v>
      </c>
      <c r="M126" s="274"/>
      <c r="N126" s="274"/>
      <c r="O126" s="274"/>
      <c r="P126" s="274"/>
    </row>
    <row r="127" spans="1:16" s="14" customFormat="1" x14ac:dyDescent="0.25">
      <c r="A127" s="272"/>
      <c r="B127" s="289"/>
      <c r="C127" s="287"/>
      <c r="D127" s="274"/>
      <c r="E127" s="274"/>
      <c r="F127" s="275"/>
      <c r="G127" s="276"/>
      <c r="H127" s="275">
        <f t="shared" si="5"/>
        <v>0</v>
      </c>
      <c r="I127" s="278"/>
      <c r="J127" s="278"/>
      <c r="K127" s="279">
        <f t="shared" si="6"/>
        <v>400000.00079999998</v>
      </c>
      <c r="L127" s="280">
        <f t="shared" si="7"/>
        <v>1.0160364438896591E-3</v>
      </c>
      <c r="M127" s="274"/>
      <c r="N127" s="274"/>
      <c r="O127" s="274"/>
      <c r="P127" s="274"/>
    </row>
    <row r="128" spans="1:16" s="14" customFormat="1" x14ac:dyDescent="0.25">
      <c r="A128" s="272"/>
      <c r="B128" s="289"/>
      <c r="C128" s="285"/>
      <c r="D128" s="285"/>
      <c r="E128" s="285"/>
      <c r="F128" s="275"/>
      <c r="G128" s="285"/>
      <c r="H128" s="275">
        <f t="shared" si="5"/>
        <v>0</v>
      </c>
      <c r="I128" s="278"/>
      <c r="J128" s="278"/>
      <c r="K128" s="279">
        <f t="shared" si="6"/>
        <v>400000.00079999998</v>
      </c>
      <c r="L128" s="280">
        <f t="shared" si="7"/>
        <v>1.0160364438896591E-3</v>
      </c>
      <c r="M128" s="274"/>
      <c r="N128" s="274"/>
      <c r="O128" s="274"/>
      <c r="P128" s="274"/>
    </row>
    <row r="129" spans="2:17" x14ac:dyDescent="0.25">
      <c r="B129" s="289"/>
      <c r="C129" s="287"/>
      <c r="D129" s="274"/>
      <c r="E129" s="274"/>
      <c r="F129" s="293"/>
      <c r="G129" s="293"/>
      <c r="H129" s="275">
        <f t="shared" si="5"/>
        <v>0</v>
      </c>
      <c r="K129" s="279">
        <f t="shared" si="6"/>
        <v>400000.00079999998</v>
      </c>
      <c r="L129" s="280">
        <f t="shared" si="7"/>
        <v>1.0160364438896591E-3</v>
      </c>
    </row>
    <row r="130" spans="2:17" x14ac:dyDescent="0.25">
      <c r="B130" s="289"/>
      <c r="C130" s="287"/>
      <c r="D130" s="287"/>
      <c r="E130" s="287"/>
      <c r="F130" s="295"/>
      <c r="G130" s="295"/>
      <c r="H130" s="275">
        <f t="shared" si="5"/>
        <v>0</v>
      </c>
      <c r="K130" s="279">
        <f t="shared" si="6"/>
        <v>400000.00079999998</v>
      </c>
      <c r="L130" s="280">
        <f t="shared" si="7"/>
        <v>1.0160364438896591E-3</v>
      </c>
      <c r="Q130" s="296"/>
    </row>
    <row r="131" spans="2:17" x14ac:dyDescent="0.25">
      <c r="B131" s="289"/>
      <c r="C131" s="287"/>
      <c r="D131" s="287"/>
      <c r="E131" s="287"/>
      <c r="F131" s="295"/>
      <c r="G131" s="295"/>
      <c r="H131" s="275">
        <f t="shared" si="5"/>
        <v>0</v>
      </c>
      <c r="K131" s="279">
        <f t="shared" si="6"/>
        <v>400000.00079999998</v>
      </c>
      <c r="L131" s="280">
        <f t="shared" si="7"/>
        <v>1.0160364438896591E-3</v>
      </c>
    </row>
    <row r="132" spans="2:17" x14ac:dyDescent="0.25">
      <c r="B132" s="289"/>
      <c r="C132" s="287"/>
      <c r="D132" s="287"/>
      <c r="E132" s="287"/>
      <c r="F132" s="295"/>
      <c r="G132" s="295"/>
      <c r="H132" s="275">
        <f t="shared" si="5"/>
        <v>0</v>
      </c>
      <c r="K132" s="279">
        <f t="shared" si="6"/>
        <v>400000.00079999998</v>
      </c>
      <c r="L132" s="280">
        <f t="shared" si="7"/>
        <v>1.0160364438896591E-3</v>
      </c>
    </row>
    <row r="133" spans="2:17" x14ac:dyDescent="0.25">
      <c r="B133" s="289"/>
      <c r="C133" s="287"/>
      <c r="D133" s="287"/>
      <c r="E133" s="287"/>
      <c r="F133" s="295"/>
      <c r="G133" s="295"/>
      <c r="H133" s="275">
        <f t="shared" si="5"/>
        <v>0</v>
      </c>
      <c r="K133" s="279">
        <f t="shared" si="6"/>
        <v>400000.00079999998</v>
      </c>
      <c r="L133" s="280">
        <f t="shared" si="7"/>
        <v>1.0160364438896591E-3</v>
      </c>
    </row>
    <row r="134" spans="2:17" x14ac:dyDescent="0.25">
      <c r="B134" s="289"/>
      <c r="C134" s="287"/>
      <c r="D134" s="287"/>
      <c r="E134" s="287"/>
      <c r="F134" s="295"/>
      <c r="G134" s="295"/>
      <c r="H134" s="275">
        <f t="shared" si="5"/>
        <v>0</v>
      </c>
      <c r="K134" s="279">
        <f t="shared" si="6"/>
        <v>400000.00079999998</v>
      </c>
      <c r="L134" s="280">
        <f t="shared" si="7"/>
        <v>1.0160364438896591E-3</v>
      </c>
    </row>
    <row r="135" spans="2:17" x14ac:dyDescent="0.25">
      <c r="B135" s="289"/>
      <c r="C135" s="287"/>
      <c r="D135" s="287"/>
      <c r="E135" s="287"/>
      <c r="F135" s="295"/>
      <c r="G135" s="295"/>
      <c r="H135" s="275">
        <f t="shared" si="5"/>
        <v>0</v>
      </c>
      <c r="K135" s="279">
        <f t="shared" si="6"/>
        <v>400000.00079999998</v>
      </c>
      <c r="L135" s="280">
        <f t="shared" si="7"/>
        <v>1.0160364438896591E-3</v>
      </c>
    </row>
    <row r="136" spans="2:17" x14ac:dyDescent="0.25">
      <c r="B136" s="289"/>
      <c r="C136" s="287"/>
      <c r="D136" s="287"/>
      <c r="E136" s="287"/>
      <c r="F136" s="295"/>
      <c r="G136" s="295"/>
      <c r="H136" s="275">
        <f t="shared" si="5"/>
        <v>0</v>
      </c>
      <c r="K136" s="279">
        <f t="shared" si="6"/>
        <v>400000.00079999998</v>
      </c>
      <c r="L136" s="280">
        <f t="shared" si="7"/>
        <v>1.0160364438896591E-3</v>
      </c>
    </row>
    <row r="137" spans="2:17" x14ac:dyDescent="0.25">
      <c r="B137" s="289"/>
      <c r="C137" s="287"/>
      <c r="D137" s="287"/>
      <c r="E137" s="287"/>
      <c r="F137" s="295"/>
      <c r="G137" s="295"/>
      <c r="H137" s="275">
        <f t="shared" si="5"/>
        <v>0</v>
      </c>
      <c r="K137" s="279">
        <f t="shared" si="6"/>
        <v>400000.00079999998</v>
      </c>
      <c r="L137" s="280">
        <f t="shared" si="7"/>
        <v>1.0160364438896591E-3</v>
      </c>
    </row>
    <row r="138" spans="2:17" x14ac:dyDescent="0.25">
      <c r="B138" s="289"/>
      <c r="C138" s="287"/>
      <c r="D138" s="287"/>
      <c r="E138" s="287"/>
      <c r="F138" s="295"/>
      <c r="G138" s="295"/>
      <c r="H138" s="275">
        <f t="shared" si="5"/>
        <v>0</v>
      </c>
      <c r="K138" s="279">
        <f t="shared" si="6"/>
        <v>400000.00079999998</v>
      </c>
      <c r="L138" s="280">
        <f t="shared" si="7"/>
        <v>1.0160364438896591E-3</v>
      </c>
    </row>
    <row r="139" spans="2:17" x14ac:dyDescent="0.25">
      <c r="B139" s="289"/>
      <c r="C139" s="287"/>
      <c r="D139" s="287"/>
      <c r="E139" s="287"/>
      <c r="F139" s="295"/>
      <c r="G139" s="297"/>
      <c r="H139" s="275">
        <f t="shared" ref="H139" si="8">G139+F139</f>
        <v>0</v>
      </c>
      <c r="K139" s="279">
        <f t="shared" si="6"/>
        <v>400000.00079999998</v>
      </c>
      <c r="L139" s="280">
        <f t="shared" si="7"/>
        <v>1.0160364438896591E-3</v>
      </c>
    </row>
  </sheetData>
  <autoFilter ref="B9:P139" xr:uid="{00000000-0009-0000-0000-00000B000000}"/>
  <mergeCells count="1">
    <mergeCell ref="F8:H8"/>
  </mergeCells>
  <conditionalFormatting sqref="E1:E127 E129:E1048576">
    <cfRule type="duplicateValues" dxfId="2" priority="1"/>
  </conditionalFormatting>
  <conditionalFormatting sqref="E10:E127 E129">
    <cfRule type="duplicateValues" dxfId="1" priority="3"/>
  </conditionalFormatting>
  <conditionalFormatting sqref="E51">
    <cfRule type="duplicateValues" dxfId="0" priority="2"/>
  </conditionalFormatting>
  <pageMargins left="0.7" right="0.7" top="0.75" bottom="0.75" header="0.3" footer="0.3"/>
  <pageSetup scale="2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5AFB-26C7-424E-85E8-48515179E24C}">
  <sheetPr codeName="Feuil7">
    <tabColor theme="0" tint="-0.14999847407452621"/>
    <pageSetUpPr fitToPage="1"/>
  </sheetPr>
  <dimension ref="A1:AH55"/>
  <sheetViews>
    <sheetView zoomScale="70" zoomScaleNormal="70" workbookViewId="0">
      <pane ySplit="16" topLeftCell="A17" activePane="bottomLeft" state="frozen"/>
      <selection activeCell="H34" sqref="H34:V50"/>
      <selection pane="bottomLeft" activeCell="A18" sqref="A18:O43"/>
    </sheetView>
  </sheetViews>
  <sheetFormatPr baseColWidth="10" defaultColWidth="11.42578125" defaultRowHeight="15" x14ac:dyDescent="0.25"/>
  <cols>
    <col min="1" max="4" width="11.42578125" style="230"/>
    <col min="5" max="5" width="16.42578125" customWidth="1"/>
    <col min="6" max="6" width="12.42578125" customWidth="1"/>
    <col min="7" max="7" width="43" style="311" customWidth="1"/>
    <col min="8" max="8" width="29" style="304" customWidth="1"/>
    <col min="9" max="9" width="19.5703125" style="304" customWidth="1"/>
    <col min="10" max="10" width="23.5703125" style="304" customWidth="1"/>
    <col min="11" max="11" width="25.42578125" style="304" customWidth="1"/>
    <col min="12" max="12" width="29" style="304" customWidth="1"/>
    <col min="13" max="14" width="27.5703125" style="308" customWidth="1"/>
    <col min="15" max="15" width="33.5703125" style="304" customWidth="1"/>
    <col min="16" max="16" width="29" style="304" customWidth="1"/>
    <col min="17" max="18" width="13.42578125" style="304" customWidth="1"/>
    <col min="19" max="32" width="11.42578125" style="304"/>
  </cols>
  <sheetData>
    <row r="1" spans="1:34" s="298" customFormat="1" ht="21" customHeight="1" x14ac:dyDescent="0.3">
      <c r="A1" s="13"/>
      <c r="B1" s="13"/>
      <c r="C1" s="13"/>
      <c r="D1" s="13"/>
      <c r="E1" s="632" t="s">
        <v>312</v>
      </c>
      <c r="F1" s="632"/>
      <c r="G1" s="632"/>
      <c r="H1" s="632"/>
      <c r="I1" s="632"/>
      <c r="J1" s="632"/>
      <c r="K1" s="632"/>
      <c r="M1" s="299"/>
      <c r="N1" s="299"/>
    </row>
    <row r="2" spans="1:34" s="298" customFormat="1" ht="12" customHeight="1" x14ac:dyDescent="0.3">
      <c r="A2" s="13"/>
      <c r="B2" s="13"/>
      <c r="C2" s="13"/>
      <c r="D2" s="13"/>
      <c r="E2" s="300"/>
      <c r="F2" s="301"/>
      <c r="G2" s="302"/>
      <c r="H2" s="301"/>
      <c r="I2" s="301"/>
      <c r="J2" s="301"/>
      <c r="K2" s="301"/>
      <c r="L2" s="301"/>
      <c r="M2" s="299"/>
      <c r="N2" s="299"/>
    </row>
    <row r="3" spans="1:34" s="304" customFormat="1" ht="17.25" customHeight="1" x14ac:dyDescent="0.25">
      <c r="A3" s="230"/>
      <c r="B3" s="230"/>
      <c r="C3" s="230"/>
      <c r="D3" s="230"/>
      <c r="E3" s="301"/>
      <c r="F3" s="301"/>
      <c r="G3" s="303" t="s">
        <v>313</v>
      </c>
      <c r="H3" s="303" t="s">
        <v>314</v>
      </c>
      <c r="I3" s="303" t="s">
        <v>315</v>
      </c>
      <c r="J3" s="303" t="s">
        <v>316</v>
      </c>
      <c r="K3" s="303" t="s">
        <v>298</v>
      </c>
      <c r="M3" s="305"/>
      <c r="N3" s="305"/>
      <c r="AG3"/>
      <c r="AH3"/>
    </row>
    <row r="4" spans="1:34" s="304" customFormat="1" ht="17.25" customHeight="1" x14ac:dyDescent="0.25">
      <c r="A4" s="230"/>
      <c r="B4" s="230"/>
      <c r="C4" s="230"/>
      <c r="D4" s="230"/>
      <c r="E4" s="301"/>
      <c r="F4" s="306">
        <v>2019</v>
      </c>
      <c r="G4" s="307">
        <v>8225057.3099999996</v>
      </c>
      <c r="H4" s="307">
        <v>8965406.2100000009</v>
      </c>
      <c r="I4" s="307">
        <v>9565640.8800000008</v>
      </c>
      <c r="J4" s="307">
        <v>10337189.09</v>
      </c>
      <c r="K4" s="307">
        <f>SUM(G4:J4)</f>
        <v>37093293.489999995</v>
      </c>
      <c r="M4" s="305"/>
      <c r="N4" s="305"/>
      <c r="AG4"/>
      <c r="AH4"/>
    </row>
    <row r="5" spans="1:34" s="304" customFormat="1" ht="17.25" customHeight="1" x14ac:dyDescent="0.25">
      <c r="A5" s="230"/>
      <c r="B5" s="230"/>
      <c r="C5" s="230"/>
      <c r="D5" s="230"/>
      <c r="E5" s="301"/>
      <c r="F5" s="306">
        <v>2020</v>
      </c>
      <c r="G5" s="307">
        <v>9146910.7400000002</v>
      </c>
      <c r="H5" s="307">
        <v>8910302.8699999992</v>
      </c>
      <c r="I5" s="307">
        <v>8809939.8100000005</v>
      </c>
      <c r="J5" s="307">
        <v>9985732.0199999996</v>
      </c>
      <c r="K5" s="307">
        <f t="shared" ref="K5:K8" si="0">SUM(G5:J5)</f>
        <v>36852885.439999998</v>
      </c>
      <c r="M5" s="308"/>
      <c r="N5" s="308"/>
      <c r="AG5"/>
      <c r="AH5"/>
    </row>
    <row r="6" spans="1:34" s="304" customFormat="1" ht="17.25" customHeight="1" x14ac:dyDescent="0.25">
      <c r="A6" s="230"/>
      <c r="B6" s="230"/>
      <c r="C6" s="230"/>
      <c r="D6" s="230"/>
      <c r="E6" s="301"/>
      <c r="F6" s="306">
        <v>2021</v>
      </c>
      <c r="G6" s="307">
        <v>9006663.9600000009</v>
      </c>
      <c r="H6" s="307">
        <v>8764310.1999999993</v>
      </c>
      <c r="I6" s="307">
        <v>9106540.2899999991</v>
      </c>
      <c r="J6" s="307">
        <v>9020710.1799999997</v>
      </c>
      <c r="K6" s="309">
        <f t="shared" si="0"/>
        <v>35898224.629999995</v>
      </c>
      <c r="L6" s="308">
        <v>35971764.630000003</v>
      </c>
      <c r="M6" s="308">
        <f>L6-K6</f>
        <v>73540.000000007451</v>
      </c>
      <c r="N6" s="308"/>
      <c r="AG6"/>
      <c r="AH6"/>
    </row>
    <row r="7" spans="1:34" s="304" customFormat="1" ht="17.25" customHeight="1" x14ac:dyDescent="0.25">
      <c r="A7" s="230"/>
      <c r="B7" s="230"/>
      <c r="C7" s="230"/>
      <c r="D7" s="230"/>
      <c r="E7" s="301"/>
      <c r="F7" s="306">
        <v>2022</v>
      </c>
      <c r="G7" s="307">
        <v>10133779.23</v>
      </c>
      <c r="H7" s="307">
        <v>9107536.9299999997</v>
      </c>
      <c r="I7" s="307">
        <v>10450329.869999999</v>
      </c>
      <c r="J7" s="307">
        <v>10826567.43</v>
      </c>
      <c r="K7" s="307">
        <f t="shared" si="0"/>
        <v>40518213.460000001</v>
      </c>
      <c r="M7" s="308"/>
      <c r="N7" s="308"/>
      <c r="AG7"/>
      <c r="AH7"/>
    </row>
    <row r="8" spans="1:34" s="304" customFormat="1" ht="17.25" customHeight="1" x14ac:dyDescent="0.25">
      <c r="A8" s="230"/>
      <c r="B8" s="230"/>
      <c r="C8" s="230"/>
      <c r="D8" s="230"/>
      <c r="E8" s="301"/>
      <c r="F8" s="306">
        <v>2023</v>
      </c>
      <c r="G8" s="307">
        <v>10459337.630000001</v>
      </c>
      <c r="H8" s="307">
        <v>11551516.48</v>
      </c>
      <c r="I8" s="307">
        <v>12889187.310000001</v>
      </c>
      <c r="J8" s="307">
        <v>7666297.5199999996</v>
      </c>
      <c r="K8" s="307">
        <f t="shared" si="0"/>
        <v>42566338.939999998</v>
      </c>
      <c r="M8" s="308"/>
      <c r="N8" s="308"/>
      <c r="AG8"/>
      <c r="AH8"/>
    </row>
    <row r="9" spans="1:34" s="304" customFormat="1" ht="17.25" customHeight="1" x14ac:dyDescent="0.25">
      <c r="A9" s="230"/>
      <c r="B9" s="230"/>
      <c r="C9" s="230"/>
      <c r="D9" s="230"/>
      <c r="E9" s="301"/>
      <c r="F9" s="306">
        <v>2024</v>
      </c>
      <c r="G9" s="307">
        <v>8680321.7300000004</v>
      </c>
      <c r="H9" s="307">
        <v>8787136.7400000002</v>
      </c>
      <c r="I9" s="310">
        <f>4300398.08+9075874.78</f>
        <v>13376272.859999999</v>
      </c>
      <c r="J9" s="307">
        <v>13988435.35</v>
      </c>
      <c r="K9" s="307">
        <f>SUM(G9:J9)</f>
        <v>44832166.68</v>
      </c>
      <c r="M9" s="308"/>
      <c r="N9" s="308"/>
      <c r="AG9"/>
      <c r="AH9"/>
    </row>
    <row r="10" spans="1:34" s="304" customFormat="1" ht="17.25" customHeight="1" x14ac:dyDescent="0.25">
      <c r="A10" s="230"/>
      <c r="B10" s="230"/>
      <c r="C10" s="230"/>
      <c r="D10" s="230"/>
      <c r="E10" s="301"/>
      <c r="F10" s="306">
        <v>2025</v>
      </c>
      <c r="G10" s="307">
        <v>14420570.800000001</v>
      </c>
      <c r="H10" s="307"/>
      <c r="I10" s="310"/>
      <c r="J10" s="307"/>
      <c r="K10" s="307">
        <f>SUM(G10:J10)</f>
        <v>14420570.800000001</v>
      </c>
      <c r="M10" s="308"/>
      <c r="N10" s="308"/>
      <c r="AG10"/>
      <c r="AH10"/>
    </row>
    <row r="11" spans="1:34" s="304" customFormat="1" ht="18" customHeight="1" x14ac:dyDescent="0.25">
      <c r="A11" s="230"/>
      <c r="B11" s="230"/>
      <c r="C11" s="230"/>
      <c r="D11" s="230"/>
      <c r="E11" s="301"/>
      <c r="F11" s="301"/>
      <c r="G11" s="311"/>
      <c r="K11" s="312">
        <f>SUM(K4:K10)</f>
        <v>252181693.44</v>
      </c>
      <c r="M11" s="308"/>
      <c r="N11" s="308"/>
      <c r="AG11"/>
      <c r="AH11"/>
    </row>
    <row r="12" spans="1:34" s="304" customFormat="1" ht="18" customHeight="1" x14ac:dyDescent="0.25">
      <c r="A12" s="230"/>
      <c r="B12" s="230"/>
      <c r="C12" s="230"/>
      <c r="D12" s="230"/>
      <c r="E12" s="301"/>
      <c r="F12" s="301"/>
      <c r="G12" s="311"/>
      <c r="J12" s="313">
        <v>0.7</v>
      </c>
      <c r="K12" s="314">
        <f>+K11*0.7</f>
        <v>176527185.40799999</v>
      </c>
      <c r="M12" s="308"/>
      <c r="N12" s="308"/>
      <c r="AG12"/>
      <c r="AH12"/>
    </row>
    <row r="13" spans="1:34" s="304" customFormat="1" ht="18" customHeight="1" x14ac:dyDescent="0.25">
      <c r="A13" s="230"/>
      <c r="B13" s="230"/>
      <c r="C13" s="230"/>
      <c r="D13" s="230"/>
      <c r="E13" s="301"/>
      <c r="F13" s="301"/>
      <c r="G13" s="311"/>
      <c r="J13" s="313" t="s">
        <v>317</v>
      </c>
      <c r="K13" s="315">
        <f>I48</f>
        <v>32593143</v>
      </c>
      <c r="M13" s="308"/>
      <c r="N13" s="308"/>
      <c r="AG13"/>
      <c r="AH13"/>
    </row>
    <row r="14" spans="1:34" s="304" customFormat="1" ht="18" customHeight="1" x14ac:dyDescent="0.25">
      <c r="A14" s="230"/>
      <c r="B14" s="230"/>
      <c r="C14" s="230"/>
      <c r="D14" s="230"/>
      <c r="E14" s="301"/>
      <c r="F14" s="301"/>
      <c r="G14" s="311"/>
      <c r="J14" s="313" t="s">
        <v>318</v>
      </c>
      <c r="K14" s="316">
        <f>K12-K13</f>
        <v>143934042.40799999</v>
      </c>
      <c r="L14" s="308"/>
      <c r="M14" s="308"/>
      <c r="N14" s="308"/>
      <c r="AG14"/>
      <c r="AH14"/>
    </row>
    <row r="15" spans="1:34" s="304" customFormat="1" ht="18" customHeight="1" thickBot="1" x14ac:dyDescent="0.3">
      <c r="A15" s="230"/>
      <c r="B15" s="230"/>
      <c r="C15" s="230"/>
      <c r="D15" s="230"/>
      <c r="E15" s="301"/>
      <c r="F15" s="301"/>
      <c r="G15" s="311"/>
      <c r="M15" s="308"/>
      <c r="N15" s="308"/>
      <c r="AG15"/>
      <c r="AH15"/>
    </row>
    <row r="16" spans="1:34" s="320" customFormat="1" ht="16.5" x14ac:dyDescent="0.2">
      <c r="A16" s="317" t="s">
        <v>319</v>
      </c>
      <c r="B16" s="317" t="s">
        <v>320</v>
      </c>
      <c r="C16" s="317" t="s">
        <v>321</v>
      </c>
      <c r="D16" s="317" t="s">
        <v>322</v>
      </c>
      <c r="E16" s="317" t="s">
        <v>323</v>
      </c>
      <c r="F16" s="318" t="s">
        <v>324</v>
      </c>
      <c r="G16" s="318" t="s">
        <v>325</v>
      </c>
      <c r="H16" s="318" t="s">
        <v>326</v>
      </c>
      <c r="I16" s="318" t="s">
        <v>317</v>
      </c>
      <c r="J16" s="318" t="s">
        <v>327</v>
      </c>
      <c r="K16" s="318" t="s">
        <v>328</v>
      </c>
      <c r="L16" s="318" t="s">
        <v>329</v>
      </c>
      <c r="M16" s="318" t="s">
        <v>330</v>
      </c>
      <c r="N16" s="318" t="s">
        <v>331</v>
      </c>
      <c r="O16" s="318" t="s">
        <v>332</v>
      </c>
      <c r="P16" s="318" t="s">
        <v>333</v>
      </c>
      <c r="Q16" s="319"/>
    </row>
    <row r="17" spans="1:34" s="328" customFormat="1" ht="16.5" x14ac:dyDescent="0.25">
      <c r="A17" s="66"/>
      <c r="B17" s="66"/>
      <c r="C17" s="66"/>
      <c r="D17" s="66"/>
      <c r="E17" s="321"/>
      <c r="F17" s="322"/>
      <c r="G17" s="323" t="s">
        <v>334</v>
      </c>
      <c r="H17" s="324">
        <v>1728000</v>
      </c>
      <c r="I17" s="325"/>
      <c r="J17" s="324"/>
      <c r="K17" s="324"/>
      <c r="L17" s="324">
        <v>0</v>
      </c>
      <c r="M17" s="324"/>
      <c r="N17" s="326">
        <f t="shared" ref="N17:N44" si="1">M17+L17</f>
        <v>0</v>
      </c>
      <c r="O17" s="324" t="s">
        <v>335</v>
      </c>
      <c r="P17" s="324" t="s">
        <v>335</v>
      </c>
      <c r="Q17" s="327"/>
    </row>
    <row r="18" spans="1:34" s="328" customFormat="1" ht="16.5" x14ac:dyDescent="0.25">
      <c r="A18" s="66"/>
      <c r="B18" s="66"/>
      <c r="C18" s="66"/>
      <c r="D18" s="66"/>
      <c r="E18" s="321"/>
      <c r="F18" s="322"/>
      <c r="G18" s="323"/>
      <c r="H18" s="324"/>
      <c r="I18" s="325"/>
      <c r="J18" s="324"/>
      <c r="K18" s="324"/>
      <c r="L18" s="324"/>
      <c r="M18" s="324"/>
      <c r="N18" s="326"/>
      <c r="O18" s="324"/>
      <c r="P18" s="324" t="s">
        <v>335</v>
      </c>
      <c r="Q18" s="327"/>
    </row>
    <row r="19" spans="1:34" s="333" customFormat="1" ht="16.5" x14ac:dyDescent="0.25">
      <c r="A19" s="329"/>
      <c r="B19" s="329"/>
      <c r="C19" s="329"/>
      <c r="D19" s="329"/>
      <c r="E19" s="321"/>
      <c r="F19" s="322"/>
      <c r="G19" s="323"/>
      <c r="H19" s="324"/>
      <c r="I19" s="325"/>
      <c r="J19" s="324"/>
      <c r="K19" s="324"/>
      <c r="L19" s="330"/>
      <c r="M19" s="324"/>
      <c r="N19" s="326"/>
      <c r="O19" s="331"/>
      <c r="P19" s="324" t="s">
        <v>338</v>
      </c>
      <c r="Q19" s="332"/>
    </row>
    <row r="20" spans="1:34" s="333" customFormat="1" ht="16.5" x14ac:dyDescent="0.25">
      <c r="A20" s="329"/>
      <c r="B20" s="329"/>
      <c r="C20" s="329"/>
      <c r="D20" s="329"/>
      <c r="E20" s="321"/>
      <c r="F20" s="322"/>
      <c r="G20" s="323"/>
      <c r="H20" s="324"/>
      <c r="I20" s="325"/>
      <c r="J20" s="324"/>
      <c r="K20" s="324"/>
      <c r="L20" s="330"/>
      <c r="M20" s="324"/>
      <c r="N20" s="326"/>
      <c r="O20" s="331"/>
      <c r="P20" s="324" t="s">
        <v>339</v>
      </c>
      <c r="Q20" s="332"/>
    </row>
    <row r="21" spans="1:34" s="328" customFormat="1" ht="16.5" x14ac:dyDescent="0.25">
      <c r="A21" s="66"/>
      <c r="B21" s="66"/>
      <c r="C21" s="66"/>
      <c r="D21" s="66"/>
      <c r="E21" s="334"/>
      <c r="F21" s="335"/>
      <c r="G21" s="285"/>
      <c r="H21" s="330"/>
      <c r="I21" s="336"/>
      <c r="J21" s="330"/>
      <c r="K21" s="331"/>
      <c r="L21" s="330"/>
      <c r="M21" s="330"/>
      <c r="N21" s="326"/>
      <c r="O21" s="331"/>
      <c r="P21" s="330" t="s">
        <v>340</v>
      </c>
      <c r="Q21" s="327"/>
    </row>
    <row r="22" spans="1:34" s="337" customFormat="1" ht="16.5" x14ac:dyDescent="0.25">
      <c r="A22" s="66"/>
      <c r="B22" s="66"/>
      <c r="C22" s="66"/>
      <c r="D22" s="66"/>
      <c r="E22" s="334"/>
      <c r="F22" s="335"/>
      <c r="G22" s="285"/>
      <c r="H22" s="330"/>
      <c r="I22" s="330"/>
      <c r="J22" s="330"/>
      <c r="K22" s="331"/>
      <c r="L22" s="330"/>
      <c r="M22" s="330"/>
      <c r="N22" s="326"/>
      <c r="O22" s="331"/>
      <c r="P22" s="330"/>
      <c r="Q22" s="327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328"/>
      <c r="AG22" s="328"/>
      <c r="AH22" s="328"/>
    </row>
    <row r="23" spans="1:34" s="337" customFormat="1" ht="16.5" x14ac:dyDescent="0.25">
      <c r="A23" s="338"/>
      <c r="B23" s="338"/>
      <c r="C23" s="339"/>
      <c r="D23" s="339"/>
      <c r="E23" s="340"/>
      <c r="F23" s="341"/>
      <c r="G23" s="274"/>
      <c r="H23" s="326"/>
      <c r="I23" s="326"/>
      <c r="J23" s="326"/>
      <c r="K23" s="326"/>
      <c r="L23" s="326"/>
      <c r="M23" s="326"/>
      <c r="N23" s="326"/>
      <c r="O23" s="326"/>
      <c r="P23" s="326"/>
      <c r="Q23" s="342"/>
    </row>
    <row r="24" spans="1:34" s="337" customFormat="1" ht="16.5" x14ac:dyDescent="0.25">
      <c r="A24" s="338"/>
      <c r="B24" s="338"/>
      <c r="C24" s="338"/>
      <c r="D24" s="338"/>
      <c r="E24" s="340"/>
      <c r="F24" s="341"/>
      <c r="G24" s="274"/>
      <c r="H24" s="326"/>
      <c r="I24" s="326"/>
      <c r="J24" s="326"/>
      <c r="K24" s="326"/>
      <c r="L24" s="326"/>
      <c r="M24" s="326"/>
      <c r="N24" s="326"/>
      <c r="O24" s="326"/>
      <c r="P24" s="326"/>
      <c r="Q24" s="342"/>
    </row>
    <row r="25" spans="1:34" s="337" customFormat="1" ht="16.5" x14ac:dyDescent="0.25">
      <c r="A25" s="338"/>
      <c r="B25" s="338"/>
      <c r="C25" s="338"/>
      <c r="D25" s="338"/>
      <c r="E25" s="340"/>
      <c r="F25" s="341"/>
      <c r="G25" s="274"/>
      <c r="H25" s="326"/>
      <c r="I25" s="326"/>
      <c r="J25" s="326"/>
      <c r="K25" s="326"/>
      <c r="L25" s="326"/>
      <c r="M25" s="326"/>
      <c r="N25" s="326"/>
      <c r="O25" s="326"/>
      <c r="P25" s="326" t="s">
        <v>341</v>
      </c>
      <c r="Q25" s="342"/>
    </row>
    <row r="26" spans="1:34" s="337" customFormat="1" ht="16.5" x14ac:dyDescent="0.25">
      <c r="A26" s="338"/>
      <c r="B26" s="338"/>
      <c r="C26" s="338"/>
      <c r="D26" s="338"/>
      <c r="E26" s="340"/>
      <c r="F26" s="341"/>
      <c r="G26" s="274"/>
      <c r="H26" s="326"/>
      <c r="I26" s="326"/>
      <c r="J26" s="326"/>
      <c r="K26" s="326"/>
      <c r="L26" s="326"/>
      <c r="M26" s="326"/>
      <c r="N26" s="326"/>
      <c r="O26" s="326"/>
      <c r="P26" s="326"/>
      <c r="Q26" s="342"/>
    </row>
    <row r="27" spans="1:34" s="337" customFormat="1" ht="16.5" x14ac:dyDescent="0.25">
      <c r="A27" s="338"/>
      <c r="B27" s="338"/>
      <c r="C27" s="338"/>
      <c r="D27" s="338"/>
      <c r="E27" s="340"/>
      <c r="F27" s="341"/>
      <c r="G27" s="274"/>
      <c r="H27" s="326"/>
      <c r="I27" s="326"/>
      <c r="J27" s="326"/>
      <c r="K27" s="326"/>
      <c r="L27" s="326"/>
      <c r="M27" s="326"/>
      <c r="N27" s="326"/>
      <c r="O27" s="326"/>
      <c r="P27" s="326"/>
      <c r="Q27" s="342"/>
    </row>
    <row r="28" spans="1:34" s="337" customFormat="1" ht="16.5" x14ac:dyDescent="0.25">
      <c r="A28" s="338"/>
      <c r="B28" s="338"/>
      <c r="C28" s="338"/>
      <c r="D28" s="338"/>
      <c r="E28" s="340"/>
      <c r="F28" s="341"/>
      <c r="G28" s="274"/>
      <c r="H28" s="326"/>
      <c r="I28" s="326"/>
      <c r="J28" s="326"/>
      <c r="K28" s="326"/>
      <c r="L28" s="326"/>
      <c r="M28" s="326"/>
      <c r="N28" s="326"/>
      <c r="O28" s="326"/>
      <c r="P28" s="326"/>
      <c r="Q28" s="342"/>
    </row>
    <row r="29" spans="1:34" s="337" customFormat="1" ht="16.5" x14ac:dyDescent="0.25">
      <c r="A29" s="338"/>
      <c r="B29" s="338"/>
      <c r="C29" s="338"/>
      <c r="D29" s="338"/>
      <c r="E29" s="340"/>
      <c r="F29" s="341"/>
      <c r="G29" s="274"/>
      <c r="H29" s="326"/>
      <c r="I29" s="326"/>
      <c r="J29" s="326"/>
      <c r="K29" s="326"/>
      <c r="L29" s="326"/>
      <c r="M29" s="326"/>
      <c r="N29" s="326"/>
      <c r="O29" s="326"/>
      <c r="P29" s="326" t="s">
        <v>342</v>
      </c>
      <c r="Q29" s="342"/>
    </row>
    <row r="30" spans="1:34" s="337" customFormat="1" ht="16.5" x14ac:dyDescent="0.25">
      <c r="A30" s="338"/>
      <c r="B30" s="338"/>
      <c r="C30" s="338"/>
      <c r="D30" s="338"/>
      <c r="E30" s="340"/>
      <c r="F30" s="341"/>
      <c r="G30" s="274"/>
      <c r="H30" s="326"/>
      <c r="I30" s="326"/>
      <c r="J30" s="326"/>
      <c r="K30" s="326"/>
      <c r="L30" s="326"/>
      <c r="M30" s="326"/>
      <c r="N30" s="326"/>
      <c r="O30" s="326"/>
      <c r="P30" s="326"/>
      <c r="Q30" s="342"/>
    </row>
    <row r="31" spans="1:34" s="343" customFormat="1" ht="16.5" x14ac:dyDescent="0.25">
      <c r="A31" s="338"/>
      <c r="B31" s="338"/>
      <c r="C31" s="338"/>
      <c r="D31" s="338"/>
      <c r="E31" s="340"/>
      <c r="F31" s="341"/>
      <c r="G31" s="274"/>
      <c r="H31" s="326"/>
      <c r="I31" s="326"/>
      <c r="J31" s="326"/>
      <c r="K31" s="326"/>
      <c r="L31" s="326"/>
      <c r="M31" s="326"/>
      <c r="N31" s="326"/>
      <c r="O31" s="326"/>
      <c r="P31" s="326" t="s">
        <v>342</v>
      </c>
      <c r="Q31" s="342"/>
      <c r="R31" s="337"/>
      <c r="S31" s="337"/>
      <c r="T31" s="337"/>
      <c r="U31" s="337"/>
      <c r="V31" s="337"/>
      <c r="W31" s="337"/>
      <c r="X31" s="337"/>
      <c r="Y31" s="337"/>
      <c r="Z31" s="337"/>
      <c r="AA31" s="337"/>
      <c r="AB31" s="337"/>
      <c r="AC31" s="337"/>
      <c r="AD31" s="337"/>
      <c r="AE31" s="337"/>
      <c r="AF31" s="337"/>
      <c r="AG31" s="337"/>
      <c r="AH31" s="337"/>
    </row>
    <row r="32" spans="1:34" s="343" customFormat="1" ht="16.5" x14ac:dyDescent="0.25">
      <c r="A32" s="338"/>
      <c r="B32" s="338"/>
      <c r="C32" s="338"/>
      <c r="D32" s="338"/>
      <c r="E32" s="340"/>
      <c r="F32" s="341"/>
      <c r="G32" s="274"/>
      <c r="H32" s="326"/>
      <c r="I32" s="326"/>
      <c r="J32" s="326"/>
      <c r="K32" s="326"/>
      <c r="L32" s="326"/>
      <c r="M32" s="326"/>
      <c r="N32" s="326"/>
      <c r="O32" s="326"/>
      <c r="P32" s="326" t="s">
        <v>342</v>
      </c>
      <c r="Q32" s="342"/>
      <c r="R32" s="337"/>
      <c r="S32" s="337"/>
      <c r="T32" s="337"/>
      <c r="U32" s="337"/>
      <c r="V32" s="337"/>
      <c r="W32" s="337"/>
      <c r="X32" s="337"/>
      <c r="Y32" s="337"/>
      <c r="Z32" s="337"/>
      <c r="AA32" s="337"/>
      <c r="AB32" s="337"/>
      <c r="AC32" s="337"/>
      <c r="AD32" s="337"/>
      <c r="AE32" s="337"/>
      <c r="AF32" s="337"/>
      <c r="AG32" s="337"/>
      <c r="AH32" s="337"/>
    </row>
    <row r="33" spans="1:34" s="328" customFormat="1" ht="16.5" x14ac:dyDescent="0.25">
      <c r="A33" s="338"/>
      <c r="B33" s="338"/>
      <c r="C33" s="338"/>
      <c r="D33" s="338"/>
      <c r="E33" s="340"/>
      <c r="F33" s="341"/>
      <c r="G33" s="274"/>
      <c r="H33" s="326"/>
      <c r="I33" s="326"/>
      <c r="J33" s="326"/>
      <c r="K33" s="326"/>
      <c r="L33" s="326"/>
      <c r="M33" s="326"/>
      <c r="N33" s="326"/>
      <c r="O33" s="326"/>
      <c r="P33" s="326"/>
      <c r="Q33" s="342"/>
      <c r="R33" s="337"/>
      <c r="S33" s="337"/>
      <c r="T33" s="337"/>
      <c r="U33" s="337"/>
      <c r="V33" s="337"/>
      <c r="W33" s="337"/>
      <c r="X33" s="337"/>
      <c r="Y33" s="337"/>
      <c r="Z33" s="337"/>
      <c r="AA33" s="337"/>
      <c r="AB33" s="337"/>
      <c r="AC33" s="337"/>
      <c r="AD33" s="337"/>
      <c r="AE33" s="337"/>
      <c r="AF33" s="337"/>
      <c r="AG33" s="337"/>
      <c r="AH33" s="337"/>
    </row>
    <row r="34" spans="1:34" s="343" customFormat="1" ht="16.5" x14ac:dyDescent="0.25">
      <c r="A34" s="66"/>
      <c r="B34" s="66"/>
      <c r="C34" s="66"/>
      <c r="D34" s="66"/>
      <c r="E34" s="334"/>
      <c r="F34" s="335"/>
      <c r="G34" s="285"/>
      <c r="H34" s="330"/>
      <c r="I34" s="330"/>
      <c r="J34" s="330"/>
      <c r="K34" s="330"/>
      <c r="L34" s="330"/>
      <c r="M34" s="330"/>
      <c r="N34" s="326"/>
      <c r="O34" s="330"/>
      <c r="P34" s="330" t="s">
        <v>343</v>
      </c>
      <c r="Q34" s="327"/>
      <c r="R34" s="328"/>
      <c r="S34" s="328"/>
      <c r="T34" s="328"/>
      <c r="U34" s="328"/>
      <c r="V34" s="328"/>
      <c r="W34" s="328"/>
      <c r="X34" s="328"/>
      <c r="Y34" s="328"/>
      <c r="Z34" s="328"/>
      <c r="AA34" s="328"/>
      <c r="AB34" s="328"/>
      <c r="AC34" s="328"/>
      <c r="AD34" s="328"/>
      <c r="AE34" s="328"/>
      <c r="AF34" s="328"/>
      <c r="AG34" s="328"/>
      <c r="AH34" s="328"/>
    </row>
    <row r="35" spans="1:34" s="337" customFormat="1" ht="16.5" x14ac:dyDescent="0.25">
      <c r="A35" s="338"/>
      <c r="B35" s="338"/>
      <c r="C35" s="338"/>
      <c r="D35" s="338"/>
      <c r="E35" s="340"/>
      <c r="F35" s="341"/>
      <c r="G35" s="274"/>
      <c r="H35" s="326"/>
      <c r="I35" s="326"/>
      <c r="J35" s="326"/>
      <c r="K35" s="326"/>
      <c r="L35" s="326"/>
      <c r="M35" s="326"/>
      <c r="N35" s="326"/>
      <c r="O35" s="326"/>
      <c r="P35" s="326"/>
      <c r="Q35" s="344"/>
      <c r="R35" s="345"/>
      <c r="S35" s="345"/>
      <c r="T35" s="345"/>
      <c r="U35" s="345"/>
      <c r="V35" s="345"/>
      <c r="W35" s="345"/>
      <c r="X35" s="345"/>
      <c r="Y35" s="345"/>
      <c r="Z35" s="345"/>
      <c r="AA35" s="345"/>
      <c r="AB35" s="345"/>
      <c r="AC35" s="345"/>
      <c r="AD35" s="345"/>
      <c r="AE35" s="345"/>
      <c r="AF35" s="345"/>
      <c r="AG35" s="345"/>
      <c r="AH35" s="345"/>
    </row>
    <row r="36" spans="1:34" s="343" customFormat="1" ht="16.5" x14ac:dyDescent="0.25">
      <c r="A36" s="338"/>
      <c r="B36" s="338"/>
      <c r="C36" s="338"/>
      <c r="D36" s="338"/>
      <c r="E36" s="340"/>
      <c r="F36" s="341"/>
      <c r="G36" s="274"/>
      <c r="H36" s="326"/>
      <c r="I36" s="326"/>
      <c r="J36" s="326"/>
      <c r="K36" s="326"/>
      <c r="L36" s="326"/>
      <c r="M36" s="326"/>
      <c r="N36" s="326"/>
      <c r="O36" s="326"/>
      <c r="P36" s="326"/>
      <c r="Q36" s="342"/>
      <c r="R36" s="337"/>
      <c r="S36" s="337"/>
      <c r="T36" s="337"/>
      <c r="U36" s="337"/>
      <c r="V36" s="337"/>
      <c r="W36" s="337"/>
      <c r="X36" s="337"/>
      <c r="Y36" s="337"/>
      <c r="Z36" s="337"/>
      <c r="AA36" s="337"/>
      <c r="AB36" s="337"/>
      <c r="AC36" s="337"/>
      <c r="AD36" s="337"/>
      <c r="AE36" s="337"/>
      <c r="AF36" s="337"/>
      <c r="AG36" s="337"/>
      <c r="AH36" s="337"/>
    </row>
    <row r="37" spans="1:34" s="343" customFormat="1" ht="16.5" x14ac:dyDescent="0.25">
      <c r="A37" s="338"/>
      <c r="B37" s="338"/>
      <c r="C37" s="338"/>
      <c r="D37" s="338"/>
      <c r="E37" s="340"/>
      <c r="F37" s="341"/>
      <c r="G37" s="274"/>
      <c r="H37" s="326"/>
      <c r="I37" s="326"/>
      <c r="J37" s="326"/>
      <c r="K37" s="326"/>
      <c r="L37" s="326"/>
      <c r="M37" s="326"/>
      <c r="N37" s="326"/>
      <c r="O37" s="326"/>
      <c r="P37" s="326"/>
      <c r="Q37" s="344"/>
      <c r="R37" s="345"/>
      <c r="S37" s="345"/>
      <c r="T37" s="345"/>
      <c r="U37" s="345"/>
      <c r="V37" s="345"/>
      <c r="W37" s="345"/>
      <c r="X37" s="345"/>
      <c r="Y37" s="345"/>
      <c r="Z37" s="345"/>
      <c r="AA37" s="345"/>
      <c r="AB37" s="345"/>
      <c r="AC37" s="345"/>
      <c r="AD37" s="345"/>
      <c r="AE37" s="345"/>
      <c r="AF37" s="345"/>
      <c r="AG37" s="345"/>
      <c r="AH37" s="345"/>
    </row>
    <row r="38" spans="1:34" s="337" customFormat="1" ht="16.5" x14ac:dyDescent="0.25">
      <c r="A38" s="338"/>
      <c r="B38" s="338"/>
      <c r="C38" s="338"/>
      <c r="D38" s="338"/>
      <c r="E38" s="340"/>
      <c r="F38" s="341"/>
      <c r="G38" s="274"/>
      <c r="H38" s="326"/>
      <c r="I38" s="326"/>
      <c r="J38" s="326"/>
      <c r="K38" s="326"/>
      <c r="L38" s="326"/>
      <c r="M38" s="326"/>
      <c r="N38" s="326"/>
      <c r="O38" s="326"/>
      <c r="P38" s="326"/>
      <c r="Q38" s="342"/>
    </row>
    <row r="39" spans="1:34" s="345" customFormat="1" ht="16.5" x14ac:dyDescent="0.25">
      <c r="A39" s="66"/>
      <c r="B39" s="66"/>
      <c r="C39" s="66"/>
      <c r="D39" s="66"/>
      <c r="E39" s="334"/>
      <c r="F39" s="335"/>
      <c r="G39" s="285"/>
      <c r="H39" s="330"/>
      <c r="I39" s="330"/>
      <c r="J39" s="330"/>
      <c r="K39" s="330"/>
      <c r="L39" s="346"/>
      <c r="M39" s="347"/>
      <c r="N39" s="326"/>
      <c r="O39" s="330"/>
      <c r="P39" s="330"/>
      <c r="Q39" s="327"/>
      <c r="R39" s="328"/>
      <c r="S39" s="328"/>
      <c r="T39" s="328"/>
      <c r="U39" s="328"/>
      <c r="V39" s="328"/>
      <c r="W39" s="328"/>
      <c r="X39" s="328"/>
      <c r="Y39" s="328"/>
      <c r="Z39" s="328"/>
      <c r="AA39" s="328"/>
      <c r="AB39" s="328"/>
      <c r="AC39" s="328"/>
      <c r="AD39" s="328"/>
      <c r="AE39" s="328"/>
      <c r="AF39" s="328"/>
      <c r="AG39" s="328"/>
      <c r="AH39" s="328"/>
    </row>
    <row r="40" spans="1:34" s="328" customFormat="1" ht="16.5" x14ac:dyDescent="0.25">
      <c r="A40" s="66"/>
      <c r="B40" s="66"/>
      <c r="C40" s="66"/>
      <c r="D40" s="66"/>
      <c r="E40" s="334"/>
      <c r="F40" s="335"/>
      <c r="G40" s="285"/>
      <c r="H40" s="330"/>
      <c r="I40" s="330"/>
      <c r="J40" s="330"/>
      <c r="K40" s="330"/>
      <c r="L40" s="346"/>
      <c r="M40" s="346"/>
      <c r="N40" s="326"/>
      <c r="O40" s="330"/>
      <c r="P40" s="330" t="s">
        <v>337</v>
      </c>
      <c r="Q40" s="348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s="328" customFormat="1" ht="16.5" x14ac:dyDescent="0.25">
      <c r="A41" s="66"/>
      <c r="B41" s="66"/>
      <c r="C41" s="66"/>
      <c r="D41" s="66"/>
      <c r="E41" s="334"/>
      <c r="F41" s="335"/>
      <c r="G41" s="285"/>
      <c r="H41" s="330"/>
      <c r="I41" s="330"/>
      <c r="J41" s="330"/>
      <c r="K41" s="330"/>
      <c r="L41" s="330"/>
      <c r="M41" s="330"/>
      <c r="N41" s="326"/>
      <c r="O41" s="330"/>
      <c r="P41" s="330" t="s">
        <v>344</v>
      </c>
      <c r="Q41" s="327"/>
    </row>
    <row r="42" spans="1:34" s="328" customFormat="1" ht="16.5" x14ac:dyDescent="0.25">
      <c r="A42" s="66"/>
      <c r="B42" s="66"/>
      <c r="C42" s="66"/>
      <c r="D42" s="66"/>
      <c r="E42" s="334"/>
      <c r="F42" s="335"/>
      <c r="G42" s="285"/>
      <c r="H42" s="330"/>
      <c r="I42" s="330"/>
      <c r="J42" s="330"/>
      <c r="K42" s="331"/>
      <c r="L42" s="330"/>
      <c r="M42" s="346"/>
      <c r="N42" s="326"/>
      <c r="O42" s="349"/>
      <c r="P42" s="330" t="s">
        <v>344</v>
      </c>
      <c r="Q42" s="327"/>
    </row>
    <row r="43" spans="1:34" s="328" customFormat="1" ht="16.5" x14ac:dyDescent="0.25">
      <c r="A43" s="66"/>
      <c r="B43" s="66"/>
      <c r="C43" s="66"/>
      <c r="D43" s="66"/>
      <c r="E43" s="334"/>
      <c r="F43" s="335"/>
      <c r="G43" s="285"/>
      <c r="H43" s="330"/>
      <c r="I43" s="330"/>
      <c r="J43" s="330"/>
      <c r="K43" s="330"/>
      <c r="L43" s="330"/>
      <c r="M43" s="346"/>
      <c r="N43" s="326"/>
      <c r="O43" s="330"/>
      <c r="P43" s="330" t="s">
        <v>344</v>
      </c>
      <c r="Q43" s="327"/>
    </row>
    <row r="44" spans="1:34" s="16" customFormat="1" ht="16.5" x14ac:dyDescent="0.25">
      <c r="A44" s="66">
        <v>2023</v>
      </c>
      <c r="B44" s="66"/>
      <c r="C44" s="66"/>
      <c r="D44" s="66"/>
      <c r="E44" s="350" t="s">
        <v>346</v>
      </c>
      <c r="F44" s="335" t="s">
        <v>347</v>
      </c>
      <c r="G44" s="285" t="s">
        <v>348</v>
      </c>
      <c r="H44" s="330">
        <v>22000000</v>
      </c>
      <c r="I44" s="330">
        <v>657143</v>
      </c>
      <c r="J44" s="330">
        <v>22000000</v>
      </c>
      <c r="K44" s="351"/>
      <c r="L44" s="352"/>
      <c r="M44" s="352"/>
      <c r="N44" s="353">
        <f t="shared" si="1"/>
        <v>0</v>
      </c>
      <c r="O44" s="326" t="s">
        <v>349</v>
      </c>
      <c r="P44" s="330"/>
      <c r="Q44" s="327"/>
      <c r="R44" s="328"/>
      <c r="S44" s="328"/>
      <c r="T44" s="328"/>
      <c r="U44" s="328"/>
      <c r="V44" s="328"/>
      <c r="W44" s="328"/>
      <c r="X44" s="328"/>
      <c r="Y44" s="328"/>
      <c r="Z44" s="328"/>
      <c r="AA44" s="328"/>
      <c r="AB44" s="328"/>
      <c r="AC44" s="328"/>
      <c r="AD44" s="328"/>
      <c r="AE44" s="328"/>
      <c r="AF44" s="328"/>
      <c r="AG44" s="328"/>
      <c r="AH44" s="328"/>
    </row>
    <row r="45" spans="1:34" s="328" customFormat="1" ht="16.5" x14ac:dyDescent="0.25">
      <c r="A45" s="66">
        <v>2024</v>
      </c>
      <c r="B45" s="66" t="s">
        <v>350</v>
      </c>
      <c r="C45" s="66" t="s">
        <v>351</v>
      </c>
      <c r="D45" s="66" t="s">
        <v>352</v>
      </c>
      <c r="E45" s="334" t="s">
        <v>353</v>
      </c>
      <c r="F45" s="335" t="s">
        <v>336</v>
      </c>
      <c r="G45" s="285" t="s">
        <v>354</v>
      </c>
      <c r="H45" s="330">
        <v>9958000</v>
      </c>
      <c r="I45" s="330">
        <v>9958000</v>
      </c>
      <c r="J45" s="330">
        <v>9958000</v>
      </c>
      <c r="K45" s="330">
        <v>9958000</v>
      </c>
      <c r="L45" s="330">
        <v>6970600</v>
      </c>
      <c r="M45" s="330">
        <v>2987400</v>
      </c>
      <c r="N45" s="326">
        <f>M45+L45</f>
        <v>9958000</v>
      </c>
      <c r="O45" s="326" t="s">
        <v>355</v>
      </c>
      <c r="P45" s="330" t="s">
        <v>356</v>
      </c>
      <c r="Q45" s="327"/>
    </row>
    <row r="46" spans="1:34" s="328" customFormat="1" ht="16.5" x14ac:dyDescent="0.25">
      <c r="A46" s="66">
        <v>2024</v>
      </c>
      <c r="B46" s="66" t="s">
        <v>357</v>
      </c>
      <c r="C46" s="66" t="s">
        <v>358</v>
      </c>
      <c r="D46" s="66" t="s">
        <v>358</v>
      </c>
      <c r="E46" s="334" t="s">
        <v>359</v>
      </c>
      <c r="F46" s="335" t="s">
        <v>336</v>
      </c>
      <c r="G46" s="285" t="s">
        <v>360</v>
      </c>
      <c r="H46" s="330">
        <v>21978000</v>
      </c>
      <c r="I46" s="330">
        <v>21978000</v>
      </c>
      <c r="J46" s="330">
        <v>21978000</v>
      </c>
      <c r="K46" s="330">
        <v>21978000</v>
      </c>
      <c r="L46" s="330">
        <v>15384600</v>
      </c>
      <c r="M46" s="346">
        <f>K46*0.3</f>
        <v>6593400</v>
      </c>
      <c r="N46" s="326">
        <f>M46+L46</f>
        <v>21978000</v>
      </c>
      <c r="O46" s="330" t="s">
        <v>345</v>
      </c>
      <c r="P46" s="330" t="s">
        <v>344</v>
      </c>
      <c r="Q46" s="327"/>
    </row>
    <row r="47" spans="1:34" s="328" customFormat="1" ht="16.5" x14ac:dyDescent="0.25">
      <c r="A47" s="66">
        <v>2024</v>
      </c>
      <c r="B47" s="66"/>
      <c r="C47" s="66"/>
      <c r="D47" s="66"/>
      <c r="E47" s="334" t="s">
        <v>361</v>
      </c>
      <c r="F47" s="335" t="s">
        <v>347</v>
      </c>
      <c r="G47" s="285" t="s">
        <v>362</v>
      </c>
      <c r="H47" s="330">
        <v>19890000</v>
      </c>
      <c r="I47" s="330">
        <v>0</v>
      </c>
      <c r="J47" s="330">
        <v>19890000</v>
      </c>
      <c r="K47" s="326">
        <v>19890000</v>
      </c>
      <c r="L47" s="346">
        <v>0</v>
      </c>
      <c r="M47" s="346">
        <f>K47</f>
        <v>19890000</v>
      </c>
      <c r="N47" s="326">
        <f>M47+L47</f>
        <v>19890000</v>
      </c>
      <c r="O47" s="331" t="s">
        <v>363</v>
      </c>
      <c r="P47" s="330"/>
      <c r="Q47" s="327"/>
    </row>
    <row r="48" spans="1:34" ht="17.25" thickBot="1" x14ac:dyDescent="0.3">
      <c r="H48" s="354">
        <f t="shared" ref="H48:N48" si="2">SUM(H23:H47)</f>
        <v>73826000</v>
      </c>
      <c r="I48" s="354">
        <f t="shared" si="2"/>
        <v>32593143</v>
      </c>
      <c r="J48" s="354">
        <f t="shared" si="2"/>
        <v>73826000</v>
      </c>
      <c r="K48" s="354">
        <f t="shared" si="2"/>
        <v>51826000</v>
      </c>
      <c r="L48" s="354">
        <f t="shared" si="2"/>
        <v>22355200</v>
      </c>
      <c r="M48" s="354">
        <f t="shared" si="2"/>
        <v>29470800</v>
      </c>
      <c r="N48" s="354">
        <f t="shared" si="2"/>
        <v>51826000</v>
      </c>
      <c r="O48" s="355">
        <f>SUM(P23:P47)</f>
        <v>0</v>
      </c>
      <c r="P48" s="308"/>
      <c r="AG48" s="304"/>
      <c r="AH48" s="304"/>
    </row>
    <row r="50" spans="9:12" x14ac:dyDescent="0.25">
      <c r="I50" s="356"/>
    </row>
    <row r="55" spans="9:12" x14ac:dyDescent="0.25">
      <c r="L55" s="357"/>
    </row>
  </sheetData>
  <autoFilter ref="A16:AH45" xr:uid="{00000000-0009-0000-0000-00000C000000}"/>
  <mergeCells count="1">
    <mergeCell ref="E1:K1"/>
  </mergeCells>
  <pageMargins left="0.25" right="0.25" top="0.75" bottom="0.75" header="0.3" footer="0.3"/>
  <pageSetup paperSize="9" scale="28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62EB-CBAB-4F3A-8C44-C2E8E67CBC4D}">
  <sheetPr codeName="Feuil8">
    <tabColor theme="0" tint="-0.14999847407452621"/>
    <pageSetUpPr fitToPage="1"/>
  </sheetPr>
  <dimension ref="B2:Q125"/>
  <sheetViews>
    <sheetView showGridLines="0" zoomScale="90" zoomScaleNormal="90" workbookViewId="0">
      <pane xSplit="3" ySplit="1" topLeftCell="D5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L98" sqref="L98"/>
    </sheetView>
  </sheetViews>
  <sheetFormatPr baseColWidth="10" defaultRowHeight="15" x14ac:dyDescent="0.25"/>
  <cols>
    <col min="1" max="1" width="5.140625" customWidth="1"/>
    <col min="2" max="2" width="33.28515625" customWidth="1"/>
    <col min="3" max="3" width="41.42578125" customWidth="1"/>
    <col min="4" max="4" width="9.5703125" style="393" customWidth="1"/>
    <col min="5" max="5" width="10" style="393" customWidth="1"/>
    <col min="6" max="6" width="12.140625" style="393" customWidth="1"/>
    <col min="7" max="7" width="11.5703125" style="393" customWidth="1"/>
    <col min="8" max="15" width="10" style="393" customWidth="1"/>
    <col min="16" max="16" width="12.7109375" customWidth="1"/>
  </cols>
  <sheetData>
    <row r="2" spans="2:15" x14ac:dyDescent="0.25">
      <c r="D2"/>
      <c r="E2"/>
      <c r="F2"/>
      <c r="G2"/>
      <c r="H2"/>
      <c r="I2"/>
      <c r="J2"/>
      <c r="K2"/>
      <c r="L2"/>
      <c r="M2"/>
      <c r="N2"/>
      <c r="O2"/>
    </row>
    <row r="3" spans="2:15" x14ac:dyDescent="0.25">
      <c r="B3" s="358" t="s">
        <v>364</v>
      </c>
      <c r="C3" s="358" t="s">
        <v>365</v>
      </c>
      <c r="D3" s="359">
        <v>42736</v>
      </c>
      <c r="E3" s="359">
        <v>42767</v>
      </c>
      <c r="F3" s="359">
        <v>42795</v>
      </c>
      <c r="G3" s="359">
        <v>42826</v>
      </c>
      <c r="H3" s="359">
        <v>42856</v>
      </c>
      <c r="I3" s="359">
        <v>42887</v>
      </c>
      <c r="J3" s="359">
        <v>42917</v>
      </c>
      <c r="K3" s="359">
        <v>42948</v>
      </c>
      <c r="L3" s="359">
        <v>42979</v>
      </c>
      <c r="M3" s="359">
        <v>43009</v>
      </c>
      <c r="N3" s="359">
        <v>43040</v>
      </c>
      <c r="O3" s="359">
        <v>43070</v>
      </c>
    </row>
    <row r="4" spans="2:15" x14ac:dyDescent="0.25">
      <c r="B4" s="360" t="s">
        <v>366</v>
      </c>
      <c r="C4" s="360" t="s">
        <v>367</v>
      </c>
      <c r="D4" s="361">
        <v>335</v>
      </c>
      <c r="E4" s="361">
        <v>181.5</v>
      </c>
      <c r="F4" s="361">
        <v>92.5</v>
      </c>
      <c r="G4" s="361">
        <v>219</v>
      </c>
      <c r="H4" s="361">
        <v>175.5</v>
      </c>
      <c r="I4" s="361">
        <v>246.5</v>
      </c>
      <c r="J4" s="361">
        <v>511.5</v>
      </c>
      <c r="K4" s="361">
        <v>876</v>
      </c>
      <c r="L4" s="361">
        <v>694</v>
      </c>
      <c r="M4" s="361">
        <v>416.5</v>
      </c>
      <c r="N4" s="361">
        <v>324.5</v>
      </c>
      <c r="O4" s="361">
        <v>692</v>
      </c>
    </row>
    <row r="5" spans="2:15" x14ac:dyDescent="0.25">
      <c r="B5" s="360" t="s">
        <v>368</v>
      </c>
      <c r="C5" s="360" t="s">
        <v>367</v>
      </c>
      <c r="D5" s="361">
        <v>5</v>
      </c>
      <c r="E5" s="361"/>
      <c r="F5" s="361">
        <v>2</v>
      </c>
      <c r="G5" s="361"/>
      <c r="H5" s="361"/>
      <c r="I5" s="361">
        <v>7</v>
      </c>
      <c r="J5" s="361">
        <v>8</v>
      </c>
      <c r="K5" s="361">
        <v>20</v>
      </c>
      <c r="L5" s="361">
        <v>8</v>
      </c>
      <c r="M5" s="361">
        <v>5</v>
      </c>
      <c r="N5" s="361">
        <v>3</v>
      </c>
      <c r="O5" s="361">
        <v>13</v>
      </c>
    </row>
    <row r="6" spans="2:15" x14ac:dyDescent="0.25">
      <c r="B6" s="360" t="s">
        <v>369</v>
      </c>
      <c r="C6" s="360" t="s">
        <v>367</v>
      </c>
      <c r="D6" s="361">
        <v>5</v>
      </c>
      <c r="E6" s="361">
        <v>6</v>
      </c>
      <c r="F6" s="361">
        <v>1</v>
      </c>
      <c r="G6" s="361">
        <v>5</v>
      </c>
      <c r="H6" s="361">
        <v>17</v>
      </c>
      <c r="I6" s="361">
        <v>17</v>
      </c>
      <c r="J6" s="361">
        <v>12</v>
      </c>
      <c r="K6" s="361">
        <v>12</v>
      </c>
      <c r="L6" s="361">
        <v>6</v>
      </c>
      <c r="M6" s="361">
        <v>21</v>
      </c>
      <c r="N6" s="361">
        <v>14</v>
      </c>
      <c r="O6" s="361">
        <v>14</v>
      </c>
    </row>
    <row r="7" spans="2:15" x14ac:dyDescent="0.25">
      <c r="B7" s="360" t="s">
        <v>370</v>
      </c>
      <c r="C7" s="360" t="s">
        <v>367</v>
      </c>
      <c r="D7" s="361"/>
      <c r="E7" s="361"/>
      <c r="F7" s="361">
        <v>5</v>
      </c>
      <c r="G7" s="361">
        <v>30</v>
      </c>
      <c r="H7" s="361"/>
      <c r="I7" s="361"/>
      <c r="J7" s="361"/>
      <c r="K7" s="361"/>
      <c r="L7" s="361"/>
      <c r="M7" s="361"/>
      <c r="N7" s="361"/>
      <c r="O7" s="361"/>
    </row>
    <row r="8" spans="2:15" x14ac:dyDescent="0.25">
      <c r="B8" s="360" t="s">
        <v>371</v>
      </c>
      <c r="C8" s="360" t="s">
        <v>367</v>
      </c>
      <c r="D8" s="361"/>
      <c r="E8" s="361"/>
      <c r="F8" s="361">
        <v>1</v>
      </c>
      <c r="G8" s="361"/>
      <c r="H8" s="361"/>
      <c r="I8" s="361"/>
      <c r="J8" s="361">
        <v>2</v>
      </c>
      <c r="K8" s="361">
        <v>3</v>
      </c>
      <c r="L8" s="361"/>
      <c r="M8" s="361">
        <v>12</v>
      </c>
      <c r="N8" s="361">
        <v>4</v>
      </c>
      <c r="O8" s="361"/>
    </row>
    <row r="9" spans="2:15" x14ac:dyDescent="0.25">
      <c r="B9" s="360" t="s">
        <v>372</v>
      </c>
      <c r="C9" s="360" t="s">
        <v>373</v>
      </c>
      <c r="D9" s="361">
        <v>0</v>
      </c>
      <c r="E9" s="361">
        <v>0</v>
      </c>
      <c r="F9" s="361">
        <v>0</v>
      </c>
      <c r="G9" s="361">
        <v>0</v>
      </c>
      <c r="H9" s="361">
        <v>0</v>
      </c>
      <c r="I9" s="361">
        <v>0</v>
      </c>
      <c r="J9" s="361">
        <v>0</v>
      </c>
      <c r="K9" s="361">
        <v>0</v>
      </c>
      <c r="L9" s="361">
        <v>0</v>
      </c>
      <c r="M9" s="361">
        <v>0</v>
      </c>
      <c r="N9" s="361">
        <v>0</v>
      </c>
      <c r="O9" s="361">
        <v>0</v>
      </c>
    </row>
    <row r="10" spans="2:15" x14ac:dyDescent="0.25">
      <c r="B10" s="360" t="s">
        <v>372</v>
      </c>
      <c r="C10" s="360" t="s">
        <v>367</v>
      </c>
      <c r="D10" s="361">
        <v>0</v>
      </c>
      <c r="E10" s="361">
        <v>0</v>
      </c>
      <c r="F10" s="361">
        <v>0</v>
      </c>
      <c r="G10" s="361">
        <v>0</v>
      </c>
      <c r="H10" s="361">
        <v>0</v>
      </c>
      <c r="I10" s="361">
        <v>0</v>
      </c>
      <c r="J10" s="361">
        <v>0</v>
      </c>
      <c r="K10" s="361">
        <v>0</v>
      </c>
      <c r="L10" s="361">
        <v>0</v>
      </c>
      <c r="M10" s="361">
        <v>0</v>
      </c>
      <c r="N10" s="361">
        <v>0</v>
      </c>
      <c r="O10" s="361">
        <v>0</v>
      </c>
    </row>
    <row r="11" spans="2:15" x14ac:dyDescent="0.25">
      <c r="B11" s="360" t="s">
        <v>374</v>
      </c>
      <c r="C11" s="360" t="s">
        <v>375</v>
      </c>
      <c r="D11" s="361">
        <v>0</v>
      </c>
      <c r="E11" s="361">
        <v>0</v>
      </c>
      <c r="F11" s="361">
        <v>0</v>
      </c>
      <c r="G11" s="361">
        <v>0</v>
      </c>
      <c r="H11" s="361">
        <v>0</v>
      </c>
      <c r="I11" s="361">
        <v>0</v>
      </c>
      <c r="J11" s="361">
        <v>0</v>
      </c>
      <c r="K11" s="361">
        <v>0</v>
      </c>
      <c r="L11" s="361">
        <v>0</v>
      </c>
      <c r="M11" s="361">
        <v>0</v>
      </c>
      <c r="N11" s="361">
        <v>0</v>
      </c>
      <c r="O11" s="361">
        <v>0</v>
      </c>
    </row>
    <row r="12" spans="2:15" x14ac:dyDescent="0.25">
      <c r="B12" s="360" t="s">
        <v>376</v>
      </c>
      <c r="C12" s="360" t="s">
        <v>377</v>
      </c>
      <c r="D12" s="361">
        <v>180</v>
      </c>
      <c r="E12" s="361">
        <v>183</v>
      </c>
      <c r="F12" s="361">
        <v>184</v>
      </c>
      <c r="G12" s="361">
        <v>190</v>
      </c>
      <c r="H12" s="361">
        <v>200</v>
      </c>
      <c r="I12" s="361">
        <v>203</v>
      </c>
      <c r="J12" s="361">
        <v>203</v>
      </c>
      <c r="K12" s="361">
        <v>203</v>
      </c>
      <c r="L12" s="361">
        <v>207</v>
      </c>
      <c r="M12" s="361">
        <v>213</v>
      </c>
      <c r="N12" s="361">
        <v>212</v>
      </c>
      <c r="O12" s="361">
        <v>216</v>
      </c>
    </row>
    <row r="13" spans="2:15" x14ac:dyDescent="0.25">
      <c r="B13" s="360" t="s">
        <v>378</v>
      </c>
      <c r="C13" s="360" t="s">
        <v>379</v>
      </c>
      <c r="D13" s="361"/>
      <c r="E13" s="361"/>
      <c r="F13" s="361">
        <v>1</v>
      </c>
      <c r="G13" s="361"/>
      <c r="H13" s="361"/>
      <c r="I13" s="361"/>
      <c r="J13" s="361"/>
      <c r="K13" s="361"/>
      <c r="L13" s="361"/>
      <c r="M13" s="361"/>
      <c r="N13" s="361"/>
      <c r="O13" s="361">
        <v>1</v>
      </c>
    </row>
    <row r="14" spans="2:15" x14ac:dyDescent="0.25">
      <c r="B14" s="360" t="s">
        <v>380</v>
      </c>
      <c r="C14" s="360" t="s">
        <v>379</v>
      </c>
      <c r="D14" s="361"/>
      <c r="E14" s="361"/>
      <c r="F14" s="361"/>
      <c r="G14" s="361">
        <v>1</v>
      </c>
      <c r="H14" s="361"/>
      <c r="I14" s="361"/>
      <c r="J14" s="361"/>
      <c r="K14" s="361"/>
      <c r="L14" s="361"/>
      <c r="M14" s="361"/>
      <c r="N14" s="361"/>
      <c r="O14" s="361"/>
    </row>
    <row r="15" spans="2:15" x14ac:dyDescent="0.25">
      <c r="B15" s="360" t="s">
        <v>87</v>
      </c>
      <c r="C15" s="360" t="s">
        <v>381</v>
      </c>
      <c r="D15" s="361"/>
      <c r="E15" s="361"/>
      <c r="F15" s="361"/>
      <c r="G15" s="361"/>
      <c r="H15" s="361">
        <v>2</v>
      </c>
      <c r="I15" s="361"/>
      <c r="J15" s="361">
        <v>2</v>
      </c>
      <c r="K15" s="361"/>
      <c r="L15" s="361"/>
      <c r="M15" s="361">
        <v>2</v>
      </c>
      <c r="N15" s="361"/>
      <c r="O15" s="361"/>
    </row>
    <row r="16" spans="2:15" x14ac:dyDescent="0.25">
      <c r="B16" s="360" t="s">
        <v>382</v>
      </c>
      <c r="C16" s="360" t="s">
        <v>383</v>
      </c>
      <c r="D16" s="361"/>
      <c r="E16" s="361"/>
      <c r="F16" s="361"/>
      <c r="G16" s="361"/>
      <c r="H16" s="361"/>
      <c r="I16" s="361"/>
      <c r="J16" s="361"/>
      <c r="K16" s="361"/>
      <c r="L16" s="361"/>
      <c r="M16" s="361"/>
      <c r="N16" s="361">
        <v>2</v>
      </c>
      <c r="O16" s="361"/>
    </row>
    <row r="17" spans="2:15" x14ac:dyDescent="0.25">
      <c r="B17" s="360" t="s">
        <v>384</v>
      </c>
      <c r="C17" s="360" t="s">
        <v>385</v>
      </c>
      <c r="D17" s="361"/>
      <c r="E17" s="361"/>
      <c r="F17" s="361">
        <v>1</v>
      </c>
      <c r="G17" s="361"/>
      <c r="H17" s="361">
        <v>1</v>
      </c>
      <c r="I17" s="361">
        <v>1</v>
      </c>
      <c r="J17" s="361">
        <v>1</v>
      </c>
      <c r="K17" s="361">
        <v>2</v>
      </c>
      <c r="L17" s="361">
        <v>3</v>
      </c>
      <c r="M17" s="361">
        <v>3</v>
      </c>
      <c r="N17" s="361">
        <v>1</v>
      </c>
      <c r="O17" s="361">
        <v>1</v>
      </c>
    </row>
    <row r="20" spans="2:15" ht="15.75" x14ac:dyDescent="0.25">
      <c r="B20" s="362" t="s">
        <v>364</v>
      </c>
      <c r="C20" s="362" t="s">
        <v>365</v>
      </c>
      <c r="D20" s="363">
        <v>43101</v>
      </c>
      <c r="E20" s="363">
        <v>43132</v>
      </c>
      <c r="F20" s="363">
        <v>43160</v>
      </c>
      <c r="G20" s="363">
        <v>43191</v>
      </c>
      <c r="H20" s="363">
        <v>43221</v>
      </c>
      <c r="I20" s="363">
        <v>43252</v>
      </c>
      <c r="J20" s="363">
        <v>43282</v>
      </c>
      <c r="K20" s="363">
        <v>43313</v>
      </c>
      <c r="L20" s="363">
        <v>43344</v>
      </c>
      <c r="M20" s="363">
        <v>43374</v>
      </c>
      <c r="N20" s="363">
        <v>43405</v>
      </c>
      <c r="O20" s="363">
        <v>43435</v>
      </c>
    </row>
    <row r="21" spans="2:15" ht="15.75" x14ac:dyDescent="0.25">
      <c r="B21" s="364" t="s">
        <v>366</v>
      </c>
      <c r="C21" s="364" t="s">
        <v>367</v>
      </c>
      <c r="D21" s="365">
        <v>608</v>
      </c>
      <c r="E21" s="365">
        <v>427</v>
      </c>
      <c r="F21" s="365">
        <v>498</v>
      </c>
      <c r="G21" s="365">
        <v>435</v>
      </c>
      <c r="H21" s="365">
        <v>623</v>
      </c>
      <c r="I21" s="365">
        <v>523.5</v>
      </c>
      <c r="J21" s="365">
        <v>522</v>
      </c>
      <c r="K21" s="365">
        <v>845.5</v>
      </c>
      <c r="L21" s="365">
        <v>813</v>
      </c>
      <c r="M21" s="365">
        <v>679</v>
      </c>
      <c r="N21" s="365">
        <v>496.5</v>
      </c>
      <c r="O21" s="365">
        <v>654.5</v>
      </c>
    </row>
    <row r="22" spans="2:15" ht="15.75" x14ac:dyDescent="0.25">
      <c r="B22" s="364" t="s">
        <v>368</v>
      </c>
      <c r="C22" s="364" t="s">
        <v>367</v>
      </c>
      <c r="D22" s="365">
        <v>6</v>
      </c>
      <c r="E22" s="365">
        <v>11</v>
      </c>
      <c r="F22" s="365">
        <v>4</v>
      </c>
      <c r="G22" s="365">
        <v>5</v>
      </c>
      <c r="H22" s="365">
        <v>9</v>
      </c>
      <c r="I22" s="365">
        <v>4</v>
      </c>
      <c r="J22" s="365">
        <v>15</v>
      </c>
      <c r="K22" s="365">
        <v>5</v>
      </c>
      <c r="L22" s="365">
        <v>1</v>
      </c>
      <c r="M22" s="365">
        <v>2</v>
      </c>
      <c r="N22" s="365">
        <v>7</v>
      </c>
      <c r="O22" s="365">
        <v>0</v>
      </c>
    </row>
    <row r="23" spans="2:15" ht="15.75" x14ac:dyDescent="0.25">
      <c r="B23" s="364" t="s">
        <v>386</v>
      </c>
      <c r="C23" s="364" t="s">
        <v>367</v>
      </c>
      <c r="D23" s="365">
        <v>9</v>
      </c>
      <c r="E23" s="365">
        <v>4</v>
      </c>
      <c r="F23" s="365">
        <v>6</v>
      </c>
      <c r="G23" s="365">
        <v>14</v>
      </c>
      <c r="H23" s="365">
        <v>12</v>
      </c>
      <c r="I23" s="365">
        <v>22</v>
      </c>
      <c r="J23" s="365">
        <v>12</v>
      </c>
      <c r="K23" s="366">
        <v>141</v>
      </c>
      <c r="L23" s="367">
        <v>51</v>
      </c>
      <c r="M23" s="365">
        <v>6</v>
      </c>
      <c r="N23" s="365">
        <v>20</v>
      </c>
      <c r="O23" s="365">
        <v>7</v>
      </c>
    </row>
    <row r="24" spans="2:15" ht="15.75" x14ac:dyDescent="0.25">
      <c r="B24" s="364" t="s">
        <v>370</v>
      </c>
      <c r="C24" s="364" t="s">
        <v>367</v>
      </c>
      <c r="D24" s="365">
        <v>0</v>
      </c>
      <c r="E24" s="365">
        <v>0</v>
      </c>
      <c r="F24" s="365">
        <v>0</v>
      </c>
      <c r="G24" s="365">
        <v>7</v>
      </c>
      <c r="H24" s="365">
        <v>0</v>
      </c>
      <c r="I24" s="365">
        <v>0</v>
      </c>
      <c r="J24" s="365">
        <v>45</v>
      </c>
      <c r="K24" s="368">
        <v>23</v>
      </c>
      <c r="L24" s="365">
        <v>0</v>
      </c>
      <c r="M24" s="365">
        <v>5</v>
      </c>
      <c r="N24" s="365">
        <v>0</v>
      </c>
      <c r="O24" s="365">
        <v>0</v>
      </c>
    </row>
    <row r="25" spans="2:15" ht="15.75" x14ac:dyDescent="0.25">
      <c r="B25" s="364" t="s">
        <v>371</v>
      </c>
      <c r="C25" s="364" t="s">
        <v>367</v>
      </c>
      <c r="D25" s="365">
        <v>1</v>
      </c>
      <c r="E25" s="365">
        <v>1</v>
      </c>
      <c r="F25" s="365">
        <v>2</v>
      </c>
      <c r="G25" s="365">
        <v>1</v>
      </c>
      <c r="H25" s="365">
        <v>1</v>
      </c>
      <c r="I25" s="365">
        <v>2</v>
      </c>
      <c r="J25" s="365">
        <v>0</v>
      </c>
      <c r="K25" s="365">
        <v>0</v>
      </c>
      <c r="L25" s="365">
        <v>0</v>
      </c>
      <c r="M25" s="365">
        <v>1</v>
      </c>
      <c r="N25" s="365">
        <v>3</v>
      </c>
      <c r="O25" s="365">
        <v>0</v>
      </c>
    </row>
    <row r="26" spans="2:15" ht="15.75" x14ac:dyDescent="0.25">
      <c r="B26" s="364" t="s">
        <v>372</v>
      </c>
      <c r="C26" s="364" t="s">
        <v>373</v>
      </c>
      <c r="D26" s="365">
        <v>1</v>
      </c>
      <c r="E26" s="365">
        <v>0</v>
      </c>
      <c r="F26" s="365">
        <v>0</v>
      </c>
      <c r="G26" s="365">
        <v>0</v>
      </c>
      <c r="H26" s="365">
        <v>0</v>
      </c>
      <c r="I26" s="365">
        <v>0</v>
      </c>
      <c r="J26" s="365">
        <v>1</v>
      </c>
      <c r="K26" s="365">
        <v>0</v>
      </c>
      <c r="L26" s="365">
        <v>0</v>
      </c>
      <c r="M26" s="365">
        <v>0</v>
      </c>
      <c r="N26" s="365">
        <v>1</v>
      </c>
      <c r="O26" s="365">
        <v>1</v>
      </c>
    </row>
    <row r="27" spans="2:15" ht="15.75" x14ac:dyDescent="0.25">
      <c r="B27" s="364" t="s">
        <v>372</v>
      </c>
      <c r="C27" s="364" t="s">
        <v>367</v>
      </c>
      <c r="D27" s="365">
        <v>6</v>
      </c>
      <c r="E27" s="365">
        <v>28</v>
      </c>
      <c r="F27" s="365">
        <v>31</v>
      </c>
      <c r="G27" s="365">
        <v>30</v>
      </c>
      <c r="H27" s="365">
        <v>3</v>
      </c>
      <c r="I27" s="365">
        <v>0</v>
      </c>
      <c r="J27" s="365">
        <v>27</v>
      </c>
      <c r="K27" s="365">
        <v>30</v>
      </c>
      <c r="L27" s="365">
        <v>10</v>
      </c>
      <c r="M27" s="365">
        <v>0</v>
      </c>
      <c r="N27" s="365">
        <v>11</v>
      </c>
      <c r="O27" s="365">
        <v>31</v>
      </c>
    </row>
    <row r="28" spans="2:15" ht="15.75" x14ac:dyDescent="0.25">
      <c r="B28" s="364" t="s">
        <v>374</v>
      </c>
      <c r="C28" s="364" t="s">
        <v>375</v>
      </c>
      <c r="D28" s="365">
        <v>0</v>
      </c>
      <c r="E28" s="365">
        <v>0</v>
      </c>
      <c r="F28" s="365">
        <v>1</v>
      </c>
      <c r="G28" s="365">
        <v>0</v>
      </c>
      <c r="H28" s="365">
        <v>0</v>
      </c>
      <c r="I28" s="365">
        <v>0</v>
      </c>
      <c r="J28" s="365">
        <v>0</v>
      </c>
      <c r="K28" s="365">
        <v>0</v>
      </c>
      <c r="L28" s="365">
        <v>0</v>
      </c>
      <c r="M28" s="365">
        <v>0</v>
      </c>
      <c r="N28" s="365">
        <v>0</v>
      </c>
      <c r="O28" s="365">
        <v>0</v>
      </c>
    </row>
    <row r="29" spans="2:15" ht="15.75" x14ac:dyDescent="0.25">
      <c r="B29" s="364" t="s">
        <v>376</v>
      </c>
      <c r="C29" s="364" t="s">
        <v>377</v>
      </c>
      <c r="D29" s="365">
        <v>218</v>
      </c>
      <c r="E29" s="365">
        <v>218</v>
      </c>
      <c r="F29" s="365">
        <v>222</v>
      </c>
      <c r="G29" s="365">
        <v>225</v>
      </c>
      <c r="H29" s="365">
        <v>227</v>
      </c>
      <c r="I29" s="365">
        <v>229</v>
      </c>
      <c r="J29" s="365">
        <v>234</v>
      </c>
      <c r="K29" s="365">
        <v>236</v>
      </c>
      <c r="L29" s="365">
        <v>244</v>
      </c>
      <c r="M29" s="365">
        <v>248</v>
      </c>
      <c r="N29" s="365">
        <v>252</v>
      </c>
      <c r="O29" s="365">
        <v>252</v>
      </c>
    </row>
    <row r="30" spans="2:15" ht="15.75" x14ac:dyDescent="0.25">
      <c r="B30" s="364" t="s">
        <v>378</v>
      </c>
      <c r="C30" s="364" t="s">
        <v>379</v>
      </c>
      <c r="D30" s="365">
        <v>0</v>
      </c>
      <c r="E30" s="365">
        <v>0</v>
      </c>
      <c r="F30" s="365">
        <v>1</v>
      </c>
      <c r="G30" s="365">
        <v>0</v>
      </c>
      <c r="H30" s="365">
        <v>0</v>
      </c>
      <c r="I30" s="365">
        <v>1</v>
      </c>
      <c r="J30" s="365">
        <v>0</v>
      </c>
      <c r="K30" s="365">
        <v>0</v>
      </c>
      <c r="L30" s="365">
        <v>0</v>
      </c>
      <c r="M30" s="365">
        <v>0</v>
      </c>
      <c r="N30" s="365">
        <v>0</v>
      </c>
      <c r="O30" s="365">
        <v>0</v>
      </c>
    </row>
    <row r="31" spans="2:15" ht="15.75" x14ac:dyDescent="0.25">
      <c r="B31" s="364" t="s">
        <v>380</v>
      </c>
      <c r="C31" s="364" t="s">
        <v>379</v>
      </c>
      <c r="D31" s="365">
        <v>1</v>
      </c>
      <c r="E31" s="365">
        <v>0</v>
      </c>
      <c r="F31" s="365">
        <v>1</v>
      </c>
      <c r="G31" s="365">
        <v>0</v>
      </c>
      <c r="H31" s="365">
        <v>0</v>
      </c>
      <c r="I31" s="365">
        <v>0</v>
      </c>
      <c r="J31" s="365">
        <v>0</v>
      </c>
      <c r="K31" s="365">
        <v>0</v>
      </c>
      <c r="L31" s="365">
        <v>0</v>
      </c>
      <c r="M31" s="365">
        <v>0</v>
      </c>
      <c r="N31" s="365">
        <v>0</v>
      </c>
      <c r="O31" s="365">
        <v>0</v>
      </c>
    </row>
    <row r="32" spans="2:15" ht="15.75" x14ac:dyDescent="0.25">
      <c r="B32" s="364" t="s">
        <v>387</v>
      </c>
      <c r="C32" s="364" t="s">
        <v>388</v>
      </c>
      <c r="D32" s="365">
        <v>0</v>
      </c>
      <c r="E32" s="365">
        <v>0</v>
      </c>
      <c r="F32" s="365">
        <v>0</v>
      </c>
      <c r="G32" s="365">
        <v>0</v>
      </c>
      <c r="H32" s="365">
        <v>0</v>
      </c>
      <c r="I32" s="365">
        <v>0</v>
      </c>
      <c r="J32" s="365">
        <v>0</v>
      </c>
      <c r="K32" s="365">
        <v>0</v>
      </c>
      <c r="L32" s="365">
        <v>0</v>
      </c>
      <c r="M32" s="365">
        <v>0</v>
      </c>
      <c r="N32" s="365">
        <v>0</v>
      </c>
      <c r="O32" s="365">
        <v>1</v>
      </c>
    </row>
    <row r="33" spans="2:15" ht="15.75" x14ac:dyDescent="0.25">
      <c r="B33" s="364" t="s">
        <v>87</v>
      </c>
      <c r="C33" s="364" t="s">
        <v>381</v>
      </c>
      <c r="D33" s="365">
        <v>1</v>
      </c>
      <c r="E33" s="365">
        <v>0</v>
      </c>
      <c r="F33" s="365">
        <v>1</v>
      </c>
      <c r="G33" s="365">
        <v>0</v>
      </c>
      <c r="H33" s="365">
        <v>1</v>
      </c>
      <c r="I33" s="365">
        <v>2</v>
      </c>
      <c r="J33" s="365">
        <v>0</v>
      </c>
      <c r="K33" s="365">
        <v>1</v>
      </c>
      <c r="L33" s="365">
        <v>0</v>
      </c>
      <c r="M33" s="365">
        <v>0</v>
      </c>
      <c r="N33" s="365">
        <v>0</v>
      </c>
      <c r="O33" s="365">
        <v>0</v>
      </c>
    </row>
    <row r="34" spans="2:15" ht="15.75" x14ac:dyDescent="0.25">
      <c r="B34" s="364" t="s">
        <v>389</v>
      </c>
      <c r="C34" s="364" t="s">
        <v>390</v>
      </c>
      <c r="D34" s="365">
        <v>0</v>
      </c>
      <c r="E34" s="365">
        <v>1</v>
      </c>
      <c r="F34" s="365">
        <v>0</v>
      </c>
      <c r="G34" s="365">
        <v>0</v>
      </c>
      <c r="H34" s="365">
        <v>0</v>
      </c>
      <c r="I34" s="365">
        <v>0</v>
      </c>
      <c r="J34" s="365">
        <v>0</v>
      </c>
      <c r="K34" s="365">
        <v>0</v>
      </c>
      <c r="L34" s="365">
        <v>0</v>
      </c>
      <c r="M34" s="365">
        <v>1</v>
      </c>
      <c r="N34" s="365">
        <v>0</v>
      </c>
      <c r="O34" s="365">
        <v>0</v>
      </c>
    </row>
    <row r="35" spans="2:15" ht="15.75" x14ac:dyDescent="0.25">
      <c r="B35" s="364" t="s">
        <v>382</v>
      </c>
      <c r="C35" s="364" t="s">
        <v>383</v>
      </c>
      <c r="D35" s="365">
        <v>0</v>
      </c>
      <c r="E35" s="365">
        <v>1</v>
      </c>
      <c r="F35" s="365">
        <v>0</v>
      </c>
      <c r="G35" s="365">
        <v>1</v>
      </c>
      <c r="H35" s="365">
        <v>0</v>
      </c>
      <c r="I35" s="365">
        <v>0</v>
      </c>
      <c r="J35" s="365">
        <v>0</v>
      </c>
      <c r="K35" s="365">
        <v>0</v>
      </c>
      <c r="L35" s="369">
        <v>1</v>
      </c>
      <c r="M35" s="370">
        <v>0</v>
      </c>
      <c r="N35" s="371">
        <v>1</v>
      </c>
      <c r="O35" s="372">
        <v>1</v>
      </c>
    </row>
    <row r="36" spans="2:15" ht="15.75" x14ac:dyDescent="0.25">
      <c r="B36" s="364" t="s">
        <v>384</v>
      </c>
      <c r="C36" s="364" t="s">
        <v>385</v>
      </c>
      <c r="D36" s="365">
        <v>1</v>
      </c>
      <c r="E36" s="365">
        <v>1</v>
      </c>
      <c r="F36" s="365">
        <v>0</v>
      </c>
      <c r="G36" s="365">
        <v>1</v>
      </c>
      <c r="H36" s="365">
        <v>0</v>
      </c>
      <c r="I36" s="365">
        <v>1</v>
      </c>
      <c r="J36" s="365">
        <v>1</v>
      </c>
      <c r="K36" s="365">
        <v>0</v>
      </c>
      <c r="L36" s="373">
        <v>2</v>
      </c>
      <c r="M36" s="365">
        <v>2</v>
      </c>
      <c r="N36" s="365">
        <v>3</v>
      </c>
      <c r="O36" s="365">
        <v>1</v>
      </c>
    </row>
    <row r="37" spans="2:15" ht="15.75" x14ac:dyDescent="0.25">
      <c r="B37" s="364" t="s">
        <v>391</v>
      </c>
      <c r="C37" s="364" t="s">
        <v>392</v>
      </c>
      <c r="D37" s="365">
        <v>0</v>
      </c>
      <c r="E37" s="365">
        <v>1</v>
      </c>
      <c r="F37" s="365">
        <v>3</v>
      </c>
      <c r="G37" s="365">
        <v>3</v>
      </c>
      <c r="H37" s="365">
        <v>1</v>
      </c>
      <c r="I37" s="365">
        <v>0</v>
      </c>
      <c r="J37" s="365">
        <v>0</v>
      </c>
      <c r="K37" s="365">
        <v>0</v>
      </c>
      <c r="L37" s="374">
        <v>2</v>
      </c>
      <c r="M37" s="375">
        <v>1</v>
      </c>
      <c r="N37" s="365">
        <v>0</v>
      </c>
      <c r="O37" s="365">
        <v>1</v>
      </c>
    </row>
    <row r="38" spans="2:15" ht="15.75" x14ac:dyDescent="0.25">
      <c r="B38" s="364" t="s">
        <v>201</v>
      </c>
      <c r="C38" s="364" t="s">
        <v>393</v>
      </c>
      <c r="D38" s="365">
        <v>0</v>
      </c>
      <c r="E38" s="365">
        <v>3</v>
      </c>
      <c r="F38" s="365">
        <v>2</v>
      </c>
      <c r="G38" s="365">
        <v>0</v>
      </c>
      <c r="H38" s="365">
        <v>1</v>
      </c>
      <c r="I38" s="365">
        <v>1</v>
      </c>
      <c r="J38" s="365">
        <v>0</v>
      </c>
      <c r="K38" s="365">
        <v>0</v>
      </c>
      <c r="L38" s="365">
        <v>0</v>
      </c>
      <c r="M38" s="365">
        <v>0</v>
      </c>
      <c r="N38" s="365">
        <v>0</v>
      </c>
      <c r="O38" s="365">
        <v>0</v>
      </c>
    </row>
    <row r="41" spans="2:15" x14ac:dyDescent="0.25">
      <c r="B41" s="376" t="s">
        <v>364</v>
      </c>
      <c r="C41" s="377" t="s">
        <v>365</v>
      </c>
      <c r="D41" s="378">
        <v>43466</v>
      </c>
      <c r="E41" s="378">
        <v>43497</v>
      </c>
      <c r="F41" s="378">
        <v>43525</v>
      </c>
      <c r="G41" s="378">
        <v>43556</v>
      </c>
      <c r="H41" s="378">
        <v>43586</v>
      </c>
      <c r="I41" s="378">
        <v>43617</v>
      </c>
      <c r="J41" s="378">
        <v>43647</v>
      </c>
      <c r="K41" s="378">
        <v>43678</v>
      </c>
      <c r="L41" s="378">
        <v>43709</v>
      </c>
      <c r="M41" s="378">
        <v>43739</v>
      </c>
      <c r="N41" s="378">
        <v>43770</v>
      </c>
      <c r="O41" s="378">
        <v>43800</v>
      </c>
    </row>
    <row r="42" spans="2:15" x14ac:dyDescent="0.25">
      <c r="B42" s="379" t="s">
        <v>366</v>
      </c>
      <c r="C42" s="379" t="s">
        <v>367</v>
      </c>
      <c r="D42" s="380">
        <v>437</v>
      </c>
      <c r="E42" s="380">
        <v>201.5</v>
      </c>
      <c r="F42" s="380">
        <v>155</v>
      </c>
      <c r="G42" s="380">
        <v>332.5</v>
      </c>
      <c r="H42" s="380">
        <v>218</v>
      </c>
      <c r="I42" s="380">
        <v>233.5</v>
      </c>
      <c r="J42" s="380">
        <v>312.5</v>
      </c>
      <c r="K42" s="380">
        <v>454</v>
      </c>
      <c r="L42" s="380">
        <v>608.5</v>
      </c>
      <c r="M42" s="380">
        <v>497</v>
      </c>
      <c r="N42" s="380">
        <v>413.3</v>
      </c>
      <c r="O42" s="380">
        <v>515.70000000000005</v>
      </c>
    </row>
    <row r="43" spans="2:15" x14ac:dyDescent="0.25">
      <c r="B43" s="379" t="s">
        <v>368</v>
      </c>
      <c r="C43" s="379" t="s">
        <v>367</v>
      </c>
      <c r="D43" s="380">
        <v>11</v>
      </c>
      <c r="E43" s="380">
        <v>10</v>
      </c>
      <c r="F43" s="380">
        <v>7</v>
      </c>
      <c r="G43" s="380">
        <v>11</v>
      </c>
      <c r="H43" s="380">
        <v>3</v>
      </c>
      <c r="I43" s="380">
        <v>2</v>
      </c>
      <c r="J43" s="380">
        <v>7</v>
      </c>
      <c r="K43" s="380">
        <v>9</v>
      </c>
      <c r="L43" s="380">
        <v>10</v>
      </c>
      <c r="M43" s="380">
        <v>8</v>
      </c>
      <c r="N43" s="380">
        <v>9</v>
      </c>
      <c r="O43" s="380">
        <v>20</v>
      </c>
    </row>
    <row r="44" spans="2:15" x14ac:dyDescent="0.25">
      <c r="B44" s="379" t="s">
        <v>386</v>
      </c>
      <c r="C44" s="379" t="s">
        <v>367</v>
      </c>
      <c r="D44" s="380">
        <v>22</v>
      </c>
      <c r="E44" s="380">
        <v>15</v>
      </c>
      <c r="F44" s="380">
        <v>31</v>
      </c>
      <c r="G44" s="380">
        <v>29.5</v>
      </c>
      <c r="H44" s="380">
        <v>19</v>
      </c>
      <c r="I44" s="380">
        <v>22</v>
      </c>
      <c r="J44" s="380">
        <v>23</v>
      </c>
      <c r="K44" s="380">
        <v>27</v>
      </c>
      <c r="L44" s="380">
        <v>17</v>
      </c>
      <c r="M44" s="380">
        <v>17.5</v>
      </c>
      <c r="N44" s="380">
        <v>4</v>
      </c>
      <c r="O44" s="380">
        <v>39</v>
      </c>
    </row>
    <row r="45" spans="2:15" x14ac:dyDescent="0.25">
      <c r="B45" s="379" t="s">
        <v>370</v>
      </c>
      <c r="C45" s="379" t="s">
        <v>367</v>
      </c>
      <c r="D45" s="380">
        <v>0</v>
      </c>
      <c r="E45" s="380">
        <v>0</v>
      </c>
      <c r="F45" s="380">
        <v>0</v>
      </c>
      <c r="G45" s="380">
        <v>0</v>
      </c>
      <c r="H45" s="380">
        <v>0</v>
      </c>
      <c r="I45" s="380">
        <v>12</v>
      </c>
      <c r="J45" s="380">
        <v>0</v>
      </c>
      <c r="K45" s="380">
        <v>5</v>
      </c>
      <c r="L45" s="380">
        <v>0</v>
      </c>
      <c r="M45" s="380">
        <v>0</v>
      </c>
      <c r="N45" s="380">
        <v>0</v>
      </c>
      <c r="O45" s="380">
        <v>2</v>
      </c>
    </row>
    <row r="46" spans="2:15" x14ac:dyDescent="0.25">
      <c r="B46" s="379" t="s">
        <v>371</v>
      </c>
      <c r="C46" s="379" t="s">
        <v>367</v>
      </c>
      <c r="D46" s="380">
        <v>0</v>
      </c>
      <c r="E46" s="380">
        <v>5</v>
      </c>
      <c r="F46" s="380">
        <v>0</v>
      </c>
      <c r="G46" s="380">
        <v>0</v>
      </c>
      <c r="H46" s="380">
        <v>1</v>
      </c>
      <c r="I46" s="380">
        <v>3</v>
      </c>
      <c r="J46" s="380">
        <v>2</v>
      </c>
      <c r="K46" s="380">
        <v>0</v>
      </c>
      <c r="L46" s="380">
        <v>0</v>
      </c>
      <c r="M46" s="380">
        <v>0</v>
      </c>
      <c r="N46" s="380">
        <v>0</v>
      </c>
      <c r="O46" s="380">
        <v>6</v>
      </c>
    </row>
    <row r="47" spans="2:15" x14ac:dyDescent="0.25">
      <c r="B47" s="379" t="s">
        <v>372</v>
      </c>
      <c r="C47" s="379" t="s">
        <v>373</v>
      </c>
      <c r="D47" s="380">
        <v>1</v>
      </c>
      <c r="E47" s="380">
        <v>1</v>
      </c>
      <c r="F47" s="380">
        <v>1</v>
      </c>
      <c r="G47" s="380">
        <v>2</v>
      </c>
      <c r="H47" s="380">
        <v>2</v>
      </c>
      <c r="I47" s="380">
        <v>1</v>
      </c>
      <c r="J47" s="380">
        <v>0</v>
      </c>
      <c r="K47" s="380">
        <v>1</v>
      </c>
      <c r="L47" s="380">
        <v>2</v>
      </c>
      <c r="M47" s="380">
        <v>2</v>
      </c>
      <c r="N47" s="380">
        <v>1</v>
      </c>
      <c r="O47" s="380">
        <v>3</v>
      </c>
    </row>
    <row r="48" spans="2:15" x14ac:dyDescent="0.25">
      <c r="B48" s="379" t="s">
        <v>372</v>
      </c>
      <c r="C48" s="379" t="s">
        <v>367</v>
      </c>
      <c r="D48" s="380">
        <v>31</v>
      </c>
      <c r="E48" s="380">
        <v>10</v>
      </c>
      <c r="F48" s="380">
        <v>13</v>
      </c>
      <c r="G48" s="380">
        <v>42</v>
      </c>
      <c r="H48" s="380">
        <v>62</v>
      </c>
      <c r="I48" s="380">
        <v>49</v>
      </c>
      <c r="J48" s="380">
        <v>0</v>
      </c>
      <c r="K48" s="380">
        <v>5</v>
      </c>
      <c r="L48" s="380">
        <v>45</v>
      </c>
      <c r="M48" s="380">
        <v>60</v>
      </c>
      <c r="N48" s="380">
        <v>30</v>
      </c>
      <c r="O48" s="380">
        <v>83</v>
      </c>
    </row>
    <row r="49" spans="2:15" x14ac:dyDescent="0.25">
      <c r="B49" s="379" t="s">
        <v>374</v>
      </c>
      <c r="C49" s="379" t="s">
        <v>375</v>
      </c>
      <c r="D49" s="380">
        <v>0</v>
      </c>
      <c r="E49" s="380">
        <v>0</v>
      </c>
      <c r="F49" s="380">
        <v>0</v>
      </c>
      <c r="G49" s="380">
        <v>0</v>
      </c>
      <c r="H49" s="380">
        <v>0</v>
      </c>
      <c r="I49" s="380">
        <v>0</v>
      </c>
      <c r="J49" s="380">
        <v>0</v>
      </c>
      <c r="K49" s="380">
        <v>1</v>
      </c>
      <c r="L49" s="380">
        <v>1</v>
      </c>
      <c r="M49" s="380">
        <v>0</v>
      </c>
      <c r="N49" s="380">
        <v>0</v>
      </c>
      <c r="O49" s="380">
        <v>0</v>
      </c>
    </row>
    <row r="50" spans="2:15" x14ac:dyDescent="0.25">
      <c r="B50" s="379" t="s">
        <v>376</v>
      </c>
      <c r="C50" s="379" t="s">
        <v>377</v>
      </c>
      <c r="D50" s="380">
        <v>254</v>
      </c>
      <c r="E50" s="380">
        <v>258</v>
      </c>
      <c r="F50" s="380">
        <v>261</v>
      </c>
      <c r="G50" s="380">
        <v>262</v>
      </c>
      <c r="H50" s="380">
        <v>264</v>
      </c>
      <c r="I50" s="380">
        <v>260</v>
      </c>
      <c r="J50" s="380">
        <v>264</v>
      </c>
      <c r="K50" s="380">
        <v>262</v>
      </c>
      <c r="L50" s="380">
        <v>263</v>
      </c>
      <c r="M50" s="380">
        <v>263</v>
      </c>
      <c r="N50" s="380">
        <v>265</v>
      </c>
      <c r="O50" s="380">
        <v>262</v>
      </c>
    </row>
    <row r="51" spans="2:15" x14ac:dyDescent="0.25">
      <c r="B51" s="379" t="s">
        <v>378</v>
      </c>
      <c r="C51" s="379" t="s">
        <v>379</v>
      </c>
      <c r="D51" s="380">
        <v>0</v>
      </c>
      <c r="E51" s="380">
        <v>1</v>
      </c>
      <c r="F51" s="380">
        <v>0</v>
      </c>
      <c r="G51" s="380">
        <v>0</v>
      </c>
      <c r="H51" s="380">
        <v>0</v>
      </c>
      <c r="I51" s="380">
        <v>0</v>
      </c>
      <c r="J51" s="380">
        <v>0</v>
      </c>
      <c r="K51" s="380">
        <v>0</v>
      </c>
      <c r="L51" s="380">
        <v>0</v>
      </c>
      <c r="M51" s="380">
        <v>0</v>
      </c>
      <c r="N51" s="380">
        <v>0</v>
      </c>
      <c r="O51" s="380">
        <v>0</v>
      </c>
    </row>
    <row r="52" spans="2:15" x14ac:dyDescent="0.25">
      <c r="B52" s="379" t="s">
        <v>380</v>
      </c>
      <c r="C52" s="379" t="s">
        <v>379</v>
      </c>
      <c r="D52" s="380">
        <v>0</v>
      </c>
      <c r="E52" s="380">
        <v>0</v>
      </c>
      <c r="F52" s="380">
        <v>1</v>
      </c>
      <c r="G52" s="380">
        <v>0</v>
      </c>
      <c r="H52" s="380">
        <v>0</v>
      </c>
      <c r="I52" s="380">
        <v>0</v>
      </c>
      <c r="J52" s="380">
        <v>0</v>
      </c>
      <c r="K52" s="380">
        <v>0</v>
      </c>
      <c r="L52" s="380">
        <v>0</v>
      </c>
      <c r="M52" s="380">
        <v>0</v>
      </c>
      <c r="N52" s="380">
        <v>0</v>
      </c>
      <c r="O52" s="380">
        <v>0</v>
      </c>
    </row>
    <row r="53" spans="2:15" x14ac:dyDescent="0.25">
      <c r="B53" s="379" t="s">
        <v>387</v>
      </c>
      <c r="C53" s="379" t="s">
        <v>388</v>
      </c>
      <c r="D53" s="380">
        <v>0</v>
      </c>
      <c r="E53" s="380">
        <v>0</v>
      </c>
      <c r="F53" s="380">
        <v>0</v>
      </c>
      <c r="G53" s="380">
        <v>0</v>
      </c>
      <c r="H53" s="380">
        <v>0</v>
      </c>
      <c r="I53" s="380">
        <v>2</v>
      </c>
      <c r="J53" s="380">
        <v>0</v>
      </c>
      <c r="K53" s="380">
        <v>0</v>
      </c>
      <c r="L53" s="380">
        <v>0</v>
      </c>
      <c r="M53" s="380">
        <v>0</v>
      </c>
      <c r="N53" s="380">
        <v>0</v>
      </c>
      <c r="O53" s="380">
        <v>3</v>
      </c>
    </row>
    <row r="54" spans="2:15" x14ac:dyDescent="0.25">
      <c r="B54" s="379" t="s">
        <v>87</v>
      </c>
      <c r="C54" s="379" t="s">
        <v>381</v>
      </c>
      <c r="D54" s="380">
        <v>1</v>
      </c>
      <c r="E54" s="380">
        <v>0</v>
      </c>
      <c r="F54" s="380">
        <v>0</v>
      </c>
      <c r="G54" s="380">
        <v>0</v>
      </c>
      <c r="H54" s="380">
        <v>0</v>
      </c>
      <c r="I54" s="380">
        <v>1</v>
      </c>
      <c r="J54" s="380">
        <v>0</v>
      </c>
      <c r="K54" s="380">
        <v>3</v>
      </c>
      <c r="L54" s="380">
        <v>1</v>
      </c>
      <c r="M54" s="380">
        <v>1</v>
      </c>
      <c r="N54" s="380">
        <v>0</v>
      </c>
      <c r="O54" s="380">
        <v>1</v>
      </c>
    </row>
    <row r="55" spans="2:15" x14ac:dyDescent="0.25">
      <c r="B55" s="379" t="s">
        <v>382</v>
      </c>
      <c r="C55" s="379" t="s">
        <v>383</v>
      </c>
      <c r="D55" s="380">
        <v>0</v>
      </c>
      <c r="E55" s="380">
        <v>1</v>
      </c>
      <c r="F55" s="380">
        <v>0</v>
      </c>
      <c r="G55" s="380">
        <v>0</v>
      </c>
      <c r="H55" s="380">
        <v>0</v>
      </c>
      <c r="I55" s="380">
        <v>0</v>
      </c>
      <c r="J55" s="380">
        <v>0</v>
      </c>
      <c r="K55" s="380">
        <v>0</v>
      </c>
      <c r="L55" s="380">
        <v>0</v>
      </c>
      <c r="M55" s="380">
        <v>0</v>
      </c>
      <c r="N55" s="380">
        <v>0</v>
      </c>
      <c r="O55" s="380">
        <v>0</v>
      </c>
    </row>
    <row r="56" spans="2:15" x14ac:dyDescent="0.25">
      <c r="B56" s="379" t="s">
        <v>394</v>
      </c>
      <c r="C56" s="379" t="s">
        <v>395</v>
      </c>
      <c r="D56" s="380">
        <v>0</v>
      </c>
      <c r="E56" s="380">
        <v>0</v>
      </c>
      <c r="F56" s="380">
        <v>0</v>
      </c>
      <c r="G56" s="380">
        <v>0</v>
      </c>
      <c r="H56" s="380">
        <v>0</v>
      </c>
      <c r="I56" s="380">
        <v>1</v>
      </c>
      <c r="J56" s="380">
        <v>0</v>
      </c>
      <c r="K56" s="380">
        <v>0</v>
      </c>
      <c r="L56" s="380">
        <v>0</v>
      </c>
      <c r="M56" s="380">
        <v>0</v>
      </c>
      <c r="N56" s="380">
        <v>0</v>
      </c>
      <c r="O56" s="380">
        <v>1</v>
      </c>
    </row>
    <row r="57" spans="2:15" x14ac:dyDescent="0.25">
      <c r="B57" s="379" t="s">
        <v>384</v>
      </c>
      <c r="C57" s="379" t="s">
        <v>385</v>
      </c>
      <c r="D57" s="380">
        <v>1</v>
      </c>
      <c r="E57" s="380">
        <v>1</v>
      </c>
      <c r="F57" s="380">
        <v>2</v>
      </c>
      <c r="G57" s="380">
        <v>4</v>
      </c>
      <c r="H57" s="380">
        <v>4</v>
      </c>
      <c r="I57" s="380">
        <v>3</v>
      </c>
      <c r="J57" s="380">
        <v>7</v>
      </c>
      <c r="K57" s="380">
        <v>8</v>
      </c>
      <c r="L57" s="380">
        <v>7</v>
      </c>
      <c r="M57" s="380">
        <v>6</v>
      </c>
      <c r="N57" s="380">
        <v>5</v>
      </c>
      <c r="O57" s="380">
        <v>7</v>
      </c>
    </row>
    <row r="58" spans="2:15" x14ac:dyDescent="0.25">
      <c r="B58" s="379" t="s">
        <v>391</v>
      </c>
      <c r="C58" s="379" t="s">
        <v>392</v>
      </c>
      <c r="D58" s="380">
        <v>0</v>
      </c>
      <c r="E58" s="380">
        <v>0</v>
      </c>
      <c r="F58" s="380">
        <v>0</v>
      </c>
      <c r="G58" s="380">
        <v>0</v>
      </c>
      <c r="H58" s="380">
        <v>0</v>
      </c>
      <c r="I58" s="380">
        <v>3</v>
      </c>
      <c r="J58" s="380">
        <v>0</v>
      </c>
      <c r="K58" s="380">
        <v>0</v>
      </c>
      <c r="L58" s="380">
        <v>1</v>
      </c>
      <c r="M58" s="380">
        <v>0</v>
      </c>
      <c r="N58" s="380">
        <v>0</v>
      </c>
      <c r="O58" s="380">
        <v>1</v>
      </c>
    </row>
    <row r="59" spans="2:15" x14ac:dyDescent="0.25">
      <c r="B59" s="379" t="s">
        <v>201</v>
      </c>
      <c r="C59" s="379" t="s">
        <v>393</v>
      </c>
      <c r="D59" s="380">
        <v>2</v>
      </c>
      <c r="E59" s="380">
        <v>4</v>
      </c>
      <c r="F59" s="380">
        <v>0</v>
      </c>
      <c r="G59" s="380">
        <v>0</v>
      </c>
      <c r="H59" s="380">
        <v>0</v>
      </c>
      <c r="I59" s="380">
        <v>0</v>
      </c>
      <c r="J59" s="380">
        <v>0</v>
      </c>
      <c r="K59" s="380">
        <v>1</v>
      </c>
      <c r="L59" s="380">
        <v>2</v>
      </c>
      <c r="M59" s="380">
        <v>0</v>
      </c>
      <c r="N59" s="380">
        <v>0</v>
      </c>
      <c r="O59" s="380">
        <v>0</v>
      </c>
    </row>
    <row r="62" spans="2:15" x14ac:dyDescent="0.25">
      <c r="B62" s="381" t="s">
        <v>364</v>
      </c>
      <c r="C62" s="382" t="s">
        <v>365</v>
      </c>
      <c r="D62" s="383">
        <v>43831</v>
      </c>
      <c r="E62" s="383">
        <v>43862</v>
      </c>
      <c r="F62" s="383">
        <v>43891</v>
      </c>
      <c r="G62" s="383">
        <v>43922</v>
      </c>
      <c r="H62" s="383">
        <v>43952</v>
      </c>
      <c r="I62" s="383">
        <v>43983</v>
      </c>
      <c r="J62" s="383">
        <v>44013</v>
      </c>
      <c r="K62" s="383">
        <v>44044</v>
      </c>
      <c r="L62" s="383">
        <v>44075</v>
      </c>
      <c r="M62" s="383">
        <v>44105</v>
      </c>
      <c r="N62" s="383">
        <v>44136</v>
      </c>
      <c r="O62" s="383">
        <v>44166</v>
      </c>
    </row>
    <row r="63" spans="2:15" x14ac:dyDescent="0.25">
      <c r="B63" s="379" t="s">
        <v>396</v>
      </c>
      <c r="C63" s="384" t="s">
        <v>367</v>
      </c>
      <c r="D63" s="380">
        <v>450</v>
      </c>
      <c r="E63" s="380">
        <v>195.5</v>
      </c>
      <c r="F63" s="380">
        <v>255.5</v>
      </c>
      <c r="G63" s="380">
        <v>861</v>
      </c>
      <c r="H63" s="380">
        <v>565.5</v>
      </c>
      <c r="I63" s="380">
        <v>651.5</v>
      </c>
      <c r="J63" s="380">
        <v>658.5</v>
      </c>
      <c r="K63" s="380">
        <v>273</v>
      </c>
      <c r="L63" s="380">
        <v>290</v>
      </c>
      <c r="M63" s="380">
        <v>322.5</v>
      </c>
      <c r="N63" s="380">
        <v>328.5</v>
      </c>
      <c r="O63" s="380">
        <v>509</v>
      </c>
    </row>
    <row r="64" spans="2:15" x14ac:dyDescent="0.25">
      <c r="B64" s="379" t="s">
        <v>368</v>
      </c>
      <c r="C64" s="384" t="s">
        <v>367</v>
      </c>
      <c r="D64" s="380">
        <v>9</v>
      </c>
      <c r="E64" s="380">
        <v>7</v>
      </c>
      <c r="F64" s="380">
        <v>9</v>
      </c>
      <c r="G64" s="380">
        <v>0</v>
      </c>
      <c r="H64" s="380">
        <v>3</v>
      </c>
      <c r="I64" s="380">
        <v>6</v>
      </c>
      <c r="J64" s="380">
        <v>4</v>
      </c>
      <c r="K64" s="380">
        <v>8</v>
      </c>
      <c r="L64" s="380">
        <v>14</v>
      </c>
      <c r="M64" s="380">
        <v>13</v>
      </c>
      <c r="N64" s="380">
        <v>12</v>
      </c>
      <c r="O64" s="380">
        <v>2</v>
      </c>
    </row>
    <row r="65" spans="2:15" ht="42.75" x14ac:dyDescent="0.25">
      <c r="B65" s="384" t="s">
        <v>386</v>
      </c>
      <c r="C65" s="384" t="s">
        <v>367</v>
      </c>
      <c r="D65" s="385">
        <v>43</v>
      </c>
      <c r="E65" s="385">
        <v>19</v>
      </c>
      <c r="F65" s="385">
        <v>13</v>
      </c>
      <c r="G65" s="386" t="s">
        <v>397</v>
      </c>
      <c r="H65" s="385">
        <v>26</v>
      </c>
      <c r="I65" s="387">
        <v>22</v>
      </c>
      <c r="J65" s="387">
        <v>588</v>
      </c>
      <c r="K65" s="387">
        <v>673</v>
      </c>
      <c r="L65" s="385">
        <v>48</v>
      </c>
      <c r="M65" s="385">
        <v>44</v>
      </c>
      <c r="N65" s="385">
        <v>11</v>
      </c>
      <c r="O65" s="385">
        <v>19</v>
      </c>
    </row>
    <row r="66" spans="2:15" x14ac:dyDescent="0.25">
      <c r="B66" s="379" t="s">
        <v>370</v>
      </c>
      <c r="C66" s="384" t="s">
        <v>367</v>
      </c>
      <c r="D66" s="380">
        <v>0</v>
      </c>
      <c r="E66" s="380">
        <v>0</v>
      </c>
      <c r="F66" s="380">
        <v>3</v>
      </c>
      <c r="G66" s="380">
        <v>0</v>
      </c>
      <c r="H66" s="380">
        <v>0</v>
      </c>
      <c r="I66" s="380">
        <v>0</v>
      </c>
      <c r="J66" s="380">
        <v>5</v>
      </c>
      <c r="K66" s="380">
        <v>27</v>
      </c>
      <c r="L66" s="380">
        <v>0</v>
      </c>
      <c r="M66" s="380">
        <v>0</v>
      </c>
      <c r="N66" s="380">
        <v>0</v>
      </c>
      <c r="O66" s="380">
        <v>2</v>
      </c>
    </row>
    <row r="67" spans="2:15" x14ac:dyDescent="0.25">
      <c r="B67" s="379" t="s">
        <v>371</v>
      </c>
      <c r="C67" s="384" t="s">
        <v>367</v>
      </c>
      <c r="D67" s="380">
        <v>0</v>
      </c>
      <c r="E67" s="380">
        <v>3</v>
      </c>
      <c r="F67" s="380">
        <v>3</v>
      </c>
      <c r="G67" s="380">
        <v>0</v>
      </c>
      <c r="H67" s="380">
        <v>0</v>
      </c>
      <c r="I67" s="380">
        <v>0</v>
      </c>
      <c r="J67" s="380">
        <v>1</v>
      </c>
      <c r="K67" s="380">
        <v>2</v>
      </c>
      <c r="L67" s="380">
        <v>4</v>
      </c>
      <c r="M67" s="380">
        <v>4</v>
      </c>
      <c r="N67" s="380">
        <v>4</v>
      </c>
      <c r="O67" s="380">
        <v>4</v>
      </c>
    </row>
    <row r="68" spans="2:15" x14ac:dyDescent="0.25">
      <c r="B68" s="379" t="s">
        <v>372</v>
      </c>
      <c r="C68" s="384" t="s">
        <v>373</v>
      </c>
      <c r="D68" s="380">
        <v>2</v>
      </c>
      <c r="E68" s="380">
        <v>2</v>
      </c>
      <c r="F68" s="380">
        <v>2</v>
      </c>
      <c r="G68" s="380">
        <v>3</v>
      </c>
      <c r="H68" s="380">
        <v>2</v>
      </c>
      <c r="I68" s="380">
        <v>2</v>
      </c>
      <c r="J68" s="380">
        <v>2</v>
      </c>
      <c r="K68" s="380">
        <v>4</v>
      </c>
      <c r="L68" s="380">
        <v>2</v>
      </c>
      <c r="M68" s="380">
        <v>3</v>
      </c>
      <c r="N68" s="380">
        <v>3</v>
      </c>
      <c r="O68" s="380">
        <v>3</v>
      </c>
    </row>
    <row r="69" spans="2:15" x14ac:dyDescent="0.25">
      <c r="B69" s="379" t="s">
        <v>372</v>
      </c>
      <c r="C69" s="384" t="s">
        <v>367</v>
      </c>
      <c r="D69" s="380">
        <v>37</v>
      </c>
      <c r="E69" s="380">
        <v>49</v>
      </c>
      <c r="F69" s="380">
        <v>60</v>
      </c>
      <c r="G69" s="380">
        <v>65</v>
      </c>
      <c r="H69" s="380">
        <v>15</v>
      </c>
      <c r="I69" s="380">
        <v>60</v>
      </c>
      <c r="J69" s="380">
        <v>60</v>
      </c>
      <c r="K69" s="380">
        <v>75</v>
      </c>
      <c r="L69" s="380">
        <v>60</v>
      </c>
      <c r="M69" s="380">
        <v>80</v>
      </c>
      <c r="N69" s="380">
        <v>70</v>
      </c>
      <c r="O69" s="380">
        <v>90</v>
      </c>
    </row>
    <row r="70" spans="2:15" x14ac:dyDescent="0.25">
      <c r="B70" s="379" t="s">
        <v>374</v>
      </c>
      <c r="C70" s="384" t="s">
        <v>375</v>
      </c>
      <c r="D70" s="380">
        <v>0</v>
      </c>
      <c r="E70" s="380">
        <v>0</v>
      </c>
      <c r="F70" s="380">
        <v>0</v>
      </c>
      <c r="G70" s="380">
        <v>0</v>
      </c>
      <c r="H70" s="380">
        <v>0</v>
      </c>
      <c r="I70" s="380">
        <v>0</v>
      </c>
      <c r="J70" s="380">
        <v>0</v>
      </c>
      <c r="K70" s="380">
        <v>0</v>
      </c>
      <c r="L70" s="380">
        <v>0</v>
      </c>
      <c r="M70" s="380">
        <v>0</v>
      </c>
      <c r="N70" s="380">
        <v>0</v>
      </c>
      <c r="O70" s="380">
        <v>0</v>
      </c>
    </row>
    <row r="71" spans="2:15" x14ac:dyDescent="0.25">
      <c r="B71" s="379" t="s">
        <v>376</v>
      </c>
      <c r="C71" s="384" t="s">
        <v>377</v>
      </c>
      <c r="D71" s="380">
        <v>264</v>
      </c>
      <c r="E71" s="380">
        <v>270</v>
      </c>
      <c r="F71" s="380">
        <v>273</v>
      </c>
      <c r="G71" s="380">
        <v>270</v>
      </c>
      <c r="H71" s="380">
        <v>264</v>
      </c>
      <c r="I71" s="380">
        <v>263</v>
      </c>
      <c r="J71" s="380">
        <v>263</v>
      </c>
      <c r="K71" s="380">
        <v>263</v>
      </c>
      <c r="L71" s="380">
        <v>263</v>
      </c>
      <c r="M71" s="380">
        <v>265</v>
      </c>
      <c r="N71" s="380">
        <v>263</v>
      </c>
      <c r="O71" s="380">
        <v>263</v>
      </c>
    </row>
    <row r="72" spans="2:15" x14ac:dyDescent="0.25">
      <c r="B72" s="379" t="s">
        <v>378</v>
      </c>
      <c r="C72" s="384" t="s">
        <v>379</v>
      </c>
      <c r="D72" s="388">
        <v>0</v>
      </c>
      <c r="E72" s="388">
        <v>0</v>
      </c>
      <c r="F72" s="388">
        <v>0</v>
      </c>
      <c r="G72" s="388">
        <v>0</v>
      </c>
      <c r="H72" s="388">
        <v>0</v>
      </c>
      <c r="I72" s="388">
        <v>0</v>
      </c>
      <c r="J72" s="388">
        <v>0</v>
      </c>
      <c r="K72" s="388">
        <v>0</v>
      </c>
      <c r="L72" s="380">
        <v>0</v>
      </c>
      <c r="M72" s="380">
        <v>0</v>
      </c>
      <c r="N72" s="380">
        <v>0</v>
      </c>
      <c r="O72" s="380">
        <v>0</v>
      </c>
    </row>
    <row r="73" spans="2:15" x14ac:dyDescent="0.25">
      <c r="B73" s="379" t="s">
        <v>380</v>
      </c>
      <c r="C73" s="384" t="s">
        <v>379</v>
      </c>
      <c r="D73" s="388">
        <v>0</v>
      </c>
      <c r="E73" s="388">
        <v>1</v>
      </c>
      <c r="F73" s="388">
        <v>1</v>
      </c>
      <c r="G73" s="388">
        <v>0</v>
      </c>
      <c r="H73" s="388">
        <v>0</v>
      </c>
      <c r="I73" s="388">
        <v>0</v>
      </c>
      <c r="J73" s="388">
        <v>0</v>
      </c>
      <c r="K73" s="388">
        <v>0</v>
      </c>
      <c r="L73" s="380">
        <v>0</v>
      </c>
      <c r="M73" s="380">
        <v>0</v>
      </c>
      <c r="N73" s="380">
        <v>0</v>
      </c>
      <c r="O73" s="380">
        <v>0</v>
      </c>
    </row>
    <row r="74" spans="2:15" x14ac:dyDescent="0.25">
      <c r="B74" s="379" t="s">
        <v>387</v>
      </c>
      <c r="C74" s="384" t="s">
        <v>388</v>
      </c>
      <c r="D74" s="388">
        <v>0</v>
      </c>
      <c r="E74" s="388">
        <v>0</v>
      </c>
      <c r="F74" s="388">
        <v>0</v>
      </c>
      <c r="G74" s="388">
        <v>0</v>
      </c>
      <c r="H74" s="388">
        <v>4</v>
      </c>
      <c r="I74" s="388">
        <v>1</v>
      </c>
      <c r="J74" s="388">
        <v>0</v>
      </c>
      <c r="K74" s="388">
        <v>0</v>
      </c>
      <c r="L74" s="380">
        <v>0</v>
      </c>
      <c r="M74" s="380">
        <v>0</v>
      </c>
      <c r="N74" s="380">
        <v>1</v>
      </c>
      <c r="O74" s="380">
        <v>0</v>
      </c>
    </row>
    <row r="75" spans="2:15" x14ac:dyDescent="0.25">
      <c r="B75" s="379" t="s">
        <v>87</v>
      </c>
      <c r="C75" s="384" t="s">
        <v>381</v>
      </c>
      <c r="D75" s="388">
        <v>0</v>
      </c>
      <c r="E75" s="388">
        <v>0</v>
      </c>
      <c r="F75" s="388">
        <v>0</v>
      </c>
      <c r="G75" s="388">
        <v>0</v>
      </c>
      <c r="H75" s="388">
        <v>1</v>
      </c>
      <c r="I75" s="388">
        <v>0</v>
      </c>
      <c r="J75" s="388">
        <v>0</v>
      </c>
      <c r="K75" s="388">
        <v>0</v>
      </c>
      <c r="L75" s="380">
        <v>0</v>
      </c>
      <c r="M75" s="380">
        <v>0</v>
      </c>
      <c r="N75" s="380">
        <v>1</v>
      </c>
      <c r="O75" s="380">
        <v>0</v>
      </c>
    </row>
    <row r="76" spans="2:15" x14ac:dyDescent="0.25">
      <c r="B76" s="379" t="s">
        <v>382</v>
      </c>
      <c r="C76" s="384" t="s">
        <v>383</v>
      </c>
      <c r="D76" s="388">
        <v>0</v>
      </c>
      <c r="E76" s="388">
        <v>0</v>
      </c>
      <c r="F76" s="388">
        <v>0</v>
      </c>
      <c r="G76" s="388">
        <v>0</v>
      </c>
      <c r="H76" s="388">
        <v>0</v>
      </c>
      <c r="I76" s="388">
        <v>0</v>
      </c>
      <c r="J76" s="388">
        <v>0</v>
      </c>
      <c r="K76" s="388">
        <v>0</v>
      </c>
      <c r="L76" s="380">
        <v>0</v>
      </c>
      <c r="M76" s="380">
        <v>0</v>
      </c>
      <c r="N76" s="380">
        <v>0</v>
      </c>
      <c r="O76" s="380">
        <v>0</v>
      </c>
    </row>
    <row r="77" spans="2:15" x14ac:dyDescent="0.25">
      <c r="B77" s="379" t="s">
        <v>398</v>
      </c>
      <c r="C77" s="384" t="s">
        <v>395</v>
      </c>
      <c r="D77" s="388">
        <v>0</v>
      </c>
      <c r="E77" s="388">
        <v>1</v>
      </c>
      <c r="F77" s="388">
        <v>4</v>
      </c>
      <c r="G77" s="388">
        <v>2</v>
      </c>
      <c r="H77" s="388">
        <v>1</v>
      </c>
      <c r="I77" s="388">
        <v>1</v>
      </c>
      <c r="J77" s="388">
        <v>0</v>
      </c>
      <c r="K77" s="388">
        <v>0</v>
      </c>
      <c r="L77" s="380">
        <v>1</v>
      </c>
      <c r="M77" s="380">
        <v>0</v>
      </c>
      <c r="N77" s="380">
        <v>0</v>
      </c>
      <c r="O77" s="380">
        <v>1</v>
      </c>
    </row>
    <row r="78" spans="2:15" x14ac:dyDescent="0.25">
      <c r="B78" s="379" t="s">
        <v>399</v>
      </c>
      <c r="C78" s="384"/>
      <c r="D78" s="388">
        <v>0</v>
      </c>
      <c r="E78" s="389">
        <v>0</v>
      </c>
      <c r="F78" s="388">
        <v>1</v>
      </c>
      <c r="G78" s="388">
        <v>0</v>
      </c>
      <c r="H78" s="388">
        <v>0</v>
      </c>
      <c r="I78" s="388">
        <v>0</v>
      </c>
      <c r="J78" s="388">
        <v>0</v>
      </c>
      <c r="K78" s="388">
        <v>0</v>
      </c>
      <c r="L78" s="380">
        <v>0</v>
      </c>
      <c r="M78" s="380">
        <v>0</v>
      </c>
      <c r="N78" s="380">
        <v>0</v>
      </c>
      <c r="O78" s="380">
        <v>0</v>
      </c>
    </row>
    <row r="79" spans="2:15" x14ac:dyDescent="0.25">
      <c r="B79" s="379" t="s">
        <v>384</v>
      </c>
      <c r="C79" s="384" t="s">
        <v>385</v>
      </c>
      <c r="D79" s="380">
        <v>5</v>
      </c>
      <c r="E79" s="380">
        <v>5</v>
      </c>
      <c r="F79" s="380">
        <v>5</v>
      </c>
      <c r="G79" s="380">
        <v>8</v>
      </c>
      <c r="H79" s="380">
        <v>5</v>
      </c>
      <c r="I79" s="380">
        <v>4</v>
      </c>
      <c r="J79" s="380">
        <v>3</v>
      </c>
      <c r="K79" s="380">
        <v>3</v>
      </c>
      <c r="L79" s="380">
        <v>3</v>
      </c>
      <c r="M79" s="380">
        <v>5</v>
      </c>
      <c r="N79" s="380">
        <v>5</v>
      </c>
      <c r="O79" s="380">
        <v>4</v>
      </c>
    </row>
    <row r="80" spans="2:15" x14ac:dyDescent="0.25">
      <c r="B80" s="379" t="s">
        <v>391</v>
      </c>
      <c r="C80" s="384" t="s">
        <v>392</v>
      </c>
      <c r="D80" s="380">
        <v>1</v>
      </c>
      <c r="E80" s="380">
        <v>0</v>
      </c>
      <c r="F80" s="380">
        <v>0</v>
      </c>
      <c r="G80" s="380">
        <v>0</v>
      </c>
      <c r="H80" s="380">
        <v>0</v>
      </c>
      <c r="I80" s="380">
        <v>0</v>
      </c>
      <c r="J80" s="380">
        <v>0</v>
      </c>
      <c r="K80" s="380">
        <v>3</v>
      </c>
      <c r="L80" s="380">
        <v>0</v>
      </c>
      <c r="M80" s="380">
        <v>1</v>
      </c>
      <c r="N80" s="380">
        <v>0</v>
      </c>
      <c r="O80" s="380">
        <v>0</v>
      </c>
    </row>
    <row r="81" spans="2:17" x14ac:dyDescent="0.25">
      <c r="B81" s="379" t="s">
        <v>201</v>
      </c>
      <c r="C81" s="384" t="s">
        <v>393</v>
      </c>
      <c r="D81" s="380">
        <v>0</v>
      </c>
      <c r="E81" s="380">
        <v>1</v>
      </c>
      <c r="F81" s="380">
        <v>0</v>
      </c>
      <c r="G81" s="380">
        <v>0</v>
      </c>
      <c r="H81" s="380">
        <v>0</v>
      </c>
      <c r="I81" s="380">
        <v>1</v>
      </c>
      <c r="J81" s="380">
        <v>0</v>
      </c>
      <c r="K81" s="380">
        <v>0</v>
      </c>
      <c r="L81" s="380">
        <v>0</v>
      </c>
      <c r="M81" s="380">
        <v>0</v>
      </c>
      <c r="N81" s="380">
        <v>0</v>
      </c>
      <c r="O81" s="380">
        <v>0</v>
      </c>
    </row>
    <row r="84" spans="2:17" x14ac:dyDescent="0.25">
      <c r="B84" s="390" t="s">
        <v>364</v>
      </c>
      <c r="C84" s="390" t="s">
        <v>365</v>
      </c>
      <c r="D84" s="383">
        <v>44197</v>
      </c>
      <c r="E84" s="383">
        <v>44228</v>
      </c>
      <c r="F84" s="383">
        <v>44256</v>
      </c>
      <c r="G84" s="383">
        <v>44287</v>
      </c>
      <c r="H84" s="383">
        <v>44317</v>
      </c>
      <c r="I84" s="383">
        <v>44348</v>
      </c>
      <c r="J84" s="383">
        <v>44378</v>
      </c>
      <c r="K84" s="383">
        <v>44409</v>
      </c>
      <c r="L84" s="383">
        <v>44440</v>
      </c>
      <c r="M84" s="383">
        <v>44470</v>
      </c>
      <c r="N84" s="383">
        <v>44501</v>
      </c>
      <c r="O84" s="383">
        <v>44531</v>
      </c>
    </row>
    <row r="85" spans="2:17" x14ac:dyDescent="0.25">
      <c r="B85" s="379" t="s">
        <v>396</v>
      </c>
      <c r="C85" s="384" t="s">
        <v>367</v>
      </c>
      <c r="D85" s="380">
        <v>330.5</v>
      </c>
      <c r="E85" s="380">
        <v>238.8</v>
      </c>
      <c r="F85" s="380">
        <v>340.5</v>
      </c>
      <c r="G85" s="380">
        <v>569</v>
      </c>
      <c r="H85" s="380">
        <v>274.5</v>
      </c>
      <c r="I85" s="380">
        <v>331.5</v>
      </c>
      <c r="J85" s="380">
        <v>438</v>
      </c>
      <c r="K85" s="380">
        <v>670</v>
      </c>
      <c r="L85" s="380">
        <v>509.5</v>
      </c>
      <c r="M85" s="380">
        <v>393</v>
      </c>
      <c r="N85" s="380">
        <v>346</v>
      </c>
      <c r="O85" s="380">
        <v>767</v>
      </c>
    </row>
    <row r="86" spans="2:17" x14ac:dyDescent="0.25">
      <c r="B86" s="379" t="s">
        <v>368</v>
      </c>
      <c r="C86" s="384" t="s">
        <v>367</v>
      </c>
      <c r="D86" s="380">
        <v>18</v>
      </c>
      <c r="E86" s="380">
        <v>5</v>
      </c>
      <c r="F86" s="380">
        <v>6</v>
      </c>
      <c r="G86" s="380">
        <v>19</v>
      </c>
      <c r="H86" s="380">
        <v>13</v>
      </c>
      <c r="I86" s="380">
        <v>16</v>
      </c>
      <c r="J86" s="380">
        <v>25</v>
      </c>
      <c r="K86" s="380">
        <v>14</v>
      </c>
      <c r="L86" s="380">
        <v>10</v>
      </c>
      <c r="M86" s="380">
        <v>22</v>
      </c>
      <c r="N86" s="380">
        <v>9</v>
      </c>
      <c r="O86" s="380">
        <v>14.5</v>
      </c>
    </row>
    <row r="87" spans="2:17" x14ac:dyDescent="0.25">
      <c r="B87" s="384" t="s">
        <v>386</v>
      </c>
      <c r="C87" s="384" t="s">
        <v>367</v>
      </c>
      <c r="D87" s="385">
        <v>13</v>
      </c>
      <c r="E87" s="385">
        <v>59</v>
      </c>
      <c r="F87" s="385">
        <v>44</v>
      </c>
      <c r="G87" s="391">
        <v>449</v>
      </c>
      <c r="H87" s="385">
        <v>103</v>
      </c>
      <c r="I87" s="385">
        <v>89</v>
      </c>
      <c r="J87" s="385">
        <v>24</v>
      </c>
      <c r="K87" s="385">
        <f>49.5-5</f>
        <v>44.5</v>
      </c>
      <c r="L87" s="385">
        <v>95</v>
      </c>
      <c r="M87" s="385">
        <v>29.5</v>
      </c>
      <c r="N87" s="385">
        <v>50</v>
      </c>
      <c r="O87" s="385">
        <f>137+4</f>
        <v>141</v>
      </c>
      <c r="P87" s="392"/>
      <c r="Q87" s="172"/>
    </row>
    <row r="88" spans="2:17" x14ac:dyDescent="0.25">
      <c r="B88" s="379" t="s">
        <v>370</v>
      </c>
      <c r="C88" s="384" t="s">
        <v>367</v>
      </c>
      <c r="D88" s="380">
        <v>3</v>
      </c>
      <c r="E88" s="380">
        <v>4</v>
      </c>
      <c r="F88" s="380">
        <v>0</v>
      </c>
      <c r="G88" s="380">
        <v>4</v>
      </c>
      <c r="H88" s="380">
        <v>0</v>
      </c>
      <c r="I88" s="380">
        <v>0</v>
      </c>
      <c r="J88" s="380">
        <v>0</v>
      </c>
      <c r="K88" s="380">
        <v>5</v>
      </c>
      <c r="L88" s="380">
        <v>0</v>
      </c>
      <c r="M88" s="380">
        <v>4</v>
      </c>
      <c r="N88" s="380">
        <v>2</v>
      </c>
      <c r="O88" s="380">
        <v>5</v>
      </c>
    </row>
    <row r="89" spans="2:17" x14ac:dyDescent="0.25">
      <c r="B89" s="379" t="s">
        <v>371</v>
      </c>
      <c r="C89" s="384" t="s">
        <v>367</v>
      </c>
      <c r="D89" s="380">
        <v>3</v>
      </c>
      <c r="E89" s="380">
        <v>3</v>
      </c>
      <c r="F89" s="380">
        <v>3</v>
      </c>
      <c r="G89" s="380">
        <v>3</v>
      </c>
      <c r="H89" s="380">
        <v>3</v>
      </c>
      <c r="I89" s="380">
        <v>8</v>
      </c>
      <c r="J89" s="380">
        <v>4</v>
      </c>
      <c r="K89" s="380">
        <v>4</v>
      </c>
      <c r="L89" s="380">
        <v>7</v>
      </c>
      <c r="M89" s="380">
        <v>6</v>
      </c>
      <c r="N89" s="380">
        <v>10</v>
      </c>
      <c r="O89" s="380">
        <v>11</v>
      </c>
    </row>
    <row r="90" spans="2:17" x14ac:dyDescent="0.25">
      <c r="B90" s="379" t="s">
        <v>372</v>
      </c>
      <c r="C90" s="384" t="s">
        <v>373</v>
      </c>
      <c r="D90" s="380">
        <v>2</v>
      </c>
      <c r="E90" s="380">
        <v>2</v>
      </c>
      <c r="F90" s="380">
        <v>2</v>
      </c>
      <c r="G90" s="380">
        <v>2</v>
      </c>
      <c r="H90" s="380">
        <v>2</v>
      </c>
      <c r="I90" s="380">
        <v>4</v>
      </c>
      <c r="J90" s="380">
        <v>6</v>
      </c>
      <c r="K90" s="380">
        <v>6</v>
      </c>
      <c r="L90" s="380">
        <v>6</v>
      </c>
      <c r="M90" s="380">
        <v>6</v>
      </c>
      <c r="N90" s="380">
        <v>4</v>
      </c>
      <c r="O90" s="380">
        <v>3</v>
      </c>
    </row>
    <row r="91" spans="2:17" x14ac:dyDescent="0.25">
      <c r="B91" s="379" t="s">
        <v>372</v>
      </c>
      <c r="C91" s="384" t="s">
        <v>367</v>
      </c>
      <c r="D91" s="380">
        <v>60</v>
      </c>
      <c r="E91" s="380">
        <v>19</v>
      </c>
      <c r="F91" s="380">
        <v>60</v>
      </c>
      <c r="G91" s="380">
        <f>20+30+15</f>
        <v>65</v>
      </c>
      <c r="H91" s="380">
        <v>14</v>
      </c>
      <c r="I91" s="380">
        <v>82</v>
      </c>
      <c r="J91" s="380">
        <v>159</v>
      </c>
      <c r="K91" s="380">
        <f>145+25</f>
        <v>170</v>
      </c>
      <c r="L91" s="380">
        <v>145</v>
      </c>
      <c r="M91" s="380">
        <v>201</v>
      </c>
      <c r="N91" s="380">
        <v>84</v>
      </c>
      <c r="O91" s="380">
        <v>79</v>
      </c>
    </row>
    <row r="92" spans="2:17" x14ac:dyDescent="0.25">
      <c r="B92" s="379" t="s">
        <v>374</v>
      </c>
      <c r="C92" s="384" t="s">
        <v>375</v>
      </c>
      <c r="D92" s="380">
        <v>0</v>
      </c>
      <c r="E92" s="380">
        <v>0</v>
      </c>
      <c r="F92" s="380">
        <v>0</v>
      </c>
      <c r="G92" s="380">
        <v>0</v>
      </c>
      <c r="H92" s="380">
        <v>0</v>
      </c>
      <c r="I92" s="380">
        <v>2</v>
      </c>
      <c r="J92" s="380">
        <v>0</v>
      </c>
      <c r="K92" s="380">
        <v>0</v>
      </c>
      <c r="L92" s="380">
        <v>0</v>
      </c>
      <c r="M92" s="380">
        <v>0</v>
      </c>
      <c r="N92" s="380">
        <v>0</v>
      </c>
      <c r="O92" s="380">
        <v>1</v>
      </c>
    </row>
    <row r="93" spans="2:17" x14ac:dyDescent="0.25">
      <c r="B93" s="379" t="s">
        <v>376</v>
      </c>
      <c r="C93" s="384" t="s">
        <v>377</v>
      </c>
      <c r="D93" s="380">
        <v>264</v>
      </c>
      <c r="E93" s="380">
        <v>261</v>
      </c>
      <c r="F93" s="380">
        <v>261</v>
      </c>
      <c r="G93" s="380">
        <v>261</v>
      </c>
      <c r="H93" s="380">
        <f>121+137</f>
        <v>258</v>
      </c>
      <c r="I93" s="380">
        <v>257</v>
      </c>
      <c r="J93" s="380">
        <v>256</v>
      </c>
      <c r="K93" s="380">
        <v>257</v>
      </c>
      <c r="L93" s="380">
        <v>260</v>
      </c>
      <c r="M93" s="380">
        <v>261</v>
      </c>
      <c r="N93" s="380">
        <v>262</v>
      </c>
      <c r="O93" s="380">
        <v>261</v>
      </c>
    </row>
    <row r="94" spans="2:17" ht="15" customHeight="1" x14ac:dyDescent="0.25">
      <c r="B94" s="379" t="s">
        <v>378</v>
      </c>
      <c r="C94" s="384" t="s">
        <v>379</v>
      </c>
      <c r="D94" s="388">
        <v>0</v>
      </c>
      <c r="E94" s="388">
        <v>0</v>
      </c>
      <c r="F94" s="388">
        <v>0</v>
      </c>
      <c r="G94" s="388">
        <v>0</v>
      </c>
      <c r="H94" s="388">
        <v>0</v>
      </c>
      <c r="I94" s="388">
        <v>0</v>
      </c>
      <c r="J94" s="388">
        <v>0</v>
      </c>
      <c r="K94" s="388">
        <v>0</v>
      </c>
      <c r="L94" s="380">
        <v>0</v>
      </c>
      <c r="M94" s="380">
        <v>0</v>
      </c>
      <c r="N94" s="380">
        <v>0</v>
      </c>
      <c r="O94" s="380">
        <v>0</v>
      </c>
    </row>
    <row r="95" spans="2:17" x14ac:dyDescent="0.25">
      <c r="B95" s="379" t="s">
        <v>380</v>
      </c>
      <c r="C95" s="384" t="s">
        <v>379</v>
      </c>
      <c r="D95" s="388">
        <v>0</v>
      </c>
      <c r="E95" s="388">
        <v>0</v>
      </c>
      <c r="F95" s="388">
        <v>0</v>
      </c>
      <c r="G95" s="388">
        <v>0</v>
      </c>
      <c r="H95" s="388">
        <v>0</v>
      </c>
      <c r="I95" s="388">
        <v>1</v>
      </c>
      <c r="J95" s="388">
        <v>0</v>
      </c>
      <c r="K95" s="388">
        <v>0</v>
      </c>
      <c r="L95" s="380">
        <v>0</v>
      </c>
      <c r="M95" s="380">
        <v>0</v>
      </c>
      <c r="N95" s="380">
        <v>0</v>
      </c>
      <c r="O95" s="380">
        <v>0</v>
      </c>
    </row>
    <row r="96" spans="2:17" x14ac:dyDescent="0.25">
      <c r="B96" s="379" t="s">
        <v>387</v>
      </c>
      <c r="C96" s="384" t="s">
        <v>388</v>
      </c>
      <c r="D96" s="388">
        <v>0</v>
      </c>
      <c r="E96" s="388">
        <v>1</v>
      </c>
      <c r="F96" s="388">
        <v>2</v>
      </c>
      <c r="G96" s="388">
        <v>0</v>
      </c>
      <c r="H96" s="388">
        <v>0</v>
      </c>
      <c r="I96" s="388">
        <v>1</v>
      </c>
      <c r="J96" s="388">
        <v>0</v>
      </c>
      <c r="K96" s="388">
        <v>0</v>
      </c>
      <c r="L96" s="380">
        <v>0</v>
      </c>
      <c r="M96" s="380">
        <v>0</v>
      </c>
      <c r="N96" s="380">
        <v>0</v>
      </c>
      <c r="O96" s="380">
        <v>2</v>
      </c>
    </row>
    <row r="97" spans="2:15" x14ac:dyDescent="0.25">
      <c r="B97" s="379" t="s">
        <v>87</v>
      </c>
      <c r="C97" s="384" t="s">
        <v>381</v>
      </c>
      <c r="D97" s="388">
        <v>0</v>
      </c>
      <c r="E97" s="388">
        <v>2</v>
      </c>
      <c r="F97" s="388">
        <v>1</v>
      </c>
      <c r="G97" s="388">
        <v>0</v>
      </c>
      <c r="H97" s="388">
        <v>0</v>
      </c>
      <c r="I97" s="388">
        <v>1</v>
      </c>
      <c r="J97" s="388">
        <v>0</v>
      </c>
      <c r="K97" s="388">
        <v>0</v>
      </c>
      <c r="L97" s="380">
        <v>0</v>
      </c>
      <c r="M97" s="380">
        <v>1</v>
      </c>
      <c r="N97" s="380">
        <v>1</v>
      </c>
      <c r="O97" s="380">
        <v>0</v>
      </c>
    </row>
    <row r="98" spans="2:15" x14ac:dyDescent="0.25">
      <c r="B98" s="379" t="s">
        <v>382</v>
      </c>
      <c r="C98" s="384" t="s">
        <v>383</v>
      </c>
      <c r="D98" s="388">
        <v>0</v>
      </c>
      <c r="E98" s="388">
        <v>0</v>
      </c>
      <c r="F98" s="388">
        <v>0</v>
      </c>
      <c r="G98" s="388">
        <v>0</v>
      </c>
      <c r="H98" s="388">
        <v>1</v>
      </c>
      <c r="I98" s="388">
        <v>0</v>
      </c>
      <c r="J98" s="388">
        <v>0</v>
      </c>
      <c r="K98" s="388">
        <v>0</v>
      </c>
      <c r="L98" s="380">
        <v>0</v>
      </c>
      <c r="M98" s="380">
        <v>0</v>
      </c>
      <c r="N98" s="380">
        <v>0</v>
      </c>
      <c r="O98" s="380">
        <v>0</v>
      </c>
    </row>
    <row r="99" spans="2:15" x14ac:dyDescent="0.25">
      <c r="B99" s="379" t="s">
        <v>398</v>
      </c>
      <c r="C99" s="384" t="s">
        <v>395</v>
      </c>
      <c r="D99" s="388">
        <v>0</v>
      </c>
      <c r="E99" s="388">
        <v>0</v>
      </c>
      <c r="F99" s="388">
        <v>0</v>
      </c>
      <c r="G99" s="388">
        <v>0</v>
      </c>
      <c r="H99" s="388">
        <v>1</v>
      </c>
      <c r="I99" s="388">
        <v>0</v>
      </c>
      <c r="J99" s="388">
        <v>1</v>
      </c>
      <c r="K99" s="388">
        <v>0</v>
      </c>
      <c r="L99" s="380">
        <v>0</v>
      </c>
      <c r="M99" s="380">
        <v>0</v>
      </c>
      <c r="N99" s="380">
        <v>0</v>
      </c>
      <c r="O99" s="380">
        <v>1</v>
      </c>
    </row>
    <row r="100" spans="2:15" x14ac:dyDescent="0.25">
      <c r="B100" s="379" t="s">
        <v>399</v>
      </c>
      <c r="C100" s="384"/>
      <c r="D100" s="388">
        <v>0</v>
      </c>
      <c r="E100" s="389">
        <v>0</v>
      </c>
      <c r="F100" s="388">
        <v>0</v>
      </c>
      <c r="G100" s="388">
        <v>0</v>
      </c>
      <c r="H100" s="388">
        <v>0</v>
      </c>
      <c r="I100" s="388">
        <v>0</v>
      </c>
      <c r="J100" s="388">
        <v>0</v>
      </c>
      <c r="K100" s="388">
        <v>0</v>
      </c>
      <c r="L100" s="380">
        <v>0</v>
      </c>
      <c r="M100" s="380">
        <v>0</v>
      </c>
      <c r="N100" s="380">
        <v>0</v>
      </c>
      <c r="O100" s="380">
        <v>0</v>
      </c>
    </row>
    <row r="101" spans="2:15" x14ac:dyDescent="0.25">
      <c r="B101" s="379" t="s">
        <v>384</v>
      </c>
      <c r="C101" s="384" t="s">
        <v>385</v>
      </c>
      <c r="D101" s="380">
        <v>5</v>
      </c>
      <c r="E101" s="380">
        <v>4</v>
      </c>
      <c r="F101" s="380">
        <v>8</v>
      </c>
      <c r="G101" s="380">
        <v>7</v>
      </c>
      <c r="H101" s="380">
        <v>5</v>
      </c>
      <c r="I101" s="380">
        <v>4</v>
      </c>
      <c r="J101" s="380">
        <v>6</v>
      </c>
      <c r="K101" s="380">
        <v>10</v>
      </c>
      <c r="L101" s="380">
        <v>9</v>
      </c>
      <c r="M101" s="380">
        <v>6</v>
      </c>
      <c r="N101" s="380">
        <v>5</v>
      </c>
      <c r="O101" s="380">
        <v>5</v>
      </c>
    </row>
    <row r="102" spans="2:15" x14ac:dyDescent="0.25">
      <c r="B102" s="379" t="s">
        <v>391</v>
      </c>
      <c r="C102" s="384" t="s">
        <v>392</v>
      </c>
      <c r="D102" s="380">
        <v>0</v>
      </c>
      <c r="E102" s="380">
        <v>1</v>
      </c>
      <c r="F102" s="380">
        <v>1</v>
      </c>
      <c r="G102" s="380">
        <v>10</v>
      </c>
      <c r="H102" s="380">
        <v>34</v>
      </c>
      <c r="I102" s="380">
        <v>0</v>
      </c>
      <c r="J102" s="380">
        <v>2</v>
      </c>
      <c r="K102" s="380">
        <v>0</v>
      </c>
      <c r="L102" s="380">
        <v>0</v>
      </c>
      <c r="M102" s="380">
        <v>0</v>
      </c>
      <c r="N102" s="380">
        <v>0</v>
      </c>
      <c r="O102" s="380">
        <v>0</v>
      </c>
    </row>
    <row r="103" spans="2:15" x14ac:dyDescent="0.25">
      <c r="B103" s="379" t="s">
        <v>201</v>
      </c>
      <c r="C103" s="384" t="s">
        <v>393</v>
      </c>
      <c r="D103" s="380">
        <v>0</v>
      </c>
      <c r="E103" s="380">
        <v>0</v>
      </c>
      <c r="F103" s="380">
        <v>0</v>
      </c>
      <c r="G103" s="380">
        <v>0</v>
      </c>
      <c r="H103" s="380">
        <v>0</v>
      </c>
      <c r="I103" s="380">
        <v>0</v>
      </c>
      <c r="J103" s="380">
        <v>0</v>
      </c>
      <c r="K103" s="380">
        <v>1</v>
      </c>
      <c r="L103" s="380">
        <v>0</v>
      </c>
      <c r="M103" s="380">
        <v>2</v>
      </c>
      <c r="N103" s="380">
        <v>0</v>
      </c>
      <c r="O103" s="380">
        <v>0</v>
      </c>
    </row>
    <row r="106" spans="2:15" x14ac:dyDescent="0.25">
      <c r="B106" s="390" t="s">
        <v>364</v>
      </c>
      <c r="C106" s="390" t="s">
        <v>365</v>
      </c>
      <c r="D106" s="383">
        <v>44562</v>
      </c>
      <c r="E106" s="383">
        <v>44593</v>
      </c>
      <c r="F106" s="383">
        <v>44621</v>
      </c>
      <c r="G106" s="383">
        <v>44652</v>
      </c>
      <c r="H106" s="383">
        <v>44682</v>
      </c>
      <c r="I106" s="383">
        <v>44713</v>
      </c>
      <c r="J106" s="383">
        <v>44743</v>
      </c>
      <c r="K106" s="383">
        <v>44774</v>
      </c>
      <c r="L106" s="383">
        <v>44805</v>
      </c>
      <c r="M106" s="383">
        <v>44835</v>
      </c>
      <c r="N106" s="383">
        <v>44866</v>
      </c>
      <c r="O106" s="383">
        <v>44896</v>
      </c>
    </row>
    <row r="107" spans="2:15" x14ac:dyDescent="0.25">
      <c r="B107" s="379" t="s">
        <v>396</v>
      </c>
      <c r="C107" s="384" t="s">
        <v>367</v>
      </c>
      <c r="D107" s="380">
        <v>537.5</v>
      </c>
      <c r="E107" s="380">
        <v>256</v>
      </c>
      <c r="F107" s="380">
        <v>338</v>
      </c>
      <c r="G107" s="380">
        <v>383.5</v>
      </c>
      <c r="H107" s="380">
        <v>216</v>
      </c>
      <c r="I107" s="380">
        <v>286</v>
      </c>
      <c r="J107" s="380">
        <v>524.5</v>
      </c>
      <c r="K107" s="380">
        <v>772.5</v>
      </c>
      <c r="L107" s="380">
        <v>540</v>
      </c>
      <c r="M107" s="380">
        <v>309</v>
      </c>
      <c r="N107" s="380">
        <v>327</v>
      </c>
      <c r="O107" s="380">
        <v>598</v>
      </c>
    </row>
    <row r="108" spans="2:15" x14ac:dyDescent="0.25">
      <c r="B108" s="379" t="s">
        <v>368</v>
      </c>
      <c r="C108" s="384" t="s">
        <v>367</v>
      </c>
      <c r="D108" s="380">
        <v>5</v>
      </c>
      <c r="E108" s="380">
        <v>10</v>
      </c>
      <c r="F108" s="380">
        <v>15</v>
      </c>
      <c r="G108" s="380">
        <v>17</v>
      </c>
      <c r="H108" s="380">
        <v>8</v>
      </c>
      <c r="I108" s="380">
        <v>34</v>
      </c>
      <c r="J108" s="380">
        <v>27</v>
      </c>
      <c r="K108" s="380">
        <v>9</v>
      </c>
      <c r="L108" s="380">
        <v>21</v>
      </c>
      <c r="M108" s="380">
        <v>16.5</v>
      </c>
      <c r="N108" s="380">
        <v>7</v>
      </c>
      <c r="O108" s="380">
        <v>12</v>
      </c>
    </row>
    <row r="109" spans="2:15" x14ac:dyDescent="0.25">
      <c r="B109" s="384" t="s">
        <v>386</v>
      </c>
      <c r="C109" s="384" t="s">
        <v>367</v>
      </c>
      <c r="D109" s="385">
        <v>373</v>
      </c>
      <c r="E109" s="385">
        <v>157.5</v>
      </c>
      <c r="F109" s="385">
        <v>110</v>
      </c>
      <c r="G109" s="391">
        <v>22</v>
      </c>
      <c r="H109" s="385">
        <v>71</v>
      </c>
      <c r="I109" s="385">
        <v>107</v>
      </c>
      <c r="J109" s="385">
        <v>70</v>
      </c>
      <c r="K109" s="385">
        <v>72</v>
      </c>
      <c r="L109" s="385">
        <v>73</v>
      </c>
      <c r="M109" s="385">
        <v>54</v>
      </c>
      <c r="N109" s="385">
        <v>91</v>
      </c>
      <c r="O109" s="385">
        <v>111</v>
      </c>
    </row>
    <row r="110" spans="2:15" x14ac:dyDescent="0.25">
      <c r="B110" s="379" t="s">
        <v>370</v>
      </c>
      <c r="C110" s="384" t="s">
        <v>367</v>
      </c>
      <c r="D110" s="380">
        <v>0</v>
      </c>
      <c r="E110" s="380">
        <v>0</v>
      </c>
      <c r="F110" s="380">
        <v>0</v>
      </c>
      <c r="G110" s="380">
        <v>0</v>
      </c>
      <c r="H110" s="380">
        <v>6</v>
      </c>
      <c r="I110" s="380">
        <v>32</v>
      </c>
      <c r="J110" s="380">
        <v>0</v>
      </c>
      <c r="K110" s="380">
        <v>5</v>
      </c>
      <c r="L110" s="380">
        <v>0</v>
      </c>
      <c r="M110" s="380">
        <v>1</v>
      </c>
      <c r="N110" s="380">
        <v>0</v>
      </c>
      <c r="O110" s="380">
        <v>8</v>
      </c>
    </row>
    <row r="111" spans="2:15" x14ac:dyDescent="0.25">
      <c r="B111" s="379" t="s">
        <v>371</v>
      </c>
      <c r="C111" s="384" t="s">
        <v>367</v>
      </c>
      <c r="D111" s="380">
        <v>4.5</v>
      </c>
      <c r="E111" s="380">
        <v>4</v>
      </c>
      <c r="F111" s="380">
        <v>6</v>
      </c>
      <c r="G111" s="380">
        <v>4</v>
      </c>
      <c r="H111" s="380">
        <v>5</v>
      </c>
      <c r="I111" s="380">
        <v>14</v>
      </c>
      <c r="J111" s="380">
        <v>6</v>
      </c>
      <c r="K111" s="380">
        <v>10</v>
      </c>
      <c r="L111" s="380">
        <v>9</v>
      </c>
      <c r="M111" s="380">
        <v>6</v>
      </c>
      <c r="N111" s="380">
        <v>24.5</v>
      </c>
      <c r="O111" s="380">
        <v>7</v>
      </c>
    </row>
    <row r="112" spans="2:15" x14ac:dyDescent="0.25">
      <c r="B112" s="379" t="s">
        <v>372</v>
      </c>
      <c r="C112" s="384" t="s">
        <v>373</v>
      </c>
      <c r="D112" s="380">
        <v>2</v>
      </c>
      <c r="E112" s="380">
        <v>2</v>
      </c>
      <c r="F112" s="380">
        <v>3</v>
      </c>
      <c r="G112" s="380">
        <v>5</v>
      </c>
      <c r="H112" s="380">
        <v>5</v>
      </c>
      <c r="I112" s="380">
        <v>4</v>
      </c>
      <c r="J112" s="380">
        <v>4</v>
      </c>
      <c r="K112" s="380">
        <v>2</v>
      </c>
      <c r="L112" s="380">
        <v>5</v>
      </c>
      <c r="M112" s="380">
        <v>8</v>
      </c>
      <c r="N112" s="380">
        <v>6</v>
      </c>
      <c r="O112" s="380">
        <v>4</v>
      </c>
    </row>
    <row r="113" spans="2:15" x14ac:dyDescent="0.25">
      <c r="B113" s="379" t="s">
        <v>372</v>
      </c>
      <c r="C113" s="384" t="s">
        <v>367</v>
      </c>
      <c r="D113" s="380">
        <v>31</v>
      </c>
      <c r="E113" s="380">
        <v>56</v>
      </c>
      <c r="F113" s="380">
        <v>82</v>
      </c>
      <c r="G113" s="380">
        <v>104</v>
      </c>
      <c r="H113" s="380">
        <v>163</v>
      </c>
      <c r="I113" s="380">
        <v>120</v>
      </c>
      <c r="J113" s="380">
        <v>120</v>
      </c>
      <c r="K113" s="380">
        <v>59</v>
      </c>
      <c r="L113" s="380">
        <v>115</v>
      </c>
      <c r="M113" s="380">
        <v>150</v>
      </c>
      <c r="N113" s="380">
        <v>250</v>
      </c>
      <c r="O113" s="380">
        <v>156</v>
      </c>
    </row>
    <row r="114" spans="2:15" x14ac:dyDescent="0.25">
      <c r="B114" s="379" t="s">
        <v>374</v>
      </c>
      <c r="C114" s="384" t="s">
        <v>375</v>
      </c>
      <c r="D114" s="380">
        <v>0</v>
      </c>
      <c r="E114" s="380">
        <v>0</v>
      </c>
      <c r="F114" s="380">
        <v>0</v>
      </c>
      <c r="G114" s="380">
        <v>0</v>
      </c>
      <c r="H114" s="380">
        <v>0</v>
      </c>
      <c r="I114" s="380">
        <v>0</v>
      </c>
      <c r="J114" s="380">
        <v>0</v>
      </c>
      <c r="K114" s="380">
        <v>0</v>
      </c>
      <c r="L114" s="380">
        <v>0</v>
      </c>
      <c r="M114" s="380">
        <v>0</v>
      </c>
      <c r="N114" s="380">
        <v>0</v>
      </c>
      <c r="O114" s="380">
        <v>0</v>
      </c>
    </row>
    <row r="115" spans="2:15" x14ac:dyDescent="0.25">
      <c r="B115" s="379" t="s">
        <v>376</v>
      </c>
      <c r="C115" s="384" t="s">
        <v>377</v>
      </c>
      <c r="D115" s="380">
        <v>255</v>
      </c>
      <c r="E115" s="380">
        <v>250</v>
      </c>
      <c r="F115" s="380">
        <v>251</v>
      </c>
      <c r="G115" s="380">
        <v>247</v>
      </c>
      <c r="H115" s="380">
        <v>247</v>
      </c>
      <c r="I115" s="380">
        <v>250</v>
      </c>
      <c r="J115" s="380">
        <v>257</v>
      </c>
      <c r="K115" s="380">
        <v>256</v>
      </c>
      <c r="L115" s="380">
        <v>255</v>
      </c>
      <c r="M115" s="380">
        <v>253</v>
      </c>
      <c r="N115" s="380">
        <v>255</v>
      </c>
      <c r="O115" s="380">
        <v>258</v>
      </c>
    </row>
    <row r="116" spans="2:15" x14ac:dyDescent="0.25">
      <c r="B116" s="379" t="s">
        <v>378</v>
      </c>
      <c r="C116" s="384" t="s">
        <v>379</v>
      </c>
      <c r="D116" s="388">
        <v>0</v>
      </c>
      <c r="E116" s="388">
        <v>1</v>
      </c>
      <c r="F116" s="388">
        <v>0</v>
      </c>
      <c r="G116" s="388">
        <v>0</v>
      </c>
      <c r="H116" s="388">
        <v>0</v>
      </c>
      <c r="I116" s="388">
        <v>0</v>
      </c>
      <c r="J116" s="388">
        <v>0</v>
      </c>
      <c r="K116" s="388">
        <v>0</v>
      </c>
      <c r="L116" s="380">
        <v>1</v>
      </c>
      <c r="M116" s="380">
        <v>0</v>
      </c>
      <c r="N116" s="380">
        <v>0</v>
      </c>
      <c r="O116" s="380">
        <v>0</v>
      </c>
    </row>
    <row r="117" spans="2:15" x14ac:dyDescent="0.25">
      <c r="B117" s="379" t="s">
        <v>380</v>
      </c>
      <c r="C117" s="384" t="s">
        <v>379</v>
      </c>
      <c r="D117" s="388">
        <v>0</v>
      </c>
      <c r="E117" s="388">
        <v>0</v>
      </c>
      <c r="F117" s="388">
        <v>0</v>
      </c>
      <c r="G117" s="388">
        <v>0</v>
      </c>
      <c r="H117" s="388">
        <v>0</v>
      </c>
      <c r="I117" s="388">
        <v>0</v>
      </c>
      <c r="J117" s="388">
        <v>0</v>
      </c>
      <c r="K117" s="388">
        <v>0</v>
      </c>
      <c r="L117" s="380">
        <v>0</v>
      </c>
      <c r="M117" s="380">
        <v>0</v>
      </c>
      <c r="N117" s="380">
        <v>0</v>
      </c>
      <c r="O117" s="380">
        <v>0</v>
      </c>
    </row>
    <row r="118" spans="2:15" x14ac:dyDescent="0.25">
      <c r="B118" s="379" t="s">
        <v>387</v>
      </c>
      <c r="C118" s="384" t="s">
        <v>388</v>
      </c>
      <c r="D118" s="388">
        <v>0</v>
      </c>
      <c r="E118" s="388">
        <v>0</v>
      </c>
      <c r="F118" s="388">
        <v>0</v>
      </c>
      <c r="G118" s="388">
        <v>0</v>
      </c>
      <c r="H118" s="388">
        <v>0</v>
      </c>
      <c r="I118" s="388">
        <v>0</v>
      </c>
      <c r="J118" s="388">
        <v>1</v>
      </c>
      <c r="K118" s="388">
        <v>0</v>
      </c>
      <c r="L118" s="380">
        <v>0</v>
      </c>
      <c r="M118" s="380">
        <v>0</v>
      </c>
      <c r="N118" s="380">
        <v>0</v>
      </c>
      <c r="O118" s="380">
        <v>4</v>
      </c>
    </row>
    <row r="119" spans="2:15" x14ac:dyDescent="0.25">
      <c r="B119" s="379" t="s">
        <v>87</v>
      </c>
      <c r="C119" s="384" t="s">
        <v>381</v>
      </c>
      <c r="D119" s="388">
        <v>3</v>
      </c>
      <c r="E119" s="388">
        <v>3</v>
      </c>
      <c r="F119" s="388">
        <v>3</v>
      </c>
      <c r="G119" s="388">
        <v>5</v>
      </c>
      <c r="H119" s="388">
        <v>2</v>
      </c>
      <c r="I119" s="388">
        <v>1</v>
      </c>
      <c r="J119" s="388">
        <v>0</v>
      </c>
      <c r="K119" s="388">
        <v>2</v>
      </c>
      <c r="L119" s="380">
        <v>1</v>
      </c>
      <c r="M119" s="380">
        <v>2</v>
      </c>
      <c r="N119" s="380">
        <v>0</v>
      </c>
      <c r="O119" s="380">
        <v>0</v>
      </c>
    </row>
    <row r="120" spans="2:15" x14ac:dyDescent="0.25">
      <c r="B120" s="379" t="s">
        <v>382</v>
      </c>
      <c r="C120" s="384" t="s">
        <v>383</v>
      </c>
      <c r="D120" s="388">
        <v>0</v>
      </c>
      <c r="E120" s="388">
        <v>0</v>
      </c>
      <c r="F120" s="388">
        <v>0</v>
      </c>
      <c r="G120" s="388">
        <v>0</v>
      </c>
      <c r="H120" s="388">
        <v>0</v>
      </c>
      <c r="I120" s="388">
        <v>0</v>
      </c>
      <c r="J120" s="388">
        <v>0</v>
      </c>
      <c r="K120" s="388">
        <v>0</v>
      </c>
      <c r="L120" s="380">
        <v>0</v>
      </c>
      <c r="M120" s="380">
        <v>0</v>
      </c>
      <c r="N120" s="380">
        <v>0</v>
      </c>
      <c r="O120" s="380">
        <v>0</v>
      </c>
    </row>
    <row r="121" spans="2:15" x14ac:dyDescent="0.25">
      <c r="B121" s="379" t="s">
        <v>398</v>
      </c>
      <c r="C121" s="384" t="s">
        <v>395</v>
      </c>
      <c r="D121" s="388">
        <v>2</v>
      </c>
      <c r="E121" s="388">
        <v>1</v>
      </c>
      <c r="F121" s="388">
        <v>0</v>
      </c>
      <c r="G121" s="388">
        <v>0</v>
      </c>
      <c r="H121" s="388">
        <v>0</v>
      </c>
      <c r="I121" s="388">
        <v>0</v>
      </c>
      <c r="J121" s="388">
        <v>0</v>
      </c>
      <c r="K121" s="388">
        <v>0</v>
      </c>
      <c r="L121" s="380">
        <v>0</v>
      </c>
      <c r="M121" s="380">
        <v>0</v>
      </c>
      <c r="N121" s="380">
        <v>0</v>
      </c>
      <c r="O121" s="380">
        <v>0</v>
      </c>
    </row>
    <row r="122" spans="2:15" x14ac:dyDescent="0.25">
      <c r="B122" s="379" t="s">
        <v>399</v>
      </c>
      <c r="C122" s="384"/>
      <c r="D122" s="388">
        <v>0</v>
      </c>
      <c r="E122" s="389">
        <v>0</v>
      </c>
      <c r="F122" s="388">
        <v>0</v>
      </c>
      <c r="G122" s="388">
        <v>0</v>
      </c>
      <c r="H122" s="388">
        <v>0</v>
      </c>
      <c r="I122" s="388">
        <v>0</v>
      </c>
      <c r="J122" s="388">
        <v>0</v>
      </c>
      <c r="K122" s="388">
        <v>0</v>
      </c>
      <c r="L122" s="380">
        <v>0</v>
      </c>
      <c r="M122" s="380">
        <v>0</v>
      </c>
      <c r="N122" s="380">
        <v>0</v>
      </c>
      <c r="O122" s="380">
        <v>0</v>
      </c>
    </row>
    <row r="123" spans="2:15" x14ac:dyDescent="0.25">
      <c r="B123" s="379" t="s">
        <v>384</v>
      </c>
      <c r="C123" s="384" t="s">
        <v>385</v>
      </c>
      <c r="D123" s="380">
        <v>5</v>
      </c>
      <c r="E123" s="380">
        <v>7</v>
      </c>
      <c r="F123" s="380">
        <v>10</v>
      </c>
      <c r="G123" s="380">
        <v>10</v>
      </c>
      <c r="H123" s="380">
        <v>15</v>
      </c>
      <c r="I123" s="380">
        <v>15</v>
      </c>
      <c r="J123" s="380">
        <v>19</v>
      </c>
      <c r="K123" s="380">
        <v>15</v>
      </c>
      <c r="L123" s="380">
        <v>15</v>
      </c>
      <c r="M123" s="380">
        <v>17</v>
      </c>
      <c r="N123" s="380">
        <v>19</v>
      </c>
      <c r="O123" s="380">
        <v>20</v>
      </c>
    </row>
    <row r="124" spans="2:15" x14ac:dyDescent="0.25">
      <c r="B124" s="379" t="s">
        <v>391</v>
      </c>
      <c r="C124" s="384" t="s">
        <v>392</v>
      </c>
      <c r="D124" s="380">
        <v>0</v>
      </c>
      <c r="E124" s="380">
        <v>1</v>
      </c>
      <c r="F124" s="380">
        <v>0</v>
      </c>
      <c r="G124" s="380">
        <v>57</v>
      </c>
      <c r="H124" s="380">
        <v>2</v>
      </c>
      <c r="I124" s="380">
        <v>0</v>
      </c>
      <c r="J124" s="380">
        <v>0</v>
      </c>
      <c r="K124" s="380">
        <v>0</v>
      </c>
      <c r="L124" s="380">
        <v>0</v>
      </c>
      <c r="M124" s="380">
        <v>0</v>
      </c>
      <c r="N124" s="380">
        <v>0</v>
      </c>
      <c r="O124" s="380">
        <v>0</v>
      </c>
    </row>
    <row r="125" spans="2:15" x14ac:dyDescent="0.25">
      <c r="B125" s="379" t="s">
        <v>201</v>
      </c>
      <c r="C125" s="384" t="s">
        <v>393</v>
      </c>
      <c r="D125" s="380">
        <v>0</v>
      </c>
      <c r="E125" s="380">
        <v>0</v>
      </c>
      <c r="F125" s="380">
        <v>0</v>
      </c>
      <c r="G125" s="380">
        <v>7</v>
      </c>
      <c r="H125" s="380">
        <v>0</v>
      </c>
      <c r="I125" s="380">
        <v>0</v>
      </c>
      <c r="J125" s="380">
        <v>1</v>
      </c>
      <c r="K125" s="380">
        <v>1</v>
      </c>
      <c r="L125" s="380">
        <v>2</v>
      </c>
      <c r="M125" s="380">
        <v>1</v>
      </c>
      <c r="N125" s="380">
        <v>1</v>
      </c>
      <c r="O125" s="380">
        <v>2</v>
      </c>
    </row>
  </sheetData>
  <pageMargins left="0.70866141732283472" right="0.70866141732283472" top="0.74803149606299213" bottom="0.74803149606299213" header="0.31496062992125984" footer="0.31496062992125984"/>
  <pageSetup paperSize="9" scale="24" orientation="landscape" r:id="rId1"/>
  <headerFooter>
    <oddFooter>&amp;C&amp;Z&amp;F&amp;R&amp;D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3</vt:i4>
      </vt:variant>
    </vt:vector>
  </HeadingPairs>
  <TitlesOfParts>
    <vt:vector size="25" baseType="lpstr">
      <vt:lpstr>Sanctions</vt:lpstr>
      <vt:lpstr>Hospitalisation et maladie</vt:lpstr>
      <vt:lpstr>Récapitulatif</vt:lpstr>
      <vt:lpstr>CODIR 2024-2025</vt:lpstr>
      <vt:lpstr>KPI RECRUTEMENT</vt:lpstr>
      <vt:lpstr>OBJ OPERATIONNELS</vt:lpstr>
      <vt:lpstr>SUIVI COUT FORMATION </vt:lpstr>
      <vt:lpstr>SUIVI FOND FMFP </vt:lpstr>
      <vt:lpstr>BILAN SOCIAL</vt:lpstr>
      <vt:lpstr>Départs</vt:lpstr>
      <vt:lpstr>Effectifs</vt:lpstr>
      <vt:lpstr>MOUVEMENTS</vt:lpstr>
      <vt:lpstr>Effectif Split</vt:lpstr>
      <vt:lpstr>REPARTION PAR CITOYENNETE</vt:lpstr>
      <vt:lpstr>DRH headcount</vt:lpstr>
      <vt:lpstr>DRH turnover</vt:lpstr>
      <vt:lpstr>DRH overtimes</vt:lpstr>
      <vt:lpstr>Permissions exceptionnelles</vt:lpstr>
      <vt:lpstr>Stagiaires</vt:lpstr>
      <vt:lpstr>Mutation_Changement de poste</vt:lpstr>
      <vt:lpstr>Promotion</vt:lpstr>
      <vt:lpstr>Feuil13</vt:lpstr>
      <vt:lpstr>Départs!Zone_d_impression</vt:lpstr>
      <vt:lpstr>Promotion!Zone_d_impression</vt:lpstr>
      <vt:lpstr>Sanctions!Zone_d_impression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Herinomenjanaharilala Sedera RASOLOFONDRAMANAMBE (DRH)</dc:creator>
  <cp:lastModifiedBy>Mandaniaina ANDRIAMBOLOLONA (DRH)</cp:lastModifiedBy>
  <dcterms:created xsi:type="dcterms:W3CDTF">2025-06-13T08:17:39Z</dcterms:created>
  <dcterms:modified xsi:type="dcterms:W3CDTF">2025-06-18T06:15:03Z</dcterms:modified>
</cp:coreProperties>
</file>