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XIS-scripts\Logic Maps\"/>
    </mc:Choice>
  </mc:AlternateContent>
  <xr:revisionPtr revIDLastSave="0" documentId="13_ncr:1_{086C1AAD-1FB5-4D64-99C4-5B99F56B57E9}" xr6:coauthVersionLast="47" xr6:coauthVersionMax="47" xr10:uidLastSave="{00000000-0000-0000-0000-000000000000}"/>
  <bookViews>
    <workbookView xWindow="-120" yWindow="-120" windowWidth="20640" windowHeight="11160" xr2:uid="{285738EF-BEDA-410E-8047-5C439AA61E83}"/>
  </bookViews>
  <sheets>
    <sheet name="Sheet2" sheetId="3" r:id="rId1"/>
  </sheets>
  <definedNames>
    <definedName name="_xlnm._FilterDatabase" localSheetId="0" hidden="1">Sheet2!$A$1:$H$236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3" l="1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37" i="3"/>
  <c r="D136" i="3"/>
  <c r="D135" i="3"/>
  <c r="D134" i="3"/>
  <c r="D133" i="3"/>
  <c r="D132" i="3"/>
  <c r="D131" i="3"/>
  <c r="D130" i="3"/>
  <c r="D129" i="3"/>
  <c r="D128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</calcChain>
</file>

<file path=xl/sharedStrings.xml><?xml version="1.0" encoding="utf-8"?>
<sst xmlns="http://schemas.openxmlformats.org/spreadsheetml/2006/main" count="1260" uniqueCount="605">
  <si>
    <t>Script Category</t>
  </si>
  <si>
    <t>Script Name</t>
  </si>
  <si>
    <t>Description</t>
  </si>
  <si>
    <t>INSTRUCTIONS</t>
  </si>
  <si>
    <t>Tags</t>
  </si>
  <si>
    <t>Retired Date</t>
  </si>
  <si>
    <t>DAIL</t>
  </si>
  <si>
    <t>DAIL Scrubber</t>
  </si>
  <si>
    <t>BULK</t>
  </si>
  <si>
    <t>7th Sanction Identifier</t>
  </si>
  <si>
    <t>Actions: Evaluates Uses Excel --- Programs Supported: MFIP</t>
  </si>
  <si>
    <t>MFIP, Reports</t>
  </si>
  <si>
    <t>NOTICES</t>
  </si>
  <si>
    <t>12 Month Contact</t>
  </si>
  <si>
    <t>Actions: Creates CASE:NOTE, Generates SPEC:MEMO --- Programs Supported: SNAP</t>
  </si>
  <si>
    <t>Communication, Reviews, SNAP</t>
  </si>
  <si>
    <t>SNAP</t>
  </si>
  <si>
    <t>ACTIONS</t>
  </si>
  <si>
    <t>ABAWD Exemption</t>
  </si>
  <si>
    <t>Actions: Creates CASE:NOTE, Updates Panels --- Programs Supported: SNAP</t>
  </si>
  <si>
    <t>ABAWD, Application, Communication, Reviews, SNAP</t>
  </si>
  <si>
    <t>ABAWD FIATer</t>
  </si>
  <si>
    <t>Actions: FIATs Eligibility, Updates Panels --- Programs Supported: SNAP</t>
  </si>
  <si>
    <t>ABAWD FSET Exemption Check</t>
  </si>
  <si>
    <t>Actions: Evaluates --- Programs Supported: SNAP</t>
  </si>
  <si>
    <t>ADMIN</t>
  </si>
  <si>
    <t>ABAWD Report</t>
  </si>
  <si>
    <t xml:space="preserve"> Uses Excel --- Programs Supported: SNAP/MFIP</t>
  </si>
  <si>
    <t>BZ, Monthly Tasks, SNAP, MFIP</t>
  </si>
  <si>
    <t>ABAWD Screening Tool</t>
  </si>
  <si>
    <t>Actions: Creates CASE:NOTE, Evaluates --- Programs Supported: SNAP</t>
  </si>
  <si>
    <t>NOTES</t>
  </si>
  <si>
    <t>ABAWD Tracking Record</t>
  </si>
  <si>
    <t>Actions: Creates CASE:NOTE --- Programs Supported: SNAP</t>
  </si>
  <si>
    <t>ABAWD Waived Approval</t>
  </si>
  <si>
    <t>ABAWD, SNAP</t>
  </si>
  <si>
    <t>Add GRH Rate 2 to MMIS</t>
  </si>
  <si>
    <t>Actions: Creates CASE:NOTE, Updates Panels --- Programs Supported: GRH</t>
  </si>
  <si>
    <t>Application, Communication, HS/GRH, Reviews</t>
  </si>
  <si>
    <t>Add WCOM</t>
  </si>
  <si>
    <t>Actions: Creates CASE:NOTE, Generates SPEC:WCOM --- Programs Supported: Health Care/SNAP</t>
  </si>
  <si>
    <t>ABAWD, Application, Assets, Communication, Deductions, Health Care, LTC, Reviews, SNAP</t>
  </si>
  <si>
    <t>UTILITIES</t>
  </si>
  <si>
    <t>All Scripts</t>
  </si>
  <si>
    <t xml:space="preserve"> Uses Excel</t>
  </si>
  <si>
    <t>Support</t>
  </si>
  <si>
    <t>Appeals</t>
  </si>
  <si>
    <t>Actions: Creates CASE:NOTE --- Programs Supported: All Programs</t>
  </si>
  <si>
    <t>SNAP, MFIP, Adult Cash, Communication, DWP, EMER, Health Care, HS/GRH, LTC</t>
  </si>
  <si>
    <t>Application Check</t>
  </si>
  <si>
    <t>Actions: Creates CASE:NOTE, Creates TIKL Creates Outlook Appointment --- Programs Supported: All Programs</t>
  </si>
  <si>
    <t>Adult Cash, Application, DWP, EMER, Health Care, HS/GRH, LTC, MFIP, SNAP</t>
  </si>
  <si>
    <t>Application Inquiry</t>
  </si>
  <si>
    <t xml:space="preserve"> Generates Outlook Email</t>
  </si>
  <si>
    <t>Application, Support, Utility</t>
  </si>
  <si>
    <t>Application Received</t>
  </si>
  <si>
    <t>Actions: Creates CASE:NOTE, Generates SPEC:MEMO Generates Outlook Email --- Programs Supported: All Programs</t>
  </si>
  <si>
    <t>Approved Programs</t>
  </si>
  <si>
    <t>Adult Cash, Application, Communication, DWP, EMER, Health Care, HS/GRH, LTC, MFIP, Reviews, SNAP</t>
  </si>
  <si>
    <t>Asset Reduction</t>
  </si>
  <si>
    <t>Actions: Creates CASE:NOTE, Creates TIKL --- Programs Supported: All Cash/EMER/Health Care/GRH</t>
  </si>
  <si>
    <t>Adult Cash, Application, Assets, DWP, EMER, Health Care, HS/GRH, LTC, MFIP, Reviews</t>
  </si>
  <si>
    <t>Auto-Dialer Case Status</t>
  </si>
  <si>
    <t>AVS</t>
  </si>
  <si>
    <t>Actions: Creates CASE:NOTE, Creates TIKL Uses Word --- Programs Supported: Health Care</t>
  </si>
  <si>
    <t>Health Care</t>
  </si>
  <si>
    <t>AVS Report</t>
  </si>
  <si>
    <t>Actions: Creates CASE:NOTE Uses Excel --- Programs Supported: Health Care</t>
  </si>
  <si>
    <t>BZ, Health Care</t>
  </si>
  <si>
    <t>AVS Submitted</t>
  </si>
  <si>
    <t>Actions: Creates CASE:NOTE, Creates TIKL --- Programs Supported: Health Care</t>
  </si>
  <si>
    <t>BILS Updater</t>
  </si>
  <si>
    <t>Actions: Updates Panels --- Programs Supported: Health Care</t>
  </si>
  <si>
    <t>Application, Communication, Deductions, Health Care, LTC, Reviews</t>
  </si>
  <si>
    <t>Budget Estimator</t>
  </si>
  <si>
    <t>Actions: Evaluates --- Programs Supported: SNAP/MFIP/Adult Cash</t>
  </si>
  <si>
    <t>QI, SNAP, MFIP, Adult Cash</t>
  </si>
  <si>
    <t>BULK - Inactive Transfer</t>
  </si>
  <si>
    <t>Actions: Updates Panels, Evaluates Uses Excel --- Programs Supported: All Programs</t>
  </si>
  <si>
    <t>BZ, Monthly Tasks, DWP, EMER, Health Care, HS/GRH, LTC, MFIP, SNAP, Adult Cash</t>
  </si>
  <si>
    <t>BULK - REPT USER List</t>
  </si>
  <si>
    <t>Burial Assets</t>
  </si>
  <si>
    <t>Actions: Creates CASE:NOTE --- Programs Supported: Health Care</t>
  </si>
  <si>
    <t>Application, Assets, Health Care, LTC, Reviews</t>
  </si>
  <si>
    <t>CAF</t>
  </si>
  <si>
    <t>Actions: Creates CASE:NOTE, Creates TIKL, Updates Panels --- Programs Supported: All Programs</t>
  </si>
  <si>
    <t>Adult Cash, Application, Assets, Deductions, DWP, EMER, HS/GRH, MFIP, Reviews, SNAP, Health Care</t>
  </si>
  <si>
    <t>Calculate Rate 2 Units</t>
  </si>
  <si>
    <t>Actions: Evaluates --- Programs Supported: GRH</t>
  </si>
  <si>
    <t>Calculators, Utility, HS/GRH</t>
  </si>
  <si>
    <t>Case Discrepancy</t>
  </si>
  <si>
    <t>Actions: Creates CASE:NOTE, Creates TIKL --- Programs Supported: All Programs</t>
  </si>
  <si>
    <t>Adult Cash, Application, Assets, Communication, DWP, EMER, Health Care, HS/GRH, LTC, MFIP, Reviews, SNAP</t>
  </si>
  <si>
    <t>CASE NOTE from List</t>
  </si>
  <si>
    <t>Actions: Creates CASE:NOTE Uses Excel</t>
  </si>
  <si>
    <t>Reports, Utility</t>
  </si>
  <si>
    <t>Case Transfer</t>
  </si>
  <si>
    <t>Actions: Updates Panels, Creates CASE:NOTE, Generates SPEC:MEMO Uses Excel --- Programs Supported: All Programs</t>
  </si>
  <si>
    <t>Reports, Utility, DWP, EMER, Health Care, HS/GRH, LTC, MFIP, SNAP, Adult Cash</t>
  </si>
  <si>
    <t>Change Report Form Received</t>
  </si>
  <si>
    <t>Adult Cash, Assets, Communication, Deductions, DWP, EMER, Health Care, HS/GRH, Income, LTC, MFIP, SNAP</t>
  </si>
  <si>
    <t>Change Reported</t>
  </si>
  <si>
    <t>Check EDRS</t>
  </si>
  <si>
    <t>Actions: Evaluates --- Programs Supported: MFIP/SNAP</t>
  </si>
  <si>
    <t>Application, MFIP, Reviews, SNAP</t>
  </si>
  <si>
    <t>Check SNAP for GA RCA</t>
  </si>
  <si>
    <t>Actions: Evaluates Uses Excel --- Programs Supported: Adult Cash/SNAP</t>
  </si>
  <si>
    <t>Adult Cash, Income, Reports, SNAP</t>
  </si>
  <si>
    <t>Citizenship Identity Verified</t>
  </si>
  <si>
    <t>Adult Cash, Application, Communication, DWP, EMER, HS/GRH, MFIP, SNAP, Health Care</t>
  </si>
  <si>
    <t>Claim Referral Tracking</t>
  </si>
  <si>
    <t>Actions: Creates CASE:NOTE, Creates TIKL, Updates Panels --- Programs Supported: MFIP/SNAP</t>
  </si>
  <si>
    <t>Communication, Income, MFIP, Reviews, SNAP</t>
  </si>
  <si>
    <t>Client Contact</t>
  </si>
  <si>
    <t>Adult Cash, Communication, DWP, EMER, HS/GRH, MFIP, SNAP, Health Care</t>
  </si>
  <si>
    <t>Close MMIS Rate 2 in MMIS</t>
  </si>
  <si>
    <t>Actions: Updates Panels, Evaluates Uses Excel --- Programs Supported: GRH</t>
  </si>
  <si>
    <t>BZ, Monthly Tasks, HS/GRH</t>
  </si>
  <si>
    <t>Closed Programs</t>
  </si>
  <si>
    <t>Actions: Creates CASE:NOTE, Generates SPEC:WCOM --- Programs Supported: All Programs</t>
  </si>
  <si>
    <t>COLA Decimator</t>
  </si>
  <si>
    <t>Actions: Updates Panels, Creates CASE:NOTE Uses Excel --- Programs Supported: Adult Cash/GRH/MFIP/SNAP</t>
  </si>
  <si>
    <t>BZ, Adult Cash, HS/GRH, MFIP, SNAP</t>
  </si>
  <si>
    <t>Complete Phone CAF</t>
  </si>
  <si>
    <t>Actions: Creates CASE:NOTE Uses Word --- Programs Supported: All Cash/SNAP/GRH/EMER</t>
  </si>
  <si>
    <t>Support, Utility, SNAP, DWP, MFIP, Adult Cash, HS/GRH, EMER</t>
  </si>
  <si>
    <t>Contact Knowledge Now</t>
  </si>
  <si>
    <t xml:space="preserve"> Generates Outlook Email --- Programs Supported: All Programs</t>
  </si>
  <si>
    <t>Support, Utility, SNAP, MFIP, DWP, Adult Cash, HS/GRH, Health Care, EMER</t>
  </si>
  <si>
    <t>Copy Case Data for Training</t>
  </si>
  <si>
    <t xml:space="preserve"> Uses Excel --- Programs Supported: MFIP/SNAP/Adult Cash/Health Care</t>
  </si>
  <si>
    <t>MFIP, SNAP, Adult Cash, Health Care</t>
  </si>
  <si>
    <t>Copy Panels to Word</t>
  </si>
  <si>
    <t xml:space="preserve"> Uses Excel --- Programs Supported: SNAP/MFIP/Health Care/Adult Cash</t>
  </si>
  <si>
    <t>SNAP, MFIP, Health Care, Adult Cash</t>
  </si>
  <si>
    <t>Counted ABAWD Months</t>
  </si>
  <si>
    <t>Actions: Evaluates Uses Excel --- Programs Supported: SNAP</t>
  </si>
  <si>
    <t>Create Fake CS DAILs as TIKLs</t>
  </si>
  <si>
    <t>Actions: Creates TIKL --- Programs Supported: SNAP/MFIP</t>
  </si>
  <si>
    <t>BZ, SNAP, MFIP</t>
  </si>
  <si>
    <t>CS Good Cause</t>
  </si>
  <si>
    <t>Actions: Updates Panels, Creates CASE:NOTE, Generates SPEC:MEMO --- Programs Supported: Family Cash</t>
  </si>
  <si>
    <t>MFIP, DWP</t>
  </si>
  <si>
    <t>CSR</t>
  </si>
  <si>
    <t>Actions: Creates CASE:NOTE, Creates TIKL --- Programs Supported: Health Care/GRH/SNAP</t>
  </si>
  <si>
    <t>Assets, Deductions, Health Care, HS/GRH, Income, LTC, Reviews, SNAP</t>
  </si>
  <si>
    <t>DAIL 12 Month Contact</t>
  </si>
  <si>
    <t xml:space="preserve"> Uses Excel --- Programs Supported: SNAP</t>
  </si>
  <si>
    <t>BZ, Monthly Tasks, SNAP</t>
  </si>
  <si>
    <t>DAIL CCD</t>
  </si>
  <si>
    <t>Actions: Updates Panels, Creates CASE:NOTE Uses Excel --- Programs Supported: All Programs</t>
  </si>
  <si>
    <t>BZ, DWP, EMER, Health Care, HS/GRH, LTC, MFIP, SNAP, Adult Cash</t>
  </si>
  <si>
    <t>DAIL Decimator</t>
  </si>
  <si>
    <t>DAIL Report</t>
  </si>
  <si>
    <t xml:space="preserve"> Uses Excel --- List of DAILs selected by Type</t>
  </si>
  <si>
    <t>Reports</t>
  </si>
  <si>
    <t>Deceased Client Summary</t>
  </si>
  <si>
    <t>Communication, DWP, EMER, Health Care, HS/GRH, LTC, MFIP, SNAP, Adult Cash, LTC</t>
  </si>
  <si>
    <t>Delete DAIL Tasks</t>
  </si>
  <si>
    <t xml:space="preserve"> Generates Outlook Email --- Programs Supported: All Programs --- USE WITH CAUTION! Deletes info from SQL Database.</t>
  </si>
  <si>
    <t>Denied Programs</t>
  </si>
  <si>
    <t>Adult Cash, Application, Communication, DWP, EMER, Health Care, HS/GRH, LTC, MFIP, SNAP</t>
  </si>
  <si>
    <t>Disaster Food Replacement</t>
  </si>
  <si>
    <t>Actions: Creates CASE:NOTE --- Programs Supported: SNAP/MFIP</t>
  </si>
  <si>
    <t>Communication, SNAP, MFIP</t>
  </si>
  <si>
    <t>Documents Received</t>
  </si>
  <si>
    <t>ABAWD, Adult Cash, Application, Assets, Communication, Deductions, DWP, EMER, Health Care, HS/GRH, Income, LTC, MFIP, Reviews, SNAP</t>
  </si>
  <si>
    <t>Drug Felon</t>
  </si>
  <si>
    <t>Actions: Creates CASE:NOTE --- Programs Supported: All Cash/GRH/SNAP</t>
  </si>
  <si>
    <t>Adult Cash, Application, Communication, DWP, HS/GRH, MFIP, Reviews, SNAP</t>
  </si>
  <si>
    <t>Drug Felon List</t>
  </si>
  <si>
    <t>Actions: Creates CASE:NOTE, Updates Panels Uses Excel --- Programs Supported: All Cash/SNAP</t>
  </si>
  <si>
    <t>Adult Cash, MFIP, DWP, SNAP</t>
  </si>
  <si>
    <t>DWP ES Referral</t>
  </si>
  <si>
    <t>Actions: Creates CASE:NOTE, Updates Panels, Generates SPEC:MEMO --- Programs Supported: DWP</t>
  </si>
  <si>
    <t>Application, Communication, DWP</t>
  </si>
  <si>
    <t>Earned Income Budgeting</t>
  </si>
  <si>
    <t>Actions: Creates CASE:NOTE, Updates Panels --- Programs Supported: All Programs</t>
  </si>
  <si>
    <t>Adult Cash, Application, Communication, DWP, EMER, Health Care, HS/GRH, Income, LTC, MFIP, Reviews, SNAP</t>
  </si>
  <si>
    <t>EDRS DISQ Match Found</t>
  </si>
  <si>
    <t>Actions: Creates CASE:NOTE, Creates TIKL --- Programs Supported: MFIP/SNAP</t>
  </si>
  <si>
    <t>Application, MFIP, SNAP</t>
  </si>
  <si>
    <t>Eligibility Notifier</t>
  </si>
  <si>
    <t>Actions: Creates CASE:NOTE, Generates SPEC:MEMO --- Programs Supported: All Programs</t>
  </si>
  <si>
    <t>Adult Cash, Communication, DWP, EMER, Health Care, HS/GRH, LTC, MFIP, SNAP</t>
  </si>
  <si>
    <t>Eligibility Summary</t>
  </si>
  <si>
    <t>--- NEW 7/26/2022!!! Actions: Creates CASE:NOTE, Generates SPEC:MEMO --- Programs Supported: SNAP/MFIP</t>
  </si>
  <si>
    <t>Application, Communication, Reviews, SNAP, MFIP</t>
  </si>
  <si>
    <t>Emergency</t>
  </si>
  <si>
    <t>Actions: Creates CASE:NOTE --- Programs Supported: EMER</t>
  </si>
  <si>
    <t>Application, EMER</t>
  </si>
  <si>
    <t>EMPS</t>
  </si>
  <si>
    <t xml:space="preserve"> Uses Excel --- Programs Supported: Family Cash --- EMPS Panel Information in a List</t>
  </si>
  <si>
    <t>DWP, MFIP, Reports</t>
  </si>
  <si>
    <t>EMPS Updater</t>
  </si>
  <si>
    <t>Actions: Creates CASE:NOTE, Creates TIKL, Updates Panels --- Programs Supported: Family Cash</t>
  </si>
  <si>
    <t>Application, Communication, DWP, MFIP, Reviews</t>
  </si>
  <si>
    <t>Enroll in Script Demo</t>
  </si>
  <si>
    <t xml:space="preserve"> Generates Outlook Email, Creates Outlook Appointment</t>
  </si>
  <si>
    <t>Support, Utility</t>
  </si>
  <si>
    <t>Expedited Determination</t>
  </si>
  <si>
    <t>Application, Assets, Deductions, Income, SNAP</t>
  </si>
  <si>
    <t>Expedited Determination Report</t>
  </si>
  <si>
    <t>Application, QI, SNAP</t>
  </si>
  <si>
    <t>Expedited Review</t>
  </si>
  <si>
    <t>Actions: Evaluates Uses Excel, Generates Outlook Email --- Programs Supported: SNAP</t>
  </si>
  <si>
    <t>BZ, SNAP</t>
  </si>
  <si>
    <t>Expedited Screening</t>
  </si>
  <si>
    <t>FIAT GA-RCA Into SNAP Budget</t>
  </si>
  <si>
    <t>Actions: FIATs Eligibility --- Programs Supported: Adult Cash/SNAP</t>
  </si>
  <si>
    <t>Application, Communication, Adult Cash, Income, Reviews, SNAP</t>
  </si>
  <si>
    <t>Find Hidden Excel</t>
  </si>
  <si>
    <t>QI, Utility</t>
  </si>
  <si>
    <t>Find MAEPD MEDI CEI</t>
  </si>
  <si>
    <t>Actions: Evaluates Uses Excel --- Programs Supported: Health Care</t>
  </si>
  <si>
    <t>Health Care, Reports</t>
  </si>
  <si>
    <t>Find Panel Update Date</t>
  </si>
  <si>
    <t>Actions: Evaluates Uses Excel</t>
  </si>
  <si>
    <t>Find Q Flow Population</t>
  </si>
  <si>
    <t>Actions: Evaluates</t>
  </si>
  <si>
    <t>Fraud Info</t>
  </si>
  <si>
    <t>Adult Cash, Communication, DWP, EMER, HS/GRH, MFIP, LTC, SNAP, Health Care</t>
  </si>
  <si>
    <t>FSS Info</t>
  </si>
  <si>
    <t>FSS Status Change</t>
  </si>
  <si>
    <t>Actions: Creates CASE:NOTE, Creates TIKL, Updates Panels --- Programs Supported: MFIP</t>
  </si>
  <si>
    <t>Communication, MFIP, Reviews</t>
  </si>
  <si>
    <t>FUBU</t>
  </si>
  <si>
    <t>BZ</t>
  </si>
  <si>
    <t>GA Basis of Eligibility</t>
  </si>
  <si>
    <t>Actions: Creates CASE:NOTE --- Programs Supported: Adult Cash</t>
  </si>
  <si>
    <t>Adult Cash, Application, Communication, Reviews</t>
  </si>
  <si>
    <t>Get basket number</t>
  </si>
  <si>
    <t>GRH NON HRF POSTPAY</t>
  </si>
  <si>
    <t>Actions: Creates CASE:NOTE --- Programs Supported: GRH</t>
  </si>
  <si>
    <t>Assets, Deductions, HS/GRH, Income, Reviews</t>
  </si>
  <si>
    <t>GRH Professional Need</t>
  </si>
  <si>
    <t>Actions: Evaluates Uses Excel --- Programs Supported: GRH</t>
  </si>
  <si>
    <t>HS/GRH, Reports</t>
  </si>
  <si>
    <t>HC Renewal</t>
  </si>
  <si>
    <t>Assets, Deductions, Health Care, Income, Reviews</t>
  </si>
  <si>
    <t>HCAPP</t>
  </si>
  <si>
    <t>Assets, Application, Deductions, Health Care, Income</t>
  </si>
  <si>
    <t>Health Care Transition</t>
  </si>
  <si>
    <t>Actions: Creates CASE:NOTE, Generates SPEC:MEMO --- Programs Supported: Health Care</t>
  </si>
  <si>
    <t>Application, Assets, Communication, Deductions, Health Care, Income, Reviews</t>
  </si>
  <si>
    <t>Homeless Discrepancy</t>
  </si>
  <si>
    <t>HRF</t>
  </si>
  <si>
    <t>Actions: Creates CASE:NOTE --- Programs Supported: Adult Cash/GRH/Health Care/MFIP/SNAP</t>
  </si>
  <si>
    <t>Adult Cash, Assets, Deductions, HS/GRH, Income, LTC, MFIP, Reviews, SNAP</t>
  </si>
  <si>
    <t>IMIG - EMA</t>
  </si>
  <si>
    <t>Application, Assets, Deduction, Health Care, Income, Reviews</t>
  </si>
  <si>
    <t>IMIG - Sponsor Income</t>
  </si>
  <si>
    <t>Actions: Creates CASE:NOTE, Evaluates --- Programs Supported: All Programs</t>
  </si>
  <si>
    <t>IMIG - STATUS</t>
  </si>
  <si>
    <t>Actions: Creates CASE:NOTE, Updates Panels Generates Outlook Email, Creates Outlook Appointment --- Programs Supported: All Programs</t>
  </si>
  <si>
    <t>Individual Appointment Letter</t>
  </si>
  <si>
    <t>Actions: Creates CASE:NOTE, Generates SPEC:MEMO --- Programs Supported: All Cash/SNAP/GRH</t>
  </si>
  <si>
    <t>QI, SNAP, MFIP, DWP, Adult Cash, HS/GRH</t>
  </si>
  <si>
    <t>Individual NOMI</t>
  </si>
  <si>
    <t>Individual Recertification Notices</t>
  </si>
  <si>
    <t>Actions: Creates CASE:NOTE, Generates SPEC:MEMO --- Programs Supported: SNAP/MFIP</t>
  </si>
  <si>
    <t>Insert MBI from MMIS</t>
  </si>
  <si>
    <t>Actions: Updates Panels</t>
  </si>
  <si>
    <t>Navigation, Utility</t>
  </si>
  <si>
    <t>Interview</t>
  </si>
  <si>
    <t>Actions: Creates CASE:NOTE, Generates SPEC:MEMO Uses Word --- Programs Supported: All Cash/SNAP/EMER/GRH</t>
  </si>
  <si>
    <t>Communication, Application, Reviews, SNAP, MFIP, DWP, Adult Cash, EMER, HS/GRH</t>
  </si>
  <si>
    <t>Interview Completed</t>
  </si>
  <si>
    <t>Actions: Creates CASE:NOTE Creates Outlook Appointment --- Programs Supported: All Cash/EMER/GRH/SNAP</t>
  </si>
  <si>
    <t>Adult Cash, Application, DWP, EMER, HS/GRH, MFIP, Reviews, SNAP</t>
  </si>
  <si>
    <t>Interview No Show</t>
  </si>
  <si>
    <t>Actions: Creates CASE:NOTE --- Programs Supported: All Cash/EMER/GRH/SNAP</t>
  </si>
  <si>
    <t>Job Change Reported</t>
  </si>
  <si>
    <t>Actions: Creates CASE:NOTE, Updates Panels, Creates TIKL --- Programs Supported: All Programs</t>
  </si>
  <si>
    <t>Adult Cash, Application, Communication, DWP, EMER, Health Care, HS/GRH, Income, LTC, MFIP, Reviews, SNAP, Adult Cash</t>
  </si>
  <si>
    <t>Language Stats</t>
  </si>
  <si>
    <t>BZ, Monthly Tasks</t>
  </si>
  <si>
    <t>Lost ApplyMN</t>
  </si>
  <si>
    <t>LTC - 5181</t>
  </si>
  <si>
    <t>Actions: Creates CASE:NOTE, Updates Panels --- Programs Supported: Health Care</t>
  </si>
  <si>
    <t>Application, Communication, Health Care, LTC, Reviews</t>
  </si>
  <si>
    <t>LTC - Application Received</t>
  </si>
  <si>
    <t>Actions: Creates CASE:NOTE, Creates TIKL, Updates Panels --- Programs Supported: Health Care</t>
  </si>
  <si>
    <t>Application, Assets, Deductions, LTC, Income</t>
  </si>
  <si>
    <t>LTC - Asset Assessment</t>
  </si>
  <si>
    <t>Assets, LTC</t>
  </si>
  <si>
    <t>LTC - COLA Summary</t>
  </si>
  <si>
    <t>Communication, Deductions, Health Care, Income, LTC</t>
  </si>
  <si>
    <t>LTC - Hospice Form Received</t>
  </si>
  <si>
    <t>Communication, Health Care, LTC</t>
  </si>
  <si>
    <t>LTC - Intake Approval</t>
  </si>
  <si>
    <t>Application, Assets, Communication, Deductions, LTC, Income</t>
  </si>
  <si>
    <t>LTC - MA Approval</t>
  </si>
  <si>
    <t>Application, Communication, Deductions, LTC, Income, Reviews</t>
  </si>
  <si>
    <t>LTC - Renewal</t>
  </si>
  <si>
    <t>Assets, Communication, Deductions, LTC, Income, Reviews</t>
  </si>
  <si>
    <t>LTC - Transfer Penalty</t>
  </si>
  <si>
    <t>Assets, Communication, LTC</t>
  </si>
  <si>
    <t>LTC Asset Transfer</t>
  </si>
  <si>
    <t>Generates SPEC:MEMO --- Programs Supported: Health Care</t>
  </si>
  <si>
    <t>Application, Assets, Communication, LTC, Reviews</t>
  </si>
  <si>
    <t>LTC Spousal Allocation FIATer</t>
  </si>
  <si>
    <t>Actions: FIATs Eligibility --- Programs Supported: Health Care</t>
  </si>
  <si>
    <t>Application, Deductions, Income, LTC, Reviews</t>
  </si>
  <si>
    <t>LTC ICF-DD Deduction FIATer</t>
  </si>
  <si>
    <t>LTC-GRH List Generator</t>
  </si>
  <si>
    <t xml:space="preserve"> Uses Excel --- Programs Supported: GRH/Health Care</t>
  </si>
  <si>
    <t>HS/GRH, Health Care, LTC, Reports</t>
  </si>
  <si>
    <t>MA FIATER for GRH MSA</t>
  </si>
  <si>
    <t>Actions: FIATs Eligibility --- Programs Supported: Health Care/GRH/Adult Cash</t>
  </si>
  <si>
    <t>Application, Reviews, Health Care, HS/GRH, Adult Cash</t>
  </si>
  <si>
    <t>MA Inmate Application WCOM</t>
  </si>
  <si>
    <t>Actions: Creates CASE:NOTE, Generates SPEC:WCOM --- Programs Supported: Health Care</t>
  </si>
  <si>
    <t>Application, Communication, Health Care</t>
  </si>
  <si>
    <t>MA-EPD EI FIAT</t>
  </si>
  <si>
    <t>Application, Health Care, Income, Reviews</t>
  </si>
  <si>
    <t>MA-EPD No Initial Premium</t>
  </si>
  <si>
    <t>Generates SPEC:WCOM --- Programs Supported: Health Care</t>
  </si>
  <si>
    <t>Application, Communication, Health Care, Reviews</t>
  </si>
  <si>
    <t>MAXIS to METS Conversion</t>
  </si>
  <si>
    <t>BZ, Monthly Tasks, Health Care</t>
  </si>
  <si>
    <t>MEMO from List</t>
  </si>
  <si>
    <t>Generates SPEC:MEMO Uses Excel</t>
  </si>
  <si>
    <t>MEMO to Word</t>
  </si>
  <si>
    <t>Generates SPEC:MEMO Uses Word --- Programs Supported: All Programs</t>
  </si>
  <si>
    <t>Method B WCOM</t>
  </si>
  <si>
    <t>Application, Communication, Deductions, Health Care, Income, LTC, Reviews</t>
  </si>
  <si>
    <t>METS Retro Health Care</t>
  </si>
  <si>
    <t>Actions: Creates CASE:NOTE Generates Outlook Email --- Programs Supported: Health Care</t>
  </si>
  <si>
    <t>Application, Health Care</t>
  </si>
  <si>
    <t>MFIP Sanction</t>
  </si>
  <si>
    <t>MFIP Sanction And DWP Disqualification</t>
  </si>
  <si>
    <t>Actions: Creates CASE:NOTE, Creates TIKL, Updates Panels, Generates SPEC:WCOM --- Programs Supported: Family Cash</t>
  </si>
  <si>
    <t>Communication, DWP, MFIP, Reviews</t>
  </si>
  <si>
    <t>MFIP Sanction FIATer</t>
  </si>
  <si>
    <t>Actions: FIATs Eligibility, Evaluates --- Programs Supported: MFIP</t>
  </si>
  <si>
    <t>MFIP</t>
  </si>
  <si>
    <t>MFIP to SNAP Transition</t>
  </si>
  <si>
    <t>Actions: Creates CASE:NOTE --- Programs Supported: MFIP/SNAP</t>
  </si>
  <si>
    <t>Communication, Deductions, Income, MFIP, SNAP</t>
  </si>
  <si>
    <t>MONT Report</t>
  </si>
  <si>
    <t>Actions: Creates CASE:NOTE Uses Excel --- Programs Supported: MFIP/Adult Cash</t>
  </si>
  <si>
    <t>MFIP, Adult Cash, Income, Monthly Tasks</t>
  </si>
  <si>
    <t>MSQ</t>
  </si>
  <si>
    <t>New Job Reported</t>
  </si>
  <si>
    <t>Adult Cash, Application, Communication, DWP, EMER, Health Care, HS/GRH, Income, MFIP, Reviews, SNAP</t>
  </si>
  <si>
    <t>On Demand Notes</t>
  </si>
  <si>
    <t>Actions: Creates CASE:NOTE --- Programs Supported: All Cash/SNAP/GRH</t>
  </si>
  <si>
    <t>On Demand Waiver Applications</t>
  </si>
  <si>
    <t>Actions: Evaluates, Creates CASE:NOTE, Generates SPEC:MEMO Uses Excel --- Programs Supported: All Cash/SNAP/GRH</t>
  </si>
  <si>
    <t>BZ, SNAP, MFIP, DWP, Adult Cash, HS/GRH</t>
  </si>
  <si>
    <t>On Demand Waiver Recertifications</t>
  </si>
  <si>
    <t>Open Interview PDF</t>
  </si>
  <si>
    <t xml:space="preserve"> --- Opens a PDF generated from NOTES - Interview if not yet in ECF.</t>
  </si>
  <si>
    <t>Communication, Application, Reviews</t>
  </si>
  <si>
    <t>Other Benefits Referral</t>
  </si>
  <si>
    <t>Actions: Creates CASE:NOTE, Creates TIKL --- Programs Supported: Adult Cash/Health Care/MFIP</t>
  </si>
  <si>
    <t>Adult Cash, Application, Communication, Health Care, Income, LTC, MFIP, Reviews</t>
  </si>
  <si>
    <t>Out Of State</t>
  </si>
  <si>
    <t>Actions: Creates CASE:NOTE Uses Word --- Programs Supported: All Programs</t>
  </si>
  <si>
    <t>Overpayment</t>
  </si>
  <si>
    <t>Actions: Creates CASE:NOTE, Updates Panels Generates Outlook Email --- Programs Supported: All Programs</t>
  </si>
  <si>
    <t>Adult Cash, Communication, DWP, EMER, Health Care, HS/GRH, Income, LTC, MFIP, Reviews, SNAP</t>
  </si>
  <si>
    <t>PA Verif Request</t>
  </si>
  <si>
    <t>Actions: Creates CASE:NOTE, Generates SPEC:MEMO, SPEC:WCOM Uses Word --- Programs Supported: Adult Cash/MFIP/SNAP</t>
  </si>
  <si>
    <t>Adult Cash, Communication, MFIP, SNAP</t>
  </si>
  <si>
    <t>Paperless IR</t>
  </si>
  <si>
    <t>Actions: Updates Panels, Evaluates, Creates TIKL Uses Excel --- Programs Supported: Health Care</t>
  </si>
  <si>
    <t>PF11 Actions</t>
  </si>
  <si>
    <t>Actions: Creates CASE:NOTE, Updates Panels Creates Outlook Appointment --- Programs Supported: All Programs</t>
  </si>
  <si>
    <t>Communication, MFIP, Utility, Health Care, DWP, HS/GRH, SNAP, Adult Cash, EMER</t>
  </si>
  <si>
    <t>POLI TEMP List</t>
  </si>
  <si>
    <t>POLI TEMP Monthly Updates</t>
  </si>
  <si>
    <t xml:space="preserve"> Uses Word --- Programs Supported: All Programs</t>
  </si>
  <si>
    <t>QI, DWP, EMER, Health Care, HS/GRH, LTC, MFIP, SNAP, Adult Cash</t>
  </si>
  <si>
    <t>POLI TEMP to Word</t>
  </si>
  <si>
    <t>--- NEW 7/15/2022!!!  Uses Word</t>
  </si>
  <si>
    <t>Utility</t>
  </si>
  <si>
    <t>PRISM Screen Finder</t>
  </si>
  <si>
    <t>Navigation</t>
  </si>
  <si>
    <t>Proof of Relationship</t>
  </si>
  <si>
    <t>Actions: Creates CASE:NOTE --- Programs Supported: Family Cash</t>
  </si>
  <si>
    <t>QI AVS request</t>
  </si>
  <si>
    <t>Health Care, Applications, Reviews, Utility</t>
  </si>
  <si>
    <t>QC Results</t>
  </si>
  <si>
    <t>Actions: Creates CASE:NOTE, Generates SPEC:WCOM Creates Outlook Appointment --- Programs Supported: SNAP/MFIP</t>
  </si>
  <si>
    <t>QI, SNAP, MFIP</t>
  </si>
  <si>
    <t>QI Renewal Accuracy</t>
  </si>
  <si>
    <t>Returned Mail Received</t>
  </si>
  <si>
    <t>Actions: Creates CASE:NOTE, Creates TIKL, Updates Panels --- Programs Supported: All Cash/Health Care/GRH/SNAP</t>
  </si>
  <si>
    <t>Adult Cash, Communication, DWP, Health Care, HS/GRH, MFIP, SNAP</t>
  </si>
  <si>
    <t>Report to the BZST</t>
  </si>
  <si>
    <t>REPT-ACTV List</t>
  </si>
  <si>
    <t xml:space="preserve"> Uses Excel --- Programs Supported: All Programs --- Reads details from MAXIS REPT Lists</t>
  </si>
  <si>
    <t>Reports, DWP, EMER, Health Care, HS/GRH, LTC, MFIP, SNAP, Adult Cash</t>
  </si>
  <si>
    <t>REPT-EOMC List</t>
  </si>
  <si>
    <t>REPT-INAC List</t>
  </si>
  <si>
    <t>REPT-MAMS List</t>
  </si>
  <si>
    <t xml:space="preserve"> Uses Excel --- Programs Supported: Health Care --- Reads details from MAXIS REPT Lists</t>
  </si>
  <si>
    <t>Reports, Health Care, LTC</t>
  </si>
  <si>
    <t>REPT-MFCM List</t>
  </si>
  <si>
    <t xml:space="preserve"> Uses Excel --- Programs Supported: MFIP --- Reads details from MAXIS REPT Lists</t>
  </si>
  <si>
    <t>Reports, MFIP</t>
  </si>
  <si>
    <t>REPT-MONT List</t>
  </si>
  <si>
    <t xml:space="preserve"> Uses Excel --- Programs Supported: MFIP/GRH/Health Care/SNAP --- Reads details from MAXIS REPT Lists</t>
  </si>
  <si>
    <t>Reports, MFIP, HS/GRH, Health Care, SNAP</t>
  </si>
  <si>
    <t>REPT-MRSR List</t>
  </si>
  <si>
    <t>REPT-PND1 List</t>
  </si>
  <si>
    <t>REPT-PND2 List</t>
  </si>
  <si>
    <t>REPT-REVS List</t>
  </si>
  <si>
    <t>REPT-REVW List</t>
  </si>
  <si>
    <t>REPT-USER List</t>
  </si>
  <si>
    <t xml:space="preserve"> Uses Excel --- Reads details from MAXIS REPT Lists</t>
  </si>
  <si>
    <t>REPORTS</t>
  </si>
  <si>
    <t>Request Access to PRIV Case</t>
  </si>
  <si>
    <t>Resolve HC EOMC in MMIS</t>
  </si>
  <si>
    <t>Actions: Updates Panels, Evaluates Uses Excel --- Programs Supported: Health Care</t>
  </si>
  <si>
    <t>Resources Notifier</t>
  </si>
  <si>
    <t>Actions: Creates CASE:NOTE, Generates SPEC:MEMO Uses Word</t>
  </si>
  <si>
    <t>Case notes, MEMO, Utility</t>
  </si>
  <si>
    <t>Review Report</t>
  </si>
  <si>
    <t>Actions: Evaluates, Creates CASE:NOTE, Generates SPEC:MEMO Uses Excel --- Programs Supported: All Programs</t>
  </si>
  <si>
    <t>Review Testers</t>
  </si>
  <si>
    <t>REVW MONT Closures</t>
  </si>
  <si>
    <t>Search CASE NOTE</t>
  </si>
  <si>
    <t xml:space="preserve"> --- Searches all CASE:NOTEs for a particular case for word(s) or a phrase.</t>
  </si>
  <si>
    <t>Utility, Reviews</t>
  </si>
  <si>
    <t>Send CBO Manual Referrals</t>
  </si>
  <si>
    <t>Actions: Evaluates Uses Excel --- Programs Supported: SNAP/MFIP</t>
  </si>
  <si>
    <t>Send Email Correction</t>
  </si>
  <si>
    <t xml:space="preserve"> Generates Outlook Email, Uses Excel --- Programs Supported: SNAP</t>
  </si>
  <si>
    <t>QI, SNAP</t>
  </si>
  <si>
    <t>Send SVES</t>
  </si>
  <si>
    <t>Application, Communication, Deductions, EMER, Adult Cash, Health Care, HS/GRH, Income, LTC, MFIP, Reviews, SNAP, Utility, DWP</t>
  </si>
  <si>
    <t>Shelter Expense Verif Received</t>
  </si>
  <si>
    <t>Actions: Creates CASE:NOTE, Updates Panels --- Programs Supported: Family Cash/EMER/GRH/Health Care/SNAP</t>
  </si>
  <si>
    <t>Application, Communication, Deductions, DWP, EMER, HS/GRH, LTC, MFIP, Reviews, SNAP, Utility</t>
  </si>
  <si>
    <t>Significant Change</t>
  </si>
  <si>
    <t>Actions: Creates CASE:NOTE, Creates TIKL, Generates SPEC:MEMO --- Programs Supported: MFIP</t>
  </si>
  <si>
    <t>Communication, Income, MFIP, Reviews</t>
  </si>
  <si>
    <t>SMRT</t>
  </si>
  <si>
    <t>Actions: Creates CASE:NOTE --- Programs Supported: Adult Cash/Health Care/MFIP</t>
  </si>
  <si>
    <t>Adult Cash, Application, Communication, Health Care, MFIP, Reviews</t>
  </si>
  <si>
    <t>SNAP E and T Letter</t>
  </si>
  <si>
    <t>Actions: Creates CASE:NOTE, Updates Panels, Generates SPEC:MEMO --- Programs Supported: SNAP</t>
  </si>
  <si>
    <t>Transfer Case</t>
  </si>
  <si>
    <t>Actions: Creates CASE:NOTE, Updates Panels, Generates SPEC:MEMO --- Programs Supported: All Programs</t>
  </si>
  <si>
    <t>Application, Communication, Reviews, Utility, MFIP, DWP, SNAP, HS/GRH, Health Care, Adult Cash, EMER</t>
  </si>
  <si>
    <t>Task Based Assistor</t>
  </si>
  <si>
    <t>Actions: Evaluates Uses Excel --- Programs Supported: All Programs</t>
  </si>
  <si>
    <t>DWP, EMER, Health Care, HS/GRH, LTC, MFIP, SNAP, Adult Cash</t>
  </si>
  <si>
    <t>Task Based DAIL Capture</t>
  </si>
  <si>
    <t>Actions: Evaluates --- Programs Supported: All Programs</t>
  </si>
  <si>
    <t>TIKL FROM LIST</t>
  </si>
  <si>
    <t>Actions: Creates TIKL Uses Excel --- Programs Supported: All Programs</t>
  </si>
  <si>
    <t>BZ, Monthly Tasks, MFIP, DWP, SNAP, HS/GRH, Health Care, Adult Cash, EMER</t>
  </si>
  <si>
    <t>Track Autoclose Overpayments</t>
  </si>
  <si>
    <t xml:space="preserve"> Uses Excel, Uses Word --- Programs Supported: MFIP/SNAP</t>
  </si>
  <si>
    <t>QI, MFIP, SNAP</t>
  </si>
  <si>
    <t>Training Case Creator</t>
  </si>
  <si>
    <t>Actions: Updates Panels, FIATs Eligibility Uses Excel --- Programs Supported: Health Care/MFIP/SNAP/Adult Cash</t>
  </si>
  <si>
    <t>Health Care, MFIP, SNAP, Adult Cash</t>
  </si>
  <si>
    <t>UC Verification Request</t>
  </si>
  <si>
    <t>Income, Applications, Reviews, Utility, SNAP, MFIP, DWP, Adult Cash, HS/GRH, Health Care, EMER</t>
  </si>
  <si>
    <t>UNEA Updater</t>
  </si>
  <si>
    <t>Update Check Dates</t>
  </si>
  <si>
    <t>Update Worker Signature</t>
  </si>
  <si>
    <t>Sets or updates the default worker signature for this user.</t>
  </si>
  <si>
    <t>VA Verification Request</t>
  </si>
  <si>
    <t>Vendor</t>
  </si>
  <si>
    <t>Actions: Creates CASE:NOTE --- Programs Supported: Family Cash/EMER/GRH</t>
  </si>
  <si>
    <t>Application, DWP, Income, MFIP, Reviews, EMER, HS/GRH</t>
  </si>
  <si>
    <t>Verifications Needed</t>
  </si>
  <si>
    <t>Adult Cash, Application, Assets, Communication, Deductions, DWP, EMER, Health Care, HS/GRH, Income, LTC, MFIP, Reviews, SNAP</t>
  </si>
  <si>
    <t>Verifications Still Needed</t>
  </si>
  <si>
    <t>View PNLP</t>
  </si>
  <si>
    <t>Utility, SNAP, MFIP, DWP, Adult Cash, HS/GRH, Health Care, EMER</t>
  </si>
  <si>
    <t>Waived ER Interview Screening</t>
  </si>
  <si>
    <t>WF1 Case Status</t>
  </si>
  <si>
    <t>Work Assignment Completed</t>
  </si>
  <si>
    <t xml:space="preserve"> Uses Excel, Generates Outlook Email --- Programs Supported: SNAP</t>
  </si>
  <si>
    <t>Work Assignment from Excel</t>
  </si>
  <si>
    <t xml:space="preserve"> --- Programs Supported: SNAP</t>
  </si>
  <si>
    <t>ABAWD, Communication, SNAP</t>
  </si>
  <si>
    <t>Affiliated Case Lookup</t>
  </si>
  <si>
    <t>BNDX Scrubber</t>
  </si>
  <si>
    <t>Communication, Income, Utility</t>
  </si>
  <si>
    <t>Catch All</t>
  </si>
  <si>
    <t>Actions: Creates CASE:NOTE, Creates TIKL</t>
  </si>
  <si>
    <t>Communication</t>
  </si>
  <si>
    <t>Citizenship Verified</t>
  </si>
  <si>
    <t>COLA Review and Approve</t>
  </si>
  <si>
    <t>COLA SVES Response</t>
  </si>
  <si>
    <t xml:space="preserve"> --- Programs Supported: Health Care</t>
  </si>
  <si>
    <t>CSES Scrubber</t>
  </si>
  <si>
    <t>Actions: Creates CASE:NOTE, Updates Panels --- Programs Supported: Family Cash/SNAP</t>
  </si>
  <si>
    <t>Communication, DWP, Income, MFIP, SNAP</t>
  </si>
  <si>
    <t>DISA Message</t>
  </si>
  <si>
    <t>Actions: Creates CASE:NOTE, Creates TIKL --- Programs Supported: Adult Cash/Health Care/GRH/MFIP/SNAP</t>
  </si>
  <si>
    <t>Communication, Adult Cash, Health Care, HS/GRH, MFIP, SNAP</t>
  </si>
  <si>
    <t>ES Referral Missing</t>
  </si>
  <si>
    <t>Actions: Creates CASE:NOTE, Updates Panels --- Programs Supported: Family Cash</t>
  </si>
  <si>
    <t>Communication, DWP, MFIP</t>
  </si>
  <si>
    <t>Financial Orientation Missing</t>
  </si>
  <si>
    <t>FMED Deduction</t>
  </si>
  <si>
    <t>Communication, SNAP</t>
  </si>
  <si>
    <t>Incarceration</t>
  </si>
  <si>
    <t>Actions: Creates CASE:NOTE, Creates TIKL, Updates Panels</t>
  </si>
  <si>
    <t>LTC Remedial Care</t>
  </si>
  <si>
    <t>Communication, Deductions, LTC</t>
  </si>
  <si>
    <t>Medi Check</t>
  </si>
  <si>
    <t>New Hire NDNH</t>
  </si>
  <si>
    <t>Communication, DWP, Adult Cash, Health Care, HS/GRH, Income, MFIP, SNAP</t>
  </si>
  <si>
    <t>New Hire</t>
  </si>
  <si>
    <t>Overdue Baby</t>
  </si>
  <si>
    <t>Actions: Creates CASE:NOTE, Creates TIKL, Generates SPEC:MEMO --- Programs Supported: All Cash/Health Care/SNAP</t>
  </si>
  <si>
    <t>Communication, DWP, Adult Cash, Health Care, MFIP, SNAP</t>
  </si>
  <si>
    <t>Paperless Dail</t>
  </si>
  <si>
    <t>Health Care, LTC, Reviews</t>
  </si>
  <si>
    <t>Postponed Expedited SNAP Verifications</t>
  </si>
  <si>
    <t>Application, Communication, SNAP</t>
  </si>
  <si>
    <t>SDX Info Has Been Stored</t>
  </si>
  <si>
    <t xml:space="preserve"> --- Programs Supported: Adult Cash/Health Care/GRH/SNAP</t>
  </si>
  <si>
    <t>Adult Cash, Health Care, HS/GRH, Income, LTC, SNAP</t>
  </si>
  <si>
    <t>TPQY Response</t>
  </si>
  <si>
    <t>Communication, Navigation, Utility</t>
  </si>
  <si>
    <t>Wage Match Scrubber</t>
  </si>
  <si>
    <t xml:space="preserve"> --- Programs Supported: All Cash/Health Care/GRH/SNAP</t>
  </si>
  <si>
    <t>NAV</t>
  </si>
  <si>
    <t>CASE-CURR</t>
  </si>
  <si>
    <t>CASE-PERS</t>
  </si>
  <si>
    <t>CASE-NOTE</t>
  </si>
  <si>
    <t>Find MAXIS case in MMIS</t>
  </si>
  <si>
    <t>Find MMIS PMI in MAXIS</t>
  </si>
  <si>
    <t>MMIS - GRH</t>
  </si>
  <si>
    <t>POLI-TEMP</t>
  </si>
  <si>
    <t>STAT-ADDR</t>
  </si>
  <si>
    <t>STAT-MEMB</t>
  </si>
  <si>
    <t>Worker Signature Needed?</t>
  </si>
  <si>
    <t xml:space="preserve">NO - NOT NEEDED </t>
  </si>
  <si>
    <t>individual scripts addressed:</t>
  </si>
  <si>
    <t>NO - NOT NEEDED no case note</t>
  </si>
  <si>
    <t>NO - NOT NEEDED action script</t>
  </si>
  <si>
    <t>NO - NOT NEEDED no case note - does update panels</t>
  </si>
  <si>
    <t>NEEDED - does this need to case note?</t>
  </si>
  <si>
    <t>Mandatory?</t>
  </si>
  <si>
    <t>RETIRED</t>
  </si>
  <si>
    <t>worker_signature found initial dialog &amp; mandatory</t>
  </si>
  <si>
    <t xml:space="preserve">3 - worker_signature found initial dialog &amp; mandatory </t>
  </si>
  <si>
    <t>worker_signature found initial dialog &amp; mandatory - does not output</t>
  </si>
  <si>
    <t>2 worker_signature found initial dialog</t>
  </si>
  <si>
    <t xml:space="preserve">4 - worker_signature found initial dialog &amp; NEED mandatory </t>
  </si>
  <si>
    <t xml:space="preserve">YES 4 - worker_signature found initial dialog &amp; NEED mandatory </t>
  </si>
  <si>
    <t>YES  - only in case note</t>
  </si>
  <si>
    <t xml:space="preserve">7 - worker_signature found initial dialog &amp; mandatory </t>
  </si>
  <si>
    <t xml:space="preserve">9 - worker_signature found initial dialog &amp; mandatory </t>
  </si>
  <si>
    <t xml:space="preserve">5 - worker_signature found initial dialog &amp; mandatory </t>
  </si>
  <si>
    <t xml:space="preserve">13 - worker_signature found initial dialog &amp; mandatory </t>
  </si>
  <si>
    <t xml:space="preserve">4 - worker_signature found initial dialog &amp; mandatory </t>
  </si>
  <si>
    <t xml:space="preserve">2 - worker_signature found initial dialog &amp; NEED mandatory </t>
  </si>
  <si>
    <t xml:space="preserve">5 - worker_signature found initial dialog &amp; NEED mandatory </t>
  </si>
  <si>
    <t xml:space="preserve">2 - worker_signature found initial dialog &amp; NEED on 2 mandatory </t>
  </si>
  <si>
    <t xml:space="preserve">15 - worker_signature found initial dialog &amp; mandatory </t>
  </si>
  <si>
    <t xml:space="preserve">6 - worker_signature found initial dialog &amp; mandatory </t>
  </si>
  <si>
    <t xml:space="preserve">3 - worker_signature found initial dialog &amp; NEED mandatory </t>
  </si>
  <si>
    <t xml:space="preserve">1 - worker_signature found NEED initial dialog &amp; NEED mandatory </t>
  </si>
  <si>
    <t xml:space="preserve">8 - worker_signature found initial dialog &amp; mandatory </t>
  </si>
  <si>
    <t xml:space="preserve"> NEED worker_signature initial dialog &amp; NEED mandatory </t>
  </si>
  <si>
    <t>NEED do we want?</t>
  </si>
  <si>
    <t xml:space="preserve">1- NEED worker_signature initial dialog &amp; NEED mandatory </t>
  </si>
  <si>
    <t xml:space="preserve">3 - worker_signature found initial dialog &amp; NEEDS mandatory </t>
  </si>
  <si>
    <t xml:space="preserve">4 - worker_signature found NO initial dialog &amp; NO mandatory </t>
  </si>
  <si>
    <t>FULL INTERVIEW</t>
  </si>
  <si>
    <t xml:space="preserve">11 - worker_signature found initial dialog &amp; mandatory </t>
  </si>
  <si>
    <t xml:space="preserve">not on list </t>
  </si>
  <si>
    <t>EBT OUT OF STATE DIALOG, MANDATORY &amp; CASE NOTE</t>
  </si>
  <si>
    <t>PARIS MATCH CLEARED DIALOG, MANDATORY &amp; CASE NOTE</t>
  </si>
  <si>
    <t>ADH INFO HEARING DIALOG, MANDATORY &amp; CASE NOTE</t>
  </si>
  <si>
    <t>311 DIALOG, MANDATORY</t>
  </si>
  <si>
    <t>ACF REQUEST PENDING DIALOG, MANDATORY &amp; CASE NOTE</t>
  </si>
  <si>
    <t>BUS TICKET ISSUED DIALOG, MANDATORY</t>
  </si>
  <si>
    <t>CES SCREENING APPT DIALOG, MANDATORY</t>
  </si>
  <si>
    <t>CLIENT SHELTERED BY WINDOW A DIALOG, MANDATORY</t>
  </si>
  <si>
    <t>EA APPROVED DIALOG, MANDATORY</t>
  </si>
  <si>
    <t>EA EXTENSION DIALOG, MANDATORY</t>
  </si>
  <si>
    <t>HOMELESSNESS VERIFIED DIALOG, MANDATORY</t>
  </si>
  <si>
    <t>MANDATORY VENDOR APPROVED DIALOG, MANDATORY</t>
  </si>
  <si>
    <t>PARTNER CALLS DIALOG, MANDATORY</t>
  </si>
  <si>
    <t>PERMANENT HOUSING FOUND DIALOG, MANDATORY</t>
  </si>
  <si>
    <t>PERSONAL NEEDS DIALOG, MANDATORY</t>
  </si>
  <si>
    <t>PNOTE DIALOG, MANDATORY</t>
  </si>
  <si>
    <t>REIM SHELTER ACCT DIALOG, MANDATORY</t>
  </si>
  <si>
    <t>SHELTER ALTERATIVE DIALOG, MANDATORY</t>
  </si>
  <si>
    <t>SPECIAL EA DIALOG, MANDATORY</t>
  </si>
  <si>
    <t>UTILITY INFO DIALOG, MANDATORY</t>
  </si>
  <si>
    <t>VOUCHER EXTENDED DIALOG, MANDATORY</t>
  </si>
  <si>
    <t>NSOPW CHECKED MANDATORY</t>
  </si>
  <si>
    <t>ACF USED DIALOG, MANDATORY &amp; CASE NOTE</t>
  </si>
  <si>
    <t>SHELTER DIVERSION PROGRAM REFFERRAL RESULT</t>
  </si>
  <si>
    <t xml:space="preserve"> SHELTER DIVERSION PROGRAM REFFERRAL</t>
  </si>
  <si>
    <t xml:space="preserve"> DEU </t>
  </si>
  <si>
    <t xml:space="preserve"> SHELTER </t>
  </si>
  <si>
    <t>NOTES 2 PM RETURN DIALOG, MANDATORY</t>
  </si>
  <si>
    <t>NOTICES MAND VENDOR MEMO DIALOG, MANDATORY &amp; CASE NOTE</t>
  </si>
  <si>
    <t xml:space="preserve">YES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</si>
</sst>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Fill="1" applyBorder="1"/>
    <xf numFmtId="0" fontId="4" fillId="0" borderId="0" xfId="1" applyFont="1" applyFill="1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ont="1" applyFill="1" applyBorder="1"/>
    <xf numFmtId="0" fontId="2" fillId="0" borderId="0" xfId="1" applyFont="1" applyFill="1" applyBorder="1"/>
    <xf numFmtId="14" fontId="0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A69A-F5D7-4C77-94F6-A0A435402F87}">
  <dimension ref="A1:H263"/>
  <sheetViews>
    <sheetView tabSelected="1" workbookViewId="0">
      <pane ySplit="1" topLeftCell="A52" activePane="bottomLeft" state="frozen"/>
      <selection pane="bottomLeft" activeCell="E237" sqref="E237:E263"/>
    </sheetView>
  </sheetViews>
  <sheetFormatPr defaultRowHeight="15" x14ac:dyDescent="0.25"/>
  <cols>
    <col min="1" max="1" width="9.28515625" style="3" customWidth="1"/>
    <col min="2" max="2" width="27.140625" style="3" customWidth="1"/>
    <col min="3" max="3" width="39.28515625" style="3" customWidth="1"/>
    <col min="4" max="4" width="29.140625" style="3" customWidth="1"/>
    <col min="5" max="5" width="61.7109375" style="3" customWidth="1"/>
    <col min="6" max="6" width="127.7109375" style="3" bestFit="1" customWidth="1"/>
    <col min="7" max="7" width="14" style="3" bestFit="1" customWidth="1"/>
    <col min="8" max="8" width="14.42578125" style="3" bestFit="1" customWidth="1"/>
    <col min="9" max="16384" width="9.140625" style="3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1" t="s">
        <v>538</v>
      </c>
      <c r="F1" s="4" t="s">
        <v>4</v>
      </c>
      <c r="G1" s="4" t="s">
        <v>545</v>
      </c>
      <c r="H1" s="4" t="s">
        <v>5</v>
      </c>
    </row>
    <row r="2" spans="1:8" x14ac:dyDescent="0.25">
      <c r="A2" s="5" t="s">
        <v>17</v>
      </c>
      <c r="B2" s="5" t="s">
        <v>18</v>
      </c>
      <c r="C2" s="5" t="s">
        <v>19</v>
      </c>
      <c r="D2" s="6" t="str">
        <f>HYPERLINK("https://hennepin.sharepoint.com/teams/hs-economic-supports-hub/BlueZone_Script_Instructions/ACTIONS/ACTIONS%20-%20ABAWD%20EXEMPTION.docx", "ABAWD Exemption")</f>
        <v>ABAWD Exemption</v>
      </c>
      <c r="E2" s="2" t="s">
        <v>542</v>
      </c>
      <c r="F2" s="5" t="s">
        <v>20</v>
      </c>
      <c r="G2" s="5"/>
      <c r="H2" s="5"/>
    </row>
    <row r="3" spans="1:8" x14ac:dyDescent="0.25">
      <c r="A3" s="5" t="s">
        <v>17</v>
      </c>
      <c r="B3" s="5" t="s">
        <v>21</v>
      </c>
      <c r="C3" s="5" t="s">
        <v>22</v>
      </c>
      <c r="D3" s="6" t="str">
        <f>HYPERLINK("https://hennepin.sharepoint.com/teams/hs-economic-supports-hub/BlueZone_Script_Instructions/ACTIONS/ACTIONS%20-%20ABAWD%20FIATER.docx", "ABAWD FIATer")</f>
        <v>ABAWD FIATer</v>
      </c>
      <c r="E3" s="2" t="s">
        <v>546</v>
      </c>
      <c r="F3" s="5" t="s">
        <v>20</v>
      </c>
      <c r="G3" s="5"/>
      <c r="H3" s="7">
        <v>43985</v>
      </c>
    </row>
    <row r="4" spans="1:8" x14ac:dyDescent="0.25">
      <c r="A4" s="5" t="s">
        <v>17</v>
      </c>
      <c r="B4" s="5" t="s">
        <v>23</v>
      </c>
      <c r="C4" s="5" t="s">
        <v>24</v>
      </c>
      <c r="D4" s="6" t="str">
        <f>HYPERLINK("https://hennepin.sharepoint.com/teams/hs-economic-supports-hub/BlueZone_Script_Instructions/ACTIONS/ACTIONS%20-%20ABAWD%20FSET%20EXEMPTION%20CHECK.docx", "ABAWD FSET Exemption Check")</f>
        <v>ABAWD FSET Exemption Check</v>
      </c>
      <c r="E4" s="2" t="s">
        <v>554</v>
      </c>
      <c r="F4" s="5" t="s">
        <v>20</v>
      </c>
      <c r="G4" s="5"/>
      <c r="H4" s="5"/>
    </row>
    <row r="5" spans="1:8" x14ac:dyDescent="0.25">
      <c r="A5" s="5" t="s">
        <v>17</v>
      </c>
      <c r="B5" s="5" t="s">
        <v>29</v>
      </c>
      <c r="C5" s="5" t="s">
        <v>30</v>
      </c>
      <c r="D5" s="6" t="str">
        <f>HYPERLINK("https://hennepin.sharepoint.com/teams/hs-economic-supports-hub/BlueZone_Script_Instructions/ACTIONS/ACTIONS%20-%20ABAWD%20SCREENING%20TOOL.docx", "ABAWD Screening Tool")</f>
        <v>ABAWD Screening Tool</v>
      </c>
      <c r="E5" s="2" t="s">
        <v>558</v>
      </c>
      <c r="F5" s="5" t="s">
        <v>20</v>
      </c>
      <c r="G5" s="5"/>
      <c r="H5" s="5"/>
    </row>
    <row r="6" spans="1:8" x14ac:dyDescent="0.25">
      <c r="A6" s="5" t="s">
        <v>17</v>
      </c>
      <c r="B6" s="5" t="s">
        <v>36</v>
      </c>
      <c r="C6" s="5" t="s">
        <v>37</v>
      </c>
      <c r="D6" s="6" t="str">
        <f>HYPERLINK("https://hennepin.sharepoint.com/teams/hs-economic-supports-hub/BlueZone_Script_Instructions/ACTIONS/ACTIONS%20-%20ADD%20GRH%20RATE%202%20TO%20MMIS.docx", "Add GRH Rate 2 to MMIS")</f>
        <v>Add GRH Rate 2 to MMIS</v>
      </c>
      <c r="E6" s="2" t="s">
        <v>548</v>
      </c>
      <c r="F6" s="5" t="s">
        <v>38</v>
      </c>
      <c r="G6" s="5"/>
      <c r="H6" s="5"/>
    </row>
    <row r="7" spans="1:8" x14ac:dyDescent="0.25">
      <c r="A7" s="5" t="s">
        <v>17</v>
      </c>
      <c r="B7" s="5" t="s">
        <v>71</v>
      </c>
      <c r="C7" s="5" t="s">
        <v>72</v>
      </c>
      <c r="D7" s="6" t="str">
        <f>HYPERLINK("https://hennepin.sharepoint.com/teams/hs-economic-supports-hub/BlueZone_Script_Instructions/ACTIONS/ACTIONS%20-%20BILS%20UPDATER.docx", "BILS Updater")</f>
        <v>BILS Updater</v>
      </c>
      <c r="E7" s="2" t="s">
        <v>542</v>
      </c>
      <c r="F7" s="5" t="s">
        <v>73</v>
      </c>
      <c r="G7" s="5"/>
      <c r="H7" s="5"/>
    </row>
    <row r="8" spans="1:8" x14ac:dyDescent="0.25">
      <c r="A8" s="5" t="s">
        <v>17</v>
      </c>
      <c r="B8" s="5" t="s">
        <v>102</v>
      </c>
      <c r="C8" s="5" t="s">
        <v>103</v>
      </c>
      <c r="D8" s="6" t="str">
        <f>HYPERLINK("https://hennepin.sharepoint.com/teams/hs-economic-supports-hub/BlueZone_Script_Instructions/ACTIONS/ACTIONS%20-%20CHECK%20EDRS.docx", "Check EDRS")</f>
        <v>Check EDRS</v>
      </c>
      <c r="E8" s="2" t="s">
        <v>542</v>
      </c>
      <c r="F8" s="5" t="s">
        <v>104</v>
      </c>
      <c r="G8" s="5"/>
      <c r="H8" s="5"/>
    </row>
    <row r="9" spans="1:8" x14ac:dyDescent="0.25">
      <c r="A9" s="5" t="s">
        <v>17</v>
      </c>
      <c r="B9" s="5" t="s">
        <v>110</v>
      </c>
      <c r="C9" s="5" t="s">
        <v>111</v>
      </c>
      <c r="D9" s="6" t="str">
        <f>HYPERLINK("https://hennepin.sharepoint.com/teams/hs-economic-supports-hub/BlueZone_Script_Instructions/ACTIONS/ACTIONS%20-%20CLAIM%20REFERRAL%20TRACKING.docx", "Claim Referral Tracking")</f>
        <v>Claim Referral Tracking</v>
      </c>
      <c r="E9" s="2" t="s">
        <v>548</v>
      </c>
      <c r="F9" s="5" t="s">
        <v>112</v>
      </c>
      <c r="G9" s="5"/>
      <c r="H9" s="5"/>
    </row>
    <row r="10" spans="1:8" x14ac:dyDescent="0.25">
      <c r="A10" s="5" t="s">
        <v>17</v>
      </c>
      <c r="B10" s="5" t="s">
        <v>135</v>
      </c>
      <c r="C10" s="5" t="s">
        <v>136</v>
      </c>
      <c r="D10" s="6" t="str">
        <f>HYPERLINK("https://hennepin.sharepoint.com/teams/hs-economic-supports-hub/BlueZone_Script_Instructions/ACTIONS/ACTIONS%20-%20COUNTED%20ABAWD%20MONTHS.docx", "Counted ABAWD Months")</f>
        <v>Counted ABAWD Months</v>
      </c>
      <c r="E10" s="2" t="s">
        <v>542</v>
      </c>
      <c r="F10" s="5" t="s">
        <v>20</v>
      </c>
      <c r="G10" s="5"/>
      <c r="H10" s="5"/>
    </row>
    <row r="11" spans="1:8" x14ac:dyDescent="0.25">
      <c r="A11" s="5" t="s">
        <v>17</v>
      </c>
      <c r="B11" s="5" t="s">
        <v>176</v>
      </c>
      <c r="C11" s="5" t="s">
        <v>177</v>
      </c>
      <c r="D11" s="6" t="str">
        <f>HYPERLINK("https://hennepin.sharepoint.com/teams/hs-economic-supports-hub/BlueZone_Script_Instructions/ACTIONS/ACTIONS%20-%20EARNED%20INCOME%20BUDGETING.docx", "Earned Income Budgeting")</f>
        <v>Earned Income Budgeting</v>
      </c>
      <c r="E11" s="2" t="s">
        <v>548</v>
      </c>
      <c r="F11" s="5" t="s">
        <v>178</v>
      </c>
      <c r="G11" s="5"/>
      <c r="H11" s="5"/>
    </row>
    <row r="12" spans="1:8" x14ac:dyDescent="0.25">
      <c r="A12" s="5" t="s">
        <v>17</v>
      </c>
      <c r="B12" s="5" t="s">
        <v>194</v>
      </c>
      <c r="C12" s="5" t="s">
        <v>195</v>
      </c>
      <c r="D12" s="6" t="str">
        <f>HYPERLINK("https://hennepin.sharepoint.com/teams/hs-economic-supports-hub/BlueZone_Script_Instructions/ACTIONS/ACTIONS%20-%20EMPS%20UPDATER.docx", "EMPS Updater")</f>
        <v>EMPS Updater</v>
      </c>
      <c r="E12" s="2" t="s">
        <v>548</v>
      </c>
      <c r="F12" s="5" t="s">
        <v>196</v>
      </c>
      <c r="G12" s="5"/>
      <c r="H12" s="5"/>
    </row>
    <row r="13" spans="1:8" x14ac:dyDescent="0.25">
      <c r="A13" s="5" t="s">
        <v>17</v>
      </c>
      <c r="B13" s="5" t="s">
        <v>208</v>
      </c>
      <c r="C13" s="5" t="s">
        <v>209</v>
      </c>
      <c r="D13" s="6" t="str">
        <f>HYPERLINK("https://hennepin.sharepoint.com/teams/hs-economic-supports-hub/BlueZone_Script_Instructions/ACTIONS/ACTIONS%20-%20FIAT%20GA-RCA%20INTO%20SNAP%20BUDGET.docx", "FIAT GA-RCA Into SNAP Budget")</f>
        <v>FIAT GA-RCA Into SNAP Budget</v>
      </c>
      <c r="E13" s="2" t="s">
        <v>542</v>
      </c>
      <c r="F13" s="5" t="s">
        <v>210</v>
      </c>
      <c r="G13" s="5"/>
      <c r="H13" s="5"/>
    </row>
    <row r="14" spans="1:8" x14ac:dyDescent="0.25">
      <c r="A14" s="5" t="s">
        <v>17</v>
      </c>
      <c r="B14" s="5" t="s">
        <v>223</v>
      </c>
      <c r="C14" s="5" t="s">
        <v>224</v>
      </c>
      <c r="D14" s="6" t="str">
        <f>HYPERLINK("https://hennepin.sharepoint.com/teams/hs-economic-supports-hub/BlueZone_Script_Instructions/ACTIONS/ACTIONS%20-%20FSS%20STATUS%20CHANGE.docx", "FSS Status Change")</f>
        <v>FSS Status Change</v>
      </c>
      <c r="E14" s="2" t="s">
        <v>558</v>
      </c>
      <c r="F14" s="5" t="s">
        <v>225</v>
      </c>
      <c r="G14" s="5"/>
      <c r="H14" s="5"/>
    </row>
    <row r="15" spans="1:8" x14ac:dyDescent="0.25">
      <c r="A15" s="5" t="s">
        <v>17</v>
      </c>
      <c r="B15" s="5" t="s">
        <v>272</v>
      </c>
      <c r="C15" s="5" t="s">
        <v>273</v>
      </c>
      <c r="D15" s="6" t="str">
        <f>HYPERLINK("https://hennepin.sharepoint.com/teams/hs-economic-supports-hub/BlueZone_Script_Instructions/ACTIONS/ACTIONS%20-%20JOB%20CHANGE%20REPORTED.docx", "Job Change Reported")</f>
        <v>Job Change Reported</v>
      </c>
      <c r="E15" s="2" t="s">
        <v>573</v>
      </c>
      <c r="F15" s="5" t="s">
        <v>274</v>
      </c>
      <c r="G15" s="5"/>
      <c r="H15" s="5"/>
    </row>
    <row r="16" spans="1:8" x14ac:dyDescent="0.25">
      <c r="A16" s="5" t="s">
        <v>17</v>
      </c>
      <c r="B16" s="5" t="s">
        <v>304</v>
      </c>
      <c r="C16" s="5" t="s">
        <v>302</v>
      </c>
      <c r="D16" s="6" t="str">
        <f>HYPERLINK("https://hennepin.sharepoint.com/teams/hs-economic-supports-hub/BlueZone_Script_Instructions/ACTIONS/ACTIONS%20-%20LTC%20ICF-DD%20DEDUCTION%20FIATER.docx", "LTC ICF-DD Deduction FIATer")</f>
        <v>LTC ICF-DD Deduction FIATer</v>
      </c>
      <c r="E16" s="2" t="s">
        <v>542</v>
      </c>
      <c r="F16" s="5" t="s">
        <v>303</v>
      </c>
      <c r="G16" s="5"/>
      <c r="H16" s="5"/>
    </row>
    <row r="17" spans="1:8" x14ac:dyDescent="0.25">
      <c r="A17" s="5" t="s">
        <v>17</v>
      </c>
      <c r="B17" s="5" t="s">
        <v>301</v>
      </c>
      <c r="C17" s="5" t="s">
        <v>302</v>
      </c>
      <c r="D17" s="6" t="str">
        <f>HYPERLINK("https://hennepin.sharepoint.com/teams/hs-economic-supports-hub/BlueZone_Script_Instructions/ACTIONS/ACTIONS%20-%20LTC%20SPOUSAL%20ALLOCATION%20FIATER.docx", "LTC Spousal Allocation FIATer")</f>
        <v>LTC Spousal Allocation FIATer</v>
      </c>
      <c r="E17" s="2" t="s">
        <v>542</v>
      </c>
      <c r="F17" s="5" t="s">
        <v>303</v>
      </c>
      <c r="G17" s="5"/>
      <c r="H17" s="5"/>
    </row>
    <row r="18" spans="1:8" x14ac:dyDescent="0.25">
      <c r="A18" s="5" t="s">
        <v>17</v>
      </c>
      <c r="B18" s="5" t="s">
        <v>308</v>
      </c>
      <c r="C18" s="5" t="s">
        <v>309</v>
      </c>
      <c r="D18" s="6" t="str">
        <f>HYPERLINK("https://hennepin.sharepoint.com/teams/hs-economic-supports-hub/BlueZone_Script_Instructions/ACTIONS/ACTIONS%20-%20MA%20FIATER%20FOR%20GRH%20MSA.docx", "MA FIATER for GRH MSA")</f>
        <v>MA FIATER for GRH MSA</v>
      </c>
      <c r="E18" s="2" t="s">
        <v>542</v>
      </c>
      <c r="F18" s="5" t="s">
        <v>310</v>
      </c>
      <c r="G18" s="5"/>
      <c r="H18" s="5"/>
    </row>
    <row r="19" spans="1:8" x14ac:dyDescent="0.25">
      <c r="A19" s="5" t="s">
        <v>17</v>
      </c>
      <c r="B19" s="5" t="s">
        <v>314</v>
      </c>
      <c r="C19" s="5" t="s">
        <v>302</v>
      </c>
      <c r="D19" s="6" t="str">
        <f>HYPERLINK("https://hennepin.sharepoint.com/teams/hs-economic-supports-hub/BlueZone_Script_Instructions/ACTIONS/ACTIONS%20-%20MA-EPD%20EI%20FIAT.docx", "MA-EPD EI FIAT")</f>
        <v>MA-EPD EI FIAT</v>
      </c>
      <c r="E19" s="2" t="s">
        <v>542</v>
      </c>
      <c r="F19" s="5" t="s">
        <v>315</v>
      </c>
      <c r="G19" s="5"/>
      <c r="H19" s="5"/>
    </row>
    <row r="20" spans="1:8" x14ac:dyDescent="0.25">
      <c r="A20" s="5" t="s">
        <v>17</v>
      </c>
      <c r="B20" s="5" t="s">
        <v>344</v>
      </c>
      <c r="C20" s="5" t="s">
        <v>177</v>
      </c>
      <c r="D20" s="6" t="str">
        <f>HYPERLINK("https://hennepin.sharepoint.com/teams/hs-economic-supports-hub/BlueZone_Script_Instructions/ACTIONS/ACTIONS%20-%20NEW%20JOB%20REPORTED.docx", "New Job Reported")</f>
        <v>New Job Reported</v>
      </c>
      <c r="E20" s="2" t="s">
        <v>546</v>
      </c>
      <c r="F20" s="5" t="s">
        <v>345</v>
      </c>
      <c r="G20" s="5"/>
      <c r="H20" s="7">
        <v>44099</v>
      </c>
    </row>
    <row r="21" spans="1:8" x14ac:dyDescent="0.25">
      <c r="A21" s="5" t="s">
        <v>17</v>
      </c>
      <c r="B21" s="5" t="s">
        <v>368</v>
      </c>
      <c r="C21" s="5" t="s">
        <v>369</v>
      </c>
      <c r="D21" s="6" t="str">
        <f>HYPERLINK("https://hennepin.sharepoint.com/teams/hs-economic-supports-hub/BlueZone_Script_Instructions/ACTIONS/ACTIONS%20-%20PF11%20ACTIONS.docx", "PF11 Actions")</f>
        <v>PF11 Actions</v>
      </c>
      <c r="E21" s="2" t="s">
        <v>548</v>
      </c>
      <c r="F21" s="5" t="s">
        <v>370</v>
      </c>
      <c r="G21" s="5"/>
      <c r="H21" s="5"/>
    </row>
    <row r="22" spans="1:8" x14ac:dyDescent="0.25">
      <c r="A22" s="5" t="s">
        <v>17</v>
      </c>
      <c r="B22" s="5" t="s">
        <v>432</v>
      </c>
      <c r="C22" s="5" t="s">
        <v>177</v>
      </c>
      <c r="D22" s="6" t="str">
        <f>HYPERLINK("https://hennepin.sharepoint.com/teams/hs-economic-supports-hub/BlueZone_Script_Instructions/ACTIONS/ACTIONS%20-%20SEND%20SVES.docx", "Send SVES")</f>
        <v>Send SVES</v>
      </c>
      <c r="E22" s="2" t="s">
        <v>559</v>
      </c>
      <c r="F22" s="5" t="s">
        <v>433</v>
      </c>
      <c r="G22" s="5"/>
      <c r="H22" s="5"/>
    </row>
    <row r="23" spans="1:8" x14ac:dyDescent="0.25">
      <c r="A23" s="5" t="s">
        <v>17</v>
      </c>
      <c r="B23" s="5" t="s">
        <v>434</v>
      </c>
      <c r="C23" s="5" t="s">
        <v>435</v>
      </c>
      <c r="D23" s="6" t="str">
        <f>HYPERLINK("https://hennepin.sharepoint.com/teams/hs-economic-supports-hub/BlueZone_Script_Instructions/ACTIONS/ACTIONS%20-%20SHELTER%20EXPENSE%20VERIF%20RECEIVED.docx", "Shelter Expense Verif Received")</f>
        <v>Shelter Expense Verif Received</v>
      </c>
      <c r="E23" s="2" t="s">
        <v>548</v>
      </c>
      <c r="F23" s="5" t="s">
        <v>436</v>
      </c>
      <c r="G23" s="5"/>
      <c r="H23" s="5"/>
    </row>
    <row r="24" spans="1:8" x14ac:dyDescent="0.25">
      <c r="A24" s="5" t="s">
        <v>17</v>
      </c>
      <c r="B24" s="5" t="s">
        <v>445</v>
      </c>
      <c r="C24" s="5" t="s">
        <v>446</v>
      </c>
      <c r="D24" s="6" t="str">
        <f>HYPERLINK("https://hennepin.sharepoint.com/teams/hs-economic-supports-hub/BlueZone_Script_Instructions/ACTIONS/ACTIONS%20-%20TRANSFER%20CASE.docx", "Transfer Case")</f>
        <v>Transfer Case</v>
      </c>
      <c r="E24" s="2" t="s">
        <v>548</v>
      </c>
      <c r="F24" s="5" t="s">
        <v>447</v>
      </c>
      <c r="G24" s="5"/>
      <c r="H24" s="5"/>
    </row>
    <row r="25" spans="1:8" x14ac:dyDescent="0.25">
      <c r="A25" s="5" t="s">
        <v>25</v>
      </c>
      <c r="B25" s="5" t="s">
        <v>504</v>
      </c>
      <c r="C25" s="5"/>
      <c r="D25" s="6"/>
      <c r="E25" s="2" t="s">
        <v>548</v>
      </c>
      <c r="F25" s="5"/>
      <c r="G25" s="5"/>
      <c r="H25" s="5"/>
    </row>
    <row r="26" spans="1:8" x14ac:dyDescent="0.25">
      <c r="A26" s="5" t="s">
        <v>25</v>
      </c>
      <c r="B26" s="5" t="s">
        <v>26</v>
      </c>
      <c r="C26" s="5" t="s">
        <v>27</v>
      </c>
      <c r="D26" s="6" t="str">
        <f>HYPERLINK("https://hennepin.sharepoint.com/teams/hs-economic-supports-hub/BlueZone_Script_Instructions/ADMIN/ADMIN%20-%20ABAWD%20REPORT.docx", "ABAWD Report")</f>
        <v>ABAWD Report</v>
      </c>
      <c r="E26" s="2" t="s">
        <v>546</v>
      </c>
      <c r="F26" s="5" t="s">
        <v>28</v>
      </c>
      <c r="G26" s="5"/>
      <c r="H26" s="7">
        <v>44361</v>
      </c>
    </row>
    <row r="27" spans="1:8" x14ac:dyDescent="0.25">
      <c r="A27" s="5" t="s">
        <v>25</v>
      </c>
      <c r="B27" s="5" t="s">
        <v>62</v>
      </c>
      <c r="C27" s="5" t="s">
        <v>27</v>
      </c>
      <c r="D27" s="6" t="str">
        <f>HYPERLINK("https://hennepin.sharepoint.com/teams/hs-economic-supports-hub/BlueZone_Script_Instructions/ADMIN/ADMIN%20-%20AUTO-DIALER%20CASE%20STATUS.docx", "Auto-Dialer Case Status")</f>
        <v>Auto-Dialer Case Status</v>
      </c>
      <c r="E27" s="2" t="s">
        <v>542</v>
      </c>
      <c r="F27" s="5" t="s">
        <v>28</v>
      </c>
      <c r="G27" s="5"/>
      <c r="H27" s="5"/>
    </row>
    <row r="28" spans="1:8" x14ac:dyDescent="0.25">
      <c r="A28" s="5" t="s">
        <v>25</v>
      </c>
      <c r="B28" s="5" t="s">
        <v>66</v>
      </c>
      <c r="C28" s="5" t="s">
        <v>67</v>
      </c>
      <c r="D28" s="6" t="str">
        <f>HYPERLINK("https://hennepin.sharepoint.com/teams/hs-economic-supports-hub/BlueZone_Script_Instructions/ADMIN/ADMIN%20-%20AVS%20REPORT.docx", "AVS Report")</f>
        <v>AVS Report</v>
      </c>
      <c r="E28" s="2" t="s">
        <v>567</v>
      </c>
      <c r="F28" s="5" t="s">
        <v>68</v>
      </c>
      <c r="G28" s="5"/>
      <c r="H28" s="5"/>
    </row>
    <row r="29" spans="1:8" x14ac:dyDescent="0.25">
      <c r="A29" s="5" t="s">
        <v>25</v>
      </c>
      <c r="B29" s="5" t="s">
        <v>69</v>
      </c>
      <c r="C29" s="5" t="s">
        <v>70</v>
      </c>
      <c r="D29" s="6" t="str">
        <f>HYPERLINK("https://hennepin.sharepoint.com/teams/hs-economic-supports-hub/BlueZone_Script_Instructions/ADMIN/ADMIN%20-%20AVS%20SUBMITTED.docx", "AVS Submitted")</f>
        <v>AVS Submitted</v>
      </c>
      <c r="E29" s="2" t="s">
        <v>546</v>
      </c>
      <c r="F29" s="5" t="s">
        <v>65</v>
      </c>
      <c r="G29" s="5"/>
      <c r="H29" s="7">
        <v>44372</v>
      </c>
    </row>
    <row r="30" spans="1:8" x14ac:dyDescent="0.25">
      <c r="A30" s="5" t="s">
        <v>25</v>
      </c>
      <c r="B30" s="5" t="s">
        <v>74</v>
      </c>
      <c r="C30" s="5" t="s">
        <v>75</v>
      </c>
      <c r="D30" s="6" t="str">
        <f>HYPERLINK("https://hennepin.sharepoint.com/teams/hs-economic-supports-hub/BlueZone_Script_Instructions/ADMIN/ADMIN%20-%20BUDGET%20ESTIMATOR.docx", "Budget Estimator")</f>
        <v>Budget Estimator</v>
      </c>
      <c r="E30" s="2" t="s">
        <v>546</v>
      </c>
      <c r="F30" s="5" t="s">
        <v>76</v>
      </c>
      <c r="G30" s="5"/>
      <c r="H30" s="7">
        <v>44468</v>
      </c>
    </row>
    <row r="31" spans="1:8" x14ac:dyDescent="0.25">
      <c r="A31" s="5" t="s">
        <v>25</v>
      </c>
      <c r="B31" s="5" t="s">
        <v>77</v>
      </c>
      <c r="C31" s="5" t="s">
        <v>78</v>
      </c>
      <c r="D31" s="6" t="str">
        <f>HYPERLINK("https://hennepin.sharepoint.com/teams/hs-economic-supports-hub/BlueZone_Script_Instructions/ADMIN/ADMIN%20-%20BULK%20-%20INACTIVE%20TRANSFER.docx", "BULK - Inactive Transfer")</f>
        <v>BULK - Inactive Transfer</v>
      </c>
      <c r="E31" s="2" t="s">
        <v>542</v>
      </c>
      <c r="F31" s="5" t="s">
        <v>79</v>
      </c>
      <c r="G31" s="5"/>
      <c r="H31" s="5"/>
    </row>
    <row r="32" spans="1:8" x14ac:dyDescent="0.25">
      <c r="A32" s="5" t="s">
        <v>25</v>
      </c>
      <c r="B32" s="5" t="s">
        <v>80</v>
      </c>
      <c r="C32" s="5" t="s">
        <v>44</v>
      </c>
      <c r="D32" s="6" t="str">
        <f>HYPERLINK("https://hennepin.sharepoint.com/teams/hs-economic-supports-hub/BlueZone_Script_Instructions/ADMIN/ADMIN%20-%20BULK%20-%20REPT%20USER%20LIST.docx", "BULK - REPT USER List")</f>
        <v>BULK - REPT USER List</v>
      </c>
      <c r="E32" s="2" t="s">
        <v>542</v>
      </c>
      <c r="F32" s="5"/>
      <c r="G32" s="5"/>
      <c r="H32" s="5"/>
    </row>
    <row r="33" spans="1:8" x14ac:dyDescent="0.25">
      <c r="A33" s="5" t="s">
        <v>25</v>
      </c>
      <c r="B33" s="5" t="s">
        <v>115</v>
      </c>
      <c r="C33" s="5" t="s">
        <v>116</v>
      </c>
      <c r="D33" s="6" t="str">
        <f>HYPERLINK("https://hennepin.sharepoint.com/teams/hs-economic-supports-hub/BlueZone_Script_Instructions/ADMIN/ADMIN%20-%20CLOSE%20MMIS%20RATE%202%20IN%20MMIS.docx", "Close MMIS Rate 2 in MMIS")</f>
        <v>Close MMIS Rate 2 in MMIS</v>
      </c>
      <c r="E33" s="2" t="s">
        <v>542</v>
      </c>
      <c r="F33" s="5" t="s">
        <v>117</v>
      </c>
      <c r="G33" s="5"/>
      <c r="H33" s="5"/>
    </row>
    <row r="34" spans="1:8" x14ac:dyDescent="0.25">
      <c r="A34" s="5" t="s">
        <v>25</v>
      </c>
      <c r="B34" s="5" t="s">
        <v>120</v>
      </c>
      <c r="C34" s="5" t="s">
        <v>121</v>
      </c>
      <c r="D34" s="6" t="str">
        <f>HYPERLINK("https://hennepin.sharepoint.com/teams/hs-economic-supports-hub/BlueZone_Script_Instructions/ADMIN/ADMIN%20-%20COLA%20DECIMATOR.docx", "COLA Decimator")</f>
        <v>COLA Decimator</v>
      </c>
      <c r="E34" s="2" t="s">
        <v>542</v>
      </c>
      <c r="F34" s="5" t="s">
        <v>122</v>
      </c>
      <c r="G34" s="5"/>
      <c r="H34" s="5"/>
    </row>
    <row r="35" spans="1:8" x14ac:dyDescent="0.25">
      <c r="A35" s="5" t="s">
        <v>25</v>
      </c>
      <c r="B35" s="5" t="s">
        <v>129</v>
      </c>
      <c r="C35" s="5" t="s">
        <v>130</v>
      </c>
      <c r="D35" s="6" t="str">
        <f>HYPERLINK("https://hennepin.sharepoint.com/teams/hs-economic-supports-hub/BlueZone_Script_Instructions/ADMIN/ADMIN%20-%20COPY%20CASE%20DATA%20FOR%20TRAINING.docx", "Copy Case Data for Training")</f>
        <v>Copy Case Data for Training</v>
      </c>
      <c r="E35" s="2" t="s">
        <v>568</v>
      </c>
      <c r="F35" s="5" t="s">
        <v>131</v>
      </c>
      <c r="G35" s="5"/>
      <c r="H35" s="5"/>
    </row>
    <row r="36" spans="1:8" x14ac:dyDescent="0.25">
      <c r="A36" s="5" t="s">
        <v>25</v>
      </c>
      <c r="B36" s="5" t="s">
        <v>137</v>
      </c>
      <c r="C36" s="5" t="s">
        <v>138</v>
      </c>
      <c r="D36" s="6" t="str">
        <f>HYPERLINK("https://hennepin.sharepoint.com/teams/hs-economic-supports-hub/BlueZone_Script_Instructions/ADMIN/ADMIN%20-%20CREATE%20FAKE%20CS%20DAILS%20AS%20TIKLS.docx", "Create Fake CS DAILs as TIKLs")</f>
        <v>Create Fake CS DAILs as TIKLs</v>
      </c>
      <c r="E36" s="2" t="s">
        <v>542</v>
      </c>
      <c r="F36" s="5" t="s">
        <v>139</v>
      </c>
      <c r="G36" s="5"/>
      <c r="H36" s="5"/>
    </row>
    <row r="37" spans="1:8" x14ac:dyDescent="0.25">
      <c r="A37" s="5" t="s">
        <v>25</v>
      </c>
      <c r="B37" s="5" t="s">
        <v>140</v>
      </c>
      <c r="C37" s="5" t="s">
        <v>141</v>
      </c>
      <c r="D37" s="6" t="str">
        <f>HYPERLINK("https://hennepin.sharepoint.com/teams/hs-economic-supports-hub/BlueZone_Script_Instructions/ADMIN/ADMIN%20-%20CS%20GOOD%20CAUSE.docx", "CS Good Cause")</f>
        <v>CS Good Cause</v>
      </c>
      <c r="E37" s="2" t="s">
        <v>569</v>
      </c>
      <c r="F37" s="5" t="s">
        <v>142</v>
      </c>
      <c r="G37" s="5"/>
      <c r="H37" s="5"/>
    </row>
    <row r="38" spans="1:8" x14ac:dyDescent="0.25">
      <c r="A38" s="5" t="s">
        <v>25</v>
      </c>
      <c r="B38" s="5" t="s">
        <v>146</v>
      </c>
      <c r="C38" s="5" t="s">
        <v>147</v>
      </c>
      <c r="D38" s="6" t="str">
        <f>HYPERLINK("https://hennepin.sharepoint.com/teams/hs-economic-supports-hub/BlueZone_Script_Instructions/ADMIN/ADMIN%20-%20DAIL%2012%20MONTH%20CONTACT.docx", "DAIL 12 Month Contact")</f>
        <v>DAIL 12 Month Contact</v>
      </c>
      <c r="E38" s="2" t="s">
        <v>548</v>
      </c>
      <c r="F38" s="5" t="s">
        <v>148</v>
      </c>
      <c r="G38" s="5"/>
      <c r="H38" s="5"/>
    </row>
    <row r="39" spans="1:8" x14ac:dyDescent="0.25">
      <c r="A39" s="5" t="s">
        <v>25</v>
      </c>
      <c r="B39" s="5" t="s">
        <v>149</v>
      </c>
      <c r="C39" s="5" t="s">
        <v>150</v>
      </c>
      <c r="D39" s="6" t="str">
        <f>HYPERLINK("https://hennepin.sharepoint.com/teams/hs-economic-supports-hub/BlueZone_Script_Instructions/ADMIN/ADMIN%20-%20DAIL%20CCD.docx", "DAIL CCD")</f>
        <v>DAIL CCD</v>
      </c>
      <c r="E39" s="2" t="s">
        <v>542</v>
      </c>
      <c r="F39" s="5" t="s">
        <v>151</v>
      </c>
      <c r="G39" s="5"/>
      <c r="H39" s="5"/>
    </row>
    <row r="40" spans="1:8" x14ac:dyDescent="0.25">
      <c r="A40" s="5" t="s">
        <v>25</v>
      </c>
      <c r="B40" s="5" t="s">
        <v>152</v>
      </c>
      <c r="C40" s="5" t="s">
        <v>150</v>
      </c>
      <c r="D40" s="6" t="str">
        <f>HYPERLINK("https://hennepin.sharepoint.com/teams/hs-economic-supports-hub/BlueZone_Script_Instructions/ADMIN/ADMIN%20-%20DAIL%20DECIMATOR.docx", "DAIL Decimator")</f>
        <v>DAIL Decimator</v>
      </c>
      <c r="E40" s="2" t="s">
        <v>542</v>
      </c>
      <c r="F40" s="5" t="s">
        <v>151</v>
      </c>
      <c r="G40" s="5"/>
      <c r="H40" s="5"/>
    </row>
    <row r="41" spans="1:8" x14ac:dyDescent="0.25">
      <c r="A41" s="5" t="s">
        <v>25</v>
      </c>
      <c r="B41" s="5" t="s">
        <v>158</v>
      </c>
      <c r="C41" s="5" t="s">
        <v>159</v>
      </c>
      <c r="D41" s="6" t="str">
        <f>HYPERLINK("https://hennepin.sharepoint.com/teams/hs-economic-supports-hub/BlueZone_Script_Instructions/ADMIN/ADMIN%20-%20DELETE%20DAIL%20TASKS.docx", "Delete DAIL Tasks")</f>
        <v>Delete DAIL Tasks</v>
      </c>
      <c r="E41" s="2" t="s">
        <v>542</v>
      </c>
      <c r="F41" s="5" t="s">
        <v>151</v>
      </c>
      <c r="G41" s="5"/>
      <c r="H41" s="5"/>
    </row>
    <row r="42" spans="1:8" x14ac:dyDescent="0.25">
      <c r="A42" s="5" t="s">
        <v>25</v>
      </c>
      <c r="B42" s="5" t="s">
        <v>170</v>
      </c>
      <c r="C42" s="5" t="s">
        <v>171</v>
      </c>
      <c r="D42" s="6" t="str">
        <f>HYPERLINK("https://hennepin.sharepoint.com/teams/hs-economic-supports-hub/BlueZone_Script_Instructions/ADMIN/ADMIN%20-%20DRUG%20FELON%20LIST.docx", "Drug Felon List")</f>
        <v>Drug Felon List</v>
      </c>
      <c r="E42" s="2" t="s">
        <v>554</v>
      </c>
      <c r="F42" s="5" t="s">
        <v>172</v>
      </c>
      <c r="G42" s="5"/>
      <c r="H42" s="5"/>
    </row>
    <row r="43" spans="1:8" x14ac:dyDescent="0.25">
      <c r="A43" s="5" t="s">
        <v>25</v>
      </c>
      <c r="B43" s="5" t="s">
        <v>202</v>
      </c>
      <c r="C43" s="5" t="s">
        <v>30</v>
      </c>
      <c r="D43" s="6" t="str">
        <f>HYPERLINK("https://hennepin.sharepoint.com/teams/hs-economic-supports-hub/BlueZone_Script_Instructions/ADMIN/ADMIN%20-%20EXPEDITED%20DETERMINATION%20REPORT.docx", "Expedited Determination Report")</f>
        <v>Expedited Determination Report</v>
      </c>
      <c r="E43" s="2" t="s">
        <v>542</v>
      </c>
      <c r="F43" s="5" t="s">
        <v>203</v>
      </c>
      <c r="G43" s="5"/>
      <c r="H43" s="5"/>
    </row>
    <row r="44" spans="1:8" x14ac:dyDescent="0.25">
      <c r="A44" s="5" t="s">
        <v>25</v>
      </c>
      <c r="B44" s="5" t="s">
        <v>204</v>
      </c>
      <c r="C44" s="5" t="s">
        <v>205</v>
      </c>
      <c r="D44" s="6" t="str">
        <f>HYPERLINK("https://hennepin.sharepoint.com/teams/hs-economic-supports-hub/BlueZone_Script_Instructions/ADMIN/ADMIN%20-%20EXPEDITED%20REVIEW.docx", "Expedited Review")</f>
        <v>Expedited Review</v>
      </c>
      <c r="E44" s="2" t="s">
        <v>542</v>
      </c>
      <c r="F44" s="5" t="s">
        <v>206</v>
      </c>
      <c r="G44" s="5"/>
      <c r="H44" s="5"/>
    </row>
    <row r="45" spans="1:8" x14ac:dyDescent="0.25">
      <c r="A45" s="5" t="s">
        <v>25</v>
      </c>
      <c r="B45" s="5" t="s">
        <v>211</v>
      </c>
      <c r="C45" s="5" t="s">
        <v>44</v>
      </c>
      <c r="D45" s="6" t="str">
        <f>HYPERLINK("https://hennepin.sharepoint.com/teams/hs-economic-supports-hub/BlueZone_Script_Instructions/ADMIN/ADMIN%20-%20FIND%20HIDDEN%20EXCEL.docx", "Find Hidden Excel")</f>
        <v>Find Hidden Excel</v>
      </c>
      <c r="E45" s="2" t="s">
        <v>542</v>
      </c>
      <c r="F45" s="5" t="s">
        <v>212</v>
      </c>
      <c r="G45" s="5"/>
      <c r="H45" s="5"/>
    </row>
    <row r="46" spans="1:8" x14ac:dyDescent="0.25">
      <c r="A46" s="5" t="s">
        <v>25</v>
      </c>
      <c r="B46" s="5" t="s">
        <v>218</v>
      </c>
      <c r="C46" s="5" t="s">
        <v>219</v>
      </c>
      <c r="D46" s="6" t="str">
        <f>HYPERLINK("https://hennepin.sharepoint.com/teams/hs-economic-supports-hub/BlueZone_Script_Instructions/ADMIN/ADMIN%20-%20FIND%20Q%20FLOW%20POPULATION.docx", "Find Q Flow Population")</f>
        <v>Find Q Flow Population</v>
      </c>
      <c r="E46" s="2" t="s">
        <v>542</v>
      </c>
      <c r="F46" s="5"/>
      <c r="G46" s="5"/>
      <c r="H46" s="5"/>
    </row>
    <row r="47" spans="1:8" x14ac:dyDescent="0.25">
      <c r="A47" s="5" t="s">
        <v>25</v>
      </c>
      <c r="B47" s="5" t="s">
        <v>226</v>
      </c>
      <c r="C47" s="5" t="s">
        <v>217</v>
      </c>
      <c r="D47" s="6" t="str">
        <f>HYPERLINK("https://hennepin.sharepoint.com/teams/hs-economic-supports-hub/BlueZone_Script_Instructions/ADMIN/ADMIN%20-%20FUBU.docx", "FUBU")</f>
        <v>FUBU</v>
      </c>
      <c r="E47" s="2" t="s">
        <v>546</v>
      </c>
      <c r="F47" s="5" t="s">
        <v>227</v>
      </c>
      <c r="G47" s="5"/>
      <c r="H47" s="7">
        <v>44417</v>
      </c>
    </row>
    <row r="48" spans="1:8" x14ac:dyDescent="0.25">
      <c r="A48" s="5" t="s">
        <v>25</v>
      </c>
      <c r="B48" s="5" t="s">
        <v>231</v>
      </c>
      <c r="C48" s="5" t="s">
        <v>217</v>
      </c>
      <c r="D48" s="6" t="str">
        <f>HYPERLINK("https://hennepin.sharepoint.com/teams/hs-economic-supports-hub/BlueZone_Script_Instructions/ADMIN/ADMIN%20-%20GET%20BASKET%20NUMBER.docx", "Get basket number")</f>
        <v>Get basket number</v>
      </c>
      <c r="E48" s="2" t="s">
        <v>546</v>
      </c>
      <c r="F48" s="5" t="s">
        <v>227</v>
      </c>
      <c r="G48" s="5"/>
      <c r="H48" s="7">
        <v>44356</v>
      </c>
    </row>
    <row r="49" spans="1:8" x14ac:dyDescent="0.25">
      <c r="A49" s="5" t="s">
        <v>25</v>
      </c>
      <c r="B49" s="5" t="s">
        <v>255</v>
      </c>
      <c r="C49" s="5" t="s">
        <v>256</v>
      </c>
      <c r="D49" s="6" t="str">
        <f>HYPERLINK("https://hennepin.sharepoint.com/teams/hs-economic-supports-hub/BlueZone_Script_Instructions/ADMIN/ADMIN%20-%20INDIVIDUAL%20APPOINTMENT%20LETTER.docx", "Individual Appointment Letter")</f>
        <v>Individual Appointment Letter</v>
      </c>
      <c r="E49" s="2" t="s">
        <v>569</v>
      </c>
      <c r="F49" s="5" t="s">
        <v>257</v>
      </c>
      <c r="G49" s="5"/>
      <c r="H49" s="5"/>
    </row>
    <row r="50" spans="1:8" x14ac:dyDescent="0.25">
      <c r="A50" s="5" t="s">
        <v>25</v>
      </c>
      <c r="B50" s="5" t="s">
        <v>258</v>
      </c>
      <c r="C50" s="5" t="s">
        <v>256</v>
      </c>
      <c r="D50" s="6" t="str">
        <f>HYPERLINK("https://hennepin.sharepoint.com/teams/hs-economic-supports-hub/BlueZone_Script_Instructions/ADMIN/ADMIN%20-%20INDIVIDUAL%20NOMI.docx", "Individual NOMI")</f>
        <v>Individual NOMI</v>
      </c>
      <c r="E50" s="2" t="s">
        <v>569</v>
      </c>
      <c r="F50" s="5" t="s">
        <v>257</v>
      </c>
      <c r="G50" s="5"/>
      <c r="H50" s="5"/>
    </row>
    <row r="51" spans="1:8" x14ac:dyDescent="0.25">
      <c r="A51" s="5" t="s">
        <v>25</v>
      </c>
      <c r="B51" s="5" t="s">
        <v>259</v>
      </c>
      <c r="C51" s="5" t="s">
        <v>260</v>
      </c>
      <c r="D51" s="6" t="str">
        <f>HYPERLINK("https://hennepin.sharepoint.com/teams/hs-economic-supports-hub/BlueZone_Script_Instructions/ADMIN/ADMIN%20-%20INDIVIDUAL%20RECERTIFICATION%20NOTICES.docx", "Individual Recertification Notices")</f>
        <v>Individual Recertification Notices</v>
      </c>
      <c r="E51" s="2" t="s">
        <v>570</v>
      </c>
      <c r="F51" s="5" t="s">
        <v>28</v>
      </c>
      <c r="G51" s="5"/>
      <c r="H51" s="5"/>
    </row>
    <row r="52" spans="1:8" x14ac:dyDescent="0.25">
      <c r="A52" s="5" t="s">
        <v>25</v>
      </c>
      <c r="B52" s="5" t="s">
        <v>275</v>
      </c>
      <c r="C52" s="5" t="s">
        <v>217</v>
      </c>
      <c r="D52" s="6" t="str">
        <f>HYPERLINK("https://hennepin.sharepoint.com/teams/hs-economic-supports-hub/BlueZone_Script_Instructions/ADMIN/ADMIN%20-%20LANGUAGE%20STATS.docx", "Language Stats")</f>
        <v>Language Stats</v>
      </c>
      <c r="E52" s="2" t="s">
        <v>546</v>
      </c>
      <c r="F52" s="5" t="s">
        <v>276</v>
      </c>
      <c r="G52" s="5"/>
      <c r="H52" s="7">
        <v>44356</v>
      </c>
    </row>
    <row r="53" spans="1:8" x14ac:dyDescent="0.25">
      <c r="A53" s="5" t="s">
        <v>25</v>
      </c>
      <c r="B53" s="5" t="s">
        <v>319</v>
      </c>
      <c r="C53" s="5" t="s">
        <v>214</v>
      </c>
      <c r="D53" s="6" t="str">
        <f>HYPERLINK("https://hennepin.sharepoint.com/teams/hs-economic-supports-hub/BlueZone_Script_Instructions/ADMIN/ADMIN%20-%20MAXIS%20TO%20METS%20CONVERSION.docx", "MAXIS to METS Conversion")</f>
        <v>MAXIS to METS Conversion</v>
      </c>
      <c r="E53" s="2" t="s">
        <v>546</v>
      </c>
      <c r="F53" s="5" t="s">
        <v>320</v>
      </c>
      <c r="G53" s="5"/>
      <c r="H53" s="7">
        <v>44356</v>
      </c>
    </row>
    <row r="54" spans="1:8" x14ac:dyDescent="0.25">
      <c r="A54" s="5" t="s">
        <v>25</v>
      </c>
      <c r="B54" s="5" t="s">
        <v>321</v>
      </c>
      <c r="C54" s="5" t="s">
        <v>322</v>
      </c>
      <c r="D54" s="6" t="str">
        <f>HYPERLINK("https://hennepin.sharepoint.com/teams/hs-economic-supports-hub/BlueZone_Script_Instructions/ADMIN/ADMIN%20-%20MEMO%20FROM%20LIST.docx", "MEMO from List")</f>
        <v>MEMO from List</v>
      </c>
      <c r="E54" s="2" t="s">
        <v>542</v>
      </c>
      <c r="F54" s="5"/>
      <c r="G54" s="5"/>
      <c r="H54" s="5"/>
    </row>
    <row r="55" spans="1:8" x14ac:dyDescent="0.25">
      <c r="A55" s="5" t="s">
        <v>25</v>
      </c>
      <c r="B55" s="5" t="s">
        <v>334</v>
      </c>
      <c r="C55" s="5" t="s">
        <v>335</v>
      </c>
      <c r="D55" s="6" t="str">
        <f>HYPERLINK("https://hennepin.sharepoint.com/teams/hs-economic-supports-hub/BlueZone_Script_Instructions/ADMIN/ADMIN%20-%20MFIP%20SANCTION%20FIATER.docx", "MFIP Sanction FIATer")</f>
        <v>MFIP Sanction FIATer</v>
      </c>
      <c r="E55" s="2" t="s">
        <v>569</v>
      </c>
      <c r="F55" s="5" t="s">
        <v>336</v>
      </c>
      <c r="G55" s="5"/>
      <c r="H55" s="5"/>
    </row>
    <row r="56" spans="1:8" x14ac:dyDescent="0.25">
      <c r="A56" s="5" t="s">
        <v>25</v>
      </c>
      <c r="B56" s="5" t="s">
        <v>340</v>
      </c>
      <c r="C56" s="5" t="s">
        <v>341</v>
      </c>
      <c r="D56" s="6" t="str">
        <f>HYPERLINK("https://hennepin.sharepoint.com/teams/hs-economic-supports-hub/BlueZone_Script_Instructions/ADMIN/ADMIN%20-%20MONT%20REPORT.docx", "MONT Report")</f>
        <v>MONT Report</v>
      </c>
      <c r="E56" s="2" t="s">
        <v>569</v>
      </c>
      <c r="F56" s="5" t="s">
        <v>342</v>
      </c>
      <c r="G56" s="5"/>
      <c r="H56" s="5"/>
    </row>
    <row r="57" spans="1:8" x14ac:dyDescent="0.25">
      <c r="A57" s="5" t="s">
        <v>25</v>
      </c>
      <c r="B57" s="5" t="s">
        <v>346</v>
      </c>
      <c r="C57" s="5" t="s">
        <v>347</v>
      </c>
      <c r="D57" s="6" t="str">
        <f>HYPERLINK("https://hennepin.sharepoint.com/teams/hs-economic-supports-hub/BlueZone_Script_Instructions/ADMIN/ADMIN%20-%20ON%20DEMAND%20NOTES.docx", "On Demand Notes")</f>
        <v>On Demand Notes</v>
      </c>
      <c r="E57" s="2" t="s">
        <v>569</v>
      </c>
      <c r="F57" s="5" t="s">
        <v>257</v>
      </c>
      <c r="G57" s="5"/>
      <c r="H57" s="5"/>
    </row>
    <row r="58" spans="1:8" x14ac:dyDescent="0.25">
      <c r="A58" s="5" t="s">
        <v>25</v>
      </c>
      <c r="B58" s="5" t="s">
        <v>348</v>
      </c>
      <c r="C58" s="5" t="s">
        <v>349</v>
      </c>
      <c r="D58" s="6" t="str">
        <f>HYPERLINK("https://hennepin.sharepoint.com/teams/hs-economic-supports-hub/BlueZone_Script_Instructions/ADMIN/ADMIN%20-%20ON%20DEMAND%20WAIVER%20APPLICATIONS.docx", "On Demand Waiver Applications")</f>
        <v>On Demand Waiver Applications</v>
      </c>
      <c r="E58" s="2" t="s">
        <v>556</v>
      </c>
      <c r="F58" s="5" t="s">
        <v>350</v>
      </c>
      <c r="G58" s="5"/>
      <c r="H58" s="5"/>
    </row>
    <row r="59" spans="1:8" x14ac:dyDescent="0.25">
      <c r="A59" s="5" t="s">
        <v>25</v>
      </c>
      <c r="B59" s="5" t="s">
        <v>351</v>
      </c>
      <c r="C59" s="5"/>
      <c r="D59" s="6" t="str">
        <f>HYPERLINK("https://hennepin.sharepoint.com/teams/hs-economic-supports-hub/BlueZone_Script_Instructions/ADMIN/ADMIN%20-%20ON%20DEMAND%20WAIVER%20RECERTIFICATIONS.docx", "On Demand Waiver Recertifications")</f>
        <v>On Demand Waiver Recertifications</v>
      </c>
      <c r="E59" s="2" t="s">
        <v>546</v>
      </c>
      <c r="F59" s="5" t="s">
        <v>276</v>
      </c>
      <c r="G59" s="5"/>
      <c r="H59" s="7">
        <v>44356</v>
      </c>
    </row>
    <row r="60" spans="1:8" x14ac:dyDescent="0.25">
      <c r="A60" s="5" t="s">
        <v>25</v>
      </c>
      <c r="B60" s="5" t="s">
        <v>366</v>
      </c>
      <c r="C60" s="5" t="s">
        <v>367</v>
      </c>
      <c r="D60" s="6" t="str">
        <f>HYPERLINK("https://hennepin.sharepoint.com/teams/hs-economic-supports-hub/BlueZone_Script_Instructions/ADMIN/ADMIN%20-%20PAPERLESS%20IR.docx", "Paperless IR")</f>
        <v>Paperless IR</v>
      </c>
      <c r="E60" s="2" t="s">
        <v>542</v>
      </c>
      <c r="F60" s="5" t="s">
        <v>320</v>
      </c>
      <c r="G60" s="5"/>
      <c r="H60" s="5"/>
    </row>
    <row r="61" spans="1:8" x14ac:dyDescent="0.25">
      <c r="A61" s="5" t="s">
        <v>25</v>
      </c>
      <c r="B61" s="5" t="s">
        <v>372</v>
      </c>
      <c r="C61" s="5" t="s">
        <v>373</v>
      </c>
      <c r="D61" s="6" t="str">
        <f>HYPERLINK("https://hennepin.sharepoint.com/teams/hs-economic-supports-hub/BlueZone_Script_Instructions/ADMIN/ADMIN%20-%20POLI%20TEMP%20MONTHLY%20UPDATES.docx", "POLI TEMP Monthly Updates")</f>
        <v>POLI TEMP Monthly Updates</v>
      </c>
      <c r="E61" s="2" t="s">
        <v>542</v>
      </c>
      <c r="F61" s="5" t="s">
        <v>374</v>
      </c>
      <c r="G61" s="5"/>
      <c r="H61" s="5"/>
    </row>
    <row r="62" spans="1:8" x14ac:dyDescent="0.25">
      <c r="A62" s="5" t="s">
        <v>25</v>
      </c>
      <c r="B62" s="5" t="s">
        <v>384</v>
      </c>
      <c r="C62" s="5" t="s">
        <v>385</v>
      </c>
      <c r="D62" s="6" t="str">
        <f>HYPERLINK("https://hennepin.sharepoint.com/teams/hs-economic-supports-hub/BlueZone_Script_Instructions/ADMIN/ADMIN%20-%20QC%20RESULTS.docx", "QC Results")</f>
        <v>QC Results</v>
      </c>
      <c r="E62" s="2" t="s">
        <v>548</v>
      </c>
      <c r="F62" s="5" t="s">
        <v>386</v>
      </c>
      <c r="G62" s="5"/>
      <c r="H62" s="5"/>
    </row>
    <row r="63" spans="1:8" x14ac:dyDescent="0.25">
      <c r="A63" s="5" t="s">
        <v>25</v>
      </c>
      <c r="B63" s="5" t="s">
        <v>387</v>
      </c>
      <c r="C63" s="5" t="s">
        <v>47</v>
      </c>
      <c r="D63" s="6" t="str">
        <f>HYPERLINK("https://hennepin.sharepoint.com/teams/hs-economic-supports-hub/BlueZone_Script_Instructions/ADMIN/ADMIN%20-%20QI%20RENEWAL%20ACCURACY.docx", "QI Renewal Accuracy")</f>
        <v>QI Renewal Accuracy</v>
      </c>
      <c r="E63" s="2" t="s">
        <v>548</v>
      </c>
      <c r="F63" s="5" t="s">
        <v>374</v>
      </c>
      <c r="G63" s="5"/>
      <c r="H63" s="5"/>
    </row>
    <row r="64" spans="1:8" x14ac:dyDescent="0.25">
      <c r="A64" s="5" t="s">
        <v>25</v>
      </c>
      <c r="B64" s="5" t="s">
        <v>415</v>
      </c>
      <c r="C64" s="5" t="s">
        <v>416</v>
      </c>
      <c r="D64" s="6" t="str">
        <f>HYPERLINK("https://hennepin.sharepoint.com/teams/hs-economic-supports-hub/BlueZone_Script_Instructions/ADMIN/ADMIN%20-%20RESOLVE%20HC%20EOMC%20IN%20MMIS.docx", "Resolve HC EOMC in MMIS")</f>
        <v>Resolve HC EOMC in MMIS</v>
      </c>
      <c r="E64" s="2" t="s">
        <v>542</v>
      </c>
      <c r="F64" s="5" t="s">
        <v>320</v>
      </c>
      <c r="G64" s="5"/>
      <c r="H64" s="5"/>
    </row>
    <row r="65" spans="1:8" x14ac:dyDescent="0.25">
      <c r="A65" s="5" t="s">
        <v>25</v>
      </c>
      <c r="B65" s="5" t="s">
        <v>420</v>
      </c>
      <c r="C65" s="5" t="s">
        <v>421</v>
      </c>
      <c r="D65" s="6" t="str">
        <f>HYPERLINK("https://hennepin.sharepoint.com/teams/hs-economic-supports-hub/BlueZone_Script_Instructions/ADMIN/ADMIN%20-%20REVIEW%20REPORT.docx", "Review Report")</f>
        <v>Review Report</v>
      </c>
      <c r="E65" s="2" t="s">
        <v>571</v>
      </c>
      <c r="F65" s="5" t="s">
        <v>79</v>
      </c>
      <c r="G65" s="5"/>
      <c r="H65" s="5"/>
    </row>
    <row r="66" spans="1:8" x14ac:dyDescent="0.25">
      <c r="A66" s="5" t="s">
        <v>25</v>
      </c>
      <c r="B66" s="5" t="s">
        <v>422</v>
      </c>
      <c r="C66" s="5" t="s">
        <v>217</v>
      </c>
      <c r="D66" s="6" t="str">
        <f>HYPERLINK("https://hennepin.sharepoint.com/teams/hs-economic-supports-hub/BlueZone_Script_Instructions/ADMIN/ADMIN%20-%20REVIEW%20TESTERS.docx", "Review Testers")</f>
        <v>Review Testers</v>
      </c>
      <c r="E66" s="2" t="s">
        <v>542</v>
      </c>
      <c r="F66" s="5" t="s">
        <v>227</v>
      </c>
      <c r="G66" s="5"/>
      <c r="H66" s="5"/>
    </row>
    <row r="67" spans="1:8" x14ac:dyDescent="0.25">
      <c r="A67" s="5" t="s">
        <v>25</v>
      </c>
      <c r="B67" s="5" t="s">
        <v>423</v>
      </c>
      <c r="C67" s="5"/>
      <c r="D67" s="6" t="str">
        <f>HYPERLINK("https://hennepin.sharepoint.com/teams/hs-economic-supports-hub/BlueZone_Script_Instructions/ADMIN/ADMIN%20-%20REVW%20MONT%20CLOSURES.docx", "REVW MONT Closures")</f>
        <v>REVW MONT Closures</v>
      </c>
      <c r="E67" s="2" t="s">
        <v>546</v>
      </c>
      <c r="F67" s="5" t="s">
        <v>276</v>
      </c>
      <c r="G67" s="5"/>
      <c r="H67" s="7">
        <v>44356</v>
      </c>
    </row>
    <row r="68" spans="1:8" x14ac:dyDescent="0.25">
      <c r="A68" s="5" t="s">
        <v>25</v>
      </c>
      <c r="B68" s="5" t="s">
        <v>427</v>
      </c>
      <c r="C68" s="5" t="s">
        <v>428</v>
      </c>
      <c r="D68" s="6" t="str">
        <f>HYPERLINK("https://hennepin.sharepoint.com/teams/hs-economic-supports-hub/BlueZone_Script_Instructions/ADMIN/ADMIN%20-%20SEND%20CBO%20MANUAL%20REFERRALS.docx", "Send CBO Manual Referrals")</f>
        <v>Send CBO Manual Referrals</v>
      </c>
      <c r="E68" s="2" t="s">
        <v>542</v>
      </c>
      <c r="F68" s="5" t="s">
        <v>139</v>
      </c>
      <c r="G68" s="5"/>
      <c r="H68" s="5"/>
    </row>
    <row r="69" spans="1:8" x14ac:dyDescent="0.25">
      <c r="A69" s="5" t="s">
        <v>25</v>
      </c>
      <c r="B69" s="5" t="s">
        <v>429</v>
      </c>
      <c r="C69" s="5" t="s">
        <v>430</v>
      </c>
      <c r="D69" s="6" t="str">
        <f>HYPERLINK("https://hennepin.sharepoint.com/teams/hs-economic-supports-hub/BlueZone_Script_Instructions/ADMIN/ADMIN%20-%20SEND%20EMAIL%20CORRECTION.docx", "Send Email Correction")</f>
        <v>Send Email Correction</v>
      </c>
      <c r="E69" s="2" t="s">
        <v>546</v>
      </c>
      <c r="F69" s="5" t="s">
        <v>431</v>
      </c>
      <c r="G69" s="5"/>
      <c r="H69" s="7">
        <v>44617</v>
      </c>
    </row>
    <row r="70" spans="1:8" x14ac:dyDescent="0.25">
      <c r="A70" s="5" t="s">
        <v>25</v>
      </c>
      <c r="B70" s="5" t="s">
        <v>448</v>
      </c>
      <c r="C70" s="5" t="s">
        <v>449</v>
      </c>
      <c r="D70" s="6" t="str">
        <f>HYPERLINK("https://hennepin.sharepoint.com/teams/hs-economic-supports-hub/BlueZone_Script_Instructions/ADMIN/ADMIN%20-%20TASK%20BASED%20ASSISTOR.docx", "Task Based Assistor")</f>
        <v>Task Based Assistor</v>
      </c>
      <c r="E70" s="2" t="s">
        <v>542</v>
      </c>
      <c r="F70" s="5" t="s">
        <v>450</v>
      </c>
      <c r="G70" s="5"/>
      <c r="H70" s="5"/>
    </row>
    <row r="71" spans="1:8" x14ac:dyDescent="0.25">
      <c r="A71" s="5" t="s">
        <v>25</v>
      </c>
      <c r="B71" s="5" t="s">
        <v>451</v>
      </c>
      <c r="C71" s="5" t="s">
        <v>452</v>
      </c>
      <c r="D71" s="6" t="str">
        <f>HYPERLINK("https://hennepin.sharepoint.com/teams/hs-economic-supports-hub/BlueZone_Script_Instructions/ADMIN/ADMIN%20-%20TASK%20BASED%20DAIL%20CAPTURE.docx", "Task Based DAIL Capture")</f>
        <v>Task Based DAIL Capture</v>
      </c>
      <c r="E71" s="2" t="s">
        <v>542</v>
      </c>
      <c r="F71" s="5" t="s">
        <v>151</v>
      </c>
      <c r="G71" s="5"/>
      <c r="H71" s="5"/>
    </row>
    <row r="72" spans="1:8" x14ac:dyDescent="0.25">
      <c r="A72" s="5" t="s">
        <v>25</v>
      </c>
      <c r="B72" s="5" t="s">
        <v>453</v>
      </c>
      <c r="C72" s="5" t="s">
        <v>454</v>
      </c>
      <c r="D72" s="6" t="str">
        <f>HYPERLINK("https://hennepin.sharepoint.com/teams/hs-economic-supports-hub/BlueZone_Script_Instructions/ADMIN/ADMIN%20-%20TIKL%20FROM%20LIST.docx", "TIKL FROM LIST")</f>
        <v>TIKL FROM LIST</v>
      </c>
      <c r="E72" s="2" t="s">
        <v>542</v>
      </c>
      <c r="F72" s="5" t="s">
        <v>455</v>
      </c>
      <c r="G72" s="5"/>
      <c r="H72" s="5"/>
    </row>
    <row r="73" spans="1:8" x14ac:dyDescent="0.25">
      <c r="A73" s="5" t="s">
        <v>25</v>
      </c>
      <c r="B73" s="5" t="s">
        <v>456</v>
      </c>
      <c r="C73" s="5" t="s">
        <v>457</v>
      </c>
      <c r="D73" s="6" t="str">
        <f>HYPERLINK("https://hennepin.sharepoint.com/teams/hs-economic-supports-hub/BlueZone_Script_Instructions/ADMIN/ADMIN%20-%20TRACK%20AUTOCLOSE%20OVERPAYMENTS.docx", "Track Autoclose Overpayments")</f>
        <v>Track Autoclose Overpayments</v>
      </c>
      <c r="E73" s="2" t="s">
        <v>546</v>
      </c>
      <c r="F73" s="5" t="s">
        <v>458</v>
      </c>
      <c r="G73" s="5"/>
      <c r="H73" s="7">
        <v>44713</v>
      </c>
    </row>
    <row r="74" spans="1:8" x14ac:dyDescent="0.25">
      <c r="A74" s="5" t="s">
        <v>25</v>
      </c>
      <c r="B74" s="5" t="s">
        <v>459</v>
      </c>
      <c r="C74" s="5" t="s">
        <v>460</v>
      </c>
      <c r="D74" s="6" t="str">
        <f>HYPERLINK("https://hennepin.sharepoint.com/teams/hs-economic-supports-hub/BlueZone_Script_Instructions/ADMIN/ADMIN%20-%20TRAINING%20CASE%20CREATOR.docx", "Training Case Creator")</f>
        <v>Training Case Creator</v>
      </c>
      <c r="E74" s="2" t="s">
        <v>542</v>
      </c>
      <c r="F74" s="5" t="s">
        <v>461</v>
      </c>
      <c r="G74" s="5"/>
      <c r="H74" s="5"/>
    </row>
    <row r="75" spans="1:8" x14ac:dyDescent="0.25">
      <c r="A75" s="5" t="s">
        <v>25</v>
      </c>
      <c r="B75" s="5" t="s">
        <v>464</v>
      </c>
      <c r="C75" s="5" t="s">
        <v>97</v>
      </c>
      <c r="D75" s="6" t="str">
        <f>HYPERLINK("https://hennepin.sharepoint.com/teams/hs-economic-supports-hub/BlueZone_Script_Instructions/ADMIN/ADMIN%20-%20UNEA%20UPDATER.docx", "UNEA Updater")</f>
        <v>UNEA Updater</v>
      </c>
      <c r="E75" s="2" t="s">
        <v>565</v>
      </c>
      <c r="F75" s="5" t="s">
        <v>79</v>
      </c>
      <c r="G75" s="5"/>
      <c r="H75" s="5"/>
    </row>
    <row r="76" spans="1:8" x14ac:dyDescent="0.25">
      <c r="A76" s="5" t="s">
        <v>25</v>
      </c>
      <c r="B76" s="5" t="s">
        <v>478</v>
      </c>
      <c r="C76" s="5" t="s">
        <v>136</v>
      </c>
      <c r="D76" s="6" t="str">
        <f>HYPERLINK("https://hennepin.sharepoint.com/teams/hs-economic-supports-hub/BlueZone_Script_Instructions/ADMIN/ADMIN%20-%20WF1%20CASE%20STATUS.docx", "WF1 Case Status")</f>
        <v>WF1 Case Status</v>
      </c>
      <c r="E76" s="2" t="s">
        <v>542</v>
      </c>
      <c r="F76" s="5" t="s">
        <v>16</v>
      </c>
      <c r="G76" s="5"/>
      <c r="H76" s="5"/>
    </row>
    <row r="77" spans="1:8" x14ac:dyDescent="0.25">
      <c r="A77" s="5" t="s">
        <v>25</v>
      </c>
      <c r="B77" s="5" t="s">
        <v>479</v>
      </c>
      <c r="C77" s="5" t="s">
        <v>480</v>
      </c>
      <c r="D77" s="6" t="str">
        <f>HYPERLINK("https://hennepin.sharepoint.com/teams/hs-economic-supports-hub/BlueZone_Script_Instructions/ADMIN/ADMIN%20-%20WORK%20ASSIGNMENT%20COMPLETED.docx", "Work Assignment Completed")</f>
        <v>Work Assignment Completed</v>
      </c>
      <c r="E77" s="2" t="s">
        <v>542</v>
      </c>
      <c r="F77" s="5" t="s">
        <v>431</v>
      </c>
      <c r="G77" s="5"/>
      <c r="H77" s="5"/>
    </row>
    <row r="78" spans="1:8" x14ac:dyDescent="0.25">
      <c r="A78" s="5" t="s">
        <v>25</v>
      </c>
      <c r="B78" s="5" t="s">
        <v>481</v>
      </c>
      <c r="C78" s="5" t="s">
        <v>44</v>
      </c>
      <c r="D78" s="6" t="str">
        <f>HYPERLINK("https://hennepin.sharepoint.com/teams/hs-economic-supports-hub/BlueZone_Script_Instructions/ADMIN/ADMIN%20-%20WORK%20ASSIGNMENT%20FROM%20EXCEL.docx", "Work Assignment from Excel")</f>
        <v>Work Assignment from Excel</v>
      </c>
      <c r="E78" s="2" t="s">
        <v>542</v>
      </c>
      <c r="F78" s="5" t="s">
        <v>227</v>
      </c>
      <c r="G78" s="5"/>
      <c r="H78" s="5"/>
    </row>
    <row r="79" spans="1:8" x14ac:dyDescent="0.25">
      <c r="A79" s="5" t="s">
        <v>8</v>
      </c>
      <c r="B79" s="5" t="s">
        <v>9</v>
      </c>
      <c r="C79" s="5" t="s">
        <v>10</v>
      </c>
      <c r="D79" s="6" t="str">
        <f>HYPERLINK("https://hennepin.sharepoint.com/teams/hs-economic-supports-hub/BlueZone_Script_Instructions/BULK/BULK%20-%207TH%20SANCTION%20IDENTIFIER.docx", "7th Sanction Identifier")</f>
        <v>7th Sanction Identifier</v>
      </c>
      <c r="E79" s="2" t="s">
        <v>542</v>
      </c>
      <c r="F79" s="5" t="s">
        <v>11</v>
      </c>
      <c r="G79" s="5"/>
      <c r="H79" s="5"/>
    </row>
    <row r="80" spans="1:8" x14ac:dyDescent="0.25">
      <c r="A80" s="5" t="s">
        <v>8</v>
      </c>
      <c r="B80" s="5" t="s">
        <v>93</v>
      </c>
      <c r="C80" s="5" t="s">
        <v>94</v>
      </c>
      <c r="D80" s="6" t="str">
        <f>HYPERLINK("https://hennepin.sharepoint.com/teams/hs-economic-supports-hub/BlueZone_Script_Instructions/BULK/BULK%20-%20CASE%20NOTE%20FROM%20LIST.docx", "CASE NOTE from List")</f>
        <v>CASE NOTE from List</v>
      </c>
      <c r="E80" s="2" t="s">
        <v>566</v>
      </c>
      <c r="F80" s="5" t="s">
        <v>95</v>
      </c>
      <c r="G80" s="5"/>
      <c r="H80" s="5"/>
    </row>
    <row r="81" spans="1:8" x14ac:dyDescent="0.25">
      <c r="A81" s="5" t="s">
        <v>8</v>
      </c>
      <c r="B81" s="5" t="s">
        <v>96</v>
      </c>
      <c r="C81" s="5" t="s">
        <v>97</v>
      </c>
      <c r="D81" s="6" t="str">
        <f>HYPERLINK("https://hennepin.sharepoint.com/teams/hs-economic-supports-hub/BlueZone_Script_Instructions/BULK/BULK%20-%20CASE%20TRANSFER.docx", "Case Transfer")</f>
        <v>Case Transfer</v>
      </c>
      <c r="E81" s="2" t="s">
        <v>559</v>
      </c>
      <c r="F81" s="5" t="s">
        <v>98</v>
      </c>
      <c r="G81" s="5"/>
      <c r="H81" s="5"/>
    </row>
    <row r="82" spans="1:8" x14ac:dyDescent="0.25">
      <c r="A82" s="5" t="s">
        <v>8</v>
      </c>
      <c r="B82" s="5" t="s">
        <v>105</v>
      </c>
      <c r="C82" s="5" t="s">
        <v>106</v>
      </c>
      <c r="D82" s="6" t="str">
        <f>HYPERLINK("https://hennepin.sharepoint.com/teams/hs-economic-supports-hub/BlueZone_Script_Instructions/BULK/BULK%20-%20CHECK%20SNAP%20FOR%20GA%20RCA.docx", "Check SNAP for GA RCA")</f>
        <v>Check SNAP for GA RCA</v>
      </c>
      <c r="E82" s="2" t="s">
        <v>542</v>
      </c>
      <c r="F82" s="5" t="s">
        <v>107</v>
      </c>
      <c r="G82" s="5"/>
      <c r="H82" s="5"/>
    </row>
    <row r="83" spans="1:8" x14ac:dyDescent="0.25">
      <c r="A83" s="5" t="s">
        <v>8</v>
      </c>
      <c r="B83" s="5" t="s">
        <v>153</v>
      </c>
      <c r="C83" s="5" t="s">
        <v>154</v>
      </c>
      <c r="D83" s="6" t="str">
        <f>HYPERLINK("https://hennepin.sharepoint.com/teams/hs-economic-supports-hub/BlueZone_Script_Instructions/BULK/BULK%20-%20REPT%20LISTS.docx", "DAIL Report")</f>
        <v>DAIL Report</v>
      </c>
      <c r="E83" s="2" t="s">
        <v>542</v>
      </c>
      <c r="F83" s="5" t="s">
        <v>155</v>
      </c>
      <c r="G83" s="5"/>
      <c r="H83" s="5"/>
    </row>
    <row r="84" spans="1:8" x14ac:dyDescent="0.25">
      <c r="A84" s="5" t="s">
        <v>8</v>
      </c>
      <c r="B84" s="5" t="s">
        <v>191</v>
      </c>
      <c r="C84" s="5" t="s">
        <v>192</v>
      </c>
      <c r="D84" s="6" t="str">
        <f>HYPERLINK("https://hennepin.sharepoint.com/teams/hs-economic-supports-hub/BlueZone_Script_Instructions/BULK/BULK%20-%20REPT%20LISTS.docx", "EMPS")</f>
        <v>EMPS</v>
      </c>
      <c r="E84" s="2" t="s">
        <v>542</v>
      </c>
      <c r="F84" s="5" t="s">
        <v>193</v>
      </c>
      <c r="G84" s="5"/>
      <c r="H84" s="5"/>
    </row>
    <row r="85" spans="1:8" x14ac:dyDescent="0.25">
      <c r="A85" s="5" t="s">
        <v>8</v>
      </c>
      <c r="B85" s="5" t="s">
        <v>213</v>
      </c>
      <c r="C85" s="5" t="s">
        <v>214</v>
      </c>
      <c r="D85" s="6" t="str">
        <f>HYPERLINK("https://hennepin.sharepoint.com/teams/hs-economic-supports-hub/BlueZone_Script_Instructions/BULK/BULK%20-%20FIND%20MAEPD%20MEDI%20CEI.docx", "Find MAEPD MEDI CEI")</f>
        <v>Find MAEPD MEDI CEI</v>
      </c>
      <c r="E85" s="2" t="s">
        <v>542</v>
      </c>
      <c r="F85" s="5" t="s">
        <v>215</v>
      </c>
      <c r="G85" s="5"/>
      <c r="H85" s="5"/>
    </row>
    <row r="86" spans="1:8" x14ac:dyDescent="0.25">
      <c r="A86" s="5" t="s">
        <v>8</v>
      </c>
      <c r="B86" s="5" t="s">
        <v>216</v>
      </c>
      <c r="C86" s="5" t="s">
        <v>217</v>
      </c>
      <c r="D86" s="6" t="str">
        <f>HYPERLINK("https://hennepin.sharepoint.com/teams/hs-economic-supports-hub/BlueZone_Script_Instructions/BULK/BULK%20-%20FIND%20PANEL%20UPDATE%20DATE.docx", "Find Panel Update Date")</f>
        <v>Find Panel Update Date</v>
      </c>
      <c r="E86" s="2" t="s">
        <v>546</v>
      </c>
      <c r="F86" s="5" t="s">
        <v>95</v>
      </c>
      <c r="G86" s="5"/>
      <c r="H86" s="7">
        <v>44356</v>
      </c>
    </row>
    <row r="87" spans="1:8" x14ac:dyDescent="0.25">
      <c r="A87" s="5" t="s">
        <v>8</v>
      </c>
      <c r="B87" s="5" t="s">
        <v>222</v>
      </c>
      <c r="C87" s="5" t="s">
        <v>10</v>
      </c>
      <c r="D87" s="6" t="str">
        <f>HYPERLINK("https://hennepin.sharepoint.com/teams/hs-economic-supports-hub/BlueZone_Script_Instructions/BULK/BULK%20-%20FSS%20INFO.docx", "FSS Info")</f>
        <v>FSS Info</v>
      </c>
      <c r="E87" s="2" t="s">
        <v>542</v>
      </c>
      <c r="F87" s="5" t="s">
        <v>11</v>
      </c>
      <c r="G87" s="5"/>
      <c r="H87" s="5"/>
    </row>
    <row r="88" spans="1:8" x14ac:dyDescent="0.25">
      <c r="A88" s="5" t="s">
        <v>8</v>
      </c>
      <c r="B88" s="5" t="s">
        <v>235</v>
      </c>
      <c r="C88" s="5" t="s">
        <v>236</v>
      </c>
      <c r="D88" s="6" t="str">
        <f>HYPERLINK("https://hennepin.sharepoint.com/teams/hs-economic-supports-hub/BlueZone_Script_Instructions/BULK/BULK%20-%20GRH%20PROFESSIONAL%20NEED.docx", "GRH Professional Need")</f>
        <v>GRH Professional Need</v>
      </c>
      <c r="E88" s="2" t="s">
        <v>546</v>
      </c>
      <c r="F88" s="5" t="s">
        <v>237</v>
      </c>
      <c r="G88" s="5"/>
      <c r="H88" s="7">
        <v>44361</v>
      </c>
    </row>
    <row r="89" spans="1:8" x14ac:dyDescent="0.25">
      <c r="A89" s="5" t="s">
        <v>8</v>
      </c>
      <c r="B89" s="5" t="s">
        <v>245</v>
      </c>
      <c r="C89" s="5" t="s">
        <v>217</v>
      </c>
      <c r="D89" s="6" t="str">
        <f>HYPERLINK("https://hennepin.sharepoint.com/teams/hs-economic-supports-hub/BlueZone_Script_Instructions/BULK/BULK%20-%20HOMELESS%20DISCREPANCY.docx", "Homeless Discrepancy")</f>
        <v>Homeless Discrepancy</v>
      </c>
      <c r="E89" s="2" t="s">
        <v>546</v>
      </c>
      <c r="F89" s="5" t="s">
        <v>155</v>
      </c>
      <c r="G89" s="5"/>
      <c r="H89" s="7">
        <v>44356</v>
      </c>
    </row>
    <row r="90" spans="1:8" x14ac:dyDescent="0.25">
      <c r="A90" s="5" t="s">
        <v>8</v>
      </c>
      <c r="B90" s="5" t="s">
        <v>305</v>
      </c>
      <c r="C90" s="5" t="s">
        <v>306</v>
      </c>
      <c r="D90" s="6" t="str">
        <f>HYPERLINK("https://hennepin.sharepoint.com/teams/hs-economic-supports-hub/BlueZone_Script_Instructions/BULK/BULK%20-%20REPT%20LISTS.docx", "LTC-GRH List Generator")</f>
        <v>LTC-GRH List Generator</v>
      </c>
      <c r="E90" s="2" t="s">
        <v>542</v>
      </c>
      <c r="F90" s="5" t="s">
        <v>307</v>
      </c>
      <c r="G90" s="5"/>
      <c r="H90" s="5"/>
    </row>
    <row r="91" spans="1:8" x14ac:dyDescent="0.25">
      <c r="A91" s="5" t="s">
        <v>8</v>
      </c>
      <c r="B91" s="5" t="s">
        <v>330</v>
      </c>
      <c r="C91" s="5" t="s">
        <v>10</v>
      </c>
      <c r="D91" s="6" t="str">
        <f>HYPERLINK("https://hennepin.sharepoint.com/teams/hs-economic-supports-hub/BlueZone_Script_Instructions/BULK/BULK%20-%20MFIP%20SANCTION.docx", "MFIP Sanction")</f>
        <v>MFIP Sanction</v>
      </c>
      <c r="E91" s="2" t="s">
        <v>542</v>
      </c>
      <c r="F91" s="5" t="s">
        <v>11</v>
      </c>
      <c r="G91" s="5"/>
      <c r="H91" s="5"/>
    </row>
    <row r="92" spans="1:8" x14ac:dyDescent="0.25">
      <c r="A92" s="5" t="s">
        <v>8</v>
      </c>
      <c r="B92" s="5" t="s">
        <v>392</v>
      </c>
      <c r="C92" s="5" t="s">
        <v>393</v>
      </c>
      <c r="D92" s="6" t="str">
        <f>HYPERLINK("https://hennepin.sharepoint.com/teams/hs-economic-supports-hub/BlueZone_Script_Instructions/BULK/BULK%20-%20REPT%20LISTS.docx", "REPT-ACTV List")</f>
        <v>REPT-ACTV List</v>
      </c>
      <c r="E92" s="2" t="s">
        <v>542</v>
      </c>
      <c r="F92" s="5" t="s">
        <v>394</v>
      </c>
      <c r="G92" s="5"/>
      <c r="H92" s="5"/>
    </row>
    <row r="93" spans="1:8" x14ac:dyDescent="0.25">
      <c r="A93" s="5" t="s">
        <v>8</v>
      </c>
      <c r="B93" s="5" t="s">
        <v>395</v>
      </c>
      <c r="C93" s="5" t="s">
        <v>393</v>
      </c>
      <c r="D93" s="6" t="str">
        <f>HYPERLINK("https://hennepin.sharepoint.com/teams/hs-economic-supports-hub/BlueZone_Script_Instructions/BULK/BULK%20-%20REPT%20LISTS.docx", "REPT-EOMC List")</f>
        <v>REPT-EOMC List</v>
      </c>
      <c r="E93" s="2" t="s">
        <v>542</v>
      </c>
      <c r="F93" s="5" t="s">
        <v>394</v>
      </c>
      <c r="G93" s="5"/>
      <c r="H93" s="5"/>
    </row>
    <row r="94" spans="1:8" x14ac:dyDescent="0.25">
      <c r="A94" s="5" t="s">
        <v>8</v>
      </c>
      <c r="B94" s="5" t="s">
        <v>396</v>
      </c>
      <c r="C94" s="5" t="s">
        <v>393</v>
      </c>
      <c r="D94" s="6" t="str">
        <f>HYPERLINK("https://hennepin.sharepoint.com/teams/hs-economic-supports-hub/BlueZone_Script_Instructions/BULK/BULK%20-%20REPT%20LISTS.docx", "REPT-INAC List")</f>
        <v>REPT-INAC List</v>
      </c>
      <c r="E94" s="2" t="s">
        <v>542</v>
      </c>
      <c r="F94" s="5" t="s">
        <v>394</v>
      </c>
      <c r="G94" s="5"/>
      <c r="H94" s="5"/>
    </row>
    <row r="95" spans="1:8" x14ac:dyDescent="0.25">
      <c r="A95" s="5" t="s">
        <v>8</v>
      </c>
      <c r="B95" s="5" t="s">
        <v>397</v>
      </c>
      <c r="C95" s="5" t="s">
        <v>398</v>
      </c>
      <c r="D95" s="6" t="str">
        <f>HYPERLINK("https://hennepin.sharepoint.com/teams/hs-economic-supports-hub/BlueZone_Script_Instructions/BULK/BULK%20-%20REPT%20LISTS.docx", "REPT-MAMS List")</f>
        <v>REPT-MAMS List</v>
      </c>
      <c r="E95" s="2" t="s">
        <v>542</v>
      </c>
      <c r="F95" s="5" t="s">
        <v>399</v>
      </c>
      <c r="G95" s="5"/>
      <c r="H95" s="5"/>
    </row>
    <row r="96" spans="1:8" x14ac:dyDescent="0.25">
      <c r="A96" s="5" t="s">
        <v>8</v>
      </c>
      <c r="B96" s="5" t="s">
        <v>400</v>
      </c>
      <c r="C96" s="5" t="s">
        <v>401</v>
      </c>
      <c r="D96" s="6" t="str">
        <f>HYPERLINK("https://hennepin.sharepoint.com/teams/hs-economic-supports-hub/BlueZone_Script_Instructions/BULK/BULK%20-%20REPT%20LISTS.docx", "REPT-MFCM List")</f>
        <v>REPT-MFCM List</v>
      </c>
      <c r="E96" s="2" t="s">
        <v>542</v>
      </c>
      <c r="F96" s="5" t="s">
        <v>402</v>
      </c>
      <c r="G96" s="5"/>
      <c r="H96" s="5"/>
    </row>
    <row r="97" spans="1:8" x14ac:dyDescent="0.25">
      <c r="A97" s="5" t="s">
        <v>8</v>
      </c>
      <c r="B97" s="5" t="s">
        <v>403</v>
      </c>
      <c r="C97" s="5" t="s">
        <v>404</v>
      </c>
      <c r="D97" s="6" t="str">
        <f>HYPERLINK("https://hennepin.sharepoint.com/teams/hs-economic-supports-hub/BlueZone_Script_Instructions/BULK/BULK%20-%20REPT%20LISTS.docx", "REPT-MONT List")</f>
        <v>REPT-MONT List</v>
      </c>
      <c r="E97" s="2" t="s">
        <v>542</v>
      </c>
      <c r="F97" s="5" t="s">
        <v>405</v>
      </c>
      <c r="G97" s="5"/>
      <c r="H97" s="5"/>
    </row>
    <row r="98" spans="1:8" x14ac:dyDescent="0.25">
      <c r="A98" s="5" t="s">
        <v>8</v>
      </c>
      <c r="B98" s="5" t="s">
        <v>406</v>
      </c>
      <c r="C98" s="5" t="s">
        <v>404</v>
      </c>
      <c r="D98" s="6" t="str">
        <f>HYPERLINK("https://hennepin.sharepoint.com/teams/hs-economic-supports-hub/BlueZone_Script_Instructions/BULK/BULK%20-%20REPT%20LISTS.docx", "REPT-MRSR List")</f>
        <v>REPT-MRSR List</v>
      </c>
      <c r="E98" s="2" t="s">
        <v>542</v>
      </c>
      <c r="F98" s="5" t="s">
        <v>405</v>
      </c>
      <c r="G98" s="5"/>
      <c r="H98" s="5"/>
    </row>
    <row r="99" spans="1:8" x14ac:dyDescent="0.25">
      <c r="A99" s="5" t="s">
        <v>8</v>
      </c>
      <c r="B99" s="5" t="s">
        <v>407</v>
      </c>
      <c r="C99" s="5" t="s">
        <v>393</v>
      </c>
      <c r="D99" s="6" t="str">
        <f>HYPERLINK("https://hennepin.sharepoint.com/teams/hs-economic-supports-hub/BlueZone_Script_Instructions/BULK/BULK%20-%20REPT%20LISTS.docx", "REPT-PND1 List")</f>
        <v>REPT-PND1 List</v>
      </c>
      <c r="E99" s="2" t="s">
        <v>542</v>
      </c>
      <c r="F99" s="5" t="s">
        <v>394</v>
      </c>
      <c r="G99" s="5"/>
      <c r="H99" s="5"/>
    </row>
    <row r="100" spans="1:8" x14ac:dyDescent="0.25">
      <c r="A100" s="5" t="s">
        <v>8</v>
      </c>
      <c r="B100" s="5" t="s">
        <v>408</v>
      </c>
      <c r="C100" s="5" t="s">
        <v>393</v>
      </c>
      <c r="D100" s="6" t="str">
        <f>HYPERLINK("https://hennepin.sharepoint.com/teams/hs-economic-supports-hub/BlueZone_Script_Instructions/BULK/BULK%20-%20REPT%20LISTS.docx", "REPT-PND2 List")</f>
        <v>REPT-PND2 List</v>
      </c>
      <c r="E100" s="2" t="s">
        <v>542</v>
      </c>
      <c r="F100" s="5" t="s">
        <v>394</v>
      </c>
      <c r="G100" s="5"/>
      <c r="H100" s="5"/>
    </row>
    <row r="101" spans="1:8" x14ac:dyDescent="0.25">
      <c r="A101" s="5" t="s">
        <v>8</v>
      </c>
      <c r="B101" s="5" t="s">
        <v>409</v>
      </c>
      <c r="C101" s="5" t="s">
        <v>393</v>
      </c>
      <c r="D101" s="6" t="str">
        <f>HYPERLINK("https://hennepin.sharepoint.com/teams/hs-economic-supports-hub/BlueZone_Script_Instructions/BULK/BULK%20-%20REPT%20LISTS.docx", "REPT-REVS List")</f>
        <v>REPT-REVS List</v>
      </c>
      <c r="E101" s="2" t="s">
        <v>542</v>
      </c>
      <c r="F101" s="5" t="s">
        <v>394</v>
      </c>
      <c r="G101" s="5"/>
      <c r="H101" s="5"/>
    </row>
    <row r="102" spans="1:8" x14ac:dyDescent="0.25">
      <c r="A102" s="5" t="s">
        <v>8</v>
      </c>
      <c r="B102" s="5" t="s">
        <v>410</v>
      </c>
      <c r="C102" s="5" t="s">
        <v>393</v>
      </c>
      <c r="D102" s="6" t="str">
        <f>HYPERLINK("https://hennepin.sharepoint.com/teams/hs-economic-supports-hub/BlueZone_Script_Instructions/BULK/BULK%20-%20REPT%20LISTS.docx", "REPT-REVW List")</f>
        <v>REPT-REVW List</v>
      </c>
      <c r="E102" s="2" t="s">
        <v>542</v>
      </c>
      <c r="F102" s="5" t="s">
        <v>394</v>
      </c>
      <c r="G102" s="5"/>
      <c r="H102" s="5"/>
    </row>
    <row r="103" spans="1:8" x14ac:dyDescent="0.25">
      <c r="A103" s="5" t="s">
        <v>8</v>
      </c>
      <c r="B103" s="5" t="s">
        <v>411</v>
      </c>
      <c r="C103" s="5" t="s">
        <v>412</v>
      </c>
      <c r="D103" s="6" t="str">
        <f>HYPERLINK("https://hennepin.sharepoint.com/teams/hs-economic-supports-hub/BlueZone_Script_Instructions/BULK/BULK%20-%20REPT%20LISTS.docx", "REPT-USER List")</f>
        <v>REPT-USER List</v>
      </c>
      <c r="E103" s="2" t="s">
        <v>542</v>
      </c>
      <c r="F103" s="5" t="s">
        <v>413</v>
      </c>
      <c r="G103" s="5"/>
      <c r="H103" s="5"/>
    </row>
    <row r="104" spans="1:8" x14ac:dyDescent="0.25">
      <c r="A104" s="5" t="s">
        <v>6</v>
      </c>
      <c r="B104" s="5" t="s">
        <v>23</v>
      </c>
      <c r="C104" s="5" t="s">
        <v>482</v>
      </c>
      <c r="D104" s="6" t="str">
        <f>HYPERLINK("https://hennepin.sharepoint.com/teams/hs-economic-supports-hub/BlueZone_Script_Instructions/DAIL/DAIL%20-%20ABAWD%20FSET%20EXEMPTION%20CHECK.docx", "ABAWD FSET Exemption Check")</f>
        <v>ABAWD FSET Exemption Check</v>
      </c>
      <c r="E104" s="2" t="s">
        <v>542</v>
      </c>
      <c r="F104" s="5" t="s">
        <v>483</v>
      </c>
      <c r="G104" s="5"/>
      <c r="H104" s="5"/>
    </row>
    <row r="105" spans="1:8" x14ac:dyDescent="0.25">
      <c r="A105" s="5" t="s">
        <v>6</v>
      </c>
      <c r="B105" s="5" t="s">
        <v>484</v>
      </c>
      <c r="C105" s="5"/>
      <c r="D105" s="6" t="str">
        <f>HYPERLINK("https://hennepin.sharepoint.com/teams/hs-economic-supports-hub/BlueZone_Script_Instructions/DAIL/DAIL%20-%20AFFILIATED%20CASE%20LOOKUP.docx", "Affiliated Case Lookup")</f>
        <v>Affiliated Case Lookup</v>
      </c>
      <c r="E105" s="2" t="s">
        <v>542</v>
      </c>
      <c r="F105" s="5" t="s">
        <v>379</v>
      </c>
      <c r="G105" s="5"/>
      <c r="H105" s="5"/>
    </row>
    <row r="106" spans="1:8" x14ac:dyDescent="0.25">
      <c r="A106" s="5" t="s">
        <v>6</v>
      </c>
      <c r="B106" s="5" t="s">
        <v>485</v>
      </c>
      <c r="C106" s="5"/>
      <c r="D106" s="6" t="str">
        <f>HYPERLINK("https://hennepin.sharepoint.com/teams/hs-economic-supports-hub/BlueZone_Script_Instructions/DAIL/DAIL%20-%20BNDX%20SCRUBBER.docx", "BNDX Scrubber")</f>
        <v>BNDX Scrubber</v>
      </c>
      <c r="E106" s="2" t="s">
        <v>542</v>
      </c>
      <c r="F106" s="5" t="s">
        <v>486</v>
      </c>
      <c r="G106" s="5"/>
      <c r="H106" s="5"/>
    </row>
    <row r="107" spans="1:8" x14ac:dyDescent="0.25">
      <c r="A107" s="5" t="s">
        <v>6</v>
      </c>
      <c r="B107" s="5" t="s">
        <v>487</v>
      </c>
      <c r="C107" s="5" t="s">
        <v>488</v>
      </c>
      <c r="D107" s="6" t="str">
        <f>HYPERLINK("https://hennepin.sharepoint.com/teams/hs-economic-supports-hub/BlueZone_Script_Instructions/DAIL/DAIL%20-%20CATCH%20ALL.docx", "Catch All")</f>
        <v>Catch All</v>
      </c>
      <c r="E107" s="2" t="s">
        <v>548</v>
      </c>
      <c r="F107" s="5" t="s">
        <v>489</v>
      </c>
      <c r="G107" s="5"/>
      <c r="H107" s="5"/>
    </row>
    <row r="108" spans="1:8" x14ac:dyDescent="0.25">
      <c r="A108" s="5" t="s">
        <v>6</v>
      </c>
      <c r="B108" s="5" t="s">
        <v>490</v>
      </c>
      <c r="C108" s="5"/>
      <c r="D108" s="6" t="str">
        <f>HYPERLINK("https://hennepin.sharepoint.com/teams/hs-economic-supports-hub/BlueZone_Script_Instructions/DAIL/DAIL%20-%20CITIZENSHIP%20VERIFIED.docx", "Citizenship Verified")</f>
        <v>Citizenship Verified</v>
      </c>
      <c r="E108" s="2" t="s">
        <v>559</v>
      </c>
      <c r="F108" s="5" t="s">
        <v>489</v>
      </c>
      <c r="G108" s="5"/>
      <c r="H108" s="5"/>
    </row>
    <row r="109" spans="1:8" x14ac:dyDescent="0.25">
      <c r="A109" s="5" t="s">
        <v>6</v>
      </c>
      <c r="B109" s="5" t="s">
        <v>491</v>
      </c>
      <c r="C109" s="5" t="s">
        <v>82</v>
      </c>
      <c r="D109" s="6" t="str">
        <f>HYPERLINK("https://hennepin.sharepoint.com/teams/hs-economic-supports-hub/BlueZone_Script_Instructions/DAIL/DAIL%20-%20COLA%20REVIEW%20AND%20APPROVE.docx", "COLA Review and Approve")</f>
        <v>COLA Review and Approve</v>
      </c>
      <c r="E109" s="2" t="s">
        <v>548</v>
      </c>
      <c r="F109" s="5" t="s">
        <v>287</v>
      </c>
      <c r="G109" s="5"/>
      <c r="H109" s="5"/>
    </row>
    <row r="110" spans="1:8" x14ac:dyDescent="0.25">
      <c r="A110" s="5" t="s">
        <v>6</v>
      </c>
      <c r="B110" s="5" t="s">
        <v>492</v>
      </c>
      <c r="C110" s="5" t="s">
        <v>493</v>
      </c>
      <c r="D110" s="6" t="str">
        <f>HYPERLINK("https://hennepin.sharepoint.com/teams/hs-economic-supports-hub/BlueZone_Script_Instructions/DAIL/DAIL%20-%20COLA%20SVES%20RESPONSE.docx", "COLA SVES Response")</f>
        <v>COLA SVES Response</v>
      </c>
      <c r="E110" s="2" t="s">
        <v>542</v>
      </c>
      <c r="F110" s="5" t="s">
        <v>287</v>
      </c>
      <c r="G110" s="5"/>
      <c r="H110" s="5"/>
    </row>
    <row r="111" spans="1:8" x14ac:dyDescent="0.25">
      <c r="A111" s="5" t="s">
        <v>6</v>
      </c>
      <c r="B111" s="5" t="s">
        <v>494</v>
      </c>
      <c r="C111" s="5" t="s">
        <v>495</v>
      </c>
      <c r="D111" s="6" t="str">
        <f>HYPERLINK("https://hennepin.sharepoint.com/teams/hs-economic-supports-hub/BlueZone_Script_Instructions/DAIL/DAIL%20-%20CSES%20SCRUBBER.docx", "CSES Scrubber")</f>
        <v>CSES Scrubber</v>
      </c>
      <c r="E111" s="2" t="s">
        <v>554</v>
      </c>
      <c r="F111" s="5" t="s">
        <v>496</v>
      </c>
      <c r="G111" s="5"/>
      <c r="H111" s="5"/>
    </row>
    <row r="112" spans="1:8" x14ac:dyDescent="0.25">
      <c r="A112" s="5" t="s">
        <v>6</v>
      </c>
      <c r="B112" s="5" t="s">
        <v>7</v>
      </c>
      <c r="C112" s="5"/>
      <c r="D112" s="6" t="str">
        <f>HYPERLINK("https://hennepin.sharepoint.com/teams/hs-economic-supports-hub/BlueZone_Script_Instructions/DAIL/DAIL%20-%20DAIL%20SCRUBBER.docx", "DAIL Scrubber")</f>
        <v>DAIL Scrubber</v>
      </c>
      <c r="E112" s="2" t="s">
        <v>540</v>
      </c>
      <c r="F112" s="5"/>
      <c r="G112" s="5"/>
      <c r="H112" s="5"/>
    </row>
    <row r="113" spans="1:8" x14ac:dyDescent="0.25">
      <c r="A113" s="5" t="s">
        <v>6</v>
      </c>
      <c r="B113" s="5" t="s">
        <v>497</v>
      </c>
      <c r="C113" s="5" t="s">
        <v>498</v>
      </c>
      <c r="D113" s="6" t="str">
        <f>HYPERLINK("https://hennepin.sharepoint.com/teams/hs-economic-supports-hub/BlueZone_Script_Instructions/DAIL/DAIL%20-%20DISA%20MESSAGE.docx", "DISA Message")</f>
        <v>DISA Message</v>
      </c>
      <c r="E113" s="2" t="s">
        <v>548</v>
      </c>
      <c r="F113" s="5" t="s">
        <v>499</v>
      </c>
      <c r="G113" s="5"/>
      <c r="H113" s="5"/>
    </row>
    <row r="114" spans="1:8" x14ac:dyDescent="0.25">
      <c r="A114" s="5" t="s">
        <v>6</v>
      </c>
      <c r="B114" s="5" t="s">
        <v>500</v>
      </c>
      <c r="C114" s="5" t="s">
        <v>501</v>
      </c>
      <c r="D114" s="6" t="str">
        <f>HYPERLINK("https://hennepin.sharepoint.com/teams/hs-economic-supports-hub/BlueZone_Script_Instructions/DAIL/DAIL%20-%20ES%20REFERRAL%20MISSING.docx", "ES Referral Missing")</f>
        <v>ES Referral Missing</v>
      </c>
      <c r="E114" s="2" t="s">
        <v>548</v>
      </c>
      <c r="F114" s="5" t="s">
        <v>502</v>
      </c>
      <c r="G114" s="5"/>
      <c r="H114" s="5"/>
    </row>
    <row r="115" spans="1:8" x14ac:dyDescent="0.25">
      <c r="A115" s="5" t="s">
        <v>6</v>
      </c>
      <c r="B115" s="5" t="s">
        <v>503</v>
      </c>
      <c r="C115" s="5" t="s">
        <v>501</v>
      </c>
      <c r="D115" s="6" t="str">
        <f>HYPERLINK("https://hennepin.sharepoint.com/teams/hs-economic-supports-hub/BlueZone_Script_Instructions/DAIL/DAIL%20-%20FINANCIAL%20ORIENTATION%20MISSING.docx", "Financial Orientation Missing")</f>
        <v>Financial Orientation Missing</v>
      </c>
      <c r="E115" s="2" t="s">
        <v>548</v>
      </c>
      <c r="F115" s="5" t="s">
        <v>502</v>
      </c>
      <c r="G115" s="5"/>
      <c r="H115" s="5"/>
    </row>
    <row r="116" spans="1:8" x14ac:dyDescent="0.25">
      <c r="A116" s="5" t="s">
        <v>6</v>
      </c>
      <c r="B116" s="5" t="s">
        <v>504</v>
      </c>
      <c r="C116" s="5" t="s">
        <v>14</v>
      </c>
      <c r="D116" s="6" t="str">
        <f>HYPERLINK("https://hennepin.sharepoint.com/teams/hs-economic-supports-hub/BlueZone_Script_Instructions/DAIL/DAIL%20-%20FMED%20DEDUCTION.docx", "FMED Deduction")</f>
        <v>FMED Deduction</v>
      </c>
      <c r="E116" s="2" t="s">
        <v>559</v>
      </c>
      <c r="F116" s="5" t="s">
        <v>505</v>
      </c>
      <c r="G116" s="5"/>
      <c r="H116" s="5"/>
    </row>
    <row r="117" spans="1:8" x14ac:dyDescent="0.25">
      <c r="A117" s="5" t="s">
        <v>6</v>
      </c>
      <c r="B117" s="5" t="s">
        <v>506</v>
      </c>
      <c r="C117" s="5" t="s">
        <v>507</v>
      </c>
      <c r="D117" s="6" t="str">
        <f>HYPERLINK("https://hennepin.sharepoint.com/teams/hs-economic-supports-hub/BlueZone_Script_Instructions/DAIL/DAIL%20-%20INCARCERATION.docx", "Incarceration")</f>
        <v>Incarceration</v>
      </c>
      <c r="E117" s="2" t="s">
        <v>565</v>
      </c>
      <c r="F117" s="5" t="s">
        <v>489</v>
      </c>
      <c r="G117" s="5"/>
      <c r="H117" s="5"/>
    </row>
    <row r="118" spans="1:8" x14ac:dyDescent="0.25">
      <c r="A118" s="5" t="s">
        <v>6</v>
      </c>
      <c r="B118" s="5" t="s">
        <v>508</v>
      </c>
      <c r="C118" s="5" t="s">
        <v>72</v>
      </c>
      <c r="D118" s="6" t="str">
        <f>HYPERLINK("https://hennepin.sharepoint.com/teams/hs-economic-supports-hub/BlueZone_Script_Instructions/DAIL/DAIL%20-%20LTC%20REMEDIAL%20CARE.docx", "LTC Remedial Care")</f>
        <v>LTC Remedial Care</v>
      </c>
      <c r="E118" s="2" t="s">
        <v>542</v>
      </c>
      <c r="F118" s="5" t="s">
        <v>509</v>
      </c>
      <c r="G118" s="5"/>
      <c r="H118" s="5"/>
    </row>
    <row r="119" spans="1:8" x14ac:dyDescent="0.25">
      <c r="A119" s="5" t="s">
        <v>6</v>
      </c>
      <c r="B119" s="5" t="s">
        <v>510</v>
      </c>
      <c r="C119" s="5" t="s">
        <v>70</v>
      </c>
      <c r="D119" s="6" t="str">
        <f>HYPERLINK("https://hennepin.sharepoint.com/teams/hs-economic-supports-hub/BlueZone_Script_Instructions/DAIL/DAIL%20-%20MEDI%20CHECK.docx", "Medi Check")</f>
        <v>Medi Check</v>
      </c>
      <c r="E119" s="2" t="s">
        <v>548</v>
      </c>
      <c r="F119" s="5" t="s">
        <v>289</v>
      </c>
      <c r="G119" s="5"/>
      <c r="H119" s="5"/>
    </row>
    <row r="120" spans="1:8" x14ac:dyDescent="0.25">
      <c r="A120" s="5" t="s">
        <v>6</v>
      </c>
      <c r="B120" s="5" t="s">
        <v>513</v>
      </c>
      <c r="C120" s="5" t="s">
        <v>389</v>
      </c>
      <c r="D120" s="6" t="str">
        <f>HYPERLINK("https://hennepin.sharepoint.com/teams/hs-economic-supports-hub/BlueZone_Script_Instructions/DAIL/DAIL%20-%20NEW%20HIRE.docx", "New Hire")</f>
        <v>New Hire</v>
      </c>
      <c r="E120" s="2" t="s">
        <v>559</v>
      </c>
      <c r="F120" s="5" t="s">
        <v>512</v>
      </c>
      <c r="G120" s="5"/>
      <c r="H120" s="5"/>
    </row>
    <row r="121" spans="1:8" x14ac:dyDescent="0.25">
      <c r="A121" s="5" t="s">
        <v>6</v>
      </c>
      <c r="B121" s="5" t="s">
        <v>511</v>
      </c>
      <c r="C121" s="5" t="s">
        <v>389</v>
      </c>
      <c r="D121" s="6" t="str">
        <f>HYPERLINK("https://hennepin.sharepoint.com/teams/hs-economic-supports-hub/BlueZone_Script_Instructions/DAIL/DAIL%20-%20NEW%20HIRE%20NDNH.docx", "New Hire NDNH")</f>
        <v>New Hire NDNH</v>
      </c>
      <c r="E121" s="2" t="s">
        <v>551</v>
      </c>
      <c r="F121" s="5" t="s">
        <v>512</v>
      </c>
      <c r="G121" s="5"/>
      <c r="H121" s="5"/>
    </row>
    <row r="122" spans="1:8" x14ac:dyDescent="0.25">
      <c r="A122" s="5" t="s">
        <v>6</v>
      </c>
      <c r="B122" s="5" t="s">
        <v>514</v>
      </c>
      <c r="C122" s="5" t="s">
        <v>515</v>
      </c>
      <c r="D122" s="6" t="str">
        <f>HYPERLINK("https://hennepin.sharepoint.com/teams/hs-economic-supports-hub/BlueZone_Script_Instructions/DAIL/DAIL%20-%20OVERDUE%20BABY.docx", "Overdue Baby")</f>
        <v>Overdue Baby</v>
      </c>
      <c r="E122" s="2" t="s">
        <v>548</v>
      </c>
      <c r="F122" s="5" t="s">
        <v>516</v>
      </c>
      <c r="G122" s="5"/>
      <c r="H122" s="5"/>
    </row>
    <row r="123" spans="1:8" x14ac:dyDescent="0.25">
      <c r="A123" s="5" t="s">
        <v>6</v>
      </c>
      <c r="B123" s="5" t="s">
        <v>517</v>
      </c>
      <c r="C123" s="5" t="s">
        <v>82</v>
      </c>
      <c r="D123" s="6" t="str">
        <f>HYPERLINK("https://hennepin.sharepoint.com/teams/hs-economic-supports-hub/BlueZone_Script_Instructions/DAIL/DAIL%20-%20PAPERLESS%20DAIL.docx", "Paperless Dail")</f>
        <v>Paperless Dail</v>
      </c>
      <c r="E123" s="2" t="s">
        <v>548</v>
      </c>
      <c r="F123" s="5" t="s">
        <v>518</v>
      </c>
      <c r="G123" s="5"/>
      <c r="H123" s="5"/>
    </row>
    <row r="124" spans="1:8" x14ac:dyDescent="0.25">
      <c r="A124" s="5" t="s">
        <v>6</v>
      </c>
      <c r="B124" s="5" t="s">
        <v>519</v>
      </c>
      <c r="C124" s="5" t="s">
        <v>33</v>
      </c>
      <c r="D124" s="6" t="str">
        <f>HYPERLINK("https://hennepin.sharepoint.com/teams/hs-economic-supports-hub/BlueZone_Script_Instructions/DAIL/DAIL%20-%20POSTPONED%20EXPEDITED%20SNAP%20VERIFICATIONS.docx", "Postponed Expedited SNAP Verifications")</f>
        <v>Postponed Expedited SNAP Verifications</v>
      </c>
      <c r="E124" s="2" t="s">
        <v>559</v>
      </c>
      <c r="F124" s="5" t="s">
        <v>520</v>
      </c>
      <c r="G124" s="5"/>
      <c r="H124" s="5"/>
    </row>
    <row r="125" spans="1:8" x14ac:dyDescent="0.25">
      <c r="A125" s="5" t="s">
        <v>6</v>
      </c>
      <c r="B125" s="5" t="s">
        <v>521</v>
      </c>
      <c r="C125" s="5" t="s">
        <v>522</v>
      </c>
      <c r="D125" s="6" t="str">
        <f>HYPERLINK("https://hennepin.sharepoint.com/teams/hs-economic-supports-hub/BlueZone_Script_Instructions/DAIL/DAIL%20-%20SDX%20INFO%20HAS%20BEEN%20STORED.docx", "SDX Info Has Been Stored")</f>
        <v>SDX Info Has Been Stored</v>
      </c>
      <c r="E125" s="2" t="s">
        <v>542</v>
      </c>
      <c r="F125" s="5" t="s">
        <v>523</v>
      </c>
      <c r="G125" s="5"/>
      <c r="H125" s="5"/>
    </row>
    <row r="126" spans="1:8" x14ac:dyDescent="0.25">
      <c r="A126" s="5" t="s">
        <v>6</v>
      </c>
      <c r="B126" s="5" t="s">
        <v>524</v>
      </c>
      <c r="C126" s="5"/>
      <c r="D126" s="6" t="str">
        <f>HYPERLINK("https://hennepin.sharepoint.com/teams/hs-economic-supports-hub/BlueZone_Script_Instructions/DAIL/DAIL%20-%20TPQY%20RESPONSE.docx", "TPQY Response")</f>
        <v>TPQY Response</v>
      </c>
      <c r="E126" s="2" t="s">
        <v>542</v>
      </c>
      <c r="F126" s="5" t="s">
        <v>525</v>
      </c>
      <c r="G126" s="5"/>
      <c r="H126" s="5"/>
    </row>
    <row r="127" spans="1:8" x14ac:dyDescent="0.25">
      <c r="A127" s="5" t="s">
        <v>6</v>
      </c>
      <c r="B127" s="5" t="s">
        <v>526</v>
      </c>
      <c r="C127" s="5" t="s">
        <v>527</v>
      </c>
      <c r="D127" s="6" t="str">
        <f>HYPERLINK("https://hennepin.sharepoint.com/teams/hs-economic-supports-hub/BlueZone_Script_Instructions/DAIL/DAIL%20-%20WAGE%20MATCH%20SCRUBBER.docx", "Wage Match Scrubber")</f>
        <v>Wage Match Scrubber</v>
      </c>
      <c r="E127" s="2" t="s">
        <v>542</v>
      </c>
      <c r="F127" s="5" t="s">
        <v>512</v>
      </c>
      <c r="G127" s="5"/>
      <c r="H127" s="5"/>
    </row>
    <row r="128" spans="1:8" x14ac:dyDescent="0.25">
      <c r="A128" s="5" t="s">
        <v>528</v>
      </c>
      <c r="B128" s="5" t="s">
        <v>529</v>
      </c>
      <c r="C128" s="5"/>
      <c r="D128" s="6" t="str">
        <f>HYPERLINK("https://hennepin.sharepoint.com/teams/hs-economic-supports-hub/BlueZone_Script_Instructions/NAV/NAV%20-%20CASE-CURR.docx", "CASE-CURR")</f>
        <v>CASE-CURR</v>
      </c>
      <c r="E128" s="2" t="s">
        <v>539</v>
      </c>
      <c r="F128" s="5" t="s">
        <v>379</v>
      </c>
      <c r="G128" s="5"/>
      <c r="H128" s="5"/>
    </row>
    <row r="129" spans="1:8" x14ac:dyDescent="0.25">
      <c r="A129" s="5" t="s">
        <v>528</v>
      </c>
      <c r="B129" s="5" t="s">
        <v>531</v>
      </c>
      <c r="C129" s="5"/>
      <c r="D129" s="6" t="str">
        <f>HYPERLINK("https://hennepin.sharepoint.com/teams/hs-economic-supports-hub/BlueZone_Script_Instructions/NAV/NAV%20-%20CASE-NOTE.docx", "CASE-NOTE")</f>
        <v>CASE-NOTE</v>
      </c>
      <c r="E129" s="2" t="s">
        <v>539</v>
      </c>
      <c r="F129" s="5" t="s">
        <v>379</v>
      </c>
      <c r="G129" s="5"/>
      <c r="H129" s="5"/>
    </row>
    <row r="130" spans="1:8" x14ac:dyDescent="0.25">
      <c r="A130" s="5" t="s">
        <v>528</v>
      </c>
      <c r="B130" s="5" t="s">
        <v>530</v>
      </c>
      <c r="C130" s="5"/>
      <c r="D130" s="6" t="str">
        <f>HYPERLINK("https://hennepin.sharepoint.com/teams/hs-economic-supports-hub/BlueZone_Script_Instructions/NAV/NAV%20-%20CASE-PERS.docx", "CASE-PERS")</f>
        <v>CASE-PERS</v>
      </c>
      <c r="E130" s="2" t="s">
        <v>539</v>
      </c>
      <c r="F130" s="5" t="s">
        <v>379</v>
      </c>
      <c r="G130" s="5"/>
      <c r="H130" s="5"/>
    </row>
    <row r="131" spans="1:8" x14ac:dyDescent="0.25">
      <c r="A131" s="5" t="s">
        <v>528</v>
      </c>
      <c r="B131" s="5" t="s">
        <v>532</v>
      </c>
      <c r="C131" s="5"/>
      <c r="D131" s="6" t="str">
        <f>HYPERLINK("https://hennepin.sharepoint.com/teams/hs-economic-supports-hub/BlueZone_Script_Instructions/NAV/NAV%20-%20FIND%20MAXIS%20CASE%20IN%20MMIS.docx", "Find MAXIS case in MMIS")</f>
        <v>Find MAXIS case in MMIS</v>
      </c>
      <c r="E131" s="2" t="s">
        <v>539</v>
      </c>
      <c r="F131" s="5" t="s">
        <v>379</v>
      </c>
      <c r="G131" s="5"/>
      <c r="H131" s="5"/>
    </row>
    <row r="132" spans="1:8" x14ac:dyDescent="0.25">
      <c r="A132" s="5" t="s">
        <v>528</v>
      </c>
      <c r="B132" s="5" t="s">
        <v>533</v>
      </c>
      <c r="C132" s="5"/>
      <c r="D132" s="6" t="str">
        <f>HYPERLINK("https://hennepin.sharepoint.com/teams/hs-economic-supports-hub/BlueZone_Script_Instructions/NAV/NAV%20-%20FIND%20MMIS%20PMI%20IN%20MAXIS.docx", "Find MMIS PMI in MAXIS")</f>
        <v>Find MMIS PMI in MAXIS</v>
      </c>
      <c r="E132" s="2" t="s">
        <v>539</v>
      </c>
      <c r="F132" s="5" t="s">
        <v>379</v>
      </c>
      <c r="G132" s="5"/>
      <c r="H132" s="5"/>
    </row>
    <row r="133" spans="1:8" x14ac:dyDescent="0.25">
      <c r="A133" s="5" t="s">
        <v>528</v>
      </c>
      <c r="B133" s="5" t="s">
        <v>534</v>
      </c>
      <c r="C133" s="5"/>
      <c r="D133" s="6" t="str">
        <f>HYPERLINK("https://hennepin.sharepoint.com/teams/hs-economic-supports-hub/BlueZone_Script_Instructions/NAV/NAV%20-%20MMIS%20-%20GRH.docx", "MMIS - GRH")</f>
        <v>MMIS - GRH</v>
      </c>
      <c r="E133" s="2" t="s">
        <v>539</v>
      </c>
      <c r="F133" s="5" t="s">
        <v>379</v>
      </c>
      <c r="G133" s="5"/>
      <c r="H133" s="5"/>
    </row>
    <row r="134" spans="1:8" x14ac:dyDescent="0.25">
      <c r="A134" s="5" t="s">
        <v>528</v>
      </c>
      <c r="B134" s="5" t="s">
        <v>535</v>
      </c>
      <c r="C134" s="5"/>
      <c r="D134" s="6" t="str">
        <f>HYPERLINK("https://hennepin.sharepoint.com/teams/hs-economic-supports-hub/BlueZone_Script_Instructions/NAV/NAV%20-%20POLI-TEMP.docx", "POLI-TEMP")</f>
        <v>POLI-TEMP</v>
      </c>
      <c r="E134" s="2" t="s">
        <v>539</v>
      </c>
      <c r="F134" s="5" t="s">
        <v>379</v>
      </c>
      <c r="G134" s="5"/>
      <c r="H134" s="5"/>
    </row>
    <row r="135" spans="1:8" x14ac:dyDescent="0.25">
      <c r="A135" s="5" t="s">
        <v>528</v>
      </c>
      <c r="B135" s="5" t="s">
        <v>536</v>
      </c>
      <c r="C135" s="5"/>
      <c r="D135" s="6" t="str">
        <f>HYPERLINK("https://hennepin.sharepoint.com/teams/hs-economic-supports-hub/BlueZone_Script_Instructions/NAV/NAV%20-%20STAT-ADDR.docx", "STAT-ADDR")</f>
        <v>STAT-ADDR</v>
      </c>
      <c r="E135" s="2" t="s">
        <v>539</v>
      </c>
      <c r="F135" s="5" t="s">
        <v>379</v>
      </c>
      <c r="G135" s="5"/>
      <c r="H135" s="5"/>
    </row>
    <row r="136" spans="1:8" x14ac:dyDescent="0.25">
      <c r="A136" s="5" t="s">
        <v>528</v>
      </c>
      <c r="B136" s="5" t="s">
        <v>537</v>
      </c>
      <c r="C136" s="5"/>
      <c r="D136" s="6" t="str">
        <f>HYPERLINK("https://hennepin.sharepoint.com/teams/hs-economic-supports-hub/BlueZone_Script_Instructions/NAV/NAV%20-%20STAT-MEMB.docx", "STAT-MEMB")</f>
        <v>STAT-MEMB</v>
      </c>
      <c r="E136" s="2" t="s">
        <v>539</v>
      </c>
      <c r="F136" s="5" t="s">
        <v>379</v>
      </c>
      <c r="G136" s="5"/>
      <c r="H136" s="5"/>
    </row>
    <row r="137" spans="1:8" x14ac:dyDescent="0.25">
      <c r="A137" s="5" t="s">
        <v>528</v>
      </c>
      <c r="B137" s="5" t="s">
        <v>475</v>
      </c>
      <c r="C137" s="5"/>
      <c r="D137" s="6" t="str">
        <f>HYPERLINK("https://hennepin.sharepoint.com/teams/hs-economic-supports-hub/BlueZone_Script_Instructions/NAV/NAV%20-%20VIEW%20PNLP.docx", "View PNLP")</f>
        <v>View PNLP</v>
      </c>
      <c r="E137" s="2" t="s">
        <v>539</v>
      </c>
      <c r="F137" s="5" t="s">
        <v>263</v>
      </c>
      <c r="G137" s="5"/>
      <c r="H137" s="5"/>
    </row>
    <row r="138" spans="1:8" x14ac:dyDescent="0.25">
      <c r="A138" s="5" t="s">
        <v>31</v>
      </c>
      <c r="B138" s="5" t="s">
        <v>32</v>
      </c>
      <c r="C138" s="5" t="s">
        <v>33</v>
      </c>
      <c r="D138" s="6" t="str">
        <f>HYPERLINK("https://hennepin.sharepoint.com/teams/hs-economic-supports-hub/BlueZone_Script_Instructions/NOTES/NOTES%20-%20ABAWD%20TRACKING%20RECORD.docx", "ABAWD Tracking Record")</f>
        <v>ABAWD Tracking Record</v>
      </c>
      <c r="E138" s="2" t="s">
        <v>548</v>
      </c>
      <c r="F138" s="5" t="s">
        <v>20</v>
      </c>
      <c r="G138" s="5"/>
      <c r="H138" s="5"/>
    </row>
    <row r="139" spans="1:8" x14ac:dyDescent="0.25">
      <c r="A139" s="5" t="s">
        <v>31</v>
      </c>
      <c r="B139" s="5" t="s">
        <v>34</v>
      </c>
      <c r="C139" s="5" t="s">
        <v>33</v>
      </c>
      <c r="D139" s="6" t="str">
        <f>HYPERLINK("https://hennepin.sharepoint.com/teams/hs-economic-supports-hub/BlueZone_Script_Instructions/NOTES/NOTES%20-%20ABAWD%20WAIVED%20APPROVAL.docx", "ABAWD Waived Approval")</f>
        <v>ABAWD Waived Approval</v>
      </c>
      <c r="E139" s="2" t="s">
        <v>548</v>
      </c>
      <c r="F139" s="5" t="s">
        <v>35</v>
      </c>
      <c r="G139" s="5"/>
      <c r="H139" s="5"/>
    </row>
    <row r="140" spans="1:8" x14ac:dyDescent="0.25">
      <c r="A140" s="5" t="s">
        <v>31</v>
      </c>
      <c r="B140" s="5" t="s">
        <v>46</v>
      </c>
      <c r="C140" s="5" t="s">
        <v>47</v>
      </c>
      <c r="D140" s="6" t="str">
        <f>HYPERLINK("https://hennepin.sharepoint.com/teams/hs-economic-supports-hub/BlueZone_Script_Instructions/NOTES/NOTES%20-%20APPEALS.docx", "Appeals")</f>
        <v>Appeals</v>
      </c>
      <c r="E140" s="2" t="s">
        <v>555</v>
      </c>
      <c r="F140" s="5" t="s">
        <v>48</v>
      </c>
      <c r="G140" s="5"/>
      <c r="H140" s="5"/>
    </row>
    <row r="141" spans="1:8" x14ac:dyDescent="0.25">
      <c r="A141" s="5" t="s">
        <v>31</v>
      </c>
      <c r="B141" s="5" t="s">
        <v>49</v>
      </c>
      <c r="C141" s="5" t="s">
        <v>50</v>
      </c>
      <c r="D141" s="6" t="str">
        <f>HYPERLINK("https://hennepin.sharepoint.com/teams/hs-economic-supports-hub/BlueZone_Script_Instructions/NOTES/NOTES%20-%20APPLICATION%20CHECK.docx", "Application Check")</f>
        <v>Application Check</v>
      </c>
      <c r="E141" s="2" t="s">
        <v>560</v>
      </c>
      <c r="F141" s="5" t="s">
        <v>51</v>
      </c>
      <c r="G141" s="5"/>
      <c r="H141" s="5"/>
    </row>
    <row r="142" spans="1:8" x14ac:dyDescent="0.25">
      <c r="A142" s="5" t="s">
        <v>31</v>
      </c>
      <c r="B142" s="5" t="s">
        <v>55</v>
      </c>
      <c r="C142" s="5" t="s">
        <v>56</v>
      </c>
      <c r="D142" s="6" t="str">
        <f>HYPERLINK("https://hennepin.sharepoint.com/teams/hs-economic-supports-hub/BlueZone_Script_Instructions/NOTES/NOTES%20-%20APPLICATION%20RECEIVED.docx", "Application Received")</f>
        <v>Application Received</v>
      </c>
      <c r="E142" s="2" t="s">
        <v>554</v>
      </c>
      <c r="F142" s="5" t="s">
        <v>51</v>
      </c>
      <c r="G142" s="5"/>
      <c r="H142" s="5"/>
    </row>
    <row r="143" spans="1:8" x14ac:dyDescent="0.25">
      <c r="A143" s="5" t="s">
        <v>31</v>
      </c>
      <c r="B143" s="5" t="s">
        <v>57</v>
      </c>
      <c r="C143" s="5" t="s">
        <v>47</v>
      </c>
      <c r="D143" s="6" t="str">
        <f>HYPERLINK("https://hennepin.sharepoint.com/teams/hs-economic-supports-hub/BlueZone_Script_Instructions/NOTES/NOTES%20-%20APPROVED%20PROGRAMS.docx", "Approved Programs")</f>
        <v>Approved Programs</v>
      </c>
      <c r="E143" s="2" t="s">
        <v>548</v>
      </c>
      <c r="F143" s="5" t="s">
        <v>58</v>
      </c>
      <c r="G143" s="5"/>
      <c r="H143" s="5"/>
    </row>
    <row r="144" spans="1:8" x14ac:dyDescent="0.25">
      <c r="A144" s="5" t="s">
        <v>31</v>
      </c>
      <c r="B144" s="5" t="s">
        <v>59</v>
      </c>
      <c r="C144" s="5" t="s">
        <v>60</v>
      </c>
      <c r="D144" s="6" t="str">
        <f>HYPERLINK("https://hennepin.sharepoint.com/teams/hs-economic-supports-hub/BlueZone_Script_Instructions/NOTES/NOTES%20-%20ASSET%20REDUCTION.docx", "Asset Reduction")</f>
        <v>Asset Reduction</v>
      </c>
      <c r="E144" s="2" t="s">
        <v>556</v>
      </c>
      <c r="F144" s="5" t="s">
        <v>61</v>
      </c>
      <c r="G144" s="5"/>
      <c r="H144" s="5"/>
    </row>
    <row r="145" spans="1:8" x14ac:dyDescent="0.25">
      <c r="A145" s="5" t="s">
        <v>31</v>
      </c>
      <c r="B145" s="5" t="s">
        <v>63</v>
      </c>
      <c r="C145" s="5" t="s">
        <v>64</v>
      </c>
      <c r="D145" s="6" t="str">
        <f>HYPERLINK("https://hennepin.sharepoint.com/teams/hs-economic-supports-hub/BlueZone_Script_Instructions/NOTES/NOTES%20-%20AVS.docx", "AVS")</f>
        <v>AVS</v>
      </c>
      <c r="E145" s="2" t="s">
        <v>548</v>
      </c>
      <c r="F145" s="5" t="s">
        <v>65</v>
      </c>
      <c r="G145" s="5"/>
      <c r="H145" s="5"/>
    </row>
    <row r="146" spans="1:8" x14ac:dyDescent="0.25">
      <c r="A146" s="5" t="s">
        <v>31</v>
      </c>
      <c r="B146" s="5" t="s">
        <v>81</v>
      </c>
      <c r="C146" s="5" t="s">
        <v>82</v>
      </c>
      <c r="D146" s="6" t="str">
        <f>HYPERLINK("https://hennepin.sharepoint.com/teams/hs-economic-supports-hub/BlueZone_Script_Instructions/NOTES/NOTES%20-%20BURIAL%20ASSETS.docx", "Burial Assets")</f>
        <v>Burial Assets</v>
      </c>
      <c r="E146" s="2" t="s">
        <v>548</v>
      </c>
      <c r="F146" s="5" t="s">
        <v>83</v>
      </c>
      <c r="G146" s="5"/>
      <c r="H146" s="5"/>
    </row>
    <row r="147" spans="1:8" x14ac:dyDescent="0.25">
      <c r="A147" s="5" t="s">
        <v>31</v>
      </c>
      <c r="B147" s="5" t="s">
        <v>84</v>
      </c>
      <c r="C147" s="5" t="s">
        <v>85</v>
      </c>
      <c r="D147" s="6" t="str">
        <f>HYPERLINK("https://hennepin.sharepoint.com/teams/hs-economic-supports-hub/BlueZone_Script_Instructions/NOTES/NOTES%20-%20CAF.docx", "CAF")</f>
        <v>CAF</v>
      </c>
      <c r="E147" s="2" t="s">
        <v>557</v>
      </c>
      <c r="F147" s="5" t="s">
        <v>86</v>
      </c>
      <c r="G147" s="5"/>
      <c r="H147" s="5"/>
    </row>
    <row r="148" spans="1:8" x14ac:dyDescent="0.25">
      <c r="A148" s="5" t="s">
        <v>31</v>
      </c>
      <c r="B148" s="5" t="s">
        <v>90</v>
      </c>
      <c r="C148" s="5" t="s">
        <v>91</v>
      </c>
      <c r="D148" s="6" t="str">
        <f>HYPERLINK("https://hennepin.sharepoint.com/teams/hs-economic-supports-hub/BlueZone_Script_Instructions/NOTES/NOTES%20-%20CASE%20DISCREPANCY.docx", "Case Discrepancy")</f>
        <v>Case Discrepancy</v>
      </c>
      <c r="E148" s="2" t="s">
        <v>548</v>
      </c>
      <c r="F148" s="5" t="s">
        <v>92</v>
      </c>
      <c r="G148" s="5"/>
      <c r="H148" s="5"/>
    </row>
    <row r="149" spans="1:8" x14ac:dyDescent="0.25">
      <c r="A149" s="5" t="s">
        <v>31</v>
      </c>
      <c r="B149" s="5" t="s">
        <v>99</v>
      </c>
      <c r="C149" s="5" t="s">
        <v>47</v>
      </c>
      <c r="D149" s="6" t="str">
        <f>HYPERLINK("https://hennepin.sharepoint.com/teams/hs-economic-supports-hub/BlueZone_Script_Instructions/NOTES/NOTES%20-%20CHANGE%20REPORT%20FORM%20RECEIVED.docx", "Change Report Form Received")</f>
        <v>Change Report Form Received</v>
      </c>
      <c r="E149" s="2" t="s">
        <v>558</v>
      </c>
      <c r="F149" s="5" t="s">
        <v>100</v>
      </c>
      <c r="G149" s="5"/>
      <c r="H149" s="5"/>
    </row>
    <row r="150" spans="1:8" x14ac:dyDescent="0.25">
      <c r="A150" s="5" t="s">
        <v>31</v>
      </c>
      <c r="B150" s="5" t="s">
        <v>101</v>
      </c>
      <c r="C150" s="5" t="s">
        <v>47</v>
      </c>
      <c r="D150" s="6" t="str">
        <f>HYPERLINK("https://hennepin.sharepoint.com/teams/hs-economic-supports-hub/BlueZone_Script_Instructions/NOTES/NOTES%20-%20CHANGE%20REPORTED.docx", "Change Reported")</f>
        <v>Change Reported</v>
      </c>
      <c r="E150" s="2" t="s">
        <v>548</v>
      </c>
      <c r="F150" s="5" t="s">
        <v>100</v>
      </c>
      <c r="G150" s="5"/>
      <c r="H150" s="5"/>
    </row>
    <row r="151" spans="1:8" x14ac:dyDescent="0.25">
      <c r="A151" s="5" t="s">
        <v>31</v>
      </c>
      <c r="B151" s="5" t="s">
        <v>108</v>
      </c>
      <c r="C151" s="5" t="s">
        <v>47</v>
      </c>
      <c r="D151" s="6" t="str">
        <f>HYPERLINK("https://hennepin.sharepoint.com/teams/hs-economic-supports-hub/BlueZone_Script_Instructions/NOTES/NOTES%20-%20CITIZENSHIP%20IDENTITY%20VERIFIED.docx", "Citizenship Identity Verified")</f>
        <v>Citizenship Identity Verified</v>
      </c>
      <c r="E151" s="2" t="s">
        <v>559</v>
      </c>
      <c r="F151" s="5" t="s">
        <v>109</v>
      </c>
      <c r="G151" s="5"/>
      <c r="H151" s="5"/>
    </row>
    <row r="152" spans="1:8" x14ac:dyDescent="0.25">
      <c r="A152" s="5" t="s">
        <v>31</v>
      </c>
      <c r="B152" s="5" t="s">
        <v>113</v>
      </c>
      <c r="C152" s="5" t="s">
        <v>91</v>
      </c>
      <c r="D152" s="6" t="str">
        <f>HYPERLINK("https://hennepin.sharepoint.com/teams/hs-economic-supports-hub/BlueZone_Script_Instructions/NOTES/NOTES%20-%20CLIENT%20CONTACT.docx", "Client Contact")</f>
        <v>Client Contact</v>
      </c>
      <c r="E152" s="2" t="s">
        <v>548</v>
      </c>
      <c r="F152" s="5" t="s">
        <v>114</v>
      </c>
      <c r="G152" s="5"/>
      <c r="H152" s="5"/>
    </row>
    <row r="153" spans="1:8" x14ac:dyDescent="0.25">
      <c r="A153" s="5" t="s">
        <v>31</v>
      </c>
      <c r="B153" s="5" t="s">
        <v>118</v>
      </c>
      <c r="C153" s="5" t="s">
        <v>119</v>
      </c>
      <c r="D153" s="6" t="str">
        <f>HYPERLINK("https://hennepin.sharepoint.com/teams/hs-economic-supports-hub/BlueZone_Script_Instructions/NOTES/NOTES%20-%20CLOSED%20PROGRAMS.docx", "Closed Programs")</f>
        <v>Closed Programs</v>
      </c>
      <c r="E153" s="2" t="s">
        <v>559</v>
      </c>
      <c r="F153" s="5" t="s">
        <v>58</v>
      </c>
      <c r="G153" s="5"/>
      <c r="H153" s="5"/>
    </row>
    <row r="154" spans="1:8" x14ac:dyDescent="0.25">
      <c r="A154" s="5" t="s">
        <v>31</v>
      </c>
      <c r="B154" s="5" t="s">
        <v>143</v>
      </c>
      <c r="C154" s="5" t="s">
        <v>144</v>
      </c>
      <c r="D154" s="6" t="str">
        <f>HYPERLINK("https://hennepin.sharepoint.com/teams/hs-economic-supports-hub/BlueZone_Script_Instructions/NOTES/NOTES%20-%20CSR.docx", "CSR")</f>
        <v>CSR</v>
      </c>
      <c r="E154" s="2" t="s">
        <v>548</v>
      </c>
      <c r="F154" s="5" t="s">
        <v>145</v>
      </c>
      <c r="G154" s="5"/>
      <c r="H154" s="5"/>
    </row>
    <row r="155" spans="1:8" x14ac:dyDescent="0.25">
      <c r="A155" s="5" t="s">
        <v>31</v>
      </c>
      <c r="B155" s="5" t="s">
        <v>156</v>
      </c>
      <c r="C155" s="5" t="s">
        <v>47</v>
      </c>
      <c r="D155" s="6" t="str">
        <f>HYPERLINK("https://hennepin.sharepoint.com/teams/hs-economic-supports-hub/BlueZone_Script_Instructions/NOTES/NOTES%20-%20DECEASED%20CLIENT%20SUMMARY.docx", "Deceased Client Summary")</f>
        <v>Deceased Client Summary</v>
      </c>
      <c r="E155" s="2" t="s">
        <v>548</v>
      </c>
      <c r="F155" s="5" t="s">
        <v>157</v>
      </c>
      <c r="G155" s="5"/>
      <c r="H155" s="5"/>
    </row>
    <row r="156" spans="1:8" x14ac:dyDescent="0.25">
      <c r="A156" s="5" t="s">
        <v>31</v>
      </c>
      <c r="B156" s="5" t="s">
        <v>160</v>
      </c>
      <c r="C156" s="5" t="s">
        <v>119</v>
      </c>
      <c r="D156" s="6" t="str">
        <f>HYPERLINK("https://hennepin.sharepoint.com/teams/hs-economic-supports-hub/BlueZone_Script_Instructions/NOTES/NOTES%20-%20DENIED%20PROGRAMS.docx", "Denied Programs")</f>
        <v>Denied Programs</v>
      </c>
      <c r="E156" s="2" t="s">
        <v>548</v>
      </c>
      <c r="F156" s="5" t="s">
        <v>161</v>
      </c>
      <c r="G156" s="5"/>
      <c r="H156" s="5"/>
    </row>
    <row r="157" spans="1:8" x14ac:dyDescent="0.25">
      <c r="A157" s="5" t="s">
        <v>31</v>
      </c>
      <c r="B157" s="5" t="s">
        <v>162</v>
      </c>
      <c r="C157" s="5" t="s">
        <v>163</v>
      </c>
      <c r="D157" s="6" t="str">
        <f>HYPERLINK("https://hennepin.sharepoint.com/teams/hs-economic-supports-hub/BlueZone_Script_Instructions/NOTES/NOTES%20-%20DISASTER%20FOOD%20REPLACEMENT.docx", "Disaster Food Replacement")</f>
        <v>Disaster Food Replacement</v>
      </c>
      <c r="E157" s="2" t="s">
        <v>559</v>
      </c>
      <c r="F157" s="5" t="s">
        <v>164</v>
      </c>
      <c r="G157" s="5"/>
      <c r="H157" s="5"/>
    </row>
    <row r="158" spans="1:8" x14ac:dyDescent="0.25">
      <c r="A158" s="5" t="s">
        <v>31</v>
      </c>
      <c r="B158" s="5" t="s">
        <v>165</v>
      </c>
      <c r="C158" s="5" t="s">
        <v>85</v>
      </c>
      <c r="D158" s="6" t="str">
        <f>HYPERLINK("https://hennepin.sharepoint.com/teams/hs-economic-supports-hub/BlueZone_Script_Instructions/NOTES/NOTES%20-%20DOCUMENTS%20RECEIVED.docx", "Documents Received")</f>
        <v>Documents Received</v>
      </c>
      <c r="E158" s="2" t="s">
        <v>555</v>
      </c>
      <c r="F158" s="5" t="s">
        <v>166</v>
      </c>
      <c r="G158" s="5"/>
      <c r="H158" s="5"/>
    </row>
    <row r="159" spans="1:8" x14ac:dyDescent="0.25">
      <c r="A159" s="5" t="s">
        <v>31</v>
      </c>
      <c r="B159" s="5" t="s">
        <v>167</v>
      </c>
      <c r="C159" s="5" t="s">
        <v>168</v>
      </c>
      <c r="D159" s="6" t="str">
        <f>HYPERLINK("https://hennepin.sharepoint.com/teams/hs-economic-supports-hub/BlueZone_Script_Instructions/NOTES/NOTES%20-%20DRUG%20FELON.docx", "Drug Felon")</f>
        <v>Drug Felon</v>
      </c>
      <c r="E159" s="2" t="s">
        <v>561</v>
      </c>
      <c r="F159" s="5" t="s">
        <v>169</v>
      </c>
      <c r="G159" s="5"/>
      <c r="H159" s="5"/>
    </row>
    <row r="160" spans="1:8" x14ac:dyDescent="0.25">
      <c r="A160" s="5" t="s">
        <v>31</v>
      </c>
      <c r="B160" s="5" t="s">
        <v>179</v>
      </c>
      <c r="C160" s="5" t="s">
        <v>180</v>
      </c>
      <c r="D160" s="6" t="str">
        <f>HYPERLINK("https://hennepin.sharepoint.com/teams/hs-economic-supports-hub/BlueZone_Script_Instructions/NOTES/NOTES%20-%20EDRS%20DISQ%20MATCH%20FOUND.docx", "EDRS DISQ Match Found")</f>
        <v>EDRS DISQ Match Found</v>
      </c>
      <c r="E160" s="2" t="s">
        <v>548</v>
      </c>
      <c r="F160" s="5" t="s">
        <v>181</v>
      </c>
      <c r="G160" s="5"/>
      <c r="H160" s="5"/>
    </row>
    <row r="161" spans="1:8" x14ac:dyDescent="0.25">
      <c r="A161" s="5" t="s">
        <v>31</v>
      </c>
      <c r="B161" s="5" t="s">
        <v>185</v>
      </c>
      <c r="C161" s="5" t="s">
        <v>186</v>
      </c>
      <c r="D161" s="6" t="str">
        <f>HYPERLINK("https://hennepin.sharepoint.com/teams/hs-economic-supports-hub/BlueZone_Script_Instructions/NOTES/NOTES%20-%20ELIGIBILITY%20SUMMARY.docx", "Eligibility Summary")</f>
        <v>Eligibility Summary</v>
      </c>
      <c r="E161" s="2" t="s">
        <v>562</v>
      </c>
      <c r="F161" s="5" t="s">
        <v>187</v>
      </c>
      <c r="G161" s="5"/>
      <c r="H161" s="5"/>
    </row>
    <row r="162" spans="1:8" x14ac:dyDescent="0.25">
      <c r="A162" s="5" t="s">
        <v>31</v>
      </c>
      <c r="B162" s="5" t="s">
        <v>188</v>
      </c>
      <c r="C162" s="5" t="s">
        <v>189</v>
      </c>
      <c r="D162" s="6" t="str">
        <f>HYPERLINK("https://hennepin.sharepoint.com/teams/hs-economic-supports-hub/BlueZone_Script_Instructions/NOTES/NOTES%20-%20EMERGENCY.docx", "Emergency")</f>
        <v>Emergency</v>
      </c>
      <c r="E162" s="2" t="s">
        <v>563</v>
      </c>
      <c r="F162" s="5" t="s">
        <v>190</v>
      </c>
      <c r="G162" s="5"/>
      <c r="H162" s="5"/>
    </row>
    <row r="163" spans="1:8" x14ac:dyDescent="0.25">
      <c r="A163" s="5" t="s">
        <v>31</v>
      </c>
      <c r="B163" s="5" t="s">
        <v>200</v>
      </c>
      <c r="C163" s="5" t="s">
        <v>30</v>
      </c>
      <c r="D163" s="6" t="str">
        <f>HYPERLINK("https://hennepin.sharepoint.com/teams/hs-economic-supports-hub/BlueZone_Script_Instructions/NOTES/NOTES%20-%20EXPEDITED%20DETERMINATION.docx", "Expedited Determination")</f>
        <v>Expedited Determination</v>
      </c>
      <c r="E163" s="2" t="s">
        <v>548</v>
      </c>
      <c r="F163" s="5" t="s">
        <v>201</v>
      </c>
      <c r="G163" s="5"/>
      <c r="H163" s="5"/>
    </row>
    <row r="164" spans="1:8" x14ac:dyDescent="0.25">
      <c r="A164" s="5" t="s">
        <v>31</v>
      </c>
      <c r="B164" s="5" t="s">
        <v>207</v>
      </c>
      <c r="C164" s="5" t="s">
        <v>30</v>
      </c>
      <c r="D164" s="6" t="str">
        <f>HYPERLINK("https://hennepin.sharepoint.com/teams/hs-economic-supports-hub/BlueZone_Script_Instructions/NOTES/NOTES%20-%20EXPEDITED%20SCREENING.docx", "Expedited Screening")</f>
        <v>Expedited Screening</v>
      </c>
      <c r="E164" s="2" t="s">
        <v>548</v>
      </c>
      <c r="F164" s="5" t="s">
        <v>201</v>
      </c>
      <c r="G164" s="5"/>
      <c r="H164" s="5"/>
    </row>
    <row r="165" spans="1:8" x14ac:dyDescent="0.25">
      <c r="A165" s="5" t="s">
        <v>31</v>
      </c>
      <c r="B165" s="5" t="s">
        <v>220</v>
      </c>
      <c r="C165" s="5" t="s">
        <v>47</v>
      </c>
      <c r="D165" s="6" t="str">
        <f>HYPERLINK("https://hennepin.sharepoint.com/teams/hs-economic-supports-hub/BlueZone_Script_Instructions/NOTES/NOTES%20-%20FRAUD%20INFO.docx", "Fraud Info")</f>
        <v>Fraud Info</v>
      </c>
      <c r="E165" s="2" t="s">
        <v>548</v>
      </c>
      <c r="F165" s="5" t="s">
        <v>221</v>
      </c>
      <c r="G165" s="5"/>
      <c r="H165" s="5"/>
    </row>
    <row r="166" spans="1:8" x14ac:dyDescent="0.25">
      <c r="A166" s="5" t="s">
        <v>31</v>
      </c>
      <c r="B166" s="5" t="s">
        <v>228</v>
      </c>
      <c r="C166" s="5" t="s">
        <v>229</v>
      </c>
      <c r="D166" s="6" t="str">
        <f>HYPERLINK("https://hennepin.sharepoint.com/teams/hs-economic-supports-hub/BlueZone_Script_Instructions/NOTES/NOTES%20-%20GA%20BASIS%20OF%20ELIGIBILITY.docx", "GA Basis of Eligibility")</f>
        <v>GA Basis of Eligibility</v>
      </c>
      <c r="E166" s="2" t="s">
        <v>548</v>
      </c>
      <c r="F166" s="5" t="s">
        <v>230</v>
      </c>
      <c r="G166" s="5"/>
      <c r="H166" s="5"/>
    </row>
    <row r="167" spans="1:8" x14ac:dyDescent="0.25">
      <c r="A167" s="5" t="s">
        <v>31</v>
      </c>
      <c r="B167" s="5" t="s">
        <v>232</v>
      </c>
      <c r="C167" s="5" t="s">
        <v>233</v>
      </c>
      <c r="D167" s="6" t="str">
        <f>HYPERLINK("https://hennepin.sharepoint.com/teams/hs-economic-supports-hub/BlueZone_Script_Instructions/NOTES/NOTES%20-%20GRH%20NON%20HRF%20POSTPAY.docx", "GRH NON HRF POSTPAY")</f>
        <v>GRH NON HRF POSTPAY</v>
      </c>
      <c r="E167" s="2" t="s">
        <v>564</v>
      </c>
      <c r="F167" s="5" t="s">
        <v>234</v>
      </c>
      <c r="G167" s="5"/>
      <c r="H167" s="5"/>
    </row>
    <row r="168" spans="1:8" x14ac:dyDescent="0.25">
      <c r="A168" s="5" t="s">
        <v>31</v>
      </c>
      <c r="B168" s="5" t="s">
        <v>238</v>
      </c>
      <c r="C168" s="5" t="s">
        <v>82</v>
      </c>
      <c r="D168" s="6" t="str">
        <f>HYPERLINK("https://hennepin.sharepoint.com/teams/hs-economic-supports-hub/BlueZone_Script_Instructions/NOTES/NOTES%20-%20HC%20RENEWAL.docx", "HC Renewal")</f>
        <v>HC Renewal</v>
      </c>
      <c r="E168" s="2" t="s">
        <v>548</v>
      </c>
      <c r="F168" s="5" t="s">
        <v>239</v>
      </c>
      <c r="G168" s="5"/>
      <c r="H168" s="5"/>
    </row>
    <row r="169" spans="1:8" x14ac:dyDescent="0.25">
      <c r="A169" s="5" t="s">
        <v>31</v>
      </c>
      <c r="B169" s="5" t="s">
        <v>240</v>
      </c>
      <c r="C169" s="5" t="s">
        <v>70</v>
      </c>
      <c r="D169" s="6" t="str">
        <f>HYPERLINK("https://hennepin.sharepoint.com/teams/hs-economic-supports-hub/BlueZone_Script_Instructions/NOTES/NOTES%20-%20HCAPP.docx", "HCAPP")</f>
        <v>HCAPP</v>
      </c>
      <c r="E169" s="2" t="s">
        <v>548</v>
      </c>
      <c r="F169" s="5" t="s">
        <v>241</v>
      </c>
      <c r="G169" s="5"/>
      <c r="H169" s="5"/>
    </row>
    <row r="170" spans="1:8" x14ac:dyDescent="0.25">
      <c r="A170" s="5" t="s">
        <v>31</v>
      </c>
      <c r="B170" s="5" t="s">
        <v>242</v>
      </c>
      <c r="C170" s="5" t="s">
        <v>243</v>
      </c>
      <c r="D170" s="6" t="str">
        <f>HYPERLINK("https://hennepin.sharepoint.com/teams/hs-economic-supports-hub/BlueZone_Script_Instructions/NOTES/NOTES%20-%20HEALTH%20CARE%20TRANSITION.docx", "Health Care Transition")</f>
        <v>Health Care Transition</v>
      </c>
      <c r="E170" s="2" t="s">
        <v>556</v>
      </c>
      <c r="F170" s="5" t="s">
        <v>244</v>
      </c>
      <c r="G170" s="5"/>
      <c r="H170" s="5"/>
    </row>
    <row r="171" spans="1:8" x14ac:dyDescent="0.25">
      <c r="A171" s="5" t="s">
        <v>31</v>
      </c>
      <c r="B171" s="5" t="s">
        <v>246</v>
      </c>
      <c r="C171" s="5" t="s">
        <v>247</v>
      </c>
      <c r="D171" s="6" t="str">
        <f>HYPERLINK("https://hennepin.sharepoint.com/teams/hs-economic-supports-hub/BlueZone_Script_Instructions/NOTES/NOTES%20-%20HRF.docx", "HRF")</f>
        <v>HRF</v>
      </c>
      <c r="E171" s="2" t="s">
        <v>563</v>
      </c>
      <c r="F171" s="5" t="s">
        <v>248</v>
      </c>
      <c r="G171" s="5"/>
      <c r="H171" s="5"/>
    </row>
    <row r="172" spans="1:8" x14ac:dyDescent="0.25">
      <c r="A172" s="5" t="s">
        <v>31</v>
      </c>
      <c r="B172" s="5" t="s">
        <v>249</v>
      </c>
      <c r="C172" s="5" t="s">
        <v>82</v>
      </c>
      <c r="D172" s="6" t="str">
        <f>HYPERLINK("https://hennepin.sharepoint.com/teams/hs-economic-supports-hub/BlueZone_Script_Instructions/NOTES/NOTES%20-%20IMIG%20-%20EMA.docx", "IMIG - EMA")</f>
        <v>IMIG - EMA</v>
      </c>
      <c r="E172" s="2" t="s">
        <v>548</v>
      </c>
      <c r="F172" s="5" t="s">
        <v>250</v>
      </c>
      <c r="G172" s="5"/>
      <c r="H172" s="5"/>
    </row>
    <row r="173" spans="1:8" x14ac:dyDescent="0.25">
      <c r="A173" s="5" t="s">
        <v>31</v>
      </c>
      <c r="B173" s="5" t="s">
        <v>251</v>
      </c>
      <c r="C173" s="5" t="s">
        <v>252</v>
      </c>
      <c r="D173" s="6" t="str">
        <f>HYPERLINK("https://hennepin.sharepoint.com/teams/hs-economic-supports-hub/BlueZone_Script_Instructions/NOTES/NOTES%20-%20IMIG%20-%20SPONSOR%20INCOME.docx", "IMIG - Sponsor Income")</f>
        <v>IMIG - Sponsor Income</v>
      </c>
      <c r="E173" s="2" t="s">
        <v>548</v>
      </c>
      <c r="F173" s="5" t="s">
        <v>178</v>
      </c>
      <c r="G173" s="5"/>
      <c r="H173" s="5"/>
    </row>
    <row r="174" spans="1:8" x14ac:dyDescent="0.25">
      <c r="A174" s="5" t="s">
        <v>31</v>
      </c>
      <c r="B174" s="5" t="s">
        <v>253</v>
      </c>
      <c r="C174" s="5" t="s">
        <v>254</v>
      </c>
      <c r="D174" s="6" t="str">
        <f>HYPERLINK("https://hennepin.sharepoint.com/teams/hs-economic-supports-hub/BlueZone_Script_Instructions/NOTES/NOTES%20-%20IMIG%20-%20STATUS.docx", "IMIG - STATUS")</f>
        <v>IMIG - STATUS</v>
      </c>
      <c r="E174" s="2" t="s">
        <v>559</v>
      </c>
      <c r="F174" s="5" t="s">
        <v>58</v>
      </c>
      <c r="G174" s="5"/>
      <c r="H174" s="5"/>
    </row>
    <row r="175" spans="1:8" x14ac:dyDescent="0.25">
      <c r="A175" s="5" t="s">
        <v>31</v>
      </c>
      <c r="B175" s="5" t="s">
        <v>264</v>
      </c>
      <c r="C175" s="5" t="s">
        <v>265</v>
      </c>
      <c r="D175" s="6" t="str">
        <f>HYPERLINK("https://hennepin.sharepoint.com/teams/hs-economic-supports-hub/BlueZone_Script_Instructions/NOTES/NOTES%20-%20INTERVIEW.docx", "Interview")</f>
        <v>Interview</v>
      </c>
      <c r="E175" s="2" t="s">
        <v>557</v>
      </c>
      <c r="F175" s="5" t="s">
        <v>266</v>
      </c>
      <c r="G175" s="5"/>
      <c r="H175" s="5"/>
    </row>
    <row r="176" spans="1:8" x14ac:dyDescent="0.25">
      <c r="A176" s="5" t="s">
        <v>31</v>
      </c>
      <c r="B176" s="5" t="s">
        <v>267</v>
      </c>
      <c r="C176" s="5" t="s">
        <v>268</v>
      </c>
      <c r="D176" s="6" t="str">
        <f>HYPERLINK("https://hennepin.sharepoint.com/teams/hs-economic-supports-hub/BlueZone_Script_Instructions/NOTES/NOTES%20-%20INTERVIEW%20COMPLETED.docx", "Interview Completed")</f>
        <v>Interview Completed</v>
      </c>
      <c r="E176" s="2" t="s">
        <v>546</v>
      </c>
      <c r="F176" s="5" t="s">
        <v>269</v>
      </c>
      <c r="G176" s="5"/>
      <c r="H176" s="7">
        <v>44470</v>
      </c>
    </row>
    <row r="177" spans="1:8" x14ac:dyDescent="0.25">
      <c r="A177" s="5" t="s">
        <v>31</v>
      </c>
      <c r="B177" s="5" t="s">
        <v>270</v>
      </c>
      <c r="C177" s="5" t="s">
        <v>271</v>
      </c>
      <c r="D177" s="6" t="str">
        <f>HYPERLINK("https://hennepin.sharepoint.com/teams/hs-economic-supports-hub/BlueZone_Script_Instructions/NOTES/NOTES%20-%20INTERVIEW%20NO%20SHOW.docx", "Interview No Show")</f>
        <v>Interview No Show</v>
      </c>
      <c r="E177" s="2" t="s">
        <v>546</v>
      </c>
      <c r="F177" s="5" t="s">
        <v>269</v>
      </c>
      <c r="G177" s="5"/>
      <c r="H177" s="7">
        <v>43963</v>
      </c>
    </row>
    <row r="178" spans="1:8" x14ac:dyDescent="0.25">
      <c r="A178" s="5" t="s">
        <v>31</v>
      </c>
      <c r="B178" s="5" t="s">
        <v>278</v>
      </c>
      <c r="C178" s="5" t="s">
        <v>279</v>
      </c>
      <c r="D178" s="6" t="str">
        <f>HYPERLINK("https://hennepin.sharepoint.com/teams/hs-economic-supports-hub/BlueZone_Script_Instructions/NOTES/LTC%20scripts/NOTES%20-%20LTC%205181.docx", "LTC - 5181")</f>
        <v>LTC - 5181</v>
      </c>
      <c r="E178" s="2" t="s">
        <v>548</v>
      </c>
      <c r="F178" s="5" t="s">
        <v>280</v>
      </c>
      <c r="G178" s="5"/>
      <c r="H178" s="5"/>
    </row>
    <row r="179" spans="1:8" x14ac:dyDescent="0.25">
      <c r="A179" s="5" t="s">
        <v>31</v>
      </c>
      <c r="B179" s="5" t="s">
        <v>281</v>
      </c>
      <c r="C179" s="5" t="s">
        <v>282</v>
      </c>
      <c r="D179" s="6" t="str">
        <f>HYPERLINK("https://hennepin.sharepoint.com/teams/hs-economic-supports-hub/BlueZone_Script_Instructions/NOTES/LTC%20scripts/NOTES%20-%20LTC%20APPLICATION%20RECEIVED.docx", "LTC - Application Received")</f>
        <v>LTC - Application Received</v>
      </c>
      <c r="E179" s="2" t="s">
        <v>548</v>
      </c>
      <c r="F179" s="5" t="s">
        <v>283</v>
      </c>
      <c r="G179" s="5"/>
      <c r="H179" s="5"/>
    </row>
    <row r="180" spans="1:8" x14ac:dyDescent="0.25">
      <c r="A180" s="5" t="s">
        <v>31</v>
      </c>
      <c r="B180" s="5" t="s">
        <v>284</v>
      </c>
      <c r="C180" s="5" t="s">
        <v>243</v>
      </c>
      <c r="D180" s="6" t="str">
        <f>HYPERLINK("https://hennepin.sharepoint.com/teams/hs-economic-supports-hub/BlueZone_Script_Instructions/NOTES/LTC%20scripts/NOTES%20-%20LTC%20ASSET%20ASSESSMENT.docx", "LTC - Asset Assessment")</f>
        <v>LTC - Asset Assessment</v>
      </c>
      <c r="E180" s="2" t="s">
        <v>563</v>
      </c>
      <c r="F180" s="5" t="s">
        <v>285</v>
      </c>
      <c r="G180" s="5"/>
      <c r="H180" s="5"/>
    </row>
    <row r="181" spans="1:8" x14ac:dyDescent="0.25">
      <c r="A181" s="5" t="s">
        <v>31</v>
      </c>
      <c r="B181" s="5" t="s">
        <v>286</v>
      </c>
      <c r="C181" s="5" t="s">
        <v>82</v>
      </c>
      <c r="D181" s="6" t="str">
        <f>HYPERLINK("https://hennepin.sharepoint.com/teams/hs-economic-supports-hub/BlueZone_Script_Instructions/NOTES/LTC%20scripts/NOTES%20-%20LTC%20COLA%20SUMMARY.docx", "LTC - COLA Summary")</f>
        <v>LTC - COLA Summary</v>
      </c>
      <c r="E181" s="2" t="s">
        <v>551</v>
      </c>
      <c r="F181" s="5" t="s">
        <v>287</v>
      </c>
      <c r="G181" s="5"/>
      <c r="H181" s="5"/>
    </row>
    <row r="182" spans="1:8" x14ac:dyDescent="0.25">
      <c r="A182" s="5" t="s">
        <v>31</v>
      </c>
      <c r="B182" s="5" t="s">
        <v>288</v>
      </c>
      <c r="C182" s="5" t="s">
        <v>82</v>
      </c>
      <c r="D182" s="6" t="str">
        <f>HYPERLINK("https://hennepin.sharepoint.com/teams/hs-economic-supports-hub/BlueZone_Script_Instructions/NOTES/LTC%20scripts/NOTES%20-%20LTC%20HOSPICE%20FORM%20RECEIVED.docx", "LTC - Hospice Form Received")</f>
        <v>LTC - Hospice Form Received</v>
      </c>
      <c r="E182" s="2" t="s">
        <v>564</v>
      </c>
      <c r="F182" s="5" t="s">
        <v>289</v>
      </c>
      <c r="G182" s="5"/>
      <c r="H182" s="5"/>
    </row>
    <row r="183" spans="1:8" x14ac:dyDescent="0.25">
      <c r="A183" s="5" t="s">
        <v>31</v>
      </c>
      <c r="B183" s="5" t="s">
        <v>290</v>
      </c>
      <c r="C183" s="5" t="s">
        <v>82</v>
      </c>
      <c r="D183" s="6" t="str">
        <f>HYPERLINK("https://hennepin.sharepoint.com/teams/hs-economic-supports-hub/BlueZone_Script_Instructions/NOTES/LTC%20scripts/NOTES%20-%20LTC%20INTAKE%20APPROVAL.docx", "LTC - Intake Approval")</f>
        <v>LTC - Intake Approval</v>
      </c>
      <c r="E183" s="2" t="s">
        <v>558</v>
      </c>
      <c r="F183" s="5" t="s">
        <v>291</v>
      </c>
      <c r="G183" s="5"/>
      <c r="H183" s="5"/>
    </row>
    <row r="184" spans="1:8" x14ac:dyDescent="0.25">
      <c r="A184" s="5" t="s">
        <v>31</v>
      </c>
      <c r="B184" s="5" t="s">
        <v>292</v>
      </c>
      <c r="C184" s="5" t="s">
        <v>82</v>
      </c>
      <c r="D184" s="6" t="str">
        <f>HYPERLINK("https://hennepin.sharepoint.com/teams/hs-economic-supports-hub/BlueZone_Script_Instructions/NOTES/LTC%20scripts/NOTES%20-%20LTC%20MA%20APPROVAL.docx", "LTC - MA Approval")</f>
        <v>LTC - MA Approval</v>
      </c>
      <c r="E184" s="2" t="s">
        <v>548</v>
      </c>
      <c r="F184" s="5" t="s">
        <v>293</v>
      </c>
      <c r="G184" s="5"/>
      <c r="H184" s="5"/>
    </row>
    <row r="185" spans="1:8" x14ac:dyDescent="0.25">
      <c r="A185" s="5" t="s">
        <v>31</v>
      </c>
      <c r="B185" s="5" t="s">
        <v>294</v>
      </c>
      <c r="C185" s="5" t="s">
        <v>82</v>
      </c>
      <c r="D185" s="6" t="str">
        <f>HYPERLINK("https://hennepin.sharepoint.com/teams/hs-economic-supports-hub/BlueZone_Script_Instructions/NOTES/LTC%20scripts/NOTES%20-%20LTC%20RENEWAL.docx", "LTC - Renewal")</f>
        <v>LTC - Renewal</v>
      </c>
      <c r="E185" s="2" t="s">
        <v>548</v>
      </c>
      <c r="F185" s="5" t="s">
        <v>295</v>
      </c>
      <c r="G185" s="5"/>
      <c r="H185" s="5"/>
    </row>
    <row r="186" spans="1:8" x14ac:dyDescent="0.25">
      <c r="A186" s="5" t="s">
        <v>31</v>
      </c>
      <c r="B186" s="5" t="s">
        <v>296</v>
      </c>
      <c r="C186" s="5" t="s">
        <v>82</v>
      </c>
      <c r="D186" s="6" t="str">
        <f>HYPERLINK("https://hennepin.sharepoint.com/teams/hs-economic-supports-hub/BlueZone_Script_Instructions/NOTES/LTC%20scripts/NOTES%20-%20LTC%20TRANSFER%20PENALTY.docx", "LTC - Transfer Penalty")</f>
        <v>LTC - Transfer Penalty</v>
      </c>
      <c r="E186" s="2" t="s">
        <v>548</v>
      </c>
      <c r="F186" s="5" t="s">
        <v>297</v>
      </c>
      <c r="G186" s="5"/>
      <c r="H186" s="5"/>
    </row>
    <row r="187" spans="1:8" x14ac:dyDescent="0.25">
      <c r="A187" s="5" t="s">
        <v>31</v>
      </c>
      <c r="B187" s="5" t="s">
        <v>327</v>
      </c>
      <c r="C187" s="5" t="s">
        <v>328</v>
      </c>
      <c r="D187" s="6" t="str">
        <f>HYPERLINK("https://hennepin.sharepoint.com/teams/hs-economic-supports-hub/BlueZone_Script_Instructions/NOTES/NOTES%20-%20METS%20RETRO%20HEALTH%20CARE.docx", "METS Retro Health Care")</f>
        <v>METS Retro Health Care</v>
      </c>
      <c r="E187" s="2" t="s">
        <v>554</v>
      </c>
      <c r="F187" s="5" t="s">
        <v>329</v>
      </c>
      <c r="G187" s="5"/>
      <c r="H187" s="5"/>
    </row>
    <row r="188" spans="1:8" x14ac:dyDescent="0.25">
      <c r="A188" s="5" t="s">
        <v>31</v>
      </c>
      <c r="B188" s="5" t="s">
        <v>331</v>
      </c>
      <c r="C188" s="5" t="s">
        <v>332</v>
      </c>
      <c r="D188" s="6" t="str">
        <f>HYPERLINK("https://hennepin.sharepoint.com/teams/hs-economic-supports-hub/BlueZone_Script_Instructions/NOTES/NOTES%20-%20MFIP%20SANCTION%20AND%20DWP%20DISQUALIFICATION.docx", "MFIP Sanction And DWP Disqualification")</f>
        <v>MFIP Sanction And DWP Disqualification</v>
      </c>
      <c r="E188" s="2" t="s">
        <v>563</v>
      </c>
      <c r="F188" s="5" t="s">
        <v>333</v>
      </c>
      <c r="G188" s="5"/>
      <c r="H188" s="5"/>
    </row>
    <row r="189" spans="1:8" x14ac:dyDescent="0.25">
      <c r="A189" s="5" t="s">
        <v>31</v>
      </c>
      <c r="B189" s="5" t="s">
        <v>337</v>
      </c>
      <c r="C189" s="5" t="s">
        <v>338</v>
      </c>
      <c r="D189" s="6" t="str">
        <f>HYPERLINK("https://hennepin.sharepoint.com/teams/hs-economic-supports-hub/BlueZone_Script_Instructions/NOTES/NOTES%20-%20MFIP%20TO%20SNAP%20TRANSITION.docx", "MFIP to SNAP Transition")</f>
        <v>MFIP to SNAP Transition</v>
      </c>
      <c r="E189" s="2" t="s">
        <v>548</v>
      </c>
      <c r="F189" s="5" t="s">
        <v>339</v>
      </c>
      <c r="G189" s="5"/>
      <c r="H189" s="5"/>
    </row>
    <row r="190" spans="1:8" x14ac:dyDescent="0.25">
      <c r="A190" s="5" t="s">
        <v>31</v>
      </c>
      <c r="B190" s="5" t="s">
        <v>343</v>
      </c>
      <c r="C190" s="5" t="s">
        <v>279</v>
      </c>
      <c r="D190" s="6" t="str">
        <f>HYPERLINK("https://hennepin.sharepoint.com/teams/hs-economic-supports-hub/BlueZone_Script_Instructions/NOTES/NOTES%20-%20MSQ.docx", "MSQ")</f>
        <v>MSQ</v>
      </c>
      <c r="E190" s="2" t="s">
        <v>548</v>
      </c>
      <c r="F190" s="5" t="s">
        <v>289</v>
      </c>
      <c r="G190" s="5"/>
      <c r="H190" s="5"/>
    </row>
    <row r="191" spans="1:8" x14ac:dyDescent="0.25">
      <c r="A191" s="5" t="s">
        <v>31</v>
      </c>
      <c r="B191" s="5" t="s">
        <v>355</v>
      </c>
      <c r="C191" s="5" t="s">
        <v>356</v>
      </c>
      <c r="D191" s="6" t="str">
        <f>HYPERLINK("https://hennepin.sharepoint.com/teams/hs-economic-supports-hub/BlueZone_Script_Instructions/NOTES/NOTES%20-%20OTHER%20BENEFITS%20REFERRAL.docx", "Other Benefits Referral")</f>
        <v>Other Benefits Referral</v>
      </c>
      <c r="E191" s="2" t="s">
        <v>548</v>
      </c>
      <c r="F191" s="5" t="s">
        <v>357</v>
      </c>
      <c r="G191" s="5"/>
      <c r="H191" s="5"/>
    </row>
    <row r="192" spans="1:8" x14ac:dyDescent="0.25">
      <c r="A192" s="5" t="s">
        <v>31</v>
      </c>
      <c r="B192" s="5" t="s">
        <v>360</v>
      </c>
      <c r="C192" s="5" t="s">
        <v>361</v>
      </c>
      <c r="D192" s="6" t="str">
        <f>HYPERLINK("https://hennepin.sharepoint.com/teams/hs-economic-supports-hub/BlueZone_Script_Instructions/NOTES/NOTES%20-%20OVERPAYMENT.docx", "Overpayment")</f>
        <v>Overpayment</v>
      </c>
      <c r="E192" s="2" t="s">
        <v>554</v>
      </c>
      <c r="F192" s="5" t="s">
        <v>362</v>
      </c>
      <c r="G192" s="5"/>
      <c r="H192" s="5"/>
    </row>
    <row r="193" spans="1:8" x14ac:dyDescent="0.25">
      <c r="A193" s="5" t="s">
        <v>31</v>
      </c>
      <c r="B193" s="5" t="s">
        <v>380</v>
      </c>
      <c r="C193" s="5" t="s">
        <v>381</v>
      </c>
      <c r="D193" s="6" t="str">
        <f>HYPERLINK("https://hennepin.sharepoint.com/teams/hs-economic-supports-hub/BlueZone_Script_Instructions/NOTES/NOTES%20-%20PROOF%20OF%20RELATIONSHIP.docx", "Proof of Relationship")</f>
        <v>Proof of Relationship</v>
      </c>
      <c r="E193" s="2" t="s">
        <v>548</v>
      </c>
      <c r="F193" s="5" t="s">
        <v>196</v>
      </c>
      <c r="G193" s="5"/>
      <c r="H193" s="5"/>
    </row>
    <row r="194" spans="1:8" x14ac:dyDescent="0.25">
      <c r="A194" s="5" t="s">
        <v>31</v>
      </c>
      <c r="B194" s="5" t="s">
        <v>388</v>
      </c>
      <c r="C194" s="5" t="s">
        <v>389</v>
      </c>
      <c r="D194" s="6" t="str">
        <f>HYPERLINK("https://hennepin.sharepoint.com/teams/hs-economic-supports-hub/BlueZone_Script_Instructions/NOTES/NOTES%20-%20RETURNED%20MAIL%20RECEIVED.docx", "Returned Mail Received")</f>
        <v>Returned Mail Received</v>
      </c>
      <c r="E194" s="2" t="s">
        <v>558</v>
      </c>
      <c r="F194" s="5" t="s">
        <v>390</v>
      </c>
      <c r="G194" s="5"/>
      <c r="H194" s="5"/>
    </row>
    <row r="195" spans="1:8" x14ac:dyDescent="0.25">
      <c r="A195" s="5" t="s">
        <v>31</v>
      </c>
      <c r="B195" s="5" t="s">
        <v>437</v>
      </c>
      <c r="C195" s="5" t="s">
        <v>438</v>
      </c>
      <c r="D195" s="6" t="str">
        <f>HYPERLINK("https://hennepin.sharepoint.com/teams/hs-economic-supports-hub/BlueZone_Script_Instructions/NOTES/NOTES%20-%20SIGNIFICANT%20CHANGE.docx", "Significant Change")</f>
        <v>Significant Change</v>
      </c>
      <c r="E195" s="2" t="s">
        <v>548</v>
      </c>
      <c r="F195" s="5" t="s">
        <v>439</v>
      </c>
      <c r="G195" s="5"/>
      <c r="H195" s="5"/>
    </row>
    <row r="196" spans="1:8" x14ac:dyDescent="0.25">
      <c r="A196" s="5" t="s">
        <v>31</v>
      </c>
      <c r="B196" s="5" t="s">
        <v>440</v>
      </c>
      <c r="C196" s="5" t="s">
        <v>441</v>
      </c>
      <c r="D196" s="6" t="str">
        <f>HYPERLINK("https://hennepin.sharepoint.com/teams/hs-economic-supports-hub/BlueZone_Script_Instructions/NOTES/NOTES%20-%20SMRT.docx", "SMRT")</f>
        <v>SMRT</v>
      </c>
      <c r="E196" s="2" t="s">
        <v>555</v>
      </c>
      <c r="F196" s="5" t="s">
        <v>442</v>
      </c>
      <c r="G196" s="5"/>
      <c r="H196" s="5"/>
    </row>
    <row r="197" spans="1:8" x14ac:dyDescent="0.25">
      <c r="A197" s="5" t="s">
        <v>31</v>
      </c>
      <c r="B197" s="5" t="s">
        <v>469</v>
      </c>
      <c r="C197" s="5" t="s">
        <v>470</v>
      </c>
      <c r="D197" s="6" t="str">
        <f>HYPERLINK("https://hennepin.sharepoint.com/teams/hs-economic-supports-hub/BlueZone_Script_Instructions/NOTES/NOTES%20-%20VENDOR.docx", "Vendor")</f>
        <v>Vendor</v>
      </c>
      <c r="E197" s="2" t="s">
        <v>559</v>
      </c>
      <c r="F197" s="5" t="s">
        <v>471</v>
      </c>
      <c r="G197" s="5"/>
      <c r="H197" s="5"/>
    </row>
    <row r="198" spans="1:8" x14ac:dyDescent="0.25">
      <c r="A198" s="5" t="s">
        <v>31</v>
      </c>
      <c r="B198" s="5" t="s">
        <v>472</v>
      </c>
      <c r="C198" s="5" t="s">
        <v>91</v>
      </c>
      <c r="D198" s="6" t="str">
        <f>HYPERLINK("https://hennepin.sharepoint.com/teams/hs-economic-supports-hub/BlueZone_Script_Instructions/NOTES/NOTES%20-%20VERIFICATIONS%20NEEDED.docx", "Verifications Needed")</f>
        <v>Verifications Needed</v>
      </c>
      <c r="E198" s="2" t="s">
        <v>556</v>
      </c>
      <c r="F198" s="5" t="s">
        <v>473</v>
      </c>
      <c r="G198" s="5"/>
      <c r="H198" s="5"/>
    </row>
    <row r="199" spans="1:8" x14ac:dyDescent="0.25">
      <c r="A199" s="5" t="s">
        <v>12</v>
      </c>
      <c r="B199" s="5" t="s">
        <v>13</v>
      </c>
      <c r="C199" s="5" t="s">
        <v>14</v>
      </c>
      <c r="D199" s="6" t="str">
        <f>HYPERLINK("https://hennepin.sharepoint.com/teams/hs-economic-supports-hub/BlueZone_Script_Instructions/NOTICES/NOTICES%20-%2012%20MONTH%20CONTACT.docx", "12 Month Contact")</f>
        <v>12 Month Contact</v>
      </c>
      <c r="E199" s="2" t="s">
        <v>547</v>
      </c>
      <c r="F199" s="5" t="s">
        <v>15</v>
      </c>
      <c r="G199" s="5"/>
      <c r="H199" s="5"/>
    </row>
    <row r="200" spans="1:8" x14ac:dyDescent="0.25">
      <c r="A200" s="5" t="s">
        <v>12</v>
      </c>
      <c r="B200" s="5" t="s">
        <v>39</v>
      </c>
      <c r="C200" s="5" t="s">
        <v>40</v>
      </c>
      <c r="D200" s="6" t="str">
        <f>HYPERLINK("https://hennepin.sharepoint.com/teams/hs-economic-supports-hub/BlueZone_Script_Instructions/NOTICES/NOTICES%20-%20ADD%20WCOM.docx", "Add WCOM")</f>
        <v>Add WCOM</v>
      </c>
      <c r="E200" s="2" t="s">
        <v>547</v>
      </c>
      <c r="F200" s="5" t="s">
        <v>41</v>
      </c>
      <c r="G200" s="5"/>
      <c r="H200" s="5"/>
    </row>
    <row r="201" spans="1:8" x14ac:dyDescent="0.25">
      <c r="A201" s="5" t="s">
        <v>12</v>
      </c>
      <c r="B201" s="5" t="s">
        <v>173</v>
      </c>
      <c r="C201" s="5" t="s">
        <v>174</v>
      </c>
      <c r="D201" s="6" t="str">
        <f>HYPERLINK("https://hennepin.sharepoint.com/teams/hs-economic-supports-hub/BlueZone_Script_Instructions/NOTICES/NOTICES%20-%20DWP%20ES%20REFERRAL.docx", "DWP ES Referral")</f>
        <v>DWP ES Referral</v>
      </c>
      <c r="E201" s="2" t="s">
        <v>546</v>
      </c>
      <c r="F201" s="5" t="s">
        <v>175</v>
      </c>
      <c r="G201" s="5"/>
      <c r="H201" s="7">
        <v>43986</v>
      </c>
    </row>
    <row r="202" spans="1:8" x14ac:dyDescent="0.25">
      <c r="A202" s="5" t="s">
        <v>12</v>
      </c>
      <c r="B202" s="5" t="s">
        <v>182</v>
      </c>
      <c r="C202" s="5" t="s">
        <v>183</v>
      </c>
      <c r="D202" s="6" t="str">
        <f>HYPERLINK("https://hennepin.sharepoint.com/teams/hs-economic-supports-hub/BlueZone_Script_Instructions/NOTICES/NOTICES%20-%20ELIGIBILITY%20NOTIFIER.docx", "Eligibility Notifier")</f>
        <v>Eligibility Notifier</v>
      </c>
      <c r="E202" s="2" t="s">
        <v>547</v>
      </c>
      <c r="F202" s="5" t="s">
        <v>184</v>
      </c>
      <c r="G202" s="5"/>
      <c r="H202" s="5"/>
    </row>
    <row r="203" spans="1:8" x14ac:dyDescent="0.25">
      <c r="A203" s="5" t="s">
        <v>12</v>
      </c>
      <c r="B203" s="5" t="s">
        <v>298</v>
      </c>
      <c r="C203" s="5" t="s">
        <v>299</v>
      </c>
      <c r="D203" s="6" t="str">
        <f>HYPERLINK("https://hennepin.sharepoint.com/teams/hs-economic-supports-hub/BlueZone_Script_Instructions/NOTICES/NOTICES%20-%20LTC%20ASSET%20TRANSFER.docx", "LTC Asset Transfer")</f>
        <v>LTC Asset Transfer</v>
      </c>
      <c r="E203" s="2" t="s">
        <v>547</v>
      </c>
      <c r="F203" s="5" t="s">
        <v>300</v>
      </c>
      <c r="G203" s="5"/>
      <c r="H203" s="5"/>
    </row>
    <row r="204" spans="1:8" x14ac:dyDescent="0.25">
      <c r="A204" s="5" t="s">
        <v>12</v>
      </c>
      <c r="B204" s="5" t="s">
        <v>311</v>
      </c>
      <c r="C204" s="5" t="s">
        <v>312</v>
      </c>
      <c r="D204" s="6" t="str">
        <f>HYPERLINK("https://hennepin.sharepoint.com/teams/hs-economic-supports-hub/BlueZone_Script_Instructions/NOTICES/NOTICES%20-%20MA%20INMATE%20APPLICATION%20WCOM.docx", "MA Inmate Application WCOM")</f>
        <v>MA Inmate Application WCOM</v>
      </c>
      <c r="E204" s="2" t="s">
        <v>548</v>
      </c>
      <c r="F204" s="5" t="s">
        <v>313</v>
      </c>
      <c r="G204" s="5"/>
      <c r="H204" s="5"/>
    </row>
    <row r="205" spans="1:8" x14ac:dyDescent="0.25">
      <c r="A205" s="5" t="s">
        <v>12</v>
      </c>
      <c r="B205" s="5" t="s">
        <v>316</v>
      </c>
      <c r="C205" s="5" t="s">
        <v>317</v>
      </c>
      <c r="D205" s="6" t="str">
        <f>HYPERLINK("https://hennepin.sharepoint.com/teams/hs-economic-supports-hub/BlueZone_Script_Instructions/NOTICES/NOTICES%20-%20MA-EPD%20NO%20INITIAL%20PREMIUM.docx", "MA-EPD No Initial Premium")</f>
        <v>MA-EPD No Initial Premium</v>
      </c>
      <c r="E205" s="2" t="s">
        <v>549</v>
      </c>
      <c r="F205" s="5" t="s">
        <v>318</v>
      </c>
      <c r="G205" s="5"/>
      <c r="H205" s="5"/>
    </row>
    <row r="206" spans="1:8" x14ac:dyDescent="0.25">
      <c r="A206" s="5" t="s">
        <v>12</v>
      </c>
      <c r="B206" s="5" t="s">
        <v>323</v>
      </c>
      <c r="C206" s="5" t="s">
        <v>324</v>
      </c>
      <c r="D206" s="6" t="str">
        <f>HYPERLINK("https://hennepin.sharepoint.com/teams/hs-economic-supports-hub/BlueZone_Script_Instructions/NOTICES/NOTICES%20-%20MEMO%20TO%20WORD.docx", "MEMO to Word")</f>
        <v>MEMO to Word</v>
      </c>
      <c r="E206" s="2" t="s">
        <v>550</v>
      </c>
      <c r="F206" s="5" t="s">
        <v>221</v>
      </c>
      <c r="G206" s="5"/>
      <c r="H206" s="5"/>
    </row>
    <row r="207" spans="1:8" x14ac:dyDescent="0.25">
      <c r="A207" s="5" t="s">
        <v>12</v>
      </c>
      <c r="B207" s="5" t="s">
        <v>325</v>
      </c>
      <c r="C207" s="5" t="s">
        <v>317</v>
      </c>
      <c r="D207" s="6" t="str">
        <f>HYPERLINK("https://hennepin.sharepoint.com/teams/hs-economic-supports-hub/BlueZone_Script_Instructions/NOTICES/NOTICES%20-%20METHOD%20B%20WCOM.docx", "Method B WCOM")</f>
        <v>Method B WCOM</v>
      </c>
      <c r="E207" s="2" t="s">
        <v>542</v>
      </c>
      <c r="F207" s="5" t="s">
        <v>326</v>
      </c>
      <c r="G207" s="5"/>
      <c r="H207" s="5"/>
    </row>
    <row r="208" spans="1:8" x14ac:dyDescent="0.25">
      <c r="A208" s="5" t="s">
        <v>12</v>
      </c>
      <c r="B208" s="5" t="s">
        <v>358</v>
      </c>
      <c r="C208" s="5" t="s">
        <v>359</v>
      </c>
      <c r="D208" s="6" t="str">
        <f>HYPERLINK("https://hennepin.sharepoint.com/teams/hs-economic-supports-hub/BlueZone_Script_Instructions/NOTICES/NOTICES%20-%20OUT%20OF%20STATE.docx", "Out Of State")</f>
        <v>Out Of State</v>
      </c>
      <c r="E208" s="2" t="s">
        <v>548</v>
      </c>
      <c r="F208" s="5" t="s">
        <v>221</v>
      </c>
      <c r="G208" s="5"/>
      <c r="H208" s="5"/>
    </row>
    <row r="209" spans="1:8" x14ac:dyDescent="0.25">
      <c r="A209" s="5" t="s">
        <v>12</v>
      </c>
      <c r="B209" s="5" t="s">
        <v>363</v>
      </c>
      <c r="C209" s="5" t="s">
        <v>364</v>
      </c>
      <c r="D209" s="6" t="str">
        <f>HYPERLINK("https://hennepin.sharepoint.com/teams/hs-economic-supports-hub/BlueZone_Script_Instructions/NOTICES/NOTICES%20-%20PA%20VERIF%20REQUEST.docx", "PA Verif Request")</f>
        <v>PA Verif Request</v>
      </c>
      <c r="E209" s="2" t="s">
        <v>552</v>
      </c>
      <c r="F209" s="5" t="s">
        <v>365</v>
      </c>
      <c r="G209" s="5"/>
      <c r="H209" s="5"/>
    </row>
    <row r="210" spans="1:8" x14ac:dyDescent="0.25">
      <c r="A210" s="5" t="s">
        <v>12</v>
      </c>
      <c r="B210" s="5" t="s">
        <v>417</v>
      </c>
      <c r="C210" s="5" t="s">
        <v>418</v>
      </c>
      <c r="D210" s="6" t="str">
        <f>HYPERLINK("https://hennepin.sharepoint.com/teams/hs-economic-supports-hub/BlueZone_Script_Instructions/NOTICES/NOTICES%20-%20RESOURCES%20NOTIFIER.docx", "Resources Notifier")</f>
        <v>Resources Notifier</v>
      </c>
      <c r="E210" s="2" t="s">
        <v>542</v>
      </c>
      <c r="F210" s="5" t="s">
        <v>419</v>
      </c>
      <c r="G210" s="5"/>
      <c r="H210" s="5"/>
    </row>
    <row r="211" spans="1:8" x14ac:dyDescent="0.25">
      <c r="A211" s="5" t="s">
        <v>12</v>
      </c>
      <c r="B211" s="5" t="s">
        <v>443</v>
      </c>
      <c r="C211" s="5" t="s">
        <v>444</v>
      </c>
      <c r="D211" s="6" t="str">
        <f>HYPERLINK("https://hennepin.sharepoint.com/teams/hs-economic-supports-hub/BlueZone_Script_Instructions/NOTICES/NOTICES%20-%20SNAP%20E%20AND%20T%20LETTER.docx", "SNAP E and T Letter")</f>
        <v>SNAP E and T Letter</v>
      </c>
      <c r="E211" s="2" t="s">
        <v>546</v>
      </c>
      <c r="F211" s="5" t="s">
        <v>20</v>
      </c>
      <c r="G211" s="5"/>
      <c r="H211" s="7">
        <v>44629</v>
      </c>
    </row>
    <row r="212" spans="1:8" x14ac:dyDescent="0.25">
      <c r="A212" s="5" t="s">
        <v>12</v>
      </c>
      <c r="B212" s="5" t="s">
        <v>474</v>
      </c>
      <c r="C212" s="5" t="s">
        <v>359</v>
      </c>
      <c r="D212" s="6" t="str">
        <f>HYPERLINK("https://hennepin.sharepoint.com/teams/hs-economic-supports-hub/BlueZone_Script_Instructions/NOTICES/NOTICES%20-%20VERIFICATIONS%20STILL%20NEEDED.docx", "Verifications Still Needed")</f>
        <v>Verifications Still Needed</v>
      </c>
      <c r="E212" s="2" t="s">
        <v>553</v>
      </c>
      <c r="F212" s="5" t="s">
        <v>221</v>
      </c>
      <c r="G212" s="5"/>
      <c r="H212" s="5"/>
    </row>
    <row r="213" spans="1:8" x14ac:dyDescent="0.25">
      <c r="A213" s="5" t="s">
        <v>42</v>
      </c>
      <c r="B213" s="5" t="s">
        <v>43</v>
      </c>
      <c r="C213" s="5" t="s">
        <v>44</v>
      </c>
      <c r="D213" s="6" t="str">
        <f>HYPERLINK("https://hennepin.sharepoint.com/teams/hs-economic-supports-hub/BlueZone_Script_Instructions/UTILITIES/UTILITIES%20-%20ALL%20SCRIPTS.docx", "All Scripts")</f>
        <v>All Scripts</v>
      </c>
      <c r="E213" s="2" t="s">
        <v>542</v>
      </c>
      <c r="F213" s="5" t="s">
        <v>45</v>
      </c>
      <c r="G213" s="5"/>
      <c r="H213" s="5"/>
    </row>
    <row r="214" spans="1:8" x14ac:dyDescent="0.25">
      <c r="A214" s="5" t="s">
        <v>42</v>
      </c>
      <c r="B214" s="5" t="s">
        <v>52</v>
      </c>
      <c r="C214" s="5" t="s">
        <v>53</v>
      </c>
      <c r="D214" s="6" t="str">
        <f>HYPERLINK("https://hennepin.sharepoint.com/teams/hs-economic-supports-hub/BlueZone_Script_Instructions/UTILITIES/UTILITIES%20-%20APPLICATION%20INQUIRY.docx", "Application Inquiry")</f>
        <v>Application Inquiry</v>
      </c>
      <c r="E214" s="2" t="s">
        <v>542</v>
      </c>
      <c r="F214" s="5" t="s">
        <v>54</v>
      </c>
      <c r="G214" s="5"/>
      <c r="H214" s="5"/>
    </row>
    <row r="215" spans="1:8" x14ac:dyDescent="0.25">
      <c r="A215" s="5" t="s">
        <v>42</v>
      </c>
      <c r="B215" s="5" t="s">
        <v>87</v>
      </c>
      <c r="C215" s="5" t="s">
        <v>88</v>
      </c>
      <c r="D215" s="6" t="str">
        <f>HYPERLINK("https://hennepin.sharepoint.com/teams/hs-economic-supports-hub/BlueZone_Script_Instructions/UTILITIES/UTILITIES%20-%20CALCULATE%20RATE%202%20UNITS.docx", "Calculate Rate 2 Units")</f>
        <v>Calculate Rate 2 Units</v>
      </c>
      <c r="E215" s="2" t="s">
        <v>541</v>
      </c>
      <c r="F215" s="5" t="s">
        <v>89</v>
      </c>
      <c r="G215" s="5"/>
      <c r="H215" s="5"/>
    </row>
    <row r="216" spans="1:8" x14ac:dyDescent="0.25">
      <c r="A216" s="5" t="s">
        <v>42</v>
      </c>
      <c r="B216" s="5" t="s">
        <v>123</v>
      </c>
      <c r="C216" s="5" t="s">
        <v>124</v>
      </c>
      <c r="D216" s="6" t="str">
        <f>HYPERLINK("https://hennepin.sharepoint.com/teams/hs-economic-supports-hub/BlueZone_Script_Instructions/UTILITIES/UTILITIES%20-%20COMPLETE%20PHONE%20CAF.docx", "Complete Phone CAF")</f>
        <v>Complete Phone CAF</v>
      </c>
      <c r="E216" s="2" t="s">
        <v>546</v>
      </c>
      <c r="F216" s="5" t="s">
        <v>125</v>
      </c>
      <c r="G216" s="5"/>
      <c r="H216" s="7">
        <v>44622</v>
      </c>
    </row>
    <row r="217" spans="1:8" x14ac:dyDescent="0.25">
      <c r="A217" s="5" t="s">
        <v>42</v>
      </c>
      <c r="B217" s="5" t="s">
        <v>126</v>
      </c>
      <c r="C217" s="5" t="s">
        <v>127</v>
      </c>
      <c r="D217" s="6" t="str">
        <f>HYPERLINK("https://hennepin.sharepoint.com/teams/hs-economic-supports-hub/BlueZone_Script_Instructions/UTILITIES/UTILITIES%20-%20CONTACT%20KNOWLEDGE%20NOW.docx", "Contact Knowledge Now")</f>
        <v>Contact Knowledge Now</v>
      </c>
      <c r="E217" s="2" t="s">
        <v>542</v>
      </c>
      <c r="F217" s="5" t="s">
        <v>128</v>
      </c>
      <c r="G217" s="5"/>
      <c r="H217" s="5"/>
    </row>
    <row r="218" spans="1:8" x14ac:dyDescent="0.25">
      <c r="A218" s="5" t="s">
        <v>42</v>
      </c>
      <c r="B218" s="5" t="s">
        <v>132</v>
      </c>
      <c r="C218" s="5" t="s">
        <v>133</v>
      </c>
      <c r="D218" s="6" t="str">
        <f>HYPERLINK("https://hennepin.sharepoint.com/teams/hs-economic-supports-hub/BlueZone_Script_Instructions/UTILITIES/UTILITIES%20-%20COPY%20PANELS%20TO%20WORD.docx", "Copy Panels to Word")</f>
        <v>Copy Panels to Word</v>
      </c>
      <c r="E218" s="2" t="s">
        <v>542</v>
      </c>
      <c r="F218" s="5" t="s">
        <v>134</v>
      </c>
      <c r="G218" s="5"/>
      <c r="H218" s="5"/>
    </row>
    <row r="219" spans="1:8" x14ac:dyDescent="0.25">
      <c r="A219" s="5" t="s">
        <v>42</v>
      </c>
      <c r="B219" s="5" t="s">
        <v>197</v>
      </c>
      <c r="C219" s="5" t="s">
        <v>198</v>
      </c>
      <c r="D219" s="6" t="str">
        <f>HYPERLINK("https://hennepin.sharepoint.com/teams/hs-economic-supports-hub/BlueZone_Script_Instructions/UTILITIES/UTILITIES%20-%20ENROLL%20IN%20SCRIPT%20DEMO.docx", "Enroll in Script Demo")</f>
        <v>Enroll in Script Demo</v>
      </c>
      <c r="E219" s="2" t="s">
        <v>542</v>
      </c>
      <c r="F219" s="5" t="s">
        <v>199</v>
      </c>
      <c r="G219" s="5"/>
      <c r="H219" s="5"/>
    </row>
    <row r="220" spans="1:8" x14ac:dyDescent="0.25">
      <c r="A220" s="5" t="s">
        <v>42</v>
      </c>
      <c r="B220" s="5" t="s">
        <v>261</v>
      </c>
      <c r="C220" s="5" t="s">
        <v>262</v>
      </c>
      <c r="D220" s="6" t="str">
        <f>HYPERLINK("https://hennepin.sharepoint.com/teams/hs-economic-supports-hub/BlueZone_Script_Instructions/UTILITIES/UTILITIES%20-%20INSERT%20MBI%20FROM%20MMIS.docx", "Insert MBI from MMIS")</f>
        <v>Insert MBI from MMIS</v>
      </c>
      <c r="E220" s="2" t="s">
        <v>543</v>
      </c>
      <c r="F220" s="5" t="s">
        <v>263</v>
      </c>
      <c r="G220" s="5"/>
      <c r="H220" s="5"/>
    </row>
    <row r="221" spans="1:8" x14ac:dyDescent="0.25">
      <c r="A221" s="5" t="s">
        <v>42</v>
      </c>
      <c r="B221" s="5" t="s">
        <v>277</v>
      </c>
      <c r="C221" s="5" t="s">
        <v>53</v>
      </c>
      <c r="D221" s="6" t="str">
        <f>HYPERLINK("https://hennepin.sharepoint.com/teams/hs-economic-supports-hub/BlueZone_Script_Instructions/UTILITIES/UTILITIES%20-%20LOST%20APPLYMN.docx", "Lost ApplyMN")</f>
        <v>Lost ApplyMN</v>
      </c>
      <c r="E221" s="2" t="s">
        <v>546</v>
      </c>
      <c r="F221" s="5" t="s">
        <v>54</v>
      </c>
      <c r="G221" s="5"/>
      <c r="H221" s="7">
        <v>44652</v>
      </c>
    </row>
    <row r="222" spans="1:8" x14ac:dyDescent="0.25">
      <c r="A222" s="5" t="s">
        <v>42</v>
      </c>
      <c r="B222" s="5" t="s">
        <v>352</v>
      </c>
      <c r="C222" s="5" t="s">
        <v>353</v>
      </c>
      <c r="D222" s="6" t="str">
        <f>HYPERLINK("https://hennepin.sharepoint.com/teams/hs-economic-supports-hub/BlueZone_Script_Instructions/UTILITIES/UTILITIES%20-%20OPEN%20INTERVIEW%20PDF.docx", "Open Interview PDF")</f>
        <v>Open Interview PDF</v>
      </c>
      <c r="E222" s="2" t="s">
        <v>542</v>
      </c>
      <c r="F222" s="5" t="s">
        <v>354</v>
      </c>
      <c r="G222" s="5"/>
      <c r="H222" s="5"/>
    </row>
    <row r="223" spans="1:8" x14ac:dyDescent="0.25">
      <c r="A223" s="5" t="s">
        <v>42</v>
      </c>
      <c r="B223" s="5" t="s">
        <v>371</v>
      </c>
      <c r="C223" s="5" t="s">
        <v>44</v>
      </c>
      <c r="D223" s="6" t="str">
        <f>HYPERLINK("https://hennepin.sharepoint.com/teams/hs-economic-supports-hub/BlueZone_Script_Instructions/UTILITIES/UTILITIES%20-%20POLI%20TEMP%20LIST.docx", "POLI TEMP List")</f>
        <v>POLI TEMP List</v>
      </c>
      <c r="E223" s="2" t="s">
        <v>542</v>
      </c>
      <c r="F223" s="5" t="s">
        <v>155</v>
      </c>
      <c r="G223" s="5"/>
      <c r="H223" s="5"/>
    </row>
    <row r="224" spans="1:8" x14ac:dyDescent="0.25">
      <c r="A224" s="5" t="s">
        <v>42</v>
      </c>
      <c r="B224" s="5" t="s">
        <v>375</v>
      </c>
      <c r="C224" s="5" t="s">
        <v>376</v>
      </c>
      <c r="D224" s="6" t="str">
        <f>HYPERLINK("https://hennepin.sharepoint.com/teams/hs-economic-supports-hub/BlueZone_Script_Instructions/UTILITIES/UTILITIES%20-%20POLI%20TEMP%20TO%20WORD.docx", "POLI TEMP to Word")</f>
        <v>POLI TEMP to Word</v>
      </c>
      <c r="E224" s="2" t="s">
        <v>542</v>
      </c>
      <c r="F224" s="5" t="s">
        <v>377</v>
      </c>
      <c r="G224" s="5"/>
      <c r="H224" s="5"/>
    </row>
    <row r="225" spans="1:8" x14ac:dyDescent="0.25">
      <c r="A225" s="5" t="s">
        <v>42</v>
      </c>
      <c r="B225" s="5" t="s">
        <v>378</v>
      </c>
      <c r="C225" s="5"/>
      <c r="D225" s="6" t="str">
        <f>HYPERLINK("https://hennepin.sharepoint.com/teams/hs-economic-supports-hub/BlueZone_Script_Instructions/UTILITIES/UTILITIES%20-%20PRISM%20SCREEN%20FINDER.docx", "PRISM Screen Finder")</f>
        <v>PRISM Screen Finder</v>
      </c>
      <c r="E225" s="2" t="s">
        <v>546</v>
      </c>
      <c r="F225" s="5" t="s">
        <v>379</v>
      </c>
      <c r="G225" s="5"/>
      <c r="H225" s="7">
        <v>44356</v>
      </c>
    </row>
    <row r="226" spans="1:8" x14ac:dyDescent="0.25">
      <c r="A226" s="5" t="s">
        <v>42</v>
      </c>
      <c r="B226" s="5" t="s">
        <v>382</v>
      </c>
      <c r="C226" s="5" t="s">
        <v>328</v>
      </c>
      <c r="D226" s="6" t="str">
        <f>HYPERLINK("https://hennepin.sharepoint.com/teams/hs-economic-supports-hub/BlueZone_Script_Instructions/UTILITIES/UTILITIES%20-%20QI%20AVS%20REQUEST.docx", "QI AVS request")</f>
        <v>QI AVS request</v>
      </c>
      <c r="E226" s="2" t="s">
        <v>542</v>
      </c>
      <c r="F226" s="5" t="s">
        <v>383</v>
      </c>
      <c r="G226" s="5"/>
      <c r="H226" s="5"/>
    </row>
    <row r="227" spans="1:8" x14ac:dyDescent="0.25">
      <c r="A227" s="5" t="s">
        <v>42</v>
      </c>
      <c r="B227" s="5" t="s">
        <v>391</v>
      </c>
      <c r="C227" s="5" t="s">
        <v>53</v>
      </c>
      <c r="D227" s="6" t="str">
        <f>HYPERLINK("https://hennepin.sharepoint.com/teams/hs-economic-supports-hub/BlueZone_Script_Instructions/UTILITIES/UTILITIES%20-%20REPORT%20TO%20THE%20BZST.docx", "Report to the BZST")</f>
        <v>Report to the BZST</v>
      </c>
      <c r="E227" s="2" t="s">
        <v>542</v>
      </c>
      <c r="F227" s="5" t="s">
        <v>199</v>
      </c>
      <c r="G227" s="5"/>
      <c r="H227" s="5"/>
    </row>
    <row r="228" spans="1:8" x14ac:dyDescent="0.25">
      <c r="A228" s="5" t="s">
        <v>42</v>
      </c>
      <c r="B228" s="5" t="s">
        <v>414</v>
      </c>
      <c r="C228" s="5" t="s">
        <v>53</v>
      </c>
      <c r="D228" s="6" t="str">
        <f>HYPERLINK("https://hennepin.sharepoint.com/teams/hs-economic-supports-hub/BlueZone_Script_Instructions/UTILITIES/UTILITIES%20-%20REQUEST%20ACCESS%20TO%20PRIV%20CASE.docx", "Request Access to PRIV Case")</f>
        <v>Request Access to PRIV Case</v>
      </c>
      <c r="E228" s="2" t="s">
        <v>542</v>
      </c>
      <c r="F228" s="5"/>
      <c r="G228" s="5"/>
      <c r="H228" s="5"/>
    </row>
    <row r="229" spans="1:8" x14ac:dyDescent="0.25">
      <c r="A229" s="5" t="s">
        <v>42</v>
      </c>
      <c r="B229" s="5" t="s">
        <v>424</v>
      </c>
      <c r="C229" s="5" t="s">
        <v>425</v>
      </c>
      <c r="D229" s="6" t="str">
        <f>HYPERLINK("https://hennepin.sharepoint.com/teams/hs-economic-supports-hub/BlueZone_Script_Instructions/UTILITIES/UTILITIES%20-%20SEARCH%20CASE%20NOTE.docx", "Search CASE NOTE")</f>
        <v>Search CASE NOTE</v>
      </c>
      <c r="E229" s="2" t="s">
        <v>542</v>
      </c>
      <c r="F229" s="5" t="s">
        <v>426</v>
      </c>
      <c r="G229" s="5"/>
      <c r="H229" s="5"/>
    </row>
    <row r="230" spans="1:8" x14ac:dyDescent="0.25">
      <c r="A230" s="5" t="s">
        <v>42</v>
      </c>
      <c r="B230" s="5" t="s">
        <v>462</v>
      </c>
      <c r="C230" s="5" t="s">
        <v>127</v>
      </c>
      <c r="D230" s="6" t="str">
        <f>HYPERLINK("https://hennepin.sharepoint.com/teams/hs-economic-supports-hub/BlueZone_Script_Instructions/UTILITIES/UTILITIES%20-%20UC%20VERIFICATION%20REQUEST.docx", "UC Verification Request")</f>
        <v>UC Verification Request</v>
      </c>
      <c r="E230" s="2" t="s">
        <v>542</v>
      </c>
      <c r="F230" s="5" t="s">
        <v>463</v>
      </c>
      <c r="G230" s="5"/>
      <c r="H230" s="5"/>
    </row>
    <row r="231" spans="1:8" x14ac:dyDescent="0.25">
      <c r="A231" s="5" t="s">
        <v>42</v>
      </c>
      <c r="B231" s="5" t="s">
        <v>465</v>
      </c>
      <c r="C231" s="5" t="s">
        <v>262</v>
      </c>
      <c r="D231" s="6" t="str">
        <f>HYPERLINK("https://hennepin.sharepoint.com/teams/hs-economic-supports-hub/BlueZone_Script_Instructions/UTILITIES/UTILITIES%20-%20UPDATE%20CHECK%20DATES.docx", "Update Check Dates")</f>
        <v>Update Check Dates</v>
      </c>
      <c r="E231" s="2" t="s">
        <v>544</v>
      </c>
      <c r="F231" s="5" t="s">
        <v>377</v>
      </c>
      <c r="G231" s="5"/>
      <c r="H231" s="5"/>
    </row>
    <row r="232" spans="1:8" x14ac:dyDescent="0.25">
      <c r="A232" s="5" t="s">
        <v>42</v>
      </c>
      <c r="B232" s="5" t="s">
        <v>466</v>
      </c>
      <c r="C232" s="5" t="s">
        <v>467</v>
      </c>
      <c r="D232" s="6" t="str">
        <f>HYPERLINK("https://hennepin.sharepoint.com/teams/hs-economic-supports-hub/BlueZone_Script_Instructions/UTILITIES/UTILITIES%20-%20UPDATE%20WORKER%20SIGNATURE.docx", "Update Worker Signature")</f>
        <v>Update Worker Signature</v>
      </c>
      <c r="E232" s="2" t="s">
        <v>542</v>
      </c>
      <c r="F232" s="5" t="s">
        <v>377</v>
      </c>
      <c r="G232" s="5"/>
      <c r="H232" s="5"/>
    </row>
    <row r="233" spans="1:8" x14ac:dyDescent="0.25">
      <c r="A233" s="5" t="s">
        <v>42</v>
      </c>
      <c r="B233" s="5" t="s">
        <v>468</v>
      </c>
      <c r="C233" s="5" t="s">
        <v>127</v>
      </c>
      <c r="D233" s="6" t="str">
        <f>HYPERLINK("https://hennepin.sharepoint.com/teams/hs-economic-supports-hub/BlueZone_Script_Instructions/UTILITIES/UTILITIES%20-%20VA%20VERIFICATION%20REQUEST.docx", "VA Verification Request")</f>
        <v>VA Verification Request</v>
      </c>
      <c r="E233" s="2" t="s">
        <v>542</v>
      </c>
      <c r="F233" s="5" t="s">
        <v>463</v>
      </c>
      <c r="G233" s="5"/>
      <c r="H233" s="5"/>
    </row>
    <row r="234" spans="1:8" x14ac:dyDescent="0.25">
      <c r="A234" s="5" t="s">
        <v>42</v>
      </c>
      <c r="B234" s="5" t="s">
        <v>475</v>
      </c>
      <c r="C234" s="5" t="s">
        <v>452</v>
      </c>
      <c r="D234" s="6" t="str">
        <f>HYPERLINK("https://hennepin.sharepoint.com/teams/hs-economic-supports-hub/BlueZone_Script_Instructions/UTILITIES/UTILITIES%20-%20VIEW%20PNLP.docx", "View PNLP")</f>
        <v>View PNLP</v>
      </c>
      <c r="E234" s="2" t="s">
        <v>542</v>
      </c>
      <c r="F234" s="5" t="s">
        <v>476</v>
      </c>
      <c r="G234" s="5"/>
      <c r="H234" s="5"/>
    </row>
    <row r="235" spans="1:8" x14ac:dyDescent="0.25">
      <c r="A235" s="5" t="s">
        <v>42</v>
      </c>
      <c r="B235" s="5" t="s">
        <v>477</v>
      </c>
      <c r="C235" s="5"/>
      <c r="D235" s="6" t="str">
        <f>HYPERLINK("https://hennepin.sharepoint.com/teams/hs-economic-supports-hub/BlueZone_Script_Instructions/UTILITIES/UTILITIES%20-%20WAIVED%20ER%20INTERVIEW%20SCREENING.docx", "Waived ER Interview Screening")</f>
        <v>Waived ER Interview Screening</v>
      </c>
      <c r="E235" s="2" t="s">
        <v>546</v>
      </c>
      <c r="F235" s="5" t="s">
        <v>377</v>
      </c>
      <c r="G235" s="5"/>
      <c r="H235" s="7">
        <v>44147</v>
      </c>
    </row>
    <row r="236" spans="1:8" x14ac:dyDescent="0.25">
      <c r="A236" s="5"/>
      <c r="B236" s="5" t="s">
        <v>572</v>
      </c>
      <c r="C236" s="5"/>
      <c r="D236" s="6"/>
      <c r="E236" s="2" t="s">
        <v>574</v>
      </c>
      <c r="F236" s="5"/>
      <c r="G236" s="5"/>
      <c r="H236" s="5"/>
    </row>
    <row r="237" spans="1:8" x14ac:dyDescent="0.25">
      <c r="A237" s="3" t="s">
        <v>600</v>
      </c>
      <c r="B237" s="3" t="s">
        <v>31</v>
      </c>
      <c r="C237" s="3" t="s">
        <v>575</v>
      </c>
      <c r="E237" s="2" t="s">
        <v>604</v>
      </c>
    </row>
    <row r="238" spans="1:8" x14ac:dyDescent="0.25">
      <c r="A238" s="3" t="s">
        <v>600</v>
      </c>
      <c r="B238" s="3" t="s">
        <v>17</v>
      </c>
      <c r="C238" s="3" t="s">
        <v>576</v>
      </c>
      <c r="E238" s="2" t="s">
        <v>604</v>
      </c>
    </row>
    <row r="239" spans="1:8" x14ac:dyDescent="0.25">
      <c r="A239" s="3" t="s">
        <v>600</v>
      </c>
      <c r="B239" s="3" t="s">
        <v>31</v>
      </c>
      <c r="C239" s="3" t="s">
        <v>577</v>
      </c>
      <c r="E239" s="2" t="s">
        <v>604</v>
      </c>
    </row>
    <row r="240" spans="1:8" x14ac:dyDescent="0.25">
      <c r="A240" s="3" t="s">
        <v>601</v>
      </c>
      <c r="B240" s="3" t="s">
        <v>602</v>
      </c>
      <c r="E240" s="2" t="s">
        <v>604</v>
      </c>
    </row>
    <row r="241" spans="1:5" x14ac:dyDescent="0.25">
      <c r="A241" s="3" t="s">
        <v>601</v>
      </c>
      <c r="B241" s="3" t="s">
        <v>31</v>
      </c>
      <c r="C241" s="3" t="s">
        <v>578</v>
      </c>
      <c r="E241" s="2" t="s">
        <v>604</v>
      </c>
    </row>
    <row r="242" spans="1:5" x14ac:dyDescent="0.25">
      <c r="A242" s="3" t="s">
        <v>601</v>
      </c>
      <c r="B242" s="3" t="s">
        <v>31</v>
      </c>
      <c r="C242" s="3" t="s">
        <v>579</v>
      </c>
      <c r="E242" s="2" t="s">
        <v>604</v>
      </c>
    </row>
    <row r="243" spans="1:5" x14ac:dyDescent="0.25">
      <c r="A243" s="3" t="s">
        <v>601</v>
      </c>
      <c r="B243" s="3" t="s">
        <v>31</v>
      </c>
      <c r="C243" s="3" t="s">
        <v>580</v>
      </c>
      <c r="E243" s="2" t="s">
        <v>604</v>
      </c>
    </row>
    <row r="244" spans="1:5" x14ac:dyDescent="0.25">
      <c r="A244" s="3" t="s">
        <v>601</v>
      </c>
      <c r="B244" s="3" t="s">
        <v>31</v>
      </c>
      <c r="C244" s="3" t="s">
        <v>581</v>
      </c>
      <c r="E244" s="2" t="s">
        <v>604</v>
      </c>
    </row>
    <row r="245" spans="1:5" x14ac:dyDescent="0.25">
      <c r="A245" s="3" t="s">
        <v>601</v>
      </c>
      <c r="B245" s="3" t="s">
        <v>31</v>
      </c>
      <c r="C245" s="3" t="s">
        <v>582</v>
      </c>
      <c r="E245" s="2" t="s">
        <v>604</v>
      </c>
    </row>
    <row r="246" spans="1:5" x14ac:dyDescent="0.25">
      <c r="A246" s="3" t="s">
        <v>601</v>
      </c>
      <c r="B246" s="3" t="s">
        <v>31</v>
      </c>
      <c r="C246" s="3" t="s">
        <v>598</v>
      </c>
      <c r="E246" s="2" t="s">
        <v>604</v>
      </c>
    </row>
    <row r="247" spans="1:5" x14ac:dyDescent="0.25">
      <c r="A247" s="3" t="s">
        <v>601</v>
      </c>
      <c r="B247" s="3" t="s">
        <v>31</v>
      </c>
      <c r="C247" s="3" t="s">
        <v>599</v>
      </c>
      <c r="E247" s="2" t="s">
        <v>604</v>
      </c>
    </row>
    <row r="248" spans="1:5" x14ac:dyDescent="0.25">
      <c r="A248" s="3" t="s">
        <v>601</v>
      </c>
      <c r="B248" s="3" t="s">
        <v>31</v>
      </c>
      <c r="C248" s="3" t="s">
        <v>583</v>
      </c>
      <c r="E248" s="2" t="s">
        <v>604</v>
      </c>
    </row>
    <row r="249" spans="1:5" x14ac:dyDescent="0.25">
      <c r="A249" s="3" t="s">
        <v>601</v>
      </c>
      <c r="B249" s="3" t="s">
        <v>31</v>
      </c>
      <c r="C249" s="3" t="s">
        <v>584</v>
      </c>
      <c r="E249" s="2" t="s">
        <v>604</v>
      </c>
    </row>
    <row r="250" spans="1:5" x14ac:dyDescent="0.25">
      <c r="A250" s="3" t="s">
        <v>601</v>
      </c>
      <c r="B250" s="3" t="s">
        <v>31</v>
      </c>
      <c r="C250" s="3" t="s">
        <v>585</v>
      </c>
      <c r="E250" s="2" t="s">
        <v>604</v>
      </c>
    </row>
    <row r="251" spans="1:5" x14ac:dyDescent="0.25">
      <c r="A251" s="3" t="s">
        <v>601</v>
      </c>
      <c r="B251" s="3" t="s">
        <v>31</v>
      </c>
      <c r="C251" s="3" t="s">
        <v>586</v>
      </c>
      <c r="E251" s="2" t="s">
        <v>604</v>
      </c>
    </row>
    <row r="252" spans="1:5" x14ac:dyDescent="0.25">
      <c r="A252" s="3" t="s">
        <v>601</v>
      </c>
      <c r="B252" s="3" t="s">
        <v>31</v>
      </c>
      <c r="C252" s="3" t="s">
        <v>587</v>
      </c>
      <c r="E252" s="2" t="s">
        <v>604</v>
      </c>
    </row>
    <row r="253" spans="1:5" x14ac:dyDescent="0.25">
      <c r="A253" s="3" t="s">
        <v>601</v>
      </c>
      <c r="B253" s="3" t="s">
        <v>31</v>
      </c>
      <c r="C253" s="3" t="s">
        <v>588</v>
      </c>
      <c r="E253" s="2" t="s">
        <v>604</v>
      </c>
    </row>
    <row r="254" spans="1:5" x14ac:dyDescent="0.25">
      <c r="A254" s="3" t="s">
        <v>601</v>
      </c>
      <c r="B254" s="3" t="s">
        <v>31</v>
      </c>
      <c r="C254" s="3" t="s">
        <v>589</v>
      </c>
      <c r="E254" s="2" t="s">
        <v>604</v>
      </c>
    </row>
    <row r="255" spans="1:5" x14ac:dyDescent="0.25">
      <c r="A255" s="3" t="s">
        <v>601</v>
      </c>
      <c r="B255" s="3" t="s">
        <v>31</v>
      </c>
      <c r="C255" s="3" t="s">
        <v>590</v>
      </c>
      <c r="E255" s="2" t="s">
        <v>604</v>
      </c>
    </row>
    <row r="256" spans="1:5" x14ac:dyDescent="0.25">
      <c r="A256" s="3" t="s">
        <v>601</v>
      </c>
      <c r="B256" s="3" t="s">
        <v>31</v>
      </c>
      <c r="C256" s="3" t="s">
        <v>591</v>
      </c>
      <c r="E256" s="2" t="s">
        <v>604</v>
      </c>
    </row>
    <row r="257" spans="1:5" x14ac:dyDescent="0.25">
      <c r="A257" s="3" t="s">
        <v>601</v>
      </c>
      <c r="B257" s="3" t="s">
        <v>31</v>
      </c>
      <c r="C257" s="3" t="s">
        <v>592</v>
      </c>
      <c r="E257" s="2" t="s">
        <v>604</v>
      </c>
    </row>
    <row r="258" spans="1:5" x14ac:dyDescent="0.25">
      <c r="A258" s="3" t="s">
        <v>601</v>
      </c>
      <c r="B258" s="3" t="s">
        <v>31</v>
      </c>
      <c r="C258" s="3" t="s">
        <v>593</v>
      </c>
      <c r="E258" s="2" t="s">
        <v>604</v>
      </c>
    </row>
    <row r="259" spans="1:5" x14ac:dyDescent="0.25">
      <c r="A259" s="3" t="s">
        <v>601</v>
      </c>
      <c r="B259" s="3" t="s">
        <v>31</v>
      </c>
      <c r="C259" s="3" t="s">
        <v>594</v>
      </c>
      <c r="E259" s="2" t="s">
        <v>604</v>
      </c>
    </row>
    <row r="260" spans="1:5" x14ac:dyDescent="0.25">
      <c r="A260" s="3" t="s">
        <v>601</v>
      </c>
      <c r="B260" s="3" t="s">
        <v>31</v>
      </c>
      <c r="C260" s="3" t="s">
        <v>595</v>
      </c>
      <c r="E260" s="2" t="s">
        <v>604</v>
      </c>
    </row>
    <row r="261" spans="1:5" x14ac:dyDescent="0.25">
      <c r="A261" s="3" t="s">
        <v>601</v>
      </c>
      <c r="B261" s="3" t="s">
        <v>31</v>
      </c>
      <c r="C261" s="3" t="s">
        <v>596</v>
      </c>
      <c r="E261" s="2" t="s">
        <v>604</v>
      </c>
    </row>
    <row r="262" spans="1:5" x14ac:dyDescent="0.25">
      <c r="A262" s="3" t="s">
        <v>601</v>
      </c>
      <c r="B262" s="3" t="s">
        <v>31</v>
      </c>
      <c r="C262" s="3" t="s">
        <v>597</v>
      </c>
      <c r="E262" s="2" t="s">
        <v>604</v>
      </c>
    </row>
    <row r="263" spans="1:5" x14ac:dyDescent="0.25">
      <c r="A263" s="3" t="s">
        <v>601</v>
      </c>
      <c r="B263" s="3" t="s">
        <v>603</v>
      </c>
      <c r="E263" s="2" t="s">
        <v>604</v>
      </c>
    </row>
  </sheetData>
  <autoFilter ref="A1:H236" xr:uid="{EE17A69A-F5D7-4C77-94F6-A0A435402F87}">
    <sortState xmlns:xlrd2="http://schemas.microsoft.com/office/spreadsheetml/2017/richdata2" ref="A2:H236">
      <sortCondition ref="A1:A236"/>
    </sortState>
  </autoFilter>
  <phoneticPr fontId="5" type="noConversion"/>
  <conditionalFormatting sqref="F132:H132 A132:D132 A1:H131 A133:H236 E237:E2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Hennepin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Handley</dc:creator>
  <cp:lastModifiedBy>M. Handley</cp:lastModifiedBy>
  <dcterms:created xsi:type="dcterms:W3CDTF">2022-09-06T21:04:39Z</dcterms:created>
  <dcterms:modified xsi:type="dcterms:W3CDTF">2022-09-22T14:31:47Z</dcterms:modified>
</cp:coreProperties>
</file>