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Feni\Alunos\André G de Lira\"/>
    </mc:Choice>
  </mc:AlternateContent>
  <workbookProtection lockWindows="1"/>
  <bookViews>
    <workbookView xWindow="20370" yWindow="-2595" windowWidth="19440" windowHeight="15000" activeTab="3"/>
  </bookViews>
  <sheets>
    <sheet name="DIAG" sheetId="1" r:id="rId1"/>
    <sheet name="Resumo" sheetId="4" r:id="rId2"/>
    <sheet name="Entrada_de_Dados_2" sheetId="8" r:id="rId3"/>
    <sheet name="Diagrama" sheetId="6" r:id="rId4"/>
    <sheet name="Espelho" sheetId="7" state="hidden" r:id="rId5"/>
  </sheets>
  <definedNames>
    <definedName name="_xlnm.Print_Area" localSheetId="3">Diagrama!$A$4:$AD$30</definedName>
    <definedName name="_xlnm.Print_Titles" localSheetId="1">Resumo!$1:$1</definedName>
  </definedNames>
  <calcPr calcId="152511" iterate="1"/>
</workbook>
</file>

<file path=xl/calcChain.xml><?xml version="1.0" encoding="utf-8"?>
<calcChain xmlns="http://schemas.openxmlformats.org/spreadsheetml/2006/main">
  <c r="AM66" i="6" l="1"/>
  <c r="O72" i="6"/>
  <c r="L73" i="6" s="1"/>
  <c r="O68" i="6"/>
  <c r="L68" i="6" s="1"/>
  <c r="O64" i="6"/>
  <c r="L65" i="6" s="1"/>
  <c r="AG66" i="6" l="1"/>
  <c r="AG65" i="6" s="1"/>
  <c r="AG70" i="6"/>
  <c r="AG69" i="6" s="1"/>
  <c r="AG74" i="6"/>
  <c r="AG73" i="6" s="1"/>
  <c r="L69" i="6"/>
  <c r="L66" i="6"/>
  <c r="L74" i="6"/>
  <c r="O66" i="6" l="1"/>
  <c r="O65" i="6" s="1"/>
  <c r="O70" i="6"/>
  <c r="O69" i="6" s="1"/>
  <c r="L45" i="6" l="1"/>
  <c r="AG67" i="6" l="1"/>
  <c r="P66" i="6" s="1"/>
  <c r="L47" i="6"/>
  <c r="N47" i="6" s="1"/>
  <c r="B9" i="8"/>
  <c r="B3" i="8"/>
  <c r="S94" i="6"/>
  <c r="N94" i="6"/>
  <c r="W74" i="1"/>
  <c r="W72" i="1"/>
  <c r="B5" i="8"/>
  <c r="AF66" i="6" l="1"/>
  <c r="AF65" i="6" s="1"/>
  <c r="AE66" i="6"/>
  <c r="AE65" i="6" s="1"/>
  <c r="B11" i="8"/>
  <c r="AE211" i="6" l="1"/>
  <c r="AE235" i="6" s="1"/>
  <c r="AD211" i="6"/>
  <c r="AD235" i="6" s="1"/>
  <c r="AC211" i="6"/>
  <c r="AC235" i="6" s="1"/>
  <c r="AB211" i="6"/>
  <c r="AB235" i="6" s="1"/>
  <c r="AA211" i="6"/>
  <c r="AA235" i="6" s="1"/>
  <c r="Z211" i="6"/>
  <c r="Z235" i="6" s="1"/>
  <c r="Y211" i="6"/>
  <c r="Y235" i="6" s="1"/>
  <c r="X211" i="6"/>
  <c r="X235" i="6" s="1"/>
  <c r="W211" i="6"/>
  <c r="W235" i="6" s="1"/>
  <c r="V211" i="6"/>
  <c r="V235" i="6" s="1"/>
  <c r="U211" i="6"/>
  <c r="U235" i="6" s="1"/>
  <c r="T211" i="6"/>
  <c r="T235" i="6" s="1"/>
  <c r="S211" i="6"/>
  <c r="S235" i="6" s="1"/>
  <c r="R211" i="6"/>
  <c r="R235" i="6" s="1"/>
  <c r="Q211" i="6"/>
  <c r="Q235" i="6" s="1"/>
  <c r="P211" i="6"/>
  <c r="P235" i="6" s="1"/>
  <c r="O211" i="6"/>
  <c r="O235" i="6" s="1"/>
  <c r="N211" i="6"/>
  <c r="N235" i="6" s="1"/>
  <c r="M211" i="6"/>
  <c r="M235" i="6" s="1"/>
  <c r="L211" i="6"/>
  <c r="L235" i="6" s="1"/>
  <c r="K211" i="6"/>
  <c r="K235" i="6" s="1"/>
  <c r="J211" i="6"/>
  <c r="J235" i="6" s="1"/>
  <c r="I211" i="6"/>
  <c r="I235" i="6" s="1"/>
  <c r="H211" i="6"/>
  <c r="H235" i="6" s="1"/>
  <c r="G211" i="6"/>
  <c r="G235" i="6" s="1"/>
  <c r="F211" i="6"/>
  <c r="F235" i="6" s="1"/>
  <c r="E211" i="6"/>
  <c r="E235" i="6" s="1"/>
  <c r="D211" i="6"/>
  <c r="D235" i="6" s="1"/>
  <c r="C211" i="6"/>
  <c r="C235" i="6" s="1"/>
  <c r="D219" i="6"/>
  <c r="D217" i="6"/>
  <c r="Y79" i="1" s="1"/>
  <c r="D216" i="6"/>
  <c r="Y78" i="1" s="1"/>
  <c r="D215" i="6"/>
  <c r="D214" i="6"/>
  <c r="Y76" i="1" s="1"/>
  <c r="D213" i="6"/>
  <c r="E219" i="6"/>
  <c r="E217" i="6"/>
  <c r="Z79" i="1" s="1"/>
  <c r="E216" i="6"/>
  <c r="Z78" i="1" s="1"/>
  <c r="E215" i="6"/>
  <c r="E214" i="6"/>
  <c r="Z76" i="1" s="1"/>
  <c r="E213" i="6"/>
  <c r="F219" i="6"/>
  <c r="F217" i="6"/>
  <c r="AA79" i="1" s="1"/>
  <c r="F216" i="6"/>
  <c r="AA78" i="1" s="1"/>
  <c r="F215" i="6"/>
  <c r="F214" i="6"/>
  <c r="AA76" i="1" s="1"/>
  <c r="F213" i="6"/>
  <c r="G219" i="6"/>
  <c r="G217" i="6"/>
  <c r="AB79" i="1" s="1"/>
  <c r="G216" i="6"/>
  <c r="AB78" i="1" s="1"/>
  <c r="G215" i="6"/>
  <c r="G214" i="6"/>
  <c r="AB76" i="1" s="1"/>
  <c r="G213" i="6"/>
  <c r="H219" i="6"/>
  <c r="H217" i="6"/>
  <c r="AC79" i="1" s="1"/>
  <c r="H216" i="6"/>
  <c r="AC78" i="1" s="1"/>
  <c r="H215" i="6"/>
  <c r="H214" i="6"/>
  <c r="AC76" i="1" s="1"/>
  <c r="H213" i="6"/>
  <c r="I219" i="6"/>
  <c r="I217" i="6"/>
  <c r="AD79" i="1" s="1"/>
  <c r="I216" i="6"/>
  <c r="AD78" i="1" s="1"/>
  <c r="I215" i="6"/>
  <c r="I214" i="6"/>
  <c r="AD76" i="1" s="1"/>
  <c r="I213" i="6"/>
  <c r="J219" i="6"/>
  <c r="J217" i="6"/>
  <c r="AE79" i="1" s="1"/>
  <c r="J216" i="6"/>
  <c r="AE78" i="1" s="1"/>
  <c r="J215" i="6"/>
  <c r="J214" i="6"/>
  <c r="AE76" i="1" s="1"/>
  <c r="J213" i="6"/>
  <c r="K219" i="6"/>
  <c r="K217" i="6"/>
  <c r="AF79" i="1" s="1"/>
  <c r="K216" i="6"/>
  <c r="AF78" i="1" s="1"/>
  <c r="K215" i="6"/>
  <c r="K214" i="6"/>
  <c r="AF76" i="1" s="1"/>
  <c r="K213" i="6"/>
  <c r="L219" i="6"/>
  <c r="L217" i="6"/>
  <c r="AG79" i="1" s="1"/>
  <c r="L216" i="6"/>
  <c r="AG78" i="1" s="1"/>
  <c r="L215" i="6"/>
  <c r="L214" i="6"/>
  <c r="AG76" i="1" s="1"/>
  <c r="L213" i="6"/>
  <c r="M219" i="6"/>
  <c r="M217" i="6"/>
  <c r="AH79" i="1" s="1"/>
  <c r="M216" i="6"/>
  <c r="AH78" i="1" s="1"/>
  <c r="M215" i="6"/>
  <c r="M214" i="6"/>
  <c r="AH76" i="1" s="1"/>
  <c r="M213" i="6"/>
  <c r="N219" i="6"/>
  <c r="N217" i="6"/>
  <c r="AI79" i="1" s="1"/>
  <c r="N216" i="6"/>
  <c r="AI78" i="1" s="1"/>
  <c r="N215" i="6"/>
  <c r="N214" i="6"/>
  <c r="AI76" i="1" s="1"/>
  <c r="N213" i="6"/>
  <c r="O219" i="6"/>
  <c r="O217" i="6"/>
  <c r="AJ79" i="1" s="1"/>
  <c r="O216" i="6"/>
  <c r="AJ78" i="1" s="1"/>
  <c r="O215" i="6"/>
  <c r="O214" i="6"/>
  <c r="AJ76" i="1" s="1"/>
  <c r="O213" i="6"/>
  <c r="P219" i="6"/>
  <c r="P217" i="6"/>
  <c r="AK79" i="1" s="1"/>
  <c r="P216" i="6"/>
  <c r="AK78" i="1" s="1"/>
  <c r="P215" i="6"/>
  <c r="P214" i="6"/>
  <c r="AK76" i="1" s="1"/>
  <c r="P213" i="6"/>
  <c r="Q219" i="6"/>
  <c r="Q217" i="6"/>
  <c r="AL79" i="1" s="1"/>
  <c r="Q216" i="6"/>
  <c r="AL78" i="1" s="1"/>
  <c r="Q215" i="6"/>
  <c r="Q214" i="6"/>
  <c r="AL76" i="1" s="1"/>
  <c r="Q213" i="6"/>
  <c r="R219" i="6"/>
  <c r="R217" i="6"/>
  <c r="AM79" i="1" s="1"/>
  <c r="R216" i="6"/>
  <c r="AM78" i="1" s="1"/>
  <c r="R215" i="6"/>
  <c r="R214" i="6"/>
  <c r="AM76" i="1" s="1"/>
  <c r="R213" i="6"/>
  <c r="S219" i="6"/>
  <c r="S217" i="6"/>
  <c r="AN79" i="1" s="1"/>
  <c r="S216" i="6"/>
  <c r="AN78" i="1" s="1"/>
  <c r="S215" i="6"/>
  <c r="S214" i="6"/>
  <c r="AN76" i="1" s="1"/>
  <c r="S213" i="6"/>
  <c r="T219" i="6"/>
  <c r="T217" i="6"/>
  <c r="AO79" i="1" s="1"/>
  <c r="T216" i="6"/>
  <c r="AO78" i="1" s="1"/>
  <c r="T215" i="6"/>
  <c r="T214" i="6"/>
  <c r="AO76" i="1" s="1"/>
  <c r="T213" i="6"/>
  <c r="U219" i="6"/>
  <c r="U217" i="6"/>
  <c r="AP79" i="1" s="1"/>
  <c r="U216" i="6"/>
  <c r="AP78" i="1" s="1"/>
  <c r="U215" i="6"/>
  <c r="U214" i="6"/>
  <c r="AP76" i="1" s="1"/>
  <c r="U213" i="6"/>
  <c r="V219" i="6"/>
  <c r="V217" i="6"/>
  <c r="AQ79" i="1" s="1"/>
  <c r="V216" i="6"/>
  <c r="AQ78" i="1" s="1"/>
  <c r="V215" i="6"/>
  <c r="V214" i="6"/>
  <c r="AQ76" i="1" s="1"/>
  <c r="V213" i="6"/>
  <c r="W219" i="6"/>
  <c r="W217" i="6"/>
  <c r="AR79" i="1" s="1"/>
  <c r="W216" i="6"/>
  <c r="AR78" i="1" s="1"/>
  <c r="W215" i="6"/>
  <c r="W214" i="6"/>
  <c r="AR76" i="1" s="1"/>
  <c r="W213" i="6"/>
  <c r="X219" i="6"/>
  <c r="X217" i="6"/>
  <c r="AS79" i="1" s="1"/>
  <c r="X216" i="6"/>
  <c r="AS78" i="1" s="1"/>
  <c r="X215" i="6"/>
  <c r="X214" i="6"/>
  <c r="AS76" i="1" s="1"/>
  <c r="X213" i="6"/>
  <c r="Y219" i="6"/>
  <c r="Y217" i="6"/>
  <c r="AT79" i="1" s="1"/>
  <c r="Y216" i="6"/>
  <c r="AT78" i="1" s="1"/>
  <c r="Y215" i="6"/>
  <c r="Y214" i="6"/>
  <c r="AT76" i="1" s="1"/>
  <c r="Y213" i="6"/>
  <c r="Z219" i="6"/>
  <c r="Z217" i="6"/>
  <c r="AU79" i="1" s="1"/>
  <c r="Z216" i="6"/>
  <c r="AU78" i="1" s="1"/>
  <c r="Z215" i="6"/>
  <c r="Z214" i="6"/>
  <c r="AU76" i="1" s="1"/>
  <c r="Z213" i="6"/>
  <c r="AA219" i="6"/>
  <c r="AA217" i="6"/>
  <c r="AV79" i="1" s="1"/>
  <c r="AA216" i="6"/>
  <c r="AV78" i="1" s="1"/>
  <c r="AA215" i="6"/>
  <c r="AA214" i="6"/>
  <c r="AV76" i="1" s="1"/>
  <c r="AA213" i="6"/>
  <c r="AB219" i="6"/>
  <c r="AB217" i="6"/>
  <c r="AW79" i="1" s="1"/>
  <c r="AB216" i="6"/>
  <c r="AW78" i="1" s="1"/>
  <c r="AB215" i="6"/>
  <c r="AB214" i="6"/>
  <c r="AW76" i="1" s="1"/>
  <c r="AB213" i="6"/>
  <c r="AC219" i="6"/>
  <c r="AC217" i="6"/>
  <c r="AX79" i="1" s="1"/>
  <c r="AC216" i="6"/>
  <c r="AX78" i="1" s="1"/>
  <c r="AC215" i="6"/>
  <c r="AC214" i="6"/>
  <c r="AX76" i="1" s="1"/>
  <c r="AC213" i="6"/>
  <c r="AD219" i="6"/>
  <c r="AD217" i="6"/>
  <c r="AY79" i="1" s="1"/>
  <c r="AD216" i="6"/>
  <c r="AY78" i="1" s="1"/>
  <c r="AD215" i="6"/>
  <c r="AD214" i="6"/>
  <c r="AY76" i="1" s="1"/>
  <c r="AD213" i="6"/>
  <c r="AE219" i="6"/>
  <c r="AE217" i="6"/>
  <c r="AZ79" i="1" s="1"/>
  <c r="AE216" i="6"/>
  <c r="AZ78" i="1" s="1"/>
  <c r="AE215" i="6"/>
  <c r="AE214" i="6"/>
  <c r="AZ76" i="1" s="1"/>
  <c r="AE213" i="6"/>
  <c r="AE212" i="6"/>
  <c r="AD212" i="6"/>
  <c r="AC212" i="6"/>
  <c r="AB212" i="6"/>
  <c r="AA212" i="6"/>
  <c r="Z212" i="6"/>
  <c r="Y212" i="6"/>
  <c r="X212" i="6"/>
  <c r="W212" i="6"/>
  <c r="V212" i="6"/>
  <c r="U212" i="6"/>
  <c r="T212" i="6"/>
  <c r="S212" i="6"/>
  <c r="R212" i="6"/>
  <c r="Q212" i="6"/>
  <c r="P212" i="6"/>
  <c r="O212" i="6"/>
  <c r="N212" i="6"/>
  <c r="M212" i="6"/>
  <c r="L212" i="6"/>
  <c r="K212" i="6"/>
  <c r="J212" i="6"/>
  <c r="I212" i="6"/>
  <c r="H212" i="6"/>
  <c r="G212" i="6"/>
  <c r="F212" i="6"/>
  <c r="E212" i="6"/>
  <c r="D212" i="6"/>
  <c r="C219" i="6"/>
  <c r="C217" i="6"/>
  <c r="X79" i="1" s="1"/>
  <c r="C216" i="6"/>
  <c r="X78" i="1" s="1"/>
  <c r="C215" i="6"/>
  <c r="C214" i="6"/>
  <c r="X76" i="1" s="1"/>
  <c r="C213" i="6"/>
  <c r="C212" i="6"/>
  <c r="B219" i="6"/>
  <c r="B214" i="6"/>
  <c r="B215" i="6"/>
  <c r="B216" i="6"/>
  <c r="W78" i="1" s="1"/>
  <c r="B217" i="6"/>
  <c r="W79" i="1" s="1"/>
  <c r="B4" i="8"/>
  <c r="B6" i="8"/>
  <c r="B7" i="8"/>
  <c r="B10" i="8"/>
  <c r="B12" i="8"/>
  <c r="B13" i="8"/>
  <c r="B16" i="8"/>
  <c r="B17" i="8"/>
  <c r="B18" i="8"/>
  <c r="B19" i="8"/>
  <c r="B22" i="8"/>
  <c r="B23" i="8"/>
  <c r="B24" i="8"/>
  <c r="B25" i="8"/>
  <c r="B28" i="8"/>
  <c r="B29" i="8"/>
  <c r="B30" i="8"/>
  <c r="B31" i="8"/>
  <c r="B34" i="8"/>
  <c r="B35" i="8"/>
  <c r="B36" i="8"/>
  <c r="B37" i="8"/>
  <c r="B40" i="8"/>
  <c r="B41" i="8"/>
  <c r="B42" i="8"/>
  <c r="B43" i="8"/>
  <c r="B46" i="8"/>
  <c r="B47" i="8"/>
  <c r="B48" i="8"/>
  <c r="B49" i="8"/>
  <c r="B52" i="8"/>
  <c r="B53" i="8"/>
  <c r="B54" i="8"/>
  <c r="B55" i="8"/>
  <c r="B58" i="8"/>
  <c r="B59" i="8"/>
  <c r="B60" i="8"/>
  <c r="B61" i="8"/>
  <c r="B64" i="8"/>
  <c r="B65" i="8"/>
  <c r="B66" i="8"/>
  <c r="B67" i="8"/>
  <c r="B70" i="8"/>
  <c r="B71" i="8"/>
  <c r="B72" i="8"/>
  <c r="B73" i="8"/>
  <c r="B76" i="8"/>
  <c r="B77" i="8"/>
  <c r="B78" i="8"/>
  <c r="B79" i="8"/>
  <c r="B82" i="8"/>
  <c r="B83" i="8"/>
  <c r="B84" i="8"/>
  <c r="B85" i="8"/>
  <c r="B88" i="8"/>
  <c r="B89" i="8"/>
  <c r="B90" i="8"/>
  <c r="B91" i="8"/>
  <c r="B94" i="8"/>
  <c r="B95" i="8"/>
  <c r="B96" i="8"/>
  <c r="B97" i="8"/>
  <c r="B100" i="8"/>
  <c r="B101" i="8"/>
  <c r="B102" i="8"/>
  <c r="B103" i="8"/>
  <c r="B106" i="8"/>
  <c r="B107" i="8"/>
  <c r="B108" i="8"/>
  <c r="B109" i="8"/>
  <c r="B112" i="8"/>
  <c r="B113" i="8"/>
  <c r="B114" i="8"/>
  <c r="B115" i="8"/>
  <c r="B118" i="8"/>
  <c r="B119" i="8"/>
  <c r="B120" i="8"/>
  <c r="B121" i="8"/>
  <c r="B124" i="8"/>
  <c r="B125" i="8"/>
  <c r="B126" i="8"/>
  <c r="B127" i="8"/>
  <c r="B130" i="8"/>
  <c r="B131" i="8"/>
  <c r="B132" i="8"/>
  <c r="B133" i="8"/>
  <c r="B136" i="8"/>
  <c r="B137" i="8"/>
  <c r="B138" i="8"/>
  <c r="B139" i="8"/>
  <c r="B142" i="8"/>
  <c r="B143" i="8"/>
  <c r="B144" i="8"/>
  <c r="B145" i="8"/>
  <c r="B148" i="8"/>
  <c r="B149" i="8"/>
  <c r="B150" i="8"/>
  <c r="B151" i="8"/>
  <c r="B154" i="8"/>
  <c r="B155" i="8"/>
  <c r="B156" i="8"/>
  <c r="B157" i="8"/>
  <c r="B160" i="8"/>
  <c r="B161" i="8"/>
  <c r="B162" i="8"/>
  <c r="B163" i="8"/>
  <c r="B166" i="8"/>
  <c r="B167" i="8"/>
  <c r="B168" i="8"/>
  <c r="B169" i="8"/>
  <c r="B172" i="8"/>
  <c r="B173" i="8"/>
  <c r="B174" i="8"/>
  <c r="B175" i="8"/>
  <c r="B178" i="8"/>
  <c r="B179" i="8"/>
  <c r="B180" i="8"/>
  <c r="B181" i="8"/>
  <c r="AY38" i="6"/>
  <c r="AY39" i="6"/>
  <c r="AY41" i="6"/>
  <c r="AY42" i="6"/>
  <c r="AP44" i="6"/>
  <c r="AY44" i="6"/>
  <c r="AP45" i="6"/>
  <c r="AY45" i="6"/>
  <c r="AP47" i="6"/>
  <c r="AY47" i="6"/>
  <c r="AP48" i="6"/>
  <c r="AY48" i="6"/>
  <c r="AP50" i="6"/>
  <c r="AY50" i="6"/>
  <c r="AP51" i="6"/>
  <c r="AY51" i="6"/>
  <c r="AP53" i="6"/>
  <c r="AY53" i="6"/>
  <c r="AP54" i="6"/>
  <c r="AY54" i="6"/>
  <c r="AP56" i="6"/>
  <c r="AY56" i="6"/>
  <c r="AX56" i="6" s="1"/>
  <c r="AP57" i="6"/>
  <c r="AY57" i="6"/>
  <c r="AX57" i="6" s="1"/>
  <c r="I230" i="6" l="1"/>
  <c r="AE230" i="6"/>
  <c r="AC230" i="6"/>
  <c r="AA230" i="6"/>
  <c r="Y230" i="6"/>
  <c r="W230" i="6"/>
  <c r="U230" i="6"/>
  <c r="S230" i="6"/>
  <c r="K230" i="6"/>
  <c r="Q230" i="6"/>
  <c r="O230" i="6"/>
  <c r="M230" i="6"/>
  <c r="G230" i="6"/>
  <c r="E230" i="6"/>
  <c r="C230" i="6"/>
  <c r="AD230" i="6"/>
  <c r="AB230" i="6"/>
  <c r="Z230" i="6"/>
  <c r="X230" i="6"/>
  <c r="V230" i="6"/>
  <c r="T230" i="6"/>
  <c r="R230" i="6"/>
  <c r="P230" i="6"/>
  <c r="N230" i="6"/>
  <c r="L230" i="6"/>
  <c r="J230" i="6"/>
  <c r="H230" i="6"/>
  <c r="F230" i="6"/>
  <c r="D230" i="6"/>
  <c r="B230" i="6"/>
  <c r="B218" i="6"/>
  <c r="AA218" i="6"/>
  <c r="AA223" i="6" s="1"/>
  <c r="Y218" i="6"/>
  <c r="AT63" i="1" s="1"/>
  <c r="W218" i="6"/>
  <c r="AR63" i="1" s="1"/>
  <c r="U218" i="6"/>
  <c r="U223" i="6" s="1"/>
  <c r="Q218" i="6"/>
  <c r="AL63" i="1" s="1"/>
  <c r="O218" i="6"/>
  <c r="AJ63" i="1" s="1"/>
  <c r="F218" i="6"/>
  <c r="F227" i="6" s="1"/>
  <c r="D218" i="6"/>
  <c r="D223" i="6" s="1"/>
  <c r="M218" i="6"/>
  <c r="AH63" i="1" s="1"/>
  <c r="K218" i="6"/>
  <c r="K223" i="6" s="1"/>
  <c r="C218" i="6"/>
  <c r="C223" i="6" s="1"/>
  <c r="I218" i="6"/>
  <c r="AD63" i="1" s="1"/>
  <c r="AD218" i="6"/>
  <c r="Z218" i="6"/>
  <c r="Z227" i="6" s="1"/>
  <c r="X218" i="6"/>
  <c r="AS63" i="1" s="1"/>
  <c r="V218" i="6"/>
  <c r="V227" i="6" s="1"/>
  <c r="T218" i="6"/>
  <c r="AO63" i="1" s="1"/>
  <c r="R218" i="6"/>
  <c r="R227" i="6" s="1"/>
  <c r="P218" i="6"/>
  <c r="P223" i="6" s="1"/>
  <c r="G218" i="6"/>
  <c r="G227" i="6" s="1"/>
  <c r="N218" i="6"/>
  <c r="N227" i="6" s="1"/>
  <c r="L218" i="6"/>
  <c r="AG63" i="1" s="1"/>
  <c r="J218" i="6"/>
  <c r="J227" i="6" s="1"/>
  <c r="H218" i="6"/>
  <c r="H227" i="6" s="1"/>
  <c r="AE218" i="6"/>
  <c r="AE227" i="6" s="1"/>
  <c r="AC218" i="6"/>
  <c r="AX63" i="1" s="1"/>
  <c r="S218" i="6"/>
  <c r="S227" i="6" s="1"/>
  <c r="E218" i="6"/>
  <c r="W76" i="1"/>
  <c r="AB218" i="6"/>
  <c r="AB227" i="6" s="1"/>
  <c r="AD231" i="6"/>
  <c r="Z231" i="6"/>
  <c r="V231" i="6"/>
  <c r="R231" i="6"/>
  <c r="N231" i="6"/>
  <c r="J231" i="6"/>
  <c r="F231" i="6"/>
  <c r="I221" i="6"/>
  <c r="I225" i="6"/>
  <c r="Q221" i="6"/>
  <c r="Q225" i="6"/>
  <c r="Y221" i="6"/>
  <c r="Y225" i="6"/>
  <c r="AY64" i="1"/>
  <c r="AS62" i="1"/>
  <c r="X232" i="6"/>
  <c r="X222" i="6"/>
  <c r="X226" i="6"/>
  <c r="AO62" i="1"/>
  <c r="T232" i="6"/>
  <c r="T222" i="6"/>
  <c r="T226" i="6"/>
  <c r="AM64" i="1"/>
  <c r="AK62" i="1"/>
  <c r="P232" i="6"/>
  <c r="P226" i="6"/>
  <c r="P222" i="6"/>
  <c r="AE64" i="1"/>
  <c r="AC62" i="1"/>
  <c r="H232" i="6"/>
  <c r="H226" i="6"/>
  <c r="H222" i="6"/>
  <c r="D232" i="6"/>
  <c r="D226" i="6"/>
  <c r="D222" i="6"/>
  <c r="F225" i="6"/>
  <c r="F221" i="6"/>
  <c r="N225" i="6"/>
  <c r="N221" i="6"/>
  <c r="V225" i="6"/>
  <c r="V221" i="6"/>
  <c r="AD225" i="6"/>
  <c r="AD221" i="6"/>
  <c r="AA231" i="6"/>
  <c r="AT62" i="1"/>
  <c r="Y226" i="6"/>
  <c r="Y222" i="6"/>
  <c r="Y232" i="6"/>
  <c r="AR64" i="1"/>
  <c r="S231" i="6"/>
  <c r="AH62" i="1"/>
  <c r="M226" i="6"/>
  <c r="M222" i="6"/>
  <c r="M232" i="6"/>
  <c r="AD62" i="1"/>
  <c r="I226" i="6"/>
  <c r="I222" i="6"/>
  <c r="I232" i="6"/>
  <c r="G231" i="6"/>
  <c r="E226" i="6"/>
  <c r="E222" i="6"/>
  <c r="E232" i="6"/>
  <c r="W64" i="1"/>
  <c r="C231" i="6"/>
  <c r="G221" i="6"/>
  <c r="G225" i="6"/>
  <c r="K221" i="6"/>
  <c r="K225" i="6"/>
  <c r="O221" i="6"/>
  <c r="O225" i="6"/>
  <c r="S221" i="6"/>
  <c r="S225" i="6"/>
  <c r="W221" i="6"/>
  <c r="W225" i="6"/>
  <c r="AA221" i="6"/>
  <c r="AA225" i="6"/>
  <c r="AE221" i="6"/>
  <c r="AE225" i="6"/>
  <c r="AY62" i="1"/>
  <c r="AD232" i="6"/>
  <c r="AD226" i="6"/>
  <c r="AD222" i="6"/>
  <c r="AB231" i="6"/>
  <c r="AW64" i="1"/>
  <c r="AU62" i="1"/>
  <c r="Z232" i="6"/>
  <c r="Z226" i="6"/>
  <c r="Z222" i="6"/>
  <c r="X231" i="6"/>
  <c r="AS64" i="1"/>
  <c r="AQ62" i="1"/>
  <c r="V232" i="6"/>
  <c r="V226" i="6"/>
  <c r="V222" i="6"/>
  <c r="T231" i="6"/>
  <c r="AO64" i="1"/>
  <c r="AM62" i="1"/>
  <c r="R232" i="6"/>
  <c r="R226" i="6"/>
  <c r="R222" i="6"/>
  <c r="P231" i="6"/>
  <c r="AK64" i="1"/>
  <c r="AI62" i="1"/>
  <c r="N232" i="6"/>
  <c r="N226" i="6"/>
  <c r="N222" i="6"/>
  <c r="L231" i="6"/>
  <c r="AG64" i="1"/>
  <c r="AE62" i="1"/>
  <c r="J232" i="6"/>
  <c r="J226" i="6"/>
  <c r="J222" i="6"/>
  <c r="H231" i="6"/>
  <c r="AC64" i="1"/>
  <c r="F232" i="6"/>
  <c r="F226" i="6"/>
  <c r="F222" i="6"/>
  <c r="D231" i="6"/>
  <c r="C226" i="6"/>
  <c r="C222" i="6"/>
  <c r="C232" i="6"/>
  <c r="E221" i="6"/>
  <c r="E225" i="6"/>
  <c r="M221" i="6"/>
  <c r="M225" i="6"/>
  <c r="U221" i="6"/>
  <c r="U225" i="6"/>
  <c r="AC221" i="6"/>
  <c r="AC225" i="6"/>
  <c r="AW62" i="1"/>
  <c r="AB232" i="6"/>
  <c r="AB226" i="6"/>
  <c r="AB222" i="6"/>
  <c r="AU64" i="1"/>
  <c r="AQ64" i="1"/>
  <c r="AI64" i="1"/>
  <c r="AG62" i="1"/>
  <c r="L232" i="6"/>
  <c r="L226" i="6"/>
  <c r="L222" i="6"/>
  <c r="J225" i="6"/>
  <c r="J221" i="6"/>
  <c r="R225" i="6"/>
  <c r="R221" i="6"/>
  <c r="Z225" i="6"/>
  <c r="Z221" i="6"/>
  <c r="AE231" i="6"/>
  <c r="AZ64" i="1"/>
  <c r="AX62" i="1"/>
  <c r="AC226" i="6"/>
  <c r="AC222" i="6"/>
  <c r="AC232" i="6"/>
  <c r="AV64" i="1"/>
  <c r="W231" i="6"/>
  <c r="AP62" i="1"/>
  <c r="U226" i="6"/>
  <c r="U222" i="6"/>
  <c r="U232" i="6"/>
  <c r="AN64" i="1"/>
  <c r="AL62" i="1"/>
  <c r="Q226" i="6"/>
  <c r="Q222" i="6"/>
  <c r="Q232" i="6"/>
  <c r="O231" i="6"/>
  <c r="AJ64" i="1"/>
  <c r="K231" i="6"/>
  <c r="AF64" i="1"/>
  <c r="AB64" i="1"/>
  <c r="C221" i="6"/>
  <c r="C225" i="6"/>
  <c r="D225" i="6"/>
  <c r="D221" i="6"/>
  <c r="H225" i="6"/>
  <c r="H221" i="6"/>
  <c r="L225" i="6"/>
  <c r="L221" i="6"/>
  <c r="P225" i="6"/>
  <c r="P221" i="6"/>
  <c r="T225" i="6"/>
  <c r="T221" i="6"/>
  <c r="X225" i="6"/>
  <c r="X221" i="6"/>
  <c r="AB225" i="6"/>
  <c r="AB221" i="6"/>
  <c r="AZ62" i="1"/>
  <c r="AE226" i="6"/>
  <c r="AE222" i="6"/>
  <c r="AE232" i="6"/>
  <c r="AC231" i="6"/>
  <c r="AX64" i="1"/>
  <c r="AV62" i="1"/>
  <c r="AA226" i="6"/>
  <c r="AA222" i="6"/>
  <c r="AA232" i="6"/>
  <c r="Y231" i="6"/>
  <c r="AT64" i="1"/>
  <c r="AR62" i="1"/>
  <c r="W226" i="6"/>
  <c r="W222" i="6"/>
  <c r="W232" i="6"/>
  <c r="U231" i="6"/>
  <c r="AP64" i="1"/>
  <c r="AN62" i="1"/>
  <c r="S226" i="6"/>
  <c r="S222" i="6"/>
  <c r="S232" i="6"/>
  <c r="Q231" i="6"/>
  <c r="AL64" i="1"/>
  <c r="AJ62" i="1"/>
  <c r="O226" i="6"/>
  <c r="O222" i="6"/>
  <c r="O232" i="6"/>
  <c r="M231" i="6"/>
  <c r="AH64" i="1"/>
  <c r="AF62" i="1"/>
  <c r="K226" i="6"/>
  <c r="K222" i="6"/>
  <c r="K232" i="6"/>
  <c r="I231" i="6"/>
  <c r="AD64" i="1"/>
  <c r="AB62" i="1"/>
  <c r="G226" i="6"/>
  <c r="G222" i="6"/>
  <c r="G232" i="6"/>
  <c r="E231" i="6"/>
  <c r="AY77" i="1"/>
  <c r="AU77" i="1"/>
  <c r="AQ77" i="1"/>
  <c r="AM77" i="1"/>
  <c r="AI77" i="1"/>
  <c r="AE77" i="1"/>
  <c r="AA77" i="1"/>
  <c r="AZ77" i="1"/>
  <c r="AV77" i="1"/>
  <c r="AR77" i="1"/>
  <c r="AN77" i="1"/>
  <c r="AJ77" i="1"/>
  <c r="AF77" i="1"/>
  <c r="AB77" i="1"/>
  <c r="X77" i="1"/>
  <c r="AW77" i="1"/>
  <c r="AS77" i="1"/>
  <c r="AO77" i="1"/>
  <c r="AK77" i="1"/>
  <c r="AG77" i="1"/>
  <c r="AC77" i="1"/>
  <c r="Y77" i="1"/>
  <c r="W77" i="1"/>
  <c r="AX77" i="1"/>
  <c r="AT77" i="1"/>
  <c r="AP77" i="1"/>
  <c r="AL77" i="1"/>
  <c r="AH77" i="1"/>
  <c r="AD77" i="1"/>
  <c r="Z77" i="1"/>
  <c r="AD61" i="1"/>
  <c r="AP61" i="1"/>
  <c r="AE61" i="1"/>
  <c r="AI61" i="1"/>
  <c r="AM61" i="1"/>
  <c r="AQ61" i="1"/>
  <c r="AU61" i="1"/>
  <c r="AY61" i="1"/>
  <c r="AH61" i="1"/>
  <c r="AX61" i="1"/>
  <c r="AB61" i="1"/>
  <c r="AF61" i="1"/>
  <c r="AJ61" i="1"/>
  <c r="AN61" i="1"/>
  <c r="AR61" i="1"/>
  <c r="AV61" i="1"/>
  <c r="AZ61" i="1"/>
  <c r="AL61" i="1"/>
  <c r="AT61" i="1"/>
  <c r="AC61" i="1"/>
  <c r="AG61" i="1"/>
  <c r="AK61" i="1"/>
  <c r="AO61" i="1"/>
  <c r="AS61" i="1"/>
  <c r="AW61" i="1"/>
  <c r="AQ56" i="6"/>
  <c r="AR56" i="6" s="1"/>
  <c r="AQ50" i="6"/>
  <c r="AR50" i="6" s="1"/>
  <c r="AS50" i="6" s="1"/>
  <c r="AT50" i="6" s="1"/>
  <c r="AU50" i="6" s="1"/>
  <c r="AV50" i="6" s="1"/>
  <c r="AW50" i="6" s="1"/>
  <c r="AX50" i="6" s="1"/>
  <c r="AQ47" i="6"/>
  <c r="AR47" i="6" s="1"/>
  <c r="AS47" i="6" s="1"/>
  <c r="AT47" i="6" s="1"/>
  <c r="AU47" i="6" s="1"/>
  <c r="AV47" i="6" s="1"/>
  <c r="AW47" i="6" s="1"/>
  <c r="AX47" i="6" s="1"/>
  <c r="AQ44" i="6"/>
  <c r="AR44" i="6" s="1"/>
  <c r="AS44" i="6" s="1"/>
  <c r="AT44" i="6" s="1"/>
  <c r="AU44" i="6" s="1"/>
  <c r="AV44" i="6" s="1"/>
  <c r="AW44" i="6" s="1"/>
  <c r="AX44" i="6" s="1"/>
  <c r="AQ54" i="6"/>
  <c r="AR54" i="6" s="1"/>
  <c r="AS54" i="6" s="1"/>
  <c r="AT54" i="6" s="1"/>
  <c r="AU54" i="6" s="1"/>
  <c r="AV54" i="6" s="1"/>
  <c r="AW54" i="6" s="1"/>
  <c r="AX54" i="6" s="1"/>
  <c r="AQ51" i="6"/>
  <c r="AR51" i="6" s="1"/>
  <c r="AS51" i="6" s="1"/>
  <c r="AT51" i="6" s="1"/>
  <c r="AU51" i="6" s="1"/>
  <c r="AV51" i="6" s="1"/>
  <c r="AW51" i="6" s="1"/>
  <c r="AX51" i="6" s="1"/>
  <c r="AQ48" i="6"/>
  <c r="AR48" i="6" s="1"/>
  <c r="AS48" i="6" s="1"/>
  <c r="AT48" i="6" s="1"/>
  <c r="AU48" i="6" s="1"/>
  <c r="AV48" i="6" s="1"/>
  <c r="AW48" i="6" s="1"/>
  <c r="AX48" i="6" s="1"/>
  <c r="AQ45" i="6"/>
  <c r="AR45" i="6" s="1"/>
  <c r="AS45" i="6" s="1"/>
  <c r="AT45" i="6" s="1"/>
  <c r="AU45" i="6" s="1"/>
  <c r="AV45" i="6" s="1"/>
  <c r="AW45" i="6" s="1"/>
  <c r="AX45" i="6" s="1"/>
  <c r="AQ57" i="6"/>
  <c r="AR57" i="6" s="1"/>
  <c r="AQ53" i="6"/>
  <c r="AR53" i="6" s="1"/>
  <c r="AS53" i="6" s="1"/>
  <c r="AT53" i="6" s="1"/>
  <c r="AU53" i="6" s="1"/>
  <c r="AV53" i="6" s="1"/>
  <c r="AW53" i="6" s="1"/>
  <c r="AX53" i="6" s="1"/>
  <c r="B213" i="6"/>
  <c r="N201" i="6"/>
  <c r="N200" i="6"/>
  <c r="N198" i="6"/>
  <c r="N197" i="6"/>
  <c r="N195" i="6"/>
  <c r="N194" i="6"/>
  <c r="N192" i="6"/>
  <c r="N191" i="6"/>
  <c r="N189" i="6"/>
  <c r="N188" i="6"/>
  <c r="N186" i="6"/>
  <c r="N185" i="6"/>
  <c r="N183" i="6"/>
  <c r="N182" i="6"/>
  <c r="N180" i="6"/>
  <c r="N179" i="6"/>
  <c r="N177" i="6"/>
  <c r="N176" i="6"/>
  <c r="N174" i="6"/>
  <c r="N173" i="6"/>
  <c r="E201" i="6"/>
  <c r="E200" i="6"/>
  <c r="E198" i="6"/>
  <c r="E197" i="6"/>
  <c r="E195" i="6"/>
  <c r="E194" i="6"/>
  <c r="E192" i="6"/>
  <c r="E191" i="6"/>
  <c r="E189" i="6"/>
  <c r="E188" i="6"/>
  <c r="E186" i="6"/>
  <c r="E185" i="6"/>
  <c r="E183" i="6"/>
  <c r="E182" i="6"/>
  <c r="E180" i="6"/>
  <c r="E179" i="6"/>
  <c r="E177" i="6"/>
  <c r="E176" i="6"/>
  <c r="E174" i="6"/>
  <c r="E173" i="6"/>
  <c r="B212" i="6"/>
  <c r="AQ63" i="1" l="1"/>
  <c r="AE63" i="1"/>
  <c r="C227" i="6"/>
  <c r="AP63" i="1"/>
  <c r="U227" i="6"/>
  <c r="F223" i="6"/>
  <c r="P227" i="6"/>
  <c r="AG71" i="6"/>
  <c r="AB63" i="1"/>
  <c r="Q223" i="6"/>
  <c r="AA227" i="6"/>
  <c r="AA236" i="6" s="1"/>
  <c r="AC63" i="1"/>
  <c r="I223" i="6"/>
  <c r="AV63" i="1"/>
  <c r="M223" i="6"/>
  <c r="Q227" i="6"/>
  <c r="Q236" i="6" s="1"/>
  <c r="O223" i="6"/>
  <c r="AZ63" i="1"/>
  <c r="AN69" i="1"/>
  <c r="Y223" i="6"/>
  <c r="O227" i="6"/>
  <c r="O236" i="6" s="1"/>
  <c r="Y227" i="6"/>
  <c r="Y236" i="6" s="1"/>
  <c r="L223" i="6"/>
  <c r="D227" i="6"/>
  <c r="D236" i="6" s="1"/>
  <c r="G223" i="6"/>
  <c r="AW63" i="1"/>
  <c r="AC227" i="6"/>
  <c r="AC229" i="6" s="1"/>
  <c r="W223" i="6"/>
  <c r="W227" i="6"/>
  <c r="W236" i="6" s="1"/>
  <c r="AK63" i="1"/>
  <c r="X223" i="6"/>
  <c r="X220" i="6"/>
  <c r="X227" i="6"/>
  <c r="X229" i="6" s="1"/>
  <c r="S223" i="6"/>
  <c r="AF63" i="1"/>
  <c r="AM63" i="1"/>
  <c r="Z223" i="6"/>
  <c r="AM69" i="1"/>
  <c r="L227" i="6"/>
  <c r="L236" i="6" s="1"/>
  <c r="R223" i="6"/>
  <c r="AU63" i="1"/>
  <c r="K227" i="6"/>
  <c r="K236" i="6" s="1"/>
  <c r="Z233" i="6"/>
  <c r="L233" i="6"/>
  <c r="M227" i="6"/>
  <c r="M236" i="6" s="1"/>
  <c r="T220" i="6"/>
  <c r="B231" i="6"/>
  <c r="AE220" i="6"/>
  <c r="AE223" i="6"/>
  <c r="N236" i="6"/>
  <c r="AJ69" i="1"/>
  <c r="AI63" i="1"/>
  <c r="B223" i="6"/>
  <c r="N220" i="6"/>
  <c r="T223" i="6"/>
  <c r="E223" i="6"/>
  <c r="AD223" i="6"/>
  <c r="N223" i="6"/>
  <c r="V223" i="6"/>
  <c r="AD227" i="6"/>
  <c r="AD236" i="6" s="1"/>
  <c r="H223" i="6"/>
  <c r="T227" i="6"/>
  <c r="T229" i="6" s="1"/>
  <c r="V233" i="6"/>
  <c r="E227" i="6"/>
  <c r="E236" i="6" s="1"/>
  <c r="H220" i="6"/>
  <c r="I227" i="6"/>
  <c r="I229" i="6" s="1"/>
  <c r="AN63" i="1"/>
  <c r="AD69" i="1"/>
  <c r="I220" i="6"/>
  <c r="AY63" i="1"/>
  <c r="B227" i="6"/>
  <c r="E233" i="6"/>
  <c r="AC233" i="6"/>
  <c r="AB233" i="6"/>
  <c r="AC223" i="6"/>
  <c r="J223" i="6"/>
  <c r="AB223" i="6"/>
  <c r="J233" i="6"/>
  <c r="E220" i="6"/>
  <c r="V236" i="6"/>
  <c r="F220" i="6"/>
  <c r="M228" i="6"/>
  <c r="AT69" i="1"/>
  <c r="K233" i="6"/>
  <c r="O233" i="6"/>
  <c r="R236" i="6"/>
  <c r="G233" i="6"/>
  <c r="C228" i="6"/>
  <c r="AR69" i="1"/>
  <c r="F236" i="6"/>
  <c r="AB69" i="1"/>
  <c r="AL69" i="1"/>
  <c r="AP69" i="1"/>
  <c r="AB236" i="6"/>
  <c r="AC69" i="1"/>
  <c r="AS69" i="1"/>
  <c r="AA233" i="6"/>
  <c r="P229" i="6"/>
  <c r="AK69" i="1"/>
  <c r="AQ69" i="1"/>
  <c r="AX69" i="1"/>
  <c r="H229" i="6"/>
  <c r="AY69" i="1"/>
  <c r="AG69" i="1"/>
  <c r="J236" i="6"/>
  <c r="W233" i="6"/>
  <c r="Z236" i="6"/>
  <c r="AZ69" i="1"/>
  <c r="AW69" i="1"/>
  <c r="U229" i="6"/>
  <c r="C233" i="6"/>
  <c r="H236" i="6"/>
  <c r="S220" i="6"/>
  <c r="L228" i="6"/>
  <c r="AB228" i="6"/>
  <c r="S236" i="6"/>
  <c r="C236" i="6"/>
  <c r="P236" i="6"/>
  <c r="G229" i="6"/>
  <c r="G236" i="6"/>
  <c r="AE229" i="6"/>
  <c r="AE236" i="6"/>
  <c r="Q228" i="6"/>
  <c r="T228" i="6"/>
  <c r="AC228" i="6"/>
  <c r="U236" i="6"/>
  <c r="AA228" i="6"/>
  <c r="S228" i="6"/>
  <c r="K228" i="6"/>
  <c r="D228" i="6"/>
  <c r="Z228" i="6"/>
  <c r="Z229" i="6"/>
  <c r="N233" i="6"/>
  <c r="T233" i="6"/>
  <c r="C220" i="6"/>
  <c r="AD228" i="6"/>
  <c r="N228" i="6"/>
  <c r="N229" i="6"/>
  <c r="R233" i="6"/>
  <c r="R220" i="6"/>
  <c r="B221" i="6"/>
  <c r="B225" i="6"/>
  <c r="Q233" i="6"/>
  <c r="Q220" i="6"/>
  <c r="Y233" i="6"/>
  <c r="Y220" i="6"/>
  <c r="W220" i="6"/>
  <c r="P228" i="6"/>
  <c r="X228" i="6"/>
  <c r="AD233" i="6"/>
  <c r="AD220" i="6"/>
  <c r="B226" i="6"/>
  <c r="B232" i="6"/>
  <c r="B233" i="6" s="1"/>
  <c r="B222" i="6"/>
  <c r="AV69" i="1"/>
  <c r="AF69" i="1"/>
  <c r="AI69" i="1"/>
  <c r="AB229" i="6"/>
  <c r="G220" i="6"/>
  <c r="O220" i="6"/>
  <c r="R228" i="6"/>
  <c r="R229" i="6"/>
  <c r="C229" i="6"/>
  <c r="AA229" i="6"/>
  <c r="U228" i="6"/>
  <c r="E228" i="6"/>
  <c r="P233" i="6"/>
  <c r="P220" i="6"/>
  <c r="X233" i="6"/>
  <c r="AE228" i="6"/>
  <c r="W228" i="6"/>
  <c r="O228" i="6"/>
  <c r="G228" i="6"/>
  <c r="V228" i="6"/>
  <c r="V229" i="6"/>
  <c r="F228" i="6"/>
  <c r="F229" i="6"/>
  <c r="F233" i="6"/>
  <c r="Y228" i="6"/>
  <c r="I228" i="6"/>
  <c r="J228" i="6"/>
  <c r="J229" i="6"/>
  <c r="L220" i="6"/>
  <c r="H228" i="6"/>
  <c r="AH69" i="1"/>
  <c r="AO69" i="1"/>
  <c r="AU69" i="1"/>
  <c r="AE69" i="1"/>
  <c r="M220" i="6"/>
  <c r="M233" i="6"/>
  <c r="S233" i="6"/>
  <c r="U220" i="6"/>
  <c r="U233" i="6"/>
  <c r="K220" i="6"/>
  <c r="AA220" i="6"/>
  <c r="Z220" i="6"/>
  <c r="D233" i="6"/>
  <c r="D220" i="6"/>
  <c r="S229" i="6"/>
  <c r="W65" i="1"/>
  <c r="F173" i="6"/>
  <c r="G173" i="6" s="1"/>
  <c r="H173" i="6" s="1"/>
  <c r="I173" i="6" s="1"/>
  <c r="J173" i="6" s="1"/>
  <c r="K173" i="6" s="1"/>
  <c r="L173" i="6" s="1"/>
  <c r="M173" i="6" s="1"/>
  <c r="F185" i="6"/>
  <c r="G185" i="6" s="1"/>
  <c r="H185" i="6" s="1"/>
  <c r="I185" i="6" s="1"/>
  <c r="J185" i="6" s="1"/>
  <c r="K185" i="6" s="1"/>
  <c r="L185" i="6" s="1"/>
  <c r="M185" i="6" s="1"/>
  <c r="F197" i="6"/>
  <c r="G197" i="6" s="1"/>
  <c r="H197" i="6" s="1"/>
  <c r="I197" i="6" s="1"/>
  <c r="J197" i="6" s="1"/>
  <c r="K197" i="6" s="1"/>
  <c r="L197" i="6" s="1"/>
  <c r="M197" i="6" s="1"/>
  <c r="F191" i="6"/>
  <c r="G191" i="6" s="1"/>
  <c r="H191" i="6" s="1"/>
  <c r="I191" i="6" s="1"/>
  <c r="J191" i="6" s="1"/>
  <c r="K191" i="6" s="1"/>
  <c r="L191" i="6" s="1"/>
  <c r="M191" i="6" s="1"/>
  <c r="F188" i="6"/>
  <c r="G188" i="6" s="1"/>
  <c r="H188" i="6" s="1"/>
  <c r="I188" i="6" s="1"/>
  <c r="J188" i="6" s="1"/>
  <c r="K188" i="6" s="1"/>
  <c r="L188" i="6" s="1"/>
  <c r="M188" i="6" s="1"/>
  <c r="F194" i="6"/>
  <c r="G194" i="6" s="1"/>
  <c r="H194" i="6" s="1"/>
  <c r="I194" i="6" s="1"/>
  <c r="J194" i="6" s="1"/>
  <c r="K194" i="6" s="1"/>
  <c r="L194" i="6" s="1"/>
  <c r="M194" i="6" s="1"/>
  <c r="F200" i="6"/>
  <c r="G200" i="6" s="1"/>
  <c r="H200" i="6" s="1"/>
  <c r="I200" i="6" s="1"/>
  <c r="J200" i="6" s="1"/>
  <c r="K200" i="6" s="1"/>
  <c r="L200" i="6" s="1"/>
  <c r="M200" i="6" s="1"/>
  <c r="F174" i="6"/>
  <c r="G174" i="6" s="1"/>
  <c r="H174" i="6" s="1"/>
  <c r="I174" i="6" s="1"/>
  <c r="J174" i="6" s="1"/>
  <c r="K174" i="6" s="1"/>
  <c r="L174" i="6" s="1"/>
  <c r="M174" i="6" s="1"/>
  <c r="F192" i="6"/>
  <c r="G192" i="6" s="1"/>
  <c r="H192" i="6" s="1"/>
  <c r="I192" i="6" s="1"/>
  <c r="J192" i="6" s="1"/>
  <c r="K192" i="6" s="1"/>
  <c r="L192" i="6" s="1"/>
  <c r="M192" i="6" s="1"/>
  <c r="F180" i="6"/>
  <c r="G180" i="6" s="1"/>
  <c r="H180" i="6" s="1"/>
  <c r="I180" i="6" s="1"/>
  <c r="J180" i="6" s="1"/>
  <c r="K180" i="6" s="1"/>
  <c r="L180" i="6" s="1"/>
  <c r="M180" i="6" s="1"/>
  <c r="F177" i="6"/>
  <c r="G177" i="6" s="1"/>
  <c r="H177" i="6" s="1"/>
  <c r="I177" i="6" s="1"/>
  <c r="J177" i="6" s="1"/>
  <c r="K177" i="6" s="1"/>
  <c r="L177" i="6" s="1"/>
  <c r="M177" i="6" s="1"/>
  <c r="F189" i="6"/>
  <c r="G189" i="6" s="1"/>
  <c r="H189" i="6" s="1"/>
  <c r="I189" i="6" s="1"/>
  <c r="J189" i="6" s="1"/>
  <c r="K189" i="6" s="1"/>
  <c r="L189" i="6" s="1"/>
  <c r="M189" i="6" s="1"/>
  <c r="F201" i="6"/>
  <c r="G201" i="6" s="1"/>
  <c r="H201" i="6" s="1"/>
  <c r="I201" i="6" s="1"/>
  <c r="J201" i="6" s="1"/>
  <c r="K201" i="6" s="1"/>
  <c r="L201" i="6" s="1"/>
  <c r="M201" i="6" s="1"/>
  <c r="F198" i="6"/>
  <c r="G198" i="6" s="1"/>
  <c r="H198" i="6" s="1"/>
  <c r="I198" i="6" s="1"/>
  <c r="J198" i="6" s="1"/>
  <c r="K198" i="6" s="1"/>
  <c r="L198" i="6" s="1"/>
  <c r="M198" i="6" s="1"/>
  <c r="F176" i="6"/>
  <c r="G176" i="6" s="1"/>
  <c r="H176" i="6" s="1"/>
  <c r="I176" i="6" s="1"/>
  <c r="J176" i="6" s="1"/>
  <c r="K176" i="6" s="1"/>
  <c r="L176" i="6" s="1"/>
  <c r="M176" i="6" s="1"/>
  <c r="F182" i="6"/>
  <c r="G182" i="6" s="1"/>
  <c r="H182" i="6" s="1"/>
  <c r="I182" i="6" s="1"/>
  <c r="J182" i="6" s="1"/>
  <c r="K182" i="6" s="1"/>
  <c r="L182" i="6" s="1"/>
  <c r="M182" i="6" s="1"/>
  <c r="F186" i="6"/>
  <c r="G186" i="6" s="1"/>
  <c r="H186" i="6" s="1"/>
  <c r="I186" i="6" s="1"/>
  <c r="J186" i="6" s="1"/>
  <c r="K186" i="6" s="1"/>
  <c r="L186" i="6" s="1"/>
  <c r="M186" i="6" s="1"/>
  <c r="F179" i="6"/>
  <c r="G179" i="6" s="1"/>
  <c r="H179" i="6" s="1"/>
  <c r="I179" i="6" s="1"/>
  <c r="J179" i="6" s="1"/>
  <c r="K179" i="6" s="1"/>
  <c r="L179" i="6" s="1"/>
  <c r="M179" i="6" s="1"/>
  <c r="F183" i="6"/>
  <c r="G183" i="6" s="1"/>
  <c r="H183" i="6" s="1"/>
  <c r="I183" i="6" s="1"/>
  <c r="J183" i="6" s="1"/>
  <c r="K183" i="6" s="1"/>
  <c r="L183" i="6" s="1"/>
  <c r="M183" i="6" s="1"/>
  <c r="F195" i="6"/>
  <c r="G195" i="6" s="1"/>
  <c r="H195" i="6" s="1"/>
  <c r="I195" i="6" s="1"/>
  <c r="J195" i="6" s="1"/>
  <c r="K195" i="6" s="1"/>
  <c r="L195" i="6" s="1"/>
  <c r="M195" i="6" s="1"/>
  <c r="D229" i="6" l="1"/>
  <c r="AC236" i="6"/>
  <c r="L229" i="6"/>
  <c r="W229" i="6"/>
  <c r="Q229" i="6"/>
  <c r="O229" i="6"/>
  <c r="Y229" i="6"/>
  <c r="J220" i="6"/>
  <c r="B236" i="6"/>
  <c r="X236" i="6"/>
  <c r="V220" i="6"/>
  <c r="AD229" i="6"/>
  <c r="E229" i="6"/>
  <c r="M229" i="6"/>
  <c r="AE233" i="6"/>
  <c r="K229" i="6"/>
  <c r="H233" i="6"/>
  <c r="I233" i="6"/>
  <c r="AC220" i="6"/>
  <c r="T236" i="6"/>
  <c r="AB220" i="6"/>
  <c r="I236" i="6"/>
  <c r="B228" i="6"/>
  <c r="B229" i="6"/>
  <c r="B220" i="6"/>
  <c r="AK65" i="1"/>
  <c r="AS65" i="1"/>
  <c r="AH65" i="1"/>
  <c r="S237" i="6"/>
  <c r="N165" i="6" s="1"/>
  <c r="AL66" i="1"/>
  <c r="B237" i="6"/>
  <c r="AB237" i="6"/>
  <c r="V237" i="6"/>
  <c r="AP67" i="1"/>
  <c r="AL67" i="1"/>
  <c r="AV66" i="1"/>
  <c r="AP65" i="1"/>
  <c r="AZ67" i="1"/>
  <c r="N237" i="6"/>
  <c r="N150" i="6" s="1"/>
  <c r="AY66" i="1"/>
  <c r="AY67" i="1"/>
  <c r="AX66" i="1"/>
  <c r="AM67" i="1"/>
  <c r="AC237" i="6"/>
  <c r="U237" i="6"/>
  <c r="N171" i="6" s="1"/>
  <c r="N114" i="6" l="1"/>
  <c r="AY30" i="6"/>
  <c r="N155" i="6"/>
  <c r="AS66" i="1"/>
  <c r="AK66" i="1"/>
  <c r="AH66" i="1"/>
  <c r="N146" i="6"/>
  <c r="AU65" i="1"/>
  <c r="AN67" i="1"/>
  <c r="AW67" i="1"/>
  <c r="N158" i="6"/>
  <c r="AQ67" i="1"/>
  <c r="N149" i="6"/>
  <c r="AW66" i="1"/>
  <c r="AV65" i="1"/>
  <c r="N170" i="6"/>
  <c r="N161" i="6"/>
  <c r="Q237" i="6"/>
  <c r="N159" i="6" s="1"/>
  <c r="AE237" i="6"/>
  <c r="C237" i="6"/>
  <c r="AW65" i="1"/>
  <c r="O237" i="6"/>
  <c r="N153" i="6" s="1"/>
  <c r="AJ67" i="1"/>
  <c r="H237" i="6"/>
  <c r="N132" i="6" s="1"/>
  <c r="AQ66" i="1"/>
  <c r="AQ65" i="1"/>
  <c r="AP66" i="1"/>
  <c r="R237" i="6"/>
  <c r="N162" i="6" s="1"/>
  <c r="AH67" i="1"/>
  <c r="M237" i="6"/>
  <c r="N147" i="6" s="1"/>
  <c r="AT67" i="1"/>
  <c r="Y237" i="6"/>
  <c r="AI65" i="1"/>
  <c r="AI66" i="1"/>
  <c r="AI67" i="1"/>
  <c r="AD237" i="6"/>
  <c r="AX67" i="1"/>
  <c r="AV67" i="1"/>
  <c r="AA237" i="6"/>
  <c r="AT66" i="1"/>
  <c r="AT65" i="1"/>
  <c r="X237" i="6"/>
  <c r="AS67" i="1"/>
  <c r="P237" i="6"/>
  <c r="N156" i="6" s="1"/>
  <c r="W237" i="6"/>
  <c r="AR67" i="1"/>
  <c r="AZ66" i="1"/>
  <c r="AZ65" i="1"/>
  <c r="AR66" i="1"/>
  <c r="AR65" i="1"/>
  <c r="AG65" i="1"/>
  <c r="AG66" i="1"/>
  <c r="N143" i="6"/>
  <c r="L237" i="6"/>
  <c r="N144" i="6" s="1"/>
  <c r="AG67" i="1"/>
  <c r="AN66" i="1"/>
  <c r="N164" i="6"/>
  <c r="AJ66" i="1"/>
  <c r="AJ65" i="1"/>
  <c r="N152" i="6"/>
  <c r="AM65" i="1"/>
  <c r="AM66" i="1"/>
  <c r="K237" i="6"/>
  <c r="N141" i="6" s="1"/>
  <c r="N140" i="6"/>
  <c r="N137" i="6"/>
  <c r="J237" i="6"/>
  <c r="N138" i="6" s="1"/>
  <c r="N134" i="6"/>
  <c r="I237" i="6"/>
  <c r="N135" i="6" s="1"/>
  <c r="N131" i="6"/>
  <c r="N122" i="6"/>
  <c r="E237" i="6"/>
  <c r="N123" i="6" s="1"/>
  <c r="D237" i="6"/>
  <c r="AP68" i="1"/>
  <c r="N117" i="6" l="1"/>
  <c r="AY33" i="6"/>
  <c r="N120" i="6"/>
  <c r="AY36" i="6"/>
  <c r="N113" i="6"/>
  <c r="AY29" i="6"/>
  <c r="N119" i="6"/>
  <c r="AY35" i="6"/>
  <c r="N116" i="6"/>
  <c r="AY32" i="6"/>
  <c r="AX65" i="1"/>
  <c r="N125" i="6"/>
  <c r="AK67" i="1"/>
  <c r="AY68" i="1"/>
  <c r="AY65" i="1"/>
  <c r="AL65" i="1"/>
  <c r="AN68" i="1"/>
  <c r="AN65" i="1"/>
  <c r="AU66" i="1"/>
  <c r="AW68" i="1"/>
  <c r="AL68" i="1"/>
  <c r="N128" i="6"/>
  <c r="AQ68" i="1"/>
  <c r="AK68" i="1"/>
  <c r="AV68" i="1"/>
  <c r="AU67" i="1"/>
  <c r="Z237" i="6"/>
  <c r="G237" i="6"/>
  <c r="N129" i="6" s="1"/>
  <c r="AH68" i="1"/>
  <c r="AR68" i="1"/>
  <c r="AI68" i="1"/>
  <c r="F237" i="6"/>
  <c r="N126" i="6" s="1"/>
  <c r="AO65" i="1"/>
  <c r="N167" i="6"/>
  <c r="AO66" i="1"/>
  <c r="T237" i="6"/>
  <c r="N168" i="6" s="1"/>
  <c r="AO67" i="1"/>
  <c r="AX68" i="1"/>
  <c r="AT68" i="1"/>
  <c r="AS68" i="1"/>
  <c r="AZ68" i="1"/>
  <c r="AG68" i="1"/>
  <c r="AM68" i="1"/>
  <c r="AJ68" i="1"/>
  <c r="AU68" i="1" l="1"/>
  <c r="AO68" i="1"/>
  <c r="AA1" i="1" l="1"/>
  <c r="H79" i="6" l="1"/>
  <c r="G79" i="6"/>
  <c r="F79" i="6"/>
  <c r="E79" i="6"/>
  <c r="B79" i="6"/>
  <c r="A79" i="6"/>
  <c r="BN30" i="6"/>
  <c r="BO30" i="6"/>
  <c r="BP30" i="6"/>
  <c r="BQ30" i="6"/>
  <c r="BR30" i="6"/>
  <c r="BS30" i="6"/>
  <c r="BT30" i="6"/>
  <c r="BU30" i="6"/>
  <c r="BV30" i="6"/>
  <c r="BW30" i="6"/>
  <c r="BX30" i="6"/>
  <c r="BY30" i="6"/>
  <c r="BZ30" i="6"/>
  <c r="CA30" i="6"/>
  <c r="CB30" i="6"/>
  <c r="CC30" i="6"/>
  <c r="CD30" i="6"/>
  <c r="CE30" i="6"/>
  <c r="CF30" i="6"/>
  <c r="CG30" i="6"/>
  <c r="S35" i="6"/>
  <c r="T35" i="6"/>
  <c r="U35" i="6"/>
  <c r="V35" i="6"/>
  <c r="W35" i="6"/>
  <c r="W78" i="6" s="1"/>
  <c r="V37" i="6" l="1"/>
  <c r="V78" i="6"/>
  <c r="U37" i="6"/>
  <c r="U78" i="6"/>
  <c r="S37" i="6"/>
  <c r="S78" i="6"/>
  <c r="T37" i="6"/>
  <c r="T78" i="6"/>
  <c r="C82" i="6"/>
  <c r="GS440" i="1"/>
  <c r="GR440" i="1"/>
  <c r="GQ440" i="1"/>
  <c r="GP440" i="1"/>
  <c r="GO440" i="1"/>
  <c r="GN440" i="1"/>
  <c r="GM440" i="1"/>
  <c r="GL440" i="1"/>
  <c r="GK440" i="1"/>
  <c r="GJ440" i="1"/>
  <c r="GI440" i="1"/>
  <c r="GH440" i="1"/>
  <c r="GG440" i="1"/>
  <c r="GF440" i="1"/>
  <c r="GE440" i="1"/>
  <c r="GD440" i="1"/>
  <c r="GC440" i="1"/>
  <c r="GB440" i="1"/>
  <c r="GA440" i="1"/>
  <c r="FZ440" i="1"/>
  <c r="FY440" i="1"/>
  <c r="FX440" i="1"/>
  <c r="FW440" i="1"/>
  <c r="FV440" i="1"/>
  <c r="FU440" i="1"/>
  <c r="FT440" i="1"/>
  <c r="FS440" i="1"/>
  <c r="FR440" i="1"/>
  <c r="FQ440" i="1"/>
  <c r="FP440" i="1"/>
  <c r="FO440" i="1"/>
  <c r="FN440" i="1"/>
  <c r="FM440" i="1"/>
  <c r="FL440" i="1"/>
  <c r="FK440" i="1"/>
  <c r="FJ440" i="1"/>
  <c r="FI440" i="1"/>
  <c r="FH440" i="1"/>
  <c r="FG440" i="1"/>
  <c r="FF440" i="1"/>
  <c r="FE440" i="1"/>
  <c r="FD440" i="1"/>
  <c r="FC440" i="1"/>
  <c r="FB440" i="1"/>
  <c r="FA440" i="1"/>
  <c r="EZ440" i="1"/>
  <c r="EY440" i="1"/>
  <c r="EX440" i="1"/>
  <c r="EW440" i="1"/>
  <c r="EV440" i="1"/>
  <c r="EU440" i="1"/>
  <c r="ET440" i="1"/>
  <c r="ES440" i="1"/>
  <c r="ER440" i="1"/>
  <c r="EQ440" i="1"/>
  <c r="EP440" i="1"/>
  <c r="EO440" i="1"/>
  <c r="EN440" i="1"/>
  <c r="EM440" i="1"/>
  <c r="EL440" i="1"/>
  <c r="EK440" i="1"/>
  <c r="EJ440" i="1"/>
  <c r="EI440" i="1"/>
  <c r="EH440" i="1"/>
  <c r="EG440" i="1"/>
  <c r="EF440" i="1"/>
  <c r="EE440" i="1"/>
  <c r="ED440" i="1"/>
  <c r="EC440" i="1"/>
  <c r="EB440" i="1"/>
  <c r="EA440" i="1"/>
  <c r="DZ440" i="1"/>
  <c r="DY440" i="1"/>
  <c r="DX440" i="1"/>
  <c r="DW440" i="1"/>
  <c r="DV440" i="1"/>
  <c r="DU440" i="1"/>
  <c r="DT440" i="1"/>
  <c r="DS440" i="1"/>
  <c r="DR440" i="1"/>
  <c r="DQ440" i="1"/>
  <c r="DP440" i="1"/>
  <c r="DO440" i="1"/>
  <c r="DN440" i="1"/>
  <c r="DM440" i="1"/>
  <c r="DL440" i="1"/>
  <c r="DK440" i="1"/>
  <c r="DJ440" i="1"/>
  <c r="DI440" i="1"/>
  <c r="DH440" i="1"/>
  <c r="DG440" i="1"/>
  <c r="DF440" i="1"/>
  <c r="DE440" i="1"/>
  <c r="DD440" i="1"/>
  <c r="DC440" i="1"/>
  <c r="DB440" i="1"/>
  <c r="DA440" i="1"/>
  <c r="CZ440" i="1"/>
  <c r="CY440" i="1"/>
  <c r="CX440" i="1"/>
  <c r="CW440" i="1"/>
  <c r="CV440" i="1"/>
  <c r="CU440" i="1"/>
  <c r="CT440" i="1"/>
  <c r="CS440" i="1"/>
  <c r="CR440" i="1"/>
  <c r="CQ440" i="1"/>
  <c r="CP440" i="1"/>
  <c r="CO440" i="1"/>
  <c r="CN440" i="1"/>
  <c r="CM440" i="1"/>
  <c r="CL440" i="1"/>
  <c r="CK440" i="1"/>
  <c r="CJ440" i="1"/>
  <c r="CI440" i="1"/>
  <c r="CH440" i="1"/>
  <c r="CG440" i="1"/>
  <c r="CF440" i="1"/>
  <c r="CE440" i="1"/>
  <c r="CD440" i="1"/>
  <c r="CC440" i="1"/>
  <c r="CB440" i="1"/>
  <c r="CA440" i="1"/>
  <c r="BZ440" i="1"/>
  <c r="BY440" i="1"/>
  <c r="BX440" i="1"/>
  <c r="BW440" i="1"/>
  <c r="BV440" i="1"/>
  <c r="BU440" i="1"/>
  <c r="BT440" i="1"/>
  <c r="BS440" i="1"/>
  <c r="BR440" i="1"/>
  <c r="BQ440" i="1"/>
  <c r="BP440" i="1"/>
  <c r="BO440" i="1"/>
  <c r="BN440" i="1"/>
  <c r="BM440" i="1"/>
  <c r="BL440" i="1"/>
  <c r="BK440" i="1"/>
  <c r="BJ440" i="1"/>
  <c r="BI440" i="1"/>
  <c r="BH440" i="1"/>
  <c r="BG440" i="1"/>
  <c r="BF440" i="1"/>
  <c r="BE440" i="1"/>
  <c r="BD440" i="1"/>
  <c r="BC440" i="1"/>
  <c r="BB440" i="1"/>
  <c r="BA440" i="1"/>
  <c r="AZ440" i="1"/>
  <c r="AY440" i="1"/>
  <c r="AX440" i="1"/>
  <c r="AW440" i="1"/>
  <c r="AV440" i="1"/>
  <c r="AU440" i="1"/>
  <c r="AT440" i="1"/>
  <c r="AS440" i="1"/>
  <c r="AR440" i="1"/>
  <c r="AQ440" i="1"/>
  <c r="AP440" i="1"/>
  <c r="AO440" i="1"/>
  <c r="AN440" i="1"/>
  <c r="AM440" i="1"/>
  <c r="AL440" i="1"/>
  <c r="AK440" i="1"/>
  <c r="GS442" i="1"/>
  <c r="GR442" i="1"/>
  <c r="GQ442" i="1"/>
  <c r="GP442" i="1"/>
  <c r="GO442" i="1"/>
  <c r="GN442" i="1"/>
  <c r="GM442" i="1"/>
  <c r="GL442" i="1"/>
  <c r="GK442" i="1"/>
  <c r="GJ442" i="1"/>
  <c r="GI442" i="1"/>
  <c r="GH442" i="1"/>
  <c r="GG442" i="1"/>
  <c r="GF442" i="1"/>
  <c r="GE442" i="1"/>
  <c r="GD442" i="1"/>
  <c r="GC442" i="1"/>
  <c r="GB442" i="1"/>
  <c r="GA442" i="1"/>
  <c r="FZ442" i="1"/>
  <c r="FY442" i="1"/>
  <c r="FX442" i="1"/>
  <c r="FW442" i="1"/>
  <c r="FV442" i="1"/>
  <c r="FU442" i="1"/>
  <c r="FT442" i="1"/>
  <c r="FS442" i="1"/>
  <c r="FR442" i="1"/>
  <c r="FQ442" i="1"/>
  <c r="FP442" i="1"/>
  <c r="FO442" i="1"/>
  <c r="FN442" i="1"/>
  <c r="FM442" i="1"/>
  <c r="FL442" i="1"/>
  <c r="FK442" i="1"/>
  <c r="FJ442" i="1"/>
  <c r="FI442" i="1"/>
  <c r="FH442" i="1"/>
  <c r="FG442" i="1"/>
  <c r="FF442" i="1"/>
  <c r="FE442" i="1"/>
  <c r="FD442" i="1"/>
  <c r="FC442" i="1"/>
  <c r="FB442" i="1"/>
  <c r="FA442" i="1"/>
  <c r="EZ442" i="1"/>
  <c r="EY442" i="1"/>
  <c r="EX442" i="1"/>
  <c r="EW442" i="1"/>
  <c r="EV442" i="1"/>
  <c r="EU442" i="1"/>
  <c r="ET442" i="1"/>
  <c r="ES442" i="1"/>
  <c r="ER442" i="1"/>
  <c r="EQ442" i="1"/>
  <c r="EP442" i="1"/>
  <c r="EO442" i="1"/>
  <c r="EN442" i="1"/>
  <c r="EM442" i="1"/>
  <c r="EL442" i="1"/>
  <c r="EK442" i="1"/>
  <c r="EJ442" i="1"/>
  <c r="EI442" i="1"/>
  <c r="EH442" i="1"/>
  <c r="EG442" i="1"/>
  <c r="EF442" i="1"/>
  <c r="EE442" i="1"/>
  <c r="ED442" i="1"/>
  <c r="EC442" i="1"/>
  <c r="EB442" i="1"/>
  <c r="EA442" i="1"/>
  <c r="DZ442" i="1"/>
  <c r="DY442" i="1"/>
  <c r="DX442" i="1"/>
  <c r="DW442" i="1"/>
  <c r="DV442" i="1"/>
  <c r="DU442" i="1"/>
  <c r="DT442" i="1"/>
  <c r="DS442" i="1"/>
  <c r="DR442" i="1"/>
  <c r="DQ442" i="1"/>
  <c r="DP442" i="1"/>
  <c r="DO442" i="1"/>
  <c r="DN442" i="1"/>
  <c r="DM442" i="1"/>
  <c r="DL442" i="1"/>
  <c r="DK442" i="1"/>
  <c r="DJ442" i="1"/>
  <c r="DI442" i="1"/>
  <c r="DH442" i="1"/>
  <c r="DG442" i="1"/>
  <c r="DF442" i="1"/>
  <c r="DE442" i="1"/>
  <c r="DD442" i="1"/>
  <c r="DC442" i="1"/>
  <c r="DB442" i="1"/>
  <c r="DA442" i="1"/>
  <c r="CZ442" i="1"/>
  <c r="CY442" i="1"/>
  <c r="CX442" i="1"/>
  <c r="CW442" i="1"/>
  <c r="CV442" i="1"/>
  <c r="CU442" i="1"/>
  <c r="CT442" i="1"/>
  <c r="CS442" i="1"/>
  <c r="CR442" i="1"/>
  <c r="CQ442" i="1"/>
  <c r="CP442" i="1"/>
  <c r="CO442" i="1"/>
  <c r="CN442" i="1"/>
  <c r="CM442" i="1"/>
  <c r="CL442" i="1"/>
  <c r="CK442" i="1"/>
  <c r="CJ442" i="1"/>
  <c r="CI442" i="1"/>
  <c r="CH442" i="1"/>
  <c r="CG442" i="1"/>
  <c r="CF442" i="1"/>
  <c r="CE442" i="1"/>
  <c r="CD442" i="1"/>
  <c r="CC442" i="1"/>
  <c r="CB442" i="1"/>
  <c r="CA442" i="1"/>
  <c r="BZ442" i="1"/>
  <c r="BY442" i="1"/>
  <c r="BX442" i="1"/>
  <c r="BW442" i="1"/>
  <c r="BV442" i="1"/>
  <c r="BU442" i="1"/>
  <c r="BT442" i="1"/>
  <c r="BS442" i="1"/>
  <c r="BR442" i="1"/>
  <c r="BQ442" i="1"/>
  <c r="BP442" i="1"/>
  <c r="BO442" i="1"/>
  <c r="BN442" i="1"/>
  <c r="BM442" i="1"/>
  <c r="BL442" i="1"/>
  <c r="BK442" i="1"/>
  <c r="BJ442" i="1"/>
  <c r="BI442" i="1"/>
  <c r="BH442" i="1"/>
  <c r="BG442" i="1"/>
  <c r="BF442" i="1"/>
  <c r="BE442" i="1"/>
  <c r="BD442" i="1"/>
  <c r="BC442" i="1"/>
  <c r="BB442" i="1"/>
  <c r="BA442" i="1"/>
  <c r="AZ442" i="1"/>
  <c r="AY442" i="1"/>
  <c r="AX442" i="1"/>
  <c r="AW442" i="1"/>
  <c r="AV442" i="1"/>
  <c r="AU442" i="1"/>
  <c r="AT442" i="1"/>
  <c r="AS442" i="1"/>
  <c r="AR442" i="1"/>
  <c r="AQ442" i="1"/>
  <c r="AP442" i="1"/>
  <c r="AO442" i="1"/>
  <c r="AN442" i="1"/>
  <c r="AM442" i="1"/>
  <c r="AL442" i="1"/>
  <c r="AK442" i="1"/>
  <c r="AJ442" i="1"/>
  <c r="AI442" i="1"/>
  <c r="AH442" i="1"/>
  <c r="AG442" i="1"/>
  <c r="AF442" i="1"/>
  <c r="AE442" i="1"/>
  <c r="AD442" i="1"/>
  <c r="AC442" i="1"/>
  <c r="AB442" i="1"/>
  <c r="AA442" i="1"/>
  <c r="Z442" i="1"/>
  <c r="Y442" i="1"/>
  <c r="X442" i="1"/>
  <c r="W442" i="1"/>
  <c r="V442" i="1"/>
  <c r="U442" i="1"/>
  <c r="T442" i="1"/>
  <c r="S442" i="1"/>
  <c r="R442" i="1"/>
  <c r="Q442" i="1"/>
  <c r="P442" i="1"/>
  <c r="O442" i="1"/>
  <c r="N442" i="1"/>
  <c r="M442" i="1"/>
  <c r="L442" i="1"/>
  <c r="K442" i="1"/>
  <c r="J442" i="1"/>
  <c r="I442" i="1"/>
  <c r="H442" i="1"/>
  <c r="G442" i="1"/>
  <c r="F442" i="1"/>
  <c r="E442" i="1"/>
  <c r="D442" i="1"/>
  <c r="C442" i="1"/>
  <c r="B442" i="1"/>
  <c r="AJ440" i="1"/>
  <c r="AI440" i="1"/>
  <c r="AH440" i="1"/>
  <c r="AG440" i="1"/>
  <c r="AF440" i="1"/>
  <c r="AE440" i="1"/>
  <c r="AD440" i="1"/>
  <c r="AC440" i="1"/>
  <c r="AB440" i="1"/>
  <c r="AA440" i="1"/>
  <c r="Z440" i="1"/>
  <c r="Y440" i="1"/>
  <c r="W440" i="1"/>
  <c r="X440" i="1"/>
  <c r="V440" i="1"/>
  <c r="U440" i="1"/>
  <c r="T440" i="1"/>
  <c r="S440" i="1"/>
  <c r="R440" i="1"/>
  <c r="Q440" i="1"/>
  <c r="P440" i="1"/>
  <c r="O440" i="1"/>
  <c r="N440" i="1"/>
  <c r="M440" i="1"/>
  <c r="L440" i="1"/>
  <c r="K440" i="1"/>
  <c r="J440" i="1"/>
  <c r="I440" i="1"/>
  <c r="H440" i="1"/>
  <c r="G440" i="1"/>
  <c r="F440" i="1"/>
  <c r="E440" i="1"/>
  <c r="D440" i="1"/>
  <c r="C440" i="1"/>
  <c r="B440" i="1"/>
  <c r="B264" i="6"/>
  <c r="W21" i="1"/>
  <c r="B243" i="6" l="1"/>
  <c r="B244" i="6"/>
  <c r="B246" i="6"/>
  <c r="B247" i="6"/>
  <c r="B245" i="6"/>
  <c r="B242" i="6"/>
  <c r="B241" i="6"/>
  <c r="L46" i="6"/>
  <c r="N46" i="6" s="1"/>
  <c r="N45" i="6"/>
  <c r="AW78" i="6"/>
  <c r="AV78" i="6"/>
  <c r="AU77" i="6"/>
  <c r="AT77" i="6"/>
  <c r="AS80" i="6"/>
  <c r="AR80" i="6"/>
  <c r="AQ79" i="6"/>
  <c r="AP79" i="6"/>
  <c r="AO70" i="6"/>
  <c r="AO66" i="6"/>
  <c r="BG73" i="6"/>
  <c r="AM70" i="6"/>
  <c r="AM69" i="6"/>
  <c r="AM65" i="6"/>
  <c r="O74" i="6"/>
  <c r="O73" i="6" s="1"/>
  <c r="B261" i="6" l="1"/>
  <c r="B260" i="6"/>
  <c r="U47" i="6"/>
  <c r="B251" i="6"/>
  <c r="B252" i="6"/>
  <c r="R45" i="6"/>
  <c r="U45" i="6"/>
  <c r="U46" i="6"/>
  <c r="W47" i="6"/>
  <c r="B248" i="6"/>
  <c r="B259" i="6" s="1"/>
  <c r="W46" i="6"/>
  <c r="BG70" i="6"/>
  <c r="BG71" i="6" s="1"/>
  <c r="Q47" i="6"/>
  <c r="AF47" i="6"/>
  <c r="AA47" i="6"/>
  <c r="V47" i="6"/>
  <c r="R47" i="6"/>
  <c r="AE47" i="6"/>
  <c r="Z47" i="6"/>
  <c r="O47" i="6"/>
  <c r="AI47" i="6"/>
  <c r="AD47" i="6"/>
  <c r="X47" i="6"/>
  <c r="P47" i="6"/>
  <c r="AH47" i="6"/>
  <c r="AB47" i="6"/>
  <c r="T47" i="6"/>
  <c r="P45" i="6"/>
  <c r="Q46" i="6"/>
  <c r="AG45" i="6"/>
  <c r="AC45" i="6"/>
  <c r="Y45" i="6"/>
  <c r="S45" i="6"/>
  <c r="AG47" i="6"/>
  <c r="AC47" i="6"/>
  <c r="Y47" i="6"/>
  <c r="S47" i="6"/>
  <c r="AG46" i="6"/>
  <c r="AC46" i="6"/>
  <c r="Y46" i="6"/>
  <c r="S46" i="6"/>
  <c r="O45" i="6"/>
  <c r="P46" i="6"/>
  <c r="AF45" i="6"/>
  <c r="AB45" i="6"/>
  <c r="X45" i="6"/>
  <c r="R46" i="6"/>
  <c r="AF46" i="6"/>
  <c r="AB46" i="6"/>
  <c r="X46" i="6"/>
  <c r="T45" i="6"/>
  <c r="O46" i="6"/>
  <c r="AI45" i="6"/>
  <c r="AE45" i="6"/>
  <c r="AA45" i="6"/>
  <c r="W45" i="6"/>
  <c r="AI46" i="6"/>
  <c r="AE46" i="6"/>
  <c r="AA46" i="6"/>
  <c r="T46" i="6"/>
  <c r="Q45" i="6"/>
  <c r="AH45" i="6"/>
  <c r="AD45" i="6"/>
  <c r="Z45" i="6"/>
  <c r="V45" i="6"/>
  <c r="AH46" i="6"/>
  <c r="AD46" i="6"/>
  <c r="Z46" i="6"/>
  <c r="V46" i="6"/>
  <c r="AO69" i="6"/>
  <c r="AG75" i="6" l="1"/>
  <c r="U74" i="6" s="1"/>
  <c r="U73" i="6" s="1"/>
  <c r="BG66" i="6"/>
  <c r="BG67" i="6" s="1"/>
  <c r="B262" i="6"/>
  <c r="B254" i="6"/>
  <c r="B250" i="6"/>
  <c r="B249" i="6"/>
  <c r="B255" i="6"/>
  <c r="B256" i="6"/>
  <c r="BG69" i="6"/>
  <c r="AU66" i="6"/>
  <c r="AU65" i="6" s="1"/>
  <c r="AY66" i="6"/>
  <c r="AY65" i="6" s="1"/>
  <c r="BC66" i="6"/>
  <c r="BC65" i="6" s="1"/>
  <c r="AR66" i="6"/>
  <c r="AR65" i="6" s="1"/>
  <c r="AV66" i="6"/>
  <c r="AV65" i="6" s="1"/>
  <c r="AZ66" i="6"/>
  <c r="AZ65" i="6" s="1"/>
  <c r="BD66" i="6"/>
  <c r="BD65" i="6" s="1"/>
  <c r="AQ66" i="6"/>
  <c r="AQ65" i="6" s="1"/>
  <c r="AS66" i="6"/>
  <c r="AS65" i="6" s="1"/>
  <c r="AW66" i="6"/>
  <c r="AW65" i="6" s="1"/>
  <c r="BA66" i="6"/>
  <c r="BA65" i="6" s="1"/>
  <c r="BE66" i="6"/>
  <c r="BE65" i="6" s="1"/>
  <c r="AP66" i="6"/>
  <c r="AP65" i="6" s="1"/>
  <c r="AT66" i="6"/>
  <c r="AT65" i="6" s="1"/>
  <c r="AX66" i="6"/>
  <c r="AX65" i="6" s="1"/>
  <c r="BB66" i="6"/>
  <c r="BB65" i="6" s="1"/>
  <c r="BF66" i="6"/>
  <c r="BF65" i="6" s="1"/>
  <c r="AU70" i="6"/>
  <c r="AU69" i="6" s="1"/>
  <c r="AY70" i="6"/>
  <c r="AY69" i="6" s="1"/>
  <c r="BC70" i="6"/>
  <c r="BC69" i="6" s="1"/>
  <c r="AR70" i="6"/>
  <c r="AR69" i="6" s="1"/>
  <c r="BF70" i="6"/>
  <c r="BF69" i="6" s="1"/>
  <c r="AV70" i="6"/>
  <c r="AV69" i="6" s="1"/>
  <c r="AZ70" i="6"/>
  <c r="AZ69" i="6" s="1"/>
  <c r="BD70" i="6"/>
  <c r="BD69" i="6" s="1"/>
  <c r="AQ70" i="6"/>
  <c r="AQ69" i="6" s="1"/>
  <c r="AS70" i="6"/>
  <c r="AS69" i="6" s="1"/>
  <c r="AW70" i="6"/>
  <c r="AW69" i="6" s="1"/>
  <c r="BA70" i="6"/>
  <c r="BA69" i="6" s="1"/>
  <c r="BE70" i="6"/>
  <c r="BE69" i="6" s="1"/>
  <c r="AP70" i="6"/>
  <c r="AP69" i="6" s="1"/>
  <c r="AT70" i="6"/>
  <c r="AT69" i="6" s="1"/>
  <c r="AX70" i="6"/>
  <c r="AX69" i="6" s="1"/>
  <c r="BB70" i="6"/>
  <c r="BB69" i="6" s="1"/>
  <c r="T70" i="6"/>
  <c r="T69" i="6" s="1"/>
  <c r="U70" i="6"/>
  <c r="U69" i="6" s="1"/>
  <c r="AO65" i="6"/>
  <c r="V70" i="6"/>
  <c r="V69" i="6" s="1"/>
  <c r="Y70" i="6"/>
  <c r="Y69" i="6" s="1"/>
  <c r="AC70" i="6"/>
  <c r="AC69" i="6" s="1"/>
  <c r="R70" i="6"/>
  <c r="R69" i="6" s="1"/>
  <c r="S70" i="6"/>
  <c r="S69" i="6" s="1"/>
  <c r="AE70" i="6"/>
  <c r="AE69" i="6" s="1"/>
  <c r="AB70" i="6"/>
  <c r="AB69" i="6" s="1"/>
  <c r="Z70" i="6"/>
  <c r="Z69" i="6" s="1"/>
  <c r="AD70" i="6"/>
  <c r="AD69" i="6" s="1"/>
  <c r="Q70" i="6"/>
  <c r="Q69" i="6" s="1"/>
  <c r="W70" i="6"/>
  <c r="W69" i="6" s="1"/>
  <c r="AA70" i="6"/>
  <c r="AA69" i="6" s="1"/>
  <c r="P70" i="6"/>
  <c r="P69" i="6" s="1"/>
  <c r="X70" i="6"/>
  <c r="X69" i="6" s="1"/>
  <c r="AF70" i="6"/>
  <c r="AF69" i="6" s="1"/>
  <c r="BG65" i="6" l="1"/>
  <c r="X74" i="6"/>
  <c r="X73" i="6" s="1"/>
  <c r="S74" i="6"/>
  <c r="S73" i="6" s="1"/>
  <c r="W74" i="6"/>
  <c r="W73" i="6" s="1"/>
  <c r="T74" i="6"/>
  <c r="T73" i="6" s="1"/>
  <c r="AD74" i="6"/>
  <c r="AD73" i="6" s="1"/>
  <c r="V74" i="6"/>
  <c r="V73" i="6" s="1"/>
  <c r="AC74" i="6"/>
  <c r="AC73" i="6" s="1"/>
  <c r="Y74" i="6"/>
  <c r="Y73" i="6" s="1"/>
  <c r="Q74" i="6"/>
  <c r="Q73" i="6" s="1"/>
  <c r="AF74" i="6"/>
  <c r="AF73" i="6" s="1"/>
  <c r="R74" i="6"/>
  <c r="R73" i="6" s="1"/>
  <c r="AB74" i="6"/>
  <c r="AB73" i="6" s="1"/>
  <c r="P74" i="6"/>
  <c r="P73" i="6" s="1"/>
  <c r="Z74" i="6"/>
  <c r="Z73" i="6" s="1"/>
  <c r="AE74" i="6"/>
  <c r="AE73" i="6" s="1"/>
  <c r="AA74" i="6"/>
  <c r="AA73" i="6" s="1"/>
  <c r="B257" i="6"/>
  <c r="B265" i="6"/>
  <c r="B258" i="6"/>
  <c r="B177" i="8"/>
  <c r="B171" i="8"/>
  <c r="B165" i="8"/>
  <c r="B159" i="8"/>
  <c r="B153" i="8"/>
  <c r="B147" i="8"/>
  <c r="B141" i="8"/>
  <c r="B135" i="8"/>
  <c r="B129" i="8"/>
  <c r="B123" i="8"/>
  <c r="B117" i="8"/>
  <c r="B111" i="8"/>
  <c r="B105" i="8"/>
  <c r="B99" i="8"/>
  <c r="B93" i="8"/>
  <c r="B87" i="8"/>
  <c r="B81" i="8"/>
  <c r="B75" i="8"/>
  <c r="B69" i="8"/>
  <c r="B63" i="8"/>
  <c r="B57" i="8"/>
  <c r="B51" i="8"/>
  <c r="B45" i="8"/>
  <c r="B39" i="8"/>
  <c r="B33" i="8"/>
  <c r="B27" i="8"/>
  <c r="B21" i="8"/>
  <c r="B15" i="8"/>
  <c r="A57" i="8"/>
  <c r="A50" i="8"/>
  <c r="A51" i="8" s="1"/>
  <c r="A44" i="8"/>
  <c r="A38" i="8"/>
  <c r="A39" i="8" s="1"/>
  <c r="A32" i="8"/>
  <c r="A33" i="8" s="1"/>
  <c r="A27" i="8"/>
  <c r="A20" i="8"/>
  <c r="A14" i="8"/>
  <c r="A8" i="8"/>
  <c r="A9" i="8" s="1"/>
  <c r="A3" i="8"/>
  <c r="P65" i="6" l="1"/>
  <c r="AA66" i="6"/>
  <c r="AA65" i="6" s="1"/>
  <c r="AB66" i="6"/>
  <c r="AB65" i="6" s="1"/>
  <c r="S66" i="6"/>
  <c r="S65" i="6" s="1"/>
  <c r="W66" i="6"/>
  <c r="W65" i="6" s="1"/>
  <c r="Q66" i="6"/>
  <c r="Q65" i="6" s="1"/>
  <c r="X66" i="6"/>
  <c r="X65" i="6" s="1"/>
  <c r="U66" i="6"/>
  <c r="U65" i="6" s="1"/>
  <c r="Z66" i="6"/>
  <c r="Z65" i="6" s="1"/>
  <c r="AC66" i="6"/>
  <c r="AC65" i="6" s="1"/>
  <c r="R66" i="6"/>
  <c r="R65" i="6" s="1"/>
  <c r="T66" i="6"/>
  <c r="T65" i="6" s="1"/>
  <c r="Y66" i="6"/>
  <c r="Y65" i="6" s="1"/>
  <c r="AD66" i="6"/>
  <c r="AD65" i="6" s="1"/>
  <c r="V66" i="6"/>
  <c r="V65" i="6" s="1"/>
  <c r="A15" i="8"/>
  <c r="A21" i="8"/>
  <c r="A45" i="8"/>
  <c r="BF41" i="6" l="1"/>
  <c r="BG41" i="6"/>
  <c r="BF40" i="6"/>
  <c r="BG40" i="6"/>
  <c r="X21" i="1" l="1"/>
  <c r="Y21" i="1"/>
  <c r="Z21" i="1"/>
  <c r="AA21" i="1"/>
  <c r="AB21" i="1"/>
  <c r="AC21" i="1"/>
  <c r="AD21" i="1"/>
  <c r="AE21" i="1"/>
  <c r="AF21" i="1"/>
  <c r="BB29" i="6"/>
  <c r="BH40" i="6"/>
  <c r="BI40" i="6"/>
  <c r="BJ40" i="6"/>
  <c r="BH41" i="6"/>
  <c r="BI41" i="6"/>
  <c r="BJ41" i="6"/>
  <c r="E35" i="6"/>
  <c r="G35" i="6"/>
  <c r="O35" i="6"/>
  <c r="P35" i="6"/>
  <c r="P78" i="6" s="1"/>
  <c r="Q35" i="6"/>
  <c r="Q78" i="6" s="1"/>
  <c r="R35" i="6"/>
  <c r="R78" i="6" s="1"/>
  <c r="X35" i="6"/>
  <c r="X78" i="6" s="1"/>
  <c r="Y35" i="6"/>
  <c r="Y78" i="6" s="1"/>
  <c r="Z35" i="6"/>
  <c r="Z78" i="6" s="1"/>
  <c r="AA35" i="6"/>
  <c r="AA78" i="6" s="1"/>
  <c r="AB35" i="6"/>
  <c r="AB78" i="6" s="1"/>
  <c r="AC35" i="6"/>
  <c r="AC78" i="6" s="1"/>
  <c r="AD35" i="6"/>
  <c r="AD78" i="6" s="1"/>
  <c r="AE35" i="6"/>
  <c r="AE78" i="6" s="1"/>
  <c r="AF35" i="6"/>
  <c r="AF78" i="6" s="1"/>
  <c r="AG35" i="6"/>
  <c r="AG78" i="6" s="1"/>
  <c r="AH35" i="6"/>
  <c r="AH78" i="6" s="1"/>
  <c r="AI35" i="6"/>
  <c r="AI78" i="6" s="1"/>
  <c r="S43" i="6"/>
  <c r="T43" i="6" s="1"/>
  <c r="Z43" i="6"/>
  <c r="AA43" i="6"/>
  <c r="I44" i="6"/>
  <c r="A80" i="6"/>
  <c r="A81" i="6"/>
  <c r="A83" i="6"/>
  <c r="E94" i="6"/>
  <c r="D80" i="6" l="1"/>
  <c r="C80" i="6"/>
  <c r="O37" i="6"/>
  <c r="O78" i="6"/>
  <c r="P39" i="6"/>
  <c r="Q37" i="6"/>
  <c r="AD37" i="6"/>
  <c r="AC37" i="6"/>
  <c r="Y37" i="6"/>
  <c r="Q39" i="6"/>
  <c r="Z37" i="6"/>
  <c r="AH37" i="6"/>
  <c r="AG37" i="6"/>
  <c r="AE37" i="6"/>
  <c r="AA37" i="6"/>
  <c r="R37" i="6"/>
  <c r="AI37" i="6"/>
  <c r="W37" i="6"/>
  <c r="AF37" i="6"/>
  <c r="AB37" i="6"/>
  <c r="X37" i="6"/>
  <c r="P37" i="6"/>
  <c r="Z63" i="1" l="1"/>
  <c r="BM30" i="6"/>
  <c r="Z61" i="1"/>
  <c r="X63" i="1"/>
  <c r="Y62" i="1"/>
  <c r="X61" i="1"/>
  <c r="BI30" i="6" l="1"/>
  <c r="AB66" i="1"/>
  <c r="BK30" i="6"/>
  <c r="AD66" i="1"/>
  <c r="Y61" i="1"/>
  <c r="Z62" i="1"/>
  <c r="AA61" i="1"/>
  <c r="BJ30" i="6"/>
  <c r="Y63" i="1"/>
  <c r="AB67" i="1"/>
  <c r="AA63" i="1"/>
  <c r="AA62" i="1"/>
  <c r="W62" i="1"/>
  <c r="W63" i="1"/>
  <c r="W61" i="1"/>
  <c r="W69" i="1" s="1"/>
  <c r="X62" i="1"/>
  <c r="BF30" i="6" l="1"/>
  <c r="BG30" i="6"/>
  <c r="AA66" i="1"/>
  <c r="AA64" i="1"/>
  <c r="AA69" i="1" s="1"/>
  <c r="BH30" i="6"/>
  <c r="AF66" i="1"/>
  <c r="BD30" i="6"/>
  <c r="AD67" i="1"/>
  <c r="AF67" i="1"/>
  <c r="AC67" i="1"/>
  <c r="AF65" i="1"/>
  <c r="AE66" i="1"/>
  <c r="BL30" i="6"/>
  <c r="AC66" i="1"/>
  <c r="BE30" i="6"/>
  <c r="X64" i="1"/>
  <c r="X69" i="1" s="1"/>
  <c r="Y64" i="1"/>
  <c r="Y69" i="1" s="1"/>
  <c r="Z64" i="1"/>
  <c r="Z69" i="1" s="1"/>
  <c r="BB30" i="6" l="1"/>
  <c r="BB31" i="6"/>
  <c r="BD31" i="6" s="1"/>
  <c r="Y67" i="1"/>
  <c r="AA67" i="1"/>
  <c r="AA65" i="1"/>
  <c r="AD65" i="1"/>
  <c r="AB68" i="1"/>
  <c r="W67" i="1"/>
  <c r="AB65" i="1"/>
  <c r="AF68" i="1"/>
  <c r="W66" i="1"/>
  <c r="AD68" i="1"/>
  <c r="Z66" i="1"/>
  <c r="X67" i="1"/>
  <c r="AE67" i="1"/>
  <c r="AE65" i="1"/>
  <c r="Z67" i="1"/>
  <c r="Y66" i="1"/>
  <c r="AC68" i="1"/>
  <c r="AC65" i="1"/>
  <c r="X66" i="1"/>
  <c r="BN31" i="6" l="1"/>
  <c r="BR31" i="6"/>
  <c r="BV31" i="6"/>
  <c r="BZ31" i="6"/>
  <c r="CD31" i="6"/>
  <c r="BY31" i="6"/>
  <c r="BO31" i="6"/>
  <c r="BS31" i="6"/>
  <c r="BW31" i="6"/>
  <c r="CA31" i="6"/>
  <c r="CE31" i="6"/>
  <c r="BU31" i="6"/>
  <c r="CC31" i="6"/>
  <c r="CG31" i="6"/>
  <c r="BP31" i="6"/>
  <c r="BT31" i="6"/>
  <c r="BX31" i="6"/>
  <c r="CB31" i="6"/>
  <c r="CF31" i="6"/>
  <c r="BQ31" i="6"/>
  <c r="AA68" i="1"/>
  <c r="BG31" i="6"/>
  <c r="BF31" i="6"/>
  <c r="BK31" i="6"/>
  <c r="BB33" i="6"/>
  <c r="BI31" i="6"/>
  <c r="BH31" i="6"/>
  <c r="BE31" i="6"/>
  <c r="BM31" i="6"/>
  <c r="BL31" i="6"/>
  <c r="BJ31" i="6"/>
  <c r="W68" i="1"/>
  <c r="AE68" i="1"/>
  <c r="Y68" i="1"/>
  <c r="Y65" i="1"/>
  <c r="Z65" i="1"/>
  <c r="Z68" i="1"/>
  <c r="X65" i="1"/>
  <c r="X68" i="1"/>
  <c r="BQ33" i="6" l="1"/>
  <c r="BQ35" i="6" s="1"/>
  <c r="CB33" i="6"/>
  <c r="CB35" i="6" s="1"/>
  <c r="BU33" i="6"/>
  <c r="BU35" i="6" s="1"/>
  <c r="CE33" i="6"/>
  <c r="CE35" i="6" s="1"/>
  <c r="BO33" i="6"/>
  <c r="BO35" i="6" s="1"/>
  <c r="BZ33" i="6"/>
  <c r="BZ35" i="6" s="1"/>
  <c r="BX33" i="6"/>
  <c r="BX35" i="6" s="1"/>
  <c r="CA33" i="6"/>
  <c r="CA35" i="6" s="1"/>
  <c r="BV33" i="6"/>
  <c r="BV35" i="6" s="1"/>
  <c r="BT33" i="6"/>
  <c r="BT35" i="6" s="1"/>
  <c r="CG33" i="6"/>
  <c r="CG35" i="6" s="1"/>
  <c r="BW33" i="6"/>
  <c r="BW35" i="6" s="1"/>
  <c r="BR33" i="6"/>
  <c r="BR35" i="6" s="1"/>
  <c r="CF33" i="6"/>
  <c r="CF35" i="6" s="1"/>
  <c r="BP33" i="6"/>
  <c r="BP35" i="6" s="1"/>
  <c r="CC33" i="6"/>
  <c r="CC35" i="6" s="1"/>
  <c r="BS33" i="6"/>
  <c r="BS35" i="6" s="1"/>
  <c r="BY33" i="6"/>
  <c r="BY35" i="6" s="1"/>
  <c r="CD33" i="6"/>
  <c r="CD35" i="6" s="1"/>
  <c r="BN33" i="6"/>
  <c r="BN35" i="6" s="1"/>
  <c r="D81" i="6"/>
  <c r="BF33" i="6"/>
  <c r="BF35" i="6" s="1"/>
  <c r="BG33" i="6"/>
  <c r="BG35" i="6" s="1"/>
  <c r="BK33" i="6"/>
  <c r="BK35" i="6" s="1"/>
  <c r="D82" i="6"/>
  <c r="O83" i="6" s="1"/>
  <c r="C81" i="6"/>
  <c r="BE33" i="6"/>
  <c r="BE35" i="6" s="1"/>
  <c r="BL33" i="6"/>
  <c r="BL35" i="6" s="1"/>
  <c r="BI33" i="6"/>
  <c r="BI35" i="6" s="1"/>
  <c r="BJ33" i="6"/>
  <c r="BJ35" i="6" s="1"/>
  <c r="BD33" i="6"/>
  <c r="BD35" i="6" s="1"/>
  <c r="BM33" i="6"/>
  <c r="BM35" i="6" s="1"/>
  <c r="BH33" i="6"/>
  <c r="BH35" i="6" s="1"/>
  <c r="O80" i="6"/>
  <c r="S83" i="6" l="1"/>
  <c r="S79" i="6" s="1"/>
  <c r="AI83" i="6"/>
  <c r="AI79" i="6" s="1"/>
  <c r="AD82" i="6"/>
  <c r="X83" i="6"/>
  <c r="X79" i="6" s="1"/>
  <c r="S82" i="6"/>
  <c r="AI82" i="6"/>
  <c r="AC83" i="6"/>
  <c r="AC79" i="6" s="1"/>
  <c r="X82" i="6"/>
  <c r="R83" i="6"/>
  <c r="R79" i="6" s="1"/>
  <c r="AH83" i="6"/>
  <c r="AH79" i="6" s="1"/>
  <c r="AC82" i="6"/>
  <c r="W83" i="6"/>
  <c r="W79" i="6" s="1"/>
  <c r="R82" i="6"/>
  <c r="AH82" i="6"/>
  <c r="AB83" i="6"/>
  <c r="AB79" i="6" s="1"/>
  <c r="W82" i="6"/>
  <c r="Q83" i="6"/>
  <c r="Q79" i="6" s="1"/>
  <c r="AG83" i="6"/>
  <c r="AG79" i="6" s="1"/>
  <c r="AB82" i="6"/>
  <c r="V83" i="6"/>
  <c r="V79" i="6" s="1"/>
  <c r="Q82" i="6"/>
  <c r="AG82" i="6"/>
  <c r="AA83" i="6"/>
  <c r="AA79" i="6" s="1"/>
  <c r="V82" i="6"/>
  <c r="P83" i="6"/>
  <c r="P79" i="6" s="1"/>
  <c r="AF83" i="6"/>
  <c r="AF79" i="6" s="1"/>
  <c r="AA82" i="6"/>
  <c r="U83" i="6"/>
  <c r="U79" i="6" s="1"/>
  <c r="P82" i="6"/>
  <c r="AF82" i="6"/>
  <c r="Z83" i="6"/>
  <c r="Z79" i="6" s="1"/>
  <c r="U82" i="6"/>
  <c r="AE83" i="6"/>
  <c r="AE79" i="6" s="1"/>
  <c r="Z82" i="6"/>
  <c r="T83" i="6"/>
  <c r="T79" i="6" s="1"/>
  <c r="O79" i="6"/>
  <c r="AE82" i="6"/>
  <c r="Y83" i="6"/>
  <c r="Y79" i="6" s="1"/>
  <c r="T82" i="6"/>
  <c r="O82" i="6"/>
  <c r="AD83" i="6"/>
  <c r="AD79" i="6" s="1"/>
  <c r="Y82" i="6"/>
  <c r="R81" i="6"/>
  <c r="AI81" i="6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Q80" i="6"/>
  <c r="P80" i="6"/>
  <c r="S80" i="6"/>
  <c r="AG80" i="6"/>
  <c r="AI80" i="6"/>
  <c r="V80" i="6"/>
  <c r="AF80" i="6"/>
  <c r="AD80" i="6"/>
  <c r="AC80" i="6"/>
  <c r="AB80" i="6"/>
  <c r="AA80" i="6"/>
  <c r="AH80" i="6"/>
  <c r="R80" i="6"/>
  <c r="U80" i="6"/>
  <c r="X80" i="6"/>
  <c r="AE80" i="6"/>
  <c r="B266" i="6" l="1"/>
  <c r="AP30" i="6" l="1"/>
  <c r="AQ30" i="6" s="1"/>
  <c r="AR30" i="6" s="1"/>
  <c r="AS30" i="6" s="1"/>
  <c r="AT30" i="6" s="1"/>
  <c r="AU30" i="6" s="1"/>
  <c r="AV30" i="6" s="1"/>
  <c r="AW30" i="6" s="1"/>
  <c r="AX30" i="6" s="1"/>
  <c r="AP33" i="6"/>
  <c r="AQ33" i="6" s="1"/>
  <c r="AR33" i="6" s="1"/>
  <c r="AS33" i="6" s="1"/>
  <c r="AT33" i="6" s="1"/>
  <c r="AU33" i="6" s="1"/>
  <c r="AV33" i="6" s="1"/>
  <c r="AW33" i="6" s="1"/>
  <c r="AX33" i="6" s="1"/>
  <c r="AP36" i="6"/>
  <c r="AQ36" i="6" s="1"/>
  <c r="AR36" i="6" s="1"/>
  <c r="AS36" i="6" s="1"/>
  <c r="AT36" i="6" s="1"/>
  <c r="AU36" i="6" s="1"/>
  <c r="AV36" i="6" s="1"/>
  <c r="AW36" i="6" s="1"/>
  <c r="AX36" i="6" s="1"/>
  <c r="AP39" i="6"/>
  <c r="AQ39" i="6" s="1"/>
  <c r="AR39" i="6" s="1"/>
  <c r="AS39" i="6" s="1"/>
  <c r="AT39" i="6" s="1"/>
  <c r="AU39" i="6" s="1"/>
  <c r="AV39" i="6" s="1"/>
  <c r="AW39" i="6" s="1"/>
  <c r="AX39" i="6" s="1"/>
  <c r="AP42" i="6"/>
  <c r="AQ42" i="6" s="1"/>
  <c r="AR42" i="6" s="1"/>
  <c r="AS42" i="6" s="1"/>
  <c r="AT42" i="6" s="1"/>
  <c r="AU42" i="6" s="1"/>
  <c r="AV42" i="6" s="1"/>
  <c r="AW42" i="6" s="1"/>
  <c r="AX42" i="6" s="1"/>
  <c r="E171" i="6"/>
  <c r="F171" i="6" s="1"/>
  <c r="G171" i="6" s="1"/>
  <c r="H171" i="6" s="1"/>
  <c r="I171" i="6" s="1"/>
  <c r="J171" i="6" s="1"/>
  <c r="K171" i="6" s="1"/>
  <c r="L171" i="6" s="1"/>
  <c r="M171" i="6" s="1"/>
  <c r="E165" i="6"/>
  <c r="F165" i="6" s="1"/>
  <c r="G165" i="6" s="1"/>
  <c r="H165" i="6" s="1"/>
  <c r="I165" i="6" s="1"/>
  <c r="J165" i="6" s="1"/>
  <c r="K165" i="6" s="1"/>
  <c r="L165" i="6" s="1"/>
  <c r="M165" i="6" s="1"/>
  <c r="E159" i="6"/>
  <c r="F159" i="6" s="1"/>
  <c r="G159" i="6" s="1"/>
  <c r="H159" i="6" s="1"/>
  <c r="I159" i="6" s="1"/>
  <c r="J159" i="6" s="1"/>
  <c r="K159" i="6" s="1"/>
  <c r="L159" i="6" s="1"/>
  <c r="M159" i="6" s="1"/>
  <c r="E153" i="6"/>
  <c r="F153" i="6" s="1"/>
  <c r="G153" i="6" s="1"/>
  <c r="H153" i="6" s="1"/>
  <c r="I153" i="6" s="1"/>
  <c r="J153" i="6" s="1"/>
  <c r="K153" i="6" s="1"/>
  <c r="L153" i="6" s="1"/>
  <c r="M153" i="6" s="1"/>
  <c r="E168" i="6"/>
  <c r="F168" i="6" s="1"/>
  <c r="G168" i="6" s="1"/>
  <c r="H168" i="6" s="1"/>
  <c r="I168" i="6" s="1"/>
  <c r="J168" i="6" s="1"/>
  <c r="K168" i="6" s="1"/>
  <c r="L168" i="6" s="1"/>
  <c r="M168" i="6" s="1"/>
  <c r="E162" i="6"/>
  <c r="F162" i="6" s="1"/>
  <c r="G162" i="6" s="1"/>
  <c r="H162" i="6" s="1"/>
  <c r="I162" i="6" s="1"/>
  <c r="J162" i="6" s="1"/>
  <c r="K162" i="6" s="1"/>
  <c r="L162" i="6" s="1"/>
  <c r="M162" i="6" s="1"/>
  <c r="E156" i="6"/>
  <c r="F156" i="6" s="1"/>
  <c r="G156" i="6" s="1"/>
  <c r="H156" i="6" s="1"/>
  <c r="I156" i="6" s="1"/>
  <c r="J156" i="6" s="1"/>
  <c r="K156" i="6" s="1"/>
  <c r="L156" i="6" s="1"/>
  <c r="M156" i="6" s="1"/>
  <c r="E150" i="6"/>
  <c r="F150" i="6" s="1"/>
  <c r="G150" i="6" s="1"/>
  <c r="H150" i="6" s="1"/>
  <c r="I150" i="6" s="1"/>
  <c r="J150" i="6" s="1"/>
  <c r="K150" i="6" s="1"/>
  <c r="L150" i="6" s="1"/>
  <c r="M150" i="6" s="1"/>
  <c r="E138" i="6"/>
  <c r="F138" i="6" s="1"/>
  <c r="G138" i="6" s="1"/>
  <c r="H138" i="6" s="1"/>
  <c r="I138" i="6" s="1"/>
  <c r="J138" i="6" s="1"/>
  <c r="K138" i="6" s="1"/>
  <c r="L138" i="6" s="1"/>
  <c r="M138" i="6" s="1"/>
  <c r="E126" i="6"/>
  <c r="F126" i="6" s="1"/>
  <c r="G126" i="6" s="1"/>
  <c r="H126" i="6" s="1"/>
  <c r="I126" i="6" s="1"/>
  <c r="J126" i="6" s="1"/>
  <c r="K126" i="6" s="1"/>
  <c r="L126" i="6" s="1"/>
  <c r="M126" i="6" s="1"/>
  <c r="E114" i="6"/>
  <c r="F114" i="6" s="1"/>
  <c r="G114" i="6" s="1"/>
  <c r="H114" i="6" s="1"/>
  <c r="I114" i="6" s="1"/>
  <c r="J114" i="6" s="1"/>
  <c r="K114" i="6" s="1"/>
  <c r="L114" i="6" s="1"/>
  <c r="M114" i="6" s="1"/>
  <c r="E135" i="6"/>
  <c r="F135" i="6" s="1"/>
  <c r="G135" i="6" s="1"/>
  <c r="H135" i="6" s="1"/>
  <c r="I135" i="6" s="1"/>
  <c r="J135" i="6" s="1"/>
  <c r="K135" i="6" s="1"/>
  <c r="L135" i="6" s="1"/>
  <c r="M135" i="6" s="1"/>
  <c r="E123" i="6"/>
  <c r="F123" i="6" s="1"/>
  <c r="G123" i="6" s="1"/>
  <c r="H123" i="6" s="1"/>
  <c r="I123" i="6" s="1"/>
  <c r="J123" i="6" s="1"/>
  <c r="K123" i="6" s="1"/>
  <c r="L123" i="6" s="1"/>
  <c r="M123" i="6" s="1"/>
  <c r="E147" i="6"/>
  <c r="F147" i="6" s="1"/>
  <c r="G147" i="6" s="1"/>
  <c r="H147" i="6" s="1"/>
  <c r="I147" i="6" s="1"/>
  <c r="J147" i="6" s="1"/>
  <c r="K147" i="6" s="1"/>
  <c r="L147" i="6" s="1"/>
  <c r="M147" i="6" s="1"/>
  <c r="E129" i="6"/>
  <c r="F129" i="6" s="1"/>
  <c r="G129" i="6" s="1"/>
  <c r="H129" i="6" s="1"/>
  <c r="I129" i="6" s="1"/>
  <c r="J129" i="6" s="1"/>
  <c r="K129" i="6" s="1"/>
  <c r="L129" i="6" s="1"/>
  <c r="M129" i="6" s="1"/>
  <c r="E144" i="6"/>
  <c r="F144" i="6" s="1"/>
  <c r="G144" i="6" s="1"/>
  <c r="H144" i="6" s="1"/>
  <c r="I144" i="6" s="1"/>
  <c r="J144" i="6" s="1"/>
  <c r="K144" i="6" s="1"/>
  <c r="L144" i="6" s="1"/>
  <c r="M144" i="6" s="1"/>
  <c r="E132" i="6"/>
  <c r="F132" i="6" s="1"/>
  <c r="G132" i="6" s="1"/>
  <c r="H132" i="6" s="1"/>
  <c r="I132" i="6" s="1"/>
  <c r="J132" i="6" s="1"/>
  <c r="K132" i="6" s="1"/>
  <c r="L132" i="6" s="1"/>
  <c r="M132" i="6" s="1"/>
  <c r="E120" i="6"/>
  <c r="F120" i="6" s="1"/>
  <c r="G120" i="6" s="1"/>
  <c r="H120" i="6" s="1"/>
  <c r="I120" i="6" s="1"/>
  <c r="J120" i="6" s="1"/>
  <c r="K120" i="6" s="1"/>
  <c r="L120" i="6" s="1"/>
  <c r="M120" i="6" s="1"/>
  <c r="E141" i="6"/>
  <c r="F141" i="6" s="1"/>
  <c r="G141" i="6" s="1"/>
  <c r="H141" i="6" s="1"/>
  <c r="I141" i="6" s="1"/>
  <c r="J141" i="6" s="1"/>
  <c r="K141" i="6" s="1"/>
  <c r="L141" i="6" s="1"/>
  <c r="M141" i="6" s="1"/>
  <c r="E117" i="6"/>
  <c r="F117" i="6" s="1"/>
  <c r="G117" i="6" s="1"/>
  <c r="H117" i="6" s="1"/>
  <c r="I117" i="6" s="1"/>
  <c r="J117" i="6" s="1"/>
  <c r="K117" i="6" s="1"/>
  <c r="L117" i="6" s="1"/>
  <c r="M117" i="6" s="1"/>
  <c r="AP29" i="6" l="1"/>
  <c r="AQ29" i="6" s="1"/>
  <c r="AR29" i="6" s="1"/>
  <c r="AS29" i="6" s="1"/>
  <c r="AT29" i="6" s="1"/>
  <c r="AU29" i="6" s="1"/>
  <c r="AV29" i="6" s="1"/>
  <c r="AW29" i="6" s="1"/>
  <c r="AX29" i="6" s="1"/>
  <c r="AP32" i="6"/>
  <c r="AQ32" i="6" s="1"/>
  <c r="AR32" i="6" s="1"/>
  <c r="AS32" i="6" s="1"/>
  <c r="AT32" i="6" s="1"/>
  <c r="AU32" i="6" s="1"/>
  <c r="AV32" i="6" s="1"/>
  <c r="AW32" i="6" s="1"/>
  <c r="AX32" i="6" s="1"/>
  <c r="AP35" i="6"/>
  <c r="AQ35" i="6" s="1"/>
  <c r="AR35" i="6" s="1"/>
  <c r="AS35" i="6" s="1"/>
  <c r="AT35" i="6" s="1"/>
  <c r="AU35" i="6" s="1"/>
  <c r="AV35" i="6" s="1"/>
  <c r="AW35" i="6" s="1"/>
  <c r="AX35" i="6" s="1"/>
  <c r="AP38" i="6"/>
  <c r="AQ38" i="6" s="1"/>
  <c r="AR38" i="6" s="1"/>
  <c r="AS38" i="6" s="1"/>
  <c r="AT38" i="6" s="1"/>
  <c r="AU38" i="6" s="1"/>
  <c r="AV38" i="6" s="1"/>
  <c r="AW38" i="6" s="1"/>
  <c r="AX38" i="6" s="1"/>
  <c r="AP41" i="6"/>
  <c r="AQ41" i="6" s="1"/>
  <c r="AR41" i="6" s="1"/>
  <c r="AS41" i="6" s="1"/>
  <c r="AT41" i="6" s="1"/>
  <c r="AU41" i="6" s="1"/>
  <c r="AV41" i="6" s="1"/>
  <c r="AW41" i="6" s="1"/>
  <c r="AX41" i="6" s="1"/>
  <c r="E170" i="6"/>
  <c r="F170" i="6" s="1"/>
  <c r="G170" i="6" s="1"/>
  <c r="H170" i="6" s="1"/>
  <c r="I170" i="6" s="1"/>
  <c r="J170" i="6" s="1"/>
  <c r="K170" i="6" s="1"/>
  <c r="L170" i="6" s="1"/>
  <c r="M170" i="6" s="1"/>
  <c r="E164" i="6"/>
  <c r="F164" i="6" s="1"/>
  <c r="G164" i="6" s="1"/>
  <c r="H164" i="6" s="1"/>
  <c r="I164" i="6" s="1"/>
  <c r="J164" i="6" s="1"/>
  <c r="K164" i="6" s="1"/>
  <c r="L164" i="6" s="1"/>
  <c r="M164" i="6" s="1"/>
  <c r="E158" i="6"/>
  <c r="F158" i="6" s="1"/>
  <c r="G158" i="6" s="1"/>
  <c r="H158" i="6" s="1"/>
  <c r="I158" i="6" s="1"/>
  <c r="J158" i="6" s="1"/>
  <c r="K158" i="6" s="1"/>
  <c r="L158" i="6" s="1"/>
  <c r="M158" i="6" s="1"/>
  <c r="E152" i="6"/>
  <c r="F152" i="6" s="1"/>
  <c r="G152" i="6" s="1"/>
  <c r="H152" i="6" s="1"/>
  <c r="I152" i="6" s="1"/>
  <c r="J152" i="6" s="1"/>
  <c r="K152" i="6" s="1"/>
  <c r="L152" i="6" s="1"/>
  <c r="M152" i="6" s="1"/>
  <c r="E161" i="6"/>
  <c r="F161" i="6" s="1"/>
  <c r="G161" i="6" s="1"/>
  <c r="H161" i="6" s="1"/>
  <c r="I161" i="6" s="1"/>
  <c r="J161" i="6" s="1"/>
  <c r="K161" i="6" s="1"/>
  <c r="L161" i="6" s="1"/>
  <c r="M161" i="6" s="1"/>
  <c r="E149" i="6"/>
  <c r="F149" i="6" s="1"/>
  <c r="G149" i="6" s="1"/>
  <c r="H149" i="6" s="1"/>
  <c r="I149" i="6" s="1"/>
  <c r="J149" i="6" s="1"/>
  <c r="K149" i="6" s="1"/>
  <c r="L149" i="6" s="1"/>
  <c r="M149" i="6" s="1"/>
  <c r="E167" i="6"/>
  <c r="F167" i="6" s="1"/>
  <c r="G167" i="6" s="1"/>
  <c r="H167" i="6" s="1"/>
  <c r="I167" i="6" s="1"/>
  <c r="J167" i="6" s="1"/>
  <c r="K167" i="6" s="1"/>
  <c r="L167" i="6" s="1"/>
  <c r="M167" i="6" s="1"/>
  <c r="E155" i="6"/>
  <c r="F155" i="6" s="1"/>
  <c r="G155" i="6" s="1"/>
  <c r="H155" i="6" s="1"/>
  <c r="I155" i="6" s="1"/>
  <c r="J155" i="6" s="1"/>
  <c r="K155" i="6" s="1"/>
  <c r="L155" i="6" s="1"/>
  <c r="M155" i="6" s="1"/>
  <c r="E137" i="6"/>
  <c r="F137" i="6" s="1"/>
  <c r="G137" i="6" s="1"/>
  <c r="H137" i="6" s="1"/>
  <c r="I137" i="6" s="1"/>
  <c r="J137" i="6" s="1"/>
  <c r="K137" i="6" s="1"/>
  <c r="L137" i="6" s="1"/>
  <c r="M137" i="6" s="1"/>
  <c r="E140" i="6"/>
  <c r="F140" i="6" s="1"/>
  <c r="G140" i="6" s="1"/>
  <c r="H140" i="6" s="1"/>
  <c r="I140" i="6" s="1"/>
  <c r="J140" i="6" s="1"/>
  <c r="K140" i="6" s="1"/>
  <c r="L140" i="6" s="1"/>
  <c r="M140" i="6" s="1"/>
  <c r="E131" i="6"/>
  <c r="F131" i="6" s="1"/>
  <c r="G131" i="6" s="1"/>
  <c r="H131" i="6" s="1"/>
  <c r="I131" i="6" s="1"/>
  <c r="J131" i="6" s="1"/>
  <c r="K131" i="6" s="1"/>
  <c r="L131" i="6" s="1"/>
  <c r="M131" i="6" s="1"/>
  <c r="E134" i="6"/>
  <c r="F134" i="6" s="1"/>
  <c r="G134" i="6" s="1"/>
  <c r="H134" i="6" s="1"/>
  <c r="I134" i="6" s="1"/>
  <c r="J134" i="6" s="1"/>
  <c r="K134" i="6" s="1"/>
  <c r="L134" i="6" s="1"/>
  <c r="M134" i="6" s="1"/>
  <c r="E125" i="6"/>
  <c r="F125" i="6" s="1"/>
  <c r="G125" i="6" s="1"/>
  <c r="H125" i="6" s="1"/>
  <c r="I125" i="6" s="1"/>
  <c r="J125" i="6" s="1"/>
  <c r="K125" i="6" s="1"/>
  <c r="L125" i="6" s="1"/>
  <c r="M125" i="6" s="1"/>
  <c r="E128" i="6"/>
  <c r="F128" i="6" s="1"/>
  <c r="G128" i="6" s="1"/>
  <c r="H128" i="6" s="1"/>
  <c r="I128" i="6" s="1"/>
  <c r="J128" i="6" s="1"/>
  <c r="K128" i="6" s="1"/>
  <c r="L128" i="6" s="1"/>
  <c r="M128" i="6" s="1"/>
  <c r="E119" i="6"/>
  <c r="F119" i="6" s="1"/>
  <c r="G119" i="6" s="1"/>
  <c r="H119" i="6" s="1"/>
  <c r="I119" i="6" s="1"/>
  <c r="J119" i="6" s="1"/>
  <c r="K119" i="6" s="1"/>
  <c r="L119" i="6" s="1"/>
  <c r="M119" i="6" s="1"/>
  <c r="E122" i="6"/>
  <c r="F122" i="6" s="1"/>
  <c r="G122" i="6" s="1"/>
  <c r="H122" i="6" s="1"/>
  <c r="I122" i="6" s="1"/>
  <c r="J122" i="6" s="1"/>
  <c r="K122" i="6" s="1"/>
  <c r="L122" i="6" s="1"/>
  <c r="M122" i="6" s="1"/>
  <c r="E116" i="6"/>
  <c r="F116" i="6" s="1"/>
  <c r="G116" i="6" s="1"/>
  <c r="H116" i="6" s="1"/>
  <c r="I116" i="6" s="1"/>
  <c r="J116" i="6" s="1"/>
  <c r="K116" i="6" s="1"/>
  <c r="L116" i="6" s="1"/>
  <c r="M116" i="6" s="1"/>
  <c r="E113" i="6"/>
  <c r="F113" i="6" s="1"/>
  <c r="G113" i="6" s="1"/>
  <c r="H113" i="6" s="1"/>
  <c r="I113" i="6" s="1"/>
  <c r="J113" i="6" s="1"/>
  <c r="K113" i="6" s="1"/>
  <c r="L113" i="6" s="1"/>
  <c r="M113" i="6" s="1"/>
  <c r="E143" i="6"/>
  <c r="F143" i="6" s="1"/>
  <c r="G143" i="6" s="1"/>
  <c r="H143" i="6" s="1"/>
  <c r="I143" i="6" s="1"/>
  <c r="J143" i="6" s="1"/>
  <c r="K143" i="6" s="1"/>
  <c r="L143" i="6" s="1"/>
  <c r="M143" i="6" s="1"/>
  <c r="E146" i="6"/>
  <c r="F146" i="6" s="1"/>
  <c r="G146" i="6" s="1"/>
  <c r="H146" i="6" s="1"/>
  <c r="I146" i="6" s="1"/>
  <c r="J146" i="6" s="1"/>
  <c r="K146" i="6" s="1"/>
  <c r="L146" i="6" s="1"/>
  <c r="M146" i="6" s="1"/>
  <c r="B211" i="6"/>
  <c r="B235" i="6" s="1"/>
  <c r="B29" i="6" s="1"/>
  <c r="D29" i="6" l="1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R94" i="6"/>
  <c r="D95" i="6"/>
  <c r="M95" i="6"/>
  <c r="R95" i="6"/>
  <c r="D97" i="6"/>
  <c r="M97" i="6"/>
  <c r="R97" i="6"/>
  <c r="D98" i="6"/>
  <c r="M98" i="6"/>
  <c r="R98" i="6"/>
  <c r="W98" i="6"/>
  <c r="D100" i="6"/>
  <c r="M100" i="6"/>
  <c r="R100" i="6"/>
  <c r="D102" i="6"/>
  <c r="E102" i="6"/>
  <c r="M102" i="6"/>
  <c r="N102" i="6"/>
  <c r="R102" i="6"/>
  <c r="S102" i="6"/>
  <c r="D103" i="6"/>
  <c r="E103" i="6"/>
  <c r="M103" i="6"/>
  <c r="N103" i="6"/>
  <c r="R103" i="6"/>
  <c r="S103" i="6"/>
  <c r="D105" i="6"/>
  <c r="M105" i="6"/>
  <c r="R105" i="6"/>
  <c r="D108" i="6"/>
  <c r="M108" i="6"/>
  <c r="R108" i="6"/>
  <c r="D109" i="6"/>
  <c r="M109" i="6"/>
  <c r="R109" i="6"/>
  <c r="D110" i="6"/>
  <c r="M110" i="6"/>
  <c r="R110" i="6"/>
</calcChain>
</file>

<file path=xl/comments1.xml><?xml version="1.0" encoding="utf-8"?>
<comments xmlns="http://schemas.openxmlformats.org/spreadsheetml/2006/main">
  <authors>
    <author>Feni</author>
  </authors>
  <commentList>
    <comment ref="M65" authorId="0" shapeId="0">
      <text>
        <r>
          <rPr>
            <b/>
            <sz val="9"/>
            <color indexed="81"/>
            <rFont val="Segoe UI"/>
            <family val="2"/>
          </rPr>
          <t>Feni:</t>
        </r>
        <r>
          <rPr>
            <sz val="9"/>
            <color indexed="81"/>
            <rFont val="Segoe UI"/>
            <family val="2"/>
          </rPr>
          <t xml:space="preserve">
em vermelho são células que estão erradas, mas como estão travadas, não consigo modificar. As que estão em verde estão corretas e é o que as vermelhas deveriam mostrar. Consegui contornar o problema, fazendo com que o gráfico use as células verdes ao invés das vermelhas.</t>
        </r>
      </text>
    </comment>
    <comment ref="O65" authorId="0" shapeId="0">
      <text>
        <r>
          <rPr>
            <b/>
            <sz val="9"/>
            <color indexed="81"/>
            <rFont val="Segoe UI"/>
            <charset val="1"/>
          </rPr>
          <t>Feni:</t>
        </r>
        <r>
          <rPr>
            <sz val="9"/>
            <color indexed="81"/>
            <rFont val="Segoe UI"/>
            <charset val="1"/>
          </rPr>
          <t xml:space="preserve">
Menor valor de x tem que ser -0.577, pois é onde começa o vétice N</t>
        </r>
      </text>
    </comment>
  </commentList>
</comments>
</file>

<file path=xl/sharedStrings.xml><?xml version="1.0" encoding="utf-8"?>
<sst xmlns="http://schemas.openxmlformats.org/spreadsheetml/2006/main" count="660" uniqueCount="180">
  <si>
    <t>Pontos</t>
  </si>
  <si>
    <t>Simergia</t>
  </si>
  <si>
    <t>Linhas</t>
  </si>
  <si>
    <t>Sustentabilidade</t>
  </si>
  <si>
    <t>R</t>
  </si>
  <si>
    <t>N</t>
  </si>
  <si>
    <t>F</t>
  </si>
  <si>
    <t>SI=1</t>
  </si>
  <si>
    <t>SI=5</t>
  </si>
  <si>
    <t>Valor</t>
  </si>
  <si>
    <t>%R</t>
  </si>
  <si>
    <t>%N</t>
  </si>
  <si>
    <t>%F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</si>
  <si>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</si>
  <si>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</si>
  <si>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</si>
  <si>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</si>
  <si>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</si>
  <si>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</si>
  <si>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</si>
  <si>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</si>
  <si>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</si>
  <si>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</si>
  <si>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</si>
  <si>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</si>
  <si>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</si>
  <si>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</si>
  <si>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</si>
  <si>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</si>
  <si>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</si>
  <si>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</si>
  <si>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</si>
  <si>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</si>
  <si>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</si>
  <si>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</si>
  <si>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</si>
  <si>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</si>
  <si>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</si>
  <si>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</si>
  <si>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</si>
  <si>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</si>
  <si>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</si>
  <si>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</si>
  <si>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</si>
  <si>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</si>
  <si>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</si>
  <si>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</si>
  <si>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</si>
  <si>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</si>
  <si>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</si>
  <si>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</si>
  <si>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</si>
  <si>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</si>
  <si>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</si>
  <si>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</si>
  <si>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</si>
  <si>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</si>
  <si>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</si>
  <si>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</si>
  <si>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</si>
  <si>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</si>
  <si>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</si>
  <si>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</si>
  <si>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</si>
  <si>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</si>
  <si>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</si>
  <si>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</si>
  <si>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</si>
  <si>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</si>
  <si>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</si>
  <si>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</si>
  <si>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</si>
  <si>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</si>
  <si>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</si>
  <si>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</si>
  <si>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</si>
  <si>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SI=k1</t>
  </si>
  <si>
    <t>SI=k5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</si>
  <si>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</si>
  <si>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</si>
  <si>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</si>
  <si>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</si>
  <si>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</si>
  <si>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</si>
  <si>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</si>
  <si>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</si>
  <si>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</si>
  <si>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</si>
  <si>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</si>
  <si>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</si>
  <si>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</si>
  <si>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</si>
  <si>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</si>
  <si>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</si>
  <si>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</si>
  <si>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</si>
  <si>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</si>
  <si>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</si>
  <si>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</si>
  <si>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</si>
  <si>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</si>
  <si>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</si>
  <si>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</si>
  <si>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</si>
  <si>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</si>
  <si>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</si>
  <si>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</si>
  <si>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</si>
  <si>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Name</t>
  </si>
  <si>
    <t>Origin of input source</t>
  </si>
  <si>
    <t>Emergy in sej/Unit</t>
  </si>
  <si>
    <t>Xsr</t>
  </si>
  <si>
    <t>Simergy</t>
  </si>
  <si>
    <t>Weighting</t>
  </si>
  <si>
    <t>F entre SI1 e SI5</t>
  </si>
  <si>
    <t>Middle value</t>
  </si>
  <si>
    <t>Simergy 1</t>
  </si>
  <si>
    <t>Simergy 2</t>
  </si>
  <si>
    <t>Simergy 3</t>
  </si>
  <si>
    <t>Simergy 4</t>
  </si>
  <si>
    <t>Simergy 5</t>
  </si>
  <si>
    <t>Simergy 6</t>
  </si>
  <si>
    <t>Simergy 7</t>
  </si>
  <si>
    <t>Simergy 8</t>
  </si>
  <si>
    <t>Simergy 9</t>
  </si>
  <si>
    <t>Simergy 10</t>
  </si>
  <si>
    <t>Simergy 11</t>
  </si>
  <si>
    <t>Simergy 12</t>
  </si>
  <si>
    <t>Simergy 13</t>
  </si>
  <si>
    <t>Simergy 14</t>
  </si>
  <si>
    <t>Simergy 15</t>
  </si>
  <si>
    <t>Simergy 16</t>
  </si>
  <si>
    <t>Simergy 17</t>
  </si>
  <si>
    <t>Simergy 18</t>
  </si>
  <si>
    <t>Simergy 19</t>
  </si>
  <si>
    <t>Simergy 20</t>
  </si>
  <si>
    <t>Simergy 21</t>
  </si>
  <si>
    <t>Simergy 22</t>
  </si>
  <si>
    <t>Simergy 23</t>
  </si>
  <si>
    <t>Simergy 24</t>
  </si>
  <si>
    <t>Simergy 25</t>
  </si>
  <si>
    <t>Simergy 26</t>
  </si>
  <si>
    <t>Simergy 27</t>
  </si>
  <si>
    <t>Simergy 28</t>
  </si>
  <si>
    <t>Simergy 29</t>
  </si>
  <si>
    <t>Simergy 30</t>
  </si>
  <si>
    <t>Mr</t>
  </si>
  <si>
    <t>Mn</t>
  </si>
  <si>
    <t>Sr</t>
  </si>
  <si>
    <t>Sn</t>
  </si>
  <si>
    <t>ESI</t>
  </si>
  <si>
    <t>R+Mr+Sr</t>
  </si>
  <si>
    <t>Mn+Sn</t>
  </si>
  <si>
    <t>ESI=k1</t>
  </si>
  <si>
    <t>ESI=k2</t>
  </si>
  <si>
    <t>ESI=k3</t>
  </si>
  <si>
    <t/>
  </si>
  <si>
    <t>%</t>
  </si>
  <si>
    <r>
      <t>S</t>
    </r>
    <r>
      <rPr>
        <sz val="8"/>
        <rFont val="Arial"/>
        <family val="2"/>
      </rPr>
      <t>Erro</t>
    </r>
  </si>
  <si>
    <t>Point</t>
  </si>
  <si>
    <t>Emergy indices with partial renewabilities</t>
  </si>
  <si>
    <t>C:\Users\User\Documents\Dados Homeopatia.eMe</t>
  </si>
  <si>
    <t>Agroecological</t>
  </si>
  <si>
    <t>Grains/Cattle</t>
  </si>
  <si>
    <t>Milk/Grains</t>
  </si>
  <si>
    <t>Grains</t>
  </si>
  <si>
    <t>Diversified</t>
  </si>
  <si>
    <t>Organic</t>
  </si>
  <si>
    <t>Total emergy</t>
  </si>
  <si>
    <t>Ela tem que ser alterada para incluir as renovabilidades parciais</t>
  </si>
  <si>
    <t>Equação do ESI original do Barella (Célula O65, 69 e 73)</t>
  </si>
  <si>
    <t>Já foi alterada e inserida nas células O65, O69, O73</t>
  </si>
  <si>
    <t>SI=0,73</t>
  </si>
  <si>
    <t>0,73</t>
  </si>
  <si>
    <t>4,5</t>
  </si>
  <si>
    <t>13,1</t>
  </si>
  <si>
    <t>SI=28</t>
  </si>
  <si>
    <t>SI=4,6</t>
  </si>
  <si>
    <t>0,59</t>
  </si>
  <si>
    <t>3,9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</si>
</sst>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7" formatCode="&quot;R$&quot;\ #,##0.00;\-&quot;R$&quot;\ #,##0.00"/>
    <numFmt numFmtId="164" formatCode="0.0"/>
    <numFmt numFmtId="165" formatCode="0.0%"/>
    <numFmt numFmtId="166" formatCode="0.0E+00"/>
    <numFmt numFmtId="167" formatCode="#,##0.0"/>
    <numFmt numFmtId="168" formatCode="0.000"/>
    <numFmt numFmtId="169" formatCode="0.00000000"/>
  </numFmts>
  <fonts count="26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u/>
      <sz val="10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sz val="9"/>
      <name val="Arial"/>
      <family val="2"/>
    </font>
    <font>
      <u/>
      <sz val="8"/>
      <name val="Arial"/>
      <family val="2"/>
    </font>
    <font>
      <sz val="9"/>
      <color theme="1"/>
      <name val="Arial"/>
      <family val="2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10"/>
      <color theme="1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</fonts>
  <fills count="17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AD6E4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39997558519241921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57">
    <xf numFmtId="0" fontId="0" fillId="0" borderId="0" xfId="0"/>
    <xf numFmtId="0" fontId="0" fillId="0" borderId="0" xfId="0" applyAlignment="1">
      <alignment wrapText="1"/>
    </xf>
    <xf numFmtId="0" fontId="4" fillId="4" borderId="3" xfId="0" applyFont="1" applyFill="1" applyBorder="1"/>
    <xf numFmtId="0" fontId="4" fillId="4" borderId="4" xfId="0" applyFont="1" applyFill="1" applyBorder="1"/>
    <xf numFmtId="0" fontId="5" fillId="2" borderId="8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7" borderId="5" xfId="0" applyFont="1" applyFill="1" applyBorder="1"/>
    <xf numFmtId="0" fontId="7" fillId="3" borderId="2" xfId="0" applyFont="1" applyFill="1" applyBorder="1" applyAlignment="1">
      <alignment horizontal="center"/>
    </xf>
    <xf numFmtId="11" fontId="4" fillId="0" borderId="0" xfId="0" applyNumberFormat="1" applyFont="1"/>
    <xf numFmtId="0" fontId="4" fillId="7" borderId="5" xfId="0" applyFont="1" applyFill="1" applyBorder="1" applyAlignment="1">
      <alignment horizontal="center"/>
    </xf>
    <xf numFmtId="11" fontId="8" fillId="4" borderId="9" xfId="0" applyNumberFormat="1" applyFont="1" applyFill="1" applyBorder="1" applyAlignment="1">
      <alignment horizontal="center"/>
    </xf>
    <xf numFmtId="166" fontId="4" fillId="0" borderId="0" xfId="0" applyNumberFormat="1" applyFont="1"/>
    <xf numFmtId="0" fontId="4" fillId="7" borderId="1" xfId="0" applyFont="1" applyFill="1" applyBorder="1" applyAlignment="1">
      <alignment horizontal="center"/>
    </xf>
    <xf numFmtId="11" fontId="4" fillId="7" borderId="6" xfId="0" applyNumberFormat="1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2" fontId="9" fillId="4" borderId="1" xfId="0" applyNumberFormat="1" applyFont="1" applyFill="1" applyBorder="1" applyAlignment="1">
      <alignment horizontal="center"/>
    </xf>
    <xf numFmtId="2" fontId="9" fillId="4" borderId="2" xfId="0" applyNumberFormat="1" applyFont="1" applyFill="1" applyBorder="1" applyAlignment="1">
      <alignment horizontal="center"/>
    </xf>
    <xf numFmtId="9" fontId="9" fillId="4" borderId="1" xfId="2" applyFont="1" applyFill="1" applyBorder="1" applyAlignment="1">
      <alignment horizontal="center"/>
    </xf>
    <xf numFmtId="2" fontId="5" fillId="2" borderId="5" xfId="0" applyNumberFormat="1" applyFont="1" applyFill="1" applyBorder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0" borderId="17" xfId="0" applyFont="1" applyBorder="1" applyAlignment="1">
      <alignment horizontal="center"/>
    </xf>
    <xf numFmtId="2" fontId="5" fillId="2" borderId="1" xfId="0" applyNumberFormat="1" applyFont="1" applyFill="1" applyBorder="1" applyAlignment="1">
      <alignment horizontal="center"/>
    </xf>
    <xf numFmtId="0" fontId="4" fillId="0" borderId="4" xfId="0" applyFont="1" applyBorder="1"/>
    <xf numFmtId="2" fontId="4" fillId="0" borderId="0" xfId="0" applyNumberFormat="1" applyFont="1"/>
    <xf numFmtId="0" fontId="4" fillId="2" borderId="8" xfId="0" applyFont="1" applyFill="1" applyBorder="1" applyAlignment="1">
      <alignment horizontal="center"/>
    </xf>
    <xf numFmtId="2" fontId="4" fillId="2" borderId="5" xfId="0" applyNumberFormat="1" applyFont="1" applyFill="1" applyBorder="1" applyAlignment="1">
      <alignment horizontal="center"/>
    </xf>
    <xf numFmtId="2" fontId="4" fillId="2" borderId="9" xfId="0" applyNumberFormat="1" applyFont="1" applyFill="1" applyBorder="1" applyAlignment="1">
      <alignment horizontal="center"/>
    </xf>
    <xf numFmtId="2" fontId="4" fillId="5" borderId="10" xfId="0" applyNumberFormat="1" applyFont="1" applyFill="1" applyBorder="1"/>
    <xf numFmtId="2" fontId="4" fillId="5" borderId="11" xfId="0" applyNumberFormat="1" applyFont="1" applyFill="1" applyBorder="1"/>
    <xf numFmtId="2" fontId="4" fillId="5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2" fontId="8" fillId="4" borderId="12" xfId="0" applyNumberFormat="1" applyFont="1" applyFill="1" applyBorder="1" applyAlignment="1">
      <alignment horizontal="center"/>
    </xf>
    <xf numFmtId="2" fontId="10" fillId="4" borderId="13" xfId="0" applyNumberFormat="1" applyFont="1" applyFill="1" applyBorder="1" applyAlignment="1">
      <alignment horizontal="center"/>
    </xf>
    <xf numFmtId="2" fontId="11" fillId="4" borderId="13" xfId="0" applyNumberFormat="1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2" fontId="8" fillId="4" borderId="5" xfId="0" applyNumberFormat="1" applyFont="1" applyFill="1" applyBorder="1" applyAlignment="1">
      <alignment horizontal="center"/>
    </xf>
    <xf numFmtId="2" fontId="10" fillId="4" borderId="9" xfId="0" applyNumberFormat="1" applyFont="1" applyFill="1" applyBorder="1" applyAlignment="1">
      <alignment horizontal="center"/>
    </xf>
    <xf numFmtId="2" fontId="11" fillId="4" borderId="9" xfId="0" applyNumberFormat="1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2" fontId="10" fillId="4" borderId="2" xfId="0" applyNumberFormat="1" applyFont="1" applyFill="1" applyBorder="1" applyAlignment="1">
      <alignment horizontal="center"/>
    </xf>
    <xf numFmtId="2" fontId="11" fillId="4" borderId="2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2" fontId="4" fillId="9" borderId="12" xfId="0" applyNumberFormat="1" applyFont="1" applyFill="1" applyBorder="1" applyAlignment="1">
      <alignment horizontal="center"/>
    </xf>
    <xf numFmtId="2" fontId="4" fillId="0" borderId="10" xfId="0" applyNumberFormat="1" applyFont="1" applyBorder="1"/>
    <xf numFmtId="2" fontId="4" fillId="6" borderId="3" xfId="0" applyNumberFormat="1" applyFont="1" applyFill="1" applyBorder="1"/>
    <xf numFmtId="2" fontId="4" fillId="0" borderId="13" xfId="0" applyNumberFormat="1" applyFont="1" applyBorder="1"/>
    <xf numFmtId="0" fontId="4" fillId="9" borderId="8" xfId="0" applyFont="1" applyFill="1" applyBorder="1" applyAlignment="1">
      <alignment horizontal="center"/>
    </xf>
    <xf numFmtId="2" fontId="4" fillId="9" borderId="1" xfId="0" applyNumberFormat="1" applyFont="1" applyFill="1" applyBorder="1" applyAlignment="1">
      <alignment horizontal="center"/>
    </xf>
    <xf numFmtId="2" fontId="4" fillId="0" borderId="7" xfId="0" applyNumberFormat="1" applyFont="1" applyBorder="1"/>
    <xf numFmtId="2" fontId="4" fillId="6" borderId="4" xfId="0" applyNumberFormat="1" applyFont="1" applyFill="1" applyBorder="1"/>
    <xf numFmtId="2" fontId="4" fillId="0" borderId="2" xfId="0" applyNumberFormat="1" applyFont="1" applyBorder="1"/>
    <xf numFmtId="2" fontId="4" fillId="2" borderId="14" xfId="0" applyNumberFormat="1" applyFont="1" applyFill="1" applyBorder="1"/>
    <xf numFmtId="0" fontId="4" fillId="2" borderId="14" xfId="0" applyFont="1" applyFill="1" applyBorder="1"/>
    <xf numFmtId="0" fontId="4" fillId="2" borderId="6" xfId="0" applyFont="1" applyFill="1" applyBorder="1"/>
    <xf numFmtId="0" fontId="4" fillId="2" borderId="8" xfId="0" applyFont="1" applyFill="1" applyBorder="1"/>
    <xf numFmtId="0" fontId="7" fillId="2" borderId="0" xfId="0" applyFont="1" applyFill="1" applyAlignment="1">
      <alignment horizontal="center"/>
    </xf>
    <xf numFmtId="0" fontId="4" fillId="2" borderId="9" xfId="0" applyFont="1" applyFill="1" applyBorder="1"/>
    <xf numFmtId="165" fontId="13" fillId="4" borderId="2" xfId="2" applyNumberFormat="1" applyFont="1" applyFill="1" applyBorder="1" applyAlignment="1">
      <alignment horizontal="center"/>
    </xf>
    <xf numFmtId="0" fontId="8" fillId="4" borderId="15" xfId="0" applyFont="1" applyFill="1" applyBorder="1"/>
    <xf numFmtId="0" fontId="8" fillId="4" borderId="14" xfId="0" applyFont="1" applyFill="1" applyBorder="1"/>
    <xf numFmtId="0" fontId="8" fillId="4" borderId="16" xfId="0" applyFont="1" applyFill="1" applyBorder="1"/>
    <xf numFmtId="0" fontId="5" fillId="2" borderId="7" xfId="0" applyFont="1" applyFill="1" applyBorder="1" applyAlignment="1">
      <alignment horizontal="left"/>
    </xf>
    <xf numFmtId="0" fontId="7" fillId="2" borderId="4" xfId="0" applyFont="1" applyFill="1" applyBorder="1" applyAlignment="1">
      <alignment horizontal="center"/>
    </xf>
    <xf numFmtId="0" fontId="4" fillId="2" borderId="2" xfId="0" applyFont="1" applyFill="1" applyBorder="1"/>
    <xf numFmtId="0" fontId="5" fillId="0" borderId="8" xfId="0" applyFont="1" applyBorder="1" applyAlignment="1">
      <alignment horizontal="left"/>
    </xf>
    <xf numFmtId="0" fontId="7" fillId="0" borderId="0" xfId="0" applyFont="1" applyAlignment="1">
      <alignment horizontal="center"/>
    </xf>
    <xf numFmtId="165" fontId="13" fillId="0" borderId="0" xfId="2" applyNumberFormat="1" applyFont="1" applyBorder="1" applyAlignment="1">
      <alignment horizontal="center"/>
    </xf>
    <xf numFmtId="0" fontId="8" fillId="0" borderId="0" xfId="0" applyFont="1"/>
    <xf numFmtId="0" fontId="5" fillId="9" borderId="10" xfId="0" applyFont="1" applyFill="1" applyBorder="1" applyAlignment="1">
      <alignment horizontal="left"/>
    </xf>
    <xf numFmtId="0" fontId="5" fillId="9" borderId="3" xfId="0" applyFont="1" applyFill="1" applyBorder="1" applyAlignment="1">
      <alignment horizontal="left"/>
    </xf>
    <xf numFmtId="0" fontId="4" fillId="9" borderId="3" xfId="0" applyFont="1" applyFill="1" applyBorder="1"/>
    <xf numFmtId="0" fontId="4" fillId="9" borderId="3" xfId="0" applyFont="1" applyFill="1" applyBorder="1" applyAlignment="1">
      <alignment horizontal="center"/>
    </xf>
    <xf numFmtId="0" fontId="4" fillId="0" borderId="3" xfId="0" applyFont="1" applyBorder="1"/>
    <xf numFmtId="0" fontId="4" fillId="0" borderId="13" xfId="0" applyFont="1" applyBorder="1"/>
    <xf numFmtId="0" fontId="4" fillId="9" borderId="8" xfId="0" applyFont="1" applyFill="1" applyBorder="1"/>
    <xf numFmtId="0" fontId="4" fillId="9" borderId="0" xfId="0" applyFont="1" applyFill="1"/>
    <xf numFmtId="2" fontId="4" fillId="9" borderId="0" xfId="0" applyNumberFormat="1" applyFont="1" applyFill="1"/>
    <xf numFmtId="2" fontId="4" fillId="9" borderId="0" xfId="0" applyNumberFormat="1" applyFont="1" applyFill="1" applyAlignment="1">
      <alignment horizontal="center"/>
    </xf>
    <xf numFmtId="2" fontId="4" fillId="4" borderId="0" xfId="0" applyNumberFormat="1" applyFont="1" applyFill="1"/>
    <xf numFmtId="2" fontId="4" fillId="0" borderId="9" xfId="0" applyNumberFormat="1" applyFont="1" applyBorder="1"/>
    <xf numFmtId="0" fontId="4" fillId="9" borderId="7" xfId="0" applyFont="1" applyFill="1" applyBorder="1"/>
    <xf numFmtId="0" fontId="4" fillId="9" borderId="4" xfId="0" applyFont="1" applyFill="1" applyBorder="1"/>
    <xf numFmtId="2" fontId="4" fillId="9" borderId="4" xfId="0" applyNumberFormat="1" applyFont="1" applyFill="1" applyBorder="1"/>
    <xf numFmtId="2" fontId="4" fillId="9" borderId="4" xfId="0" applyNumberFormat="1" applyFont="1" applyFill="1" applyBorder="1" applyAlignment="1">
      <alignment horizontal="center"/>
    </xf>
    <xf numFmtId="0" fontId="4" fillId="0" borderId="2" xfId="0" applyFont="1" applyBorder="1"/>
    <xf numFmtId="0" fontId="5" fillId="0" borderId="10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165" fontId="13" fillId="0" borderId="3" xfId="2" applyNumberFormat="1" applyFont="1" applyBorder="1" applyAlignment="1">
      <alignment horizontal="center"/>
    </xf>
    <xf numFmtId="0" fontId="8" fillId="0" borderId="3" xfId="0" applyFont="1" applyBorder="1"/>
    <xf numFmtId="2" fontId="4" fillId="9" borderId="3" xfId="0" applyNumberFormat="1" applyFont="1" applyFill="1" applyBorder="1" applyAlignment="1">
      <alignment horizontal="center"/>
    </xf>
    <xf numFmtId="2" fontId="4" fillId="9" borderId="13" xfId="0" applyNumberFormat="1" applyFont="1" applyFill="1" applyBorder="1" applyAlignment="1">
      <alignment horizontal="center"/>
    </xf>
    <xf numFmtId="0" fontId="4" fillId="0" borderId="8" xfId="0" applyFont="1" applyBorder="1"/>
    <xf numFmtId="0" fontId="4" fillId="9" borderId="0" xfId="0" applyFont="1" applyFill="1" applyAlignment="1">
      <alignment horizontal="center"/>
    </xf>
    <xf numFmtId="0" fontId="4" fillId="9" borderId="9" xfId="0" applyFont="1" applyFill="1" applyBorder="1" applyAlignment="1">
      <alignment horizontal="center"/>
    </xf>
    <xf numFmtId="0" fontId="4" fillId="0" borderId="7" xfId="0" applyFont="1" applyBorder="1"/>
    <xf numFmtId="0" fontId="4" fillId="0" borderId="4" xfId="0" applyFont="1" applyBorder="1" applyAlignment="1">
      <alignment horizontal="center"/>
    </xf>
    <xf numFmtId="0" fontId="4" fillId="9" borderId="4" xfId="0" applyFont="1" applyFill="1" applyBorder="1" applyAlignment="1">
      <alignment horizontal="center"/>
    </xf>
    <xf numFmtId="0" fontId="4" fillId="9" borderId="2" xfId="0" applyFont="1" applyFill="1" applyBorder="1" applyAlignment="1">
      <alignment horizontal="center"/>
    </xf>
    <xf numFmtId="168" fontId="4" fillId="0" borderId="0" xfId="0" applyNumberFormat="1" applyFont="1"/>
    <xf numFmtId="0" fontId="5" fillId="0" borderId="10" xfId="0" applyFont="1" applyBorder="1"/>
    <xf numFmtId="0" fontId="5" fillId="0" borderId="3" xfId="0" applyFont="1" applyBorder="1"/>
    <xf numFmtId="0" fontId="4" fillId="0" borderId="3" xfId="0" applyFont="1" applyBorder="1" applyAlignment="1">
      <alignment horizontal="center"/>
    </xf>
    <xf numFmtId="9" fontId="4" fillId="9" borderId="3" xfId="0" applyNumberFormat="1" applyFont="1" applyFill="1" applyBorder="1"/>
    <xf numFmtId="9" fontId="4" fillId="9" borderId="0" xfId="0" applyNumberFormat="1" applyFont="1" applyFill="1"/>
    <xf numFmtId="9" fontId="4" fillId="9" borderId="4" xfId="0" applyNumberFormat="1" applyFont="1" applyFill="1" applyBorder="1"/>
    <xf numFmtId="0" fontId="4" fillId="9" borderId="13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2" fontId="4" fillId="8" borderId="9" xfId="0" applyNumberFormat="1" applyFont="1" applyFill="1" applyBorder="1" applyAlignment="1">
      <alignment horizontal="center"/>
    </xf>
    <xf numFmtId="164" fontId="4" fillId="9" borderId="2" xfId="0" applyNumberFormat="1" applyFont="1" applyFill="1" applyBorder="1"/>
    <xf numFmtId="0" fontId="5" fillId="0" borderId="7" xfId="0" applyFont="1" applyBorder="1" applyAlignment="1">
      <alignment horizontal="left"/>
    </xf>
    <xf numFmtId="0" fontId="7" fillId="0" borderId="4" xfId="0" applyFont="1" applyBorder="1" applyAlignment="1">
      <alignment horizontal="center"/>
    </xf>
    <xf numFmtId="165" fontId="13" fillId="0" borderId="4" xfId="2" applyNumberFormat="1" applyFont="1" applyBorder="1" applyAlignment="1">
      <alignment horizontal="center"/>
    </xf>
    <xf numFmtId="0" fontId="13" fillId="0" borderId="0" xfId="0" applyFont="1"/>
    <xf numFmtId="168" fontId="4" fillId="4" borderId="0" xfId="0" applyNumberFormat="1" applyFont="1" applyFill="1"/>
    <xf numFmtId="2" fontId="4" fillId="0" borderId="3" xfId="0" applyNumberFormat="1" applyFont="1" applyBorder="1"/>
    <xf numFmtId="0" fontId="4" fillId="2" borderId="9" xfId="0" applyFont="1" applyFill="1" applyBorder="1" applyAlignment="1">
      <alignment horizontal="center"/>
    </xf>
    <xf numFmtId="2" fontId="4" fillId="2" borderId="7" xfId="0" applyNumberFormat="1" applyFont="1" applyFill="1" applyBorder="1" applyAlignment="1">
      <alignment horizontal="center"/>
    </xf>
    <xf numFmtId="2" fontId="4" fillId="2" borderId="2" xfId="0" applyNumberFormat="1" applyFont="1" applyFill="1" applyBorder="1" applyAlignment="1">
      <alignment horizontal="center"/>
    </xf>
    <xf numFmtId="0" fontId="4" fillId="0" borderId="9" xfId="0" applyFont="1" applyBorder="1"/>
    <xf numFmtId="2" fontId="4" fillId="8" borderId="8" xfId="0" applyNumberFormat="1" applyFont="1" applyFill="1" applyBorder="1" applyAlignment="1">
      <alignment horizontal="center"/>
    </xf>
    <xf numFmtId="2" fontId="4" fillId="8" borderId="7" xfId="0" applyNumberFormat="1" applyFont="1" applyFill="1" applyBorder="1" applyAlignment="1">
      <alignment horizontal="center"/>
    </xf>
    <xf numFmtId="2" fontId="4" fillId="8" borderId="2" xfId="0" applyNumberFormat="1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5" borderId="10" xfId="0" applyFont="1" applyFill="1" applyBorder="1"/>
    <xf numFmtId="0" fontId="4" fillId="5" borderId="3" xfId="0" applyFont="1" applyFill="1" applyBorder="1"/>
    <xf numFmtId="2" fontId="4" fillId="5" borderId="3" xfId="0" applyNumberFormat="1" applyFont="1" applyFill="1" applyBorder="1"/>
    <xf numFmtId="2" fontId="4" fillId="5" borderId="13" xfId="0" applyNumberFormat="1" applyFont="1" applyFill="1" applyBorder="1"/>
    <xf numFmtId="0" fontId="4" fillId="0" borderId="10" xfId="0" applyFont="1" applyBorder="1"/>
    <xf numFmtId="0" fontId="4" fillId="5" borderId="8" xfId="0" applyFont="1" applyFill="1" applyBorder="1"/>
    <xf numFmtId="0" fontId="4" fillId="5" borderId="0" xfId="0" applyFont="1" applyFill="1"/>
    <xf numFmtId="2" fontId="4" fillId="5" borderId="0" xfId="0" applyNumberFormat="1" applyFont="1" applyFill="1"/>
    <xf numFmtId="2" fontId="4" fillId="5" borderId="9" xfId="0" applyNumberFormat="1" applyFont="1" applyFill="1" applyBorder="1"/>
    <xf numFmtId="0" fontId="4" fillId="5" borderId="7" xfId="0" applyFont="1" applyFill="1" applyBorder="1"/>
    <xf numFmtId="0" fontId="4" fillId="5" borderId="4" xfId="0" applyFont="1" applyFill="1" applyBorder="1"/>
    <xf numFmtId="2" fontId="4" fillId="5" borderId="4" xfId="0" applyNumberFormat="1" applyFont="1" applyFill="1" applyBorder="1"/>
    <xf numFmtId="2" fontId="4" fillId="5" borderId="2" xfId="0" applyNumberFormat="1" applyFont="1" applyFill="1" applyBorder="1"/>
    <xf numFmtId="2" fontId="4" fillId="0" borderId="4" xfId="0" applyNumberFormat="1" applyFont="1" applyBorder="1"/>
    <xf numFmtId="9" fontId="4" fillId="5" borderId="3" xfId="2" applyFont="1" applyFill="1" applyBorder="1"/>
    <xf numFmtId="0" fontId="4" fillId="5" borderId="13" xfId="0" applyFont="1" applyFill="1" applyBorder="1"/>
    <xf numFmtId="0" fontId="4" fillId="5" borderId="0" xfId="0" applyFont="1" applyFill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9" xfId="0" applyFont="1" applyFill="1" applyBorder="1"/>
    <xf numFmtId="9" fontId="4" fillId="5" borderId="4" xfId="2" applyFont="1" applyFill="1" applyBorder="1"/>
    <xf numFmtId="9" fontId="4" fillId="5" borderId="2" xfId="2" applyFont="1" applyFill="1" applyBorder="1"/>
    <xf numFmtId="0" fontId="4" fillId="5" borderId="7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9" fontId="4" fillId="0" borderId="0" xfId="0" applyNumberFormat="1" applyFont="1"/>
    <xf numFmtId="168" fontId="4" fillId="0" borderId="4" xfId="0" applyNumberFormat="1" applyFont="1" applyBorder="1"/>
    <xf numFmtId="0" fontId="8" fillId="0" borderId="0" xfId="0" applyFont="1" applyAlignment="1">
      <alignment wrapText="1"/>
    </xf>
    <xf numFmtId="0" fontId="5" fillId="2" borderId="15" xfId="0" applyFont="1" applyFill="1" applyBorder="1"/>
    <xf numFmtId="0" fontId="5" fillId="2" borderId="0" xfId="0" applyFont="1" applyFill="1"/>
    <xf numFmtId="0" fontId="5" fillId="0" borderId="0" xfId="0" applyFont="1" applyAlignment="1">
      <alignment horizontal="left"/>
    </xf>
    <xf numFmtId="165" fontId="13" fillId="0" borderId="0" xfId="2" applyNumberFormat="1" applyFont="1" applyFill="1" applyBorder="1" applyAlignment="1">
      <alignment horizontal="center"/>
    </xf>
    <xf numFmtId="0" fontId="14" fillId="0" borderId="0" xfId="0" applyFont="1"/>
    <xf numFmtId="2" fontId="8" fillId="4" borderId="1" xfId="0" applyNumberFormat="1" applyFont="1" applyFill="1" applyBorder="1" applyAlignment="1">
      <alignment horizontal="center"/>
    </xf>
    <xf numFmtId="0" fontId="5" fillId="0" borderId="0" xfId="0" applyFont="1"/>
    <xf numFmtId="0" fontId="5" fillId="7" borderId="15" xfId="0" applyFont="1" applyFill="1" applyBorder="1"/>
    <xf numFmtId="0" fontId="5" fillId="7" borderId="14" xfId="0" applyFont="1" applyFill="1" applyBorder="1"/>
    <xf numFmtId="0" fontId="5" fillId="2" borderId="14" xfId="0" applyFont="1" applyFill="1" applyBorder="1"/>
    <xf numFmtId="0" fontId="5" fillId="2" borderId="6" xfId="0" applyFont="1" applyFill="1" applyBorder="1"/>
    <xf numFmtId="11" fontId="4" fillId="7" borderId="17" xfId="0" applyNumberFormat="1" applyFont="1" applyFill="1" applyBorder="1" applyAlignment="1">
      <alignment horizontal="center"/>
    </xf>
    <xf numFmtId="0" fontId="4" fillId="7" borderId="12" xfId="0" applyFont="1" applyFill="1" applyBorder="1"/>
    <xf numFmtId="0" fontId="7" fillId="3" borderId="6" xfId="0" applyFont="1" applyFill="1" applyBorder="1" applyAlignment="1">
      <alignment horizontal="center"/>
    </xf>
    <xf numFmtId="0" fontId="4" fillId="9" borderId="7" xfId="0" applyFont="1" applyFill="1" applyBorder="1" applyAlignment="1">
      <alignment horizontal="center"/>
    </xf>
    <xf numFmtId="0" fontId="15" fillId="10" borderId="10" xfId="0" applyFont="1" applyFill="1" applyBorder="1" applyAlignment="1">
      <alignment horizontal="center"/>
    </xf>
    <xf numFmtId="0" fontId="15" fillId="11" borderId="12" xfId="0" applyFont="1" applyFill="1" applyBorder="1"/>
    <xf numFmtId="0" fontId="15" fillId="12" borderId="13" xfId="0" applyFont="1" applyFill="1" applyBorder="1" applyAlignment="1">
      <alignment horizontal="center" wrapText="1"/>
    </xf>
    <xf numFmtId="0" fontId="15" fillId="10" borderId="13" xfId="0" applyFont="1" applyFill="1" applyBorder="1" applyAlignment="1">
      <alignment horizontal="center" wrapText="1"/>
    </xf>
    <xf numFmtId="0" fontId="16" fillId="0" borderId="0" xfId="0" applyFont="1"/>
    <xf numFmtId="0" fontId="15" fillId="10" borderId="19" xfId="0" applyFont="1" applyFill="1" applyBorder="1" applyAlignment="1">
      <alignment horizontal="center"/>
    </xf>
    <xf numFmtId="0" fontId="17" fillId="10" borderId="20" xfId="0" applyFont="1" applyFill="1" applyBorder="1" applyProtection="1">
      <protection locked="0"/>
    </xf>
    <xf numFmtId="0" fontId="18" fillId="12" borderId="21" xfId="0" applyFont="1" applyFill="1" applyBorder="1" applyAlignment="1">
      <alignment horizontal="center"/>
    </xf>
    <xf numFmtId="11" fontId="18" fillId="10" borderId="22" xfId="0" applyNumberFormat="1" applyFont="1" applyFill="1" applyBorder="1" applyProtection="1">
      <protection locked="0"/>
    </xf>
    <xf numFmtId="0" fontId="15" fillId="10" borderId="23" xfId="0" applyFont="1" applyFill="1" applyBorder="1" applyAlignment="1">
      <alignment horizontal="center"/>
    </xf>
    <xf numFmtId="0" fontId="17" fillId="11" borderId="17" xfId="0" applyFont="1" applyFill="1" applyBorder="1"/>
    <xf numFmtId="0" fontId="18" fillId="12" borderId="2" xfId="0" applyFont="1" applyFill="1" applyBorder="1" applyAlignment="1">
      <alignment horizontal="center"/>
    </xf>
    <xf numFmtId="11" fontId="18" fillId="10" borderId="24" xfId="0" applyNumberFormat="1" applyFont="1" applyFill="1" applyBorder="1" applyProtection="1">
      <protection locked="0"/>
    </xf>
    <xf numFmtId="0" fontId="15" fillId="10" borderId="25" xfId="0" applyFont="1" applyFill="1" applyBorder="1" applyAlignment="1">
      <alignment horizontal="center"/>
    </xf>
    <xf numFmtId="0" fontId="17" fillId="11" borderId="18" xfId="0" applyFont="1" applyFill="1" applyBorder="1"/>
    <xf numFmtId="0" fontId="18" fillId="12" borderId="26" xfId="0" applyFont="1" applyFill="1" applyBorder="1" applyAlignment="1">
      <alignment horizontal="center"/>
    </xf>
    <xf numFmtId="11" fontId="18" fillId="10" borderId="27" xfId="0" applyNumberFormat="1" applyFont="1" applyFill="1" applyBorder="1" applyProtection="1">
      <protection locked="0"/>
    </xf>
    <xf numFmtId="0" fontId="15" fillId="10" borderId="29" xfId="0" applyFont="1" applyFill="1" applyBorder="1" applyAlignment="1">
      <alignment horizontal="center"/>
    </xf>
    <xf numFmtId="0" fontId="17" fillId="10" borderId="1" xfId="0" applyFont="1" applyFill="1" applyBorder="1" applyProtection="1">
      <protection locked="0"/>
    </xf>
    <xf numFmtId="0" fontId="15" fillId="10" borderId="28" xfId="0" applyFont="1" applyFill="1" applyBorder="1" applyAlignment="1">
      <alignment horizontal="center"/>
    </xf>
    <xf numFmtId="0" fontId="19" fillId="0" borderId="0" xfId="0" applyFont="1"/>
    <xf numFmtId="0" fontId="15" fillId="10" borderId="19" xfId="0" applyFont="1" applyFill="1" applyBorder="1" applyAlignment="1" applyProtection="1">
      <alignment horizontal="center"/>
      <protection locked="0"/>
    </xf>
    <xf numFmtId="0" fontId="16" fillId="0" borderId="0" xfId="0" applyFont="1" applyAlignment="1">
      <alignment horizontal="center"/>
    </xf>
    <xf numFmtId="11" fontId="16" fillId="0" borderId="0" xfId="0" applyNumberFormat="1" applyFont="1"/>
    <xf numFmtId="0" fontId="15" fillId="0" borderId="0" xfId="0" applyFont="1" applyAlignment="1">
      <alignment horizontal="center"/>
    </xf>
    <xf numFmtId="0" fontId="17" fillId="0" borderId="0" xfId="0" applyFont="1" applyProtection="1">
      <protection locked="0"/>
    </xf>
    <xf numFmtId="0" fontId="18" fillId="0" borderId="0" xfId="0" applyFont="1" applyAlignment="1">
      <alignment horizontal="center"/>
    </xf>
    <xf numFmtId="11" fontId="18" fillId="0" borderId="0" xfId="0" applyNumberFormat="1" applyFont="1" applyProtection="1">
      <protection locked="0"/>
    </xf>
    <xf numFmtId="0" fontId="17" fillId="0" borderId="0" xfId="0" applyFont="1"/>
    <xf numFmtId="0" fontId="15" fillId="0" borderId="4" xfId="0" applyFont="1" applyBorder="1" applyAlignment="1">
      <alignment horizontal="center"/>
    </xf>
    <xf numFmtId="11" fontId="15" fillId="0" borderId="4" xfId="0" applyNumberFormat="1" applyFont="1" applyBorder="1" applyAlignment="1">
      <alignment horizontal="center"/>
    </xf>
    <xf numFmtId="0" fontId="18" fillId="0" borderId="4" xfId="0" applyFont="1" applyBorder="1" applyAlignment="1">
      <alignment horizontal="center"/>
    </xf>
    <xf numFmtId="0" fontId="18" fillId="0" borderId="0" xfId="0" applyFont="1" applyAlignment="1">
      <alignment horizontal="center" vertical="center"/>
    </xf>
    <xf numFmtId="0" fontId="20" fillId="0" borderId="0" xfId="0" applyFont="1" applyAlignment="1" applyProtection="1">
      <alignment horizontal="center"/>
      <protection locked="0"/>
    </xf>
    <xf numFmtId="11" fontId="18" fillId="0" borderId="0" xfId="0" applyNumberFormat="1" applyFont="1" applyAlignment="1">
      <alignment horizontal="center"/>
    </xf>
    <xf numFmtId="0" fontId="18" fillId="0" borderId="0" xfId="0" applyFont="1" applyAlignment="1">
      <alignment horizontal="right"/>
    </xf>
    <xf numFmtId="2" fontId="18" fillId="0" borderId="0" xfId="0" applyNumberFormat="1" applyFont="1" applyAlignment="1">
      <alignment horizontal="center"/>
    </xf>
    <xf numFmtId="0" fontId="20" fillId="0" borderId="0" xfId="0" applyFont="1" applyAlignment="1">
      <alignment horizontal="center"/>
    </xf>
    <xf numFmtId="2" fontId="4" fillId="2" borderId="17" xfId="0" applyNumberFormat="1" applyFont="1" applyFill="1" applyBorder="1" applyAlignment="1">
      <alignment horizontal="center"/>
    </xf>
    <xf numFmtId="2" fontId="4" fillId="2" borderId="1" xfId="0" applyNumberFormat="1" applyFont="1" applyFill="1" applyBorder="1" applyAlignment="1">
      <alignment horizontal="center"/>
    </xf>
    <xf numFmtId="2" fontId="4" fillId="13" borderId="3" xfId="0" applyNumberFormat="1" applyFont="1" applyFill="1" applyBorder="1" applyAlignment="1">
      <alignment horizontal="center"/>
    </xf>
    <xf numFmtId="2" fontId="4" fillId="13" borderId="13" xfId="0" applyNumberFormat="1" applyFont="1" applyFill="1" applyBorder="1" applyAlignment="1">
      <alignment horizontal="center"/>
    </xf>
    <xf numFmtId="2" fontId="4" fillId="13" borderId="0" xfId="0" applyNumberFormat="1" applyFont="1" applyFill="1" applyAlignment="1">
      <alignment horizontal="center"/>
    </xf>
    <xf numFmtId="2" fontId="4" fillId="13" borderId="9" xfId="0" applyNumberFormat="1" applyFont="1" applyFill="1" applyBorder="1" applyAlignment="1">
      <alignment horizontal="center"/>
    </xf>
    <xf numFmtId="0" fontId="4" fillId="13" borderId="4" xfId="0" applyFont="1" applyFill="1" applyBorder="1"/>
    <xf numFmtId="0" fontId="4" fillId="13" borderId="2" xfId="0" applyFont="1" applyFill="1" applyBorder="1"/>
    <xf numFmtId="0" fontId="4" fillId="13" borderId="12" xfId="0" applyFont="1" applyFill="1" applyBorder="1" applyAlignment="1">
      <alignment horizontal="center"/>
    </xf>
    <xf numFmtId="0" fontId="4" fillId="13" borderId="5" xfId="0" applyFont="1" applyFill="1" applyBorder="1" applyAlignment="1">
      <alignment horizontal="center"/>
    </xf>
    <xf numFmtId="0" fontId="4" fillId="13" borderId="1" xfId="0" applyFont="1" applyFill="1" applyBorder="1" applyAlignment="1">
      <alignment horizontal="center"/>
    </xf>
    <xf numFmtId="165" fontId="15" fillId="0" borderId="4" xfId="0" applyNumberFormat="1" applyFont="1" applyBorder="1" applyAlignment="1">
      <alignment horizontal="center"/>
    </xf>
    <xf numFmtId="165" fontId="18" fillId="0" borderId="0" xfId="0" applyNumberFormat="1" applyFont="1" applyAlignment="1">
      <alignment horizontal="center"/>
    </xf>
    <xf numFmtId="2" fontId="15" fillId="0" borderId="4" xfId="0" applyNumberFormat="1" applyFont="1" applyBorder="1" applyAlignment="1">
      <alignment horizontal="center" wrapText="1"/>
    </xf>
    <xf numFmtId="7" fontId="18" fillId="0" borderId="0" xfId="0" applyNumberFormat="1" applyFont="1" applyAlignment="1">
      <alignment horizontal="center"/>
    </xf>
    <xf numFmtId="0" fontId="4" fillId="14" borderId="0" xfId="0" applyFont="1" applyFill="1"/>
    <xf numFmtId="0" fontId="4" fillId="14" borderId="0" xfId="0" applyFont="1" applyFill="1" applyAlignment="1">
      <alignment horizontal="center"/>
    </xf>
    <xf numFmtId="0" fontId="16" fillId="14" borderId="0" xfId="0" applyFont="1" applyFill="1"/>
    <xf numFmtId="0" fontId="4" fillId="14" borderId="0" xfId="0" applyFont="1" applyFill="1" applyAlignment="1">
      <alignment horizontal="right"/>
    </xf>
    <xf numFmtId="164" fontId="4" fillId="14" borderId="0" xfId="0" applyNumberFormat="1" applyFont="1" applyFill="1"/>
    <xf numFmtId="11" fontId="4" fillId="14" borderId="0" xfId="0" applyNumberFormat="1" applyFont="1" applyFill="1"/>
    <xf numFmtId="0" fontId="14" fillId="14" borderId="0" xfId="0" applyFont="1" applyFill="1"/>
    <xf numFmtId="2" fontId="4" fillId="14" borderId="0" xfId="0" applyNumberFormat="1" applyFont="1" applyFill="1"/>
    <xf numFmtId="167" fontId="4" fillId="14" borderId="0" xfId="2" applyNumberFormat="1" applyFont="1" applyFill="1" applyBorder="1"/>
    <xf numFmtId="0" fontId="4" fillId="14" borderId="0" xfId="0" applyFont="1" applyFill="1" applyAlignment="1">
      <alignment horizontal="center" vertical="center"/>
    </xf>
    <xf numFmtId="11" fontId="16" fillId="14" borderId="0" xfId="0" applyNumberFormat="1" applyFont="1" applyFill="1" applyAlignment="1">
      <alignment horizontal="center"/>
    </xf>
    <xf numFmtId="11" fontId="16" fillId="14" borderId="0" xfId="0" applyNumberFormat="1" applyFont="1" applyFill="1"/>
    <xf numFmtId="2" fontId="16" fillId="14" borderId="0" xfId="0" applyNumberFormat="1" applyFont="1" applyFill="1" applyAlignment="1">
      <alignment horizontal="center"/>
    </xf>
    <xf numFmtId="0" fontId="16" fillId="14" borderId="0" xfId="0" applyFont="1" applyFill="1" applyAlignment="1">
      <alignment horizontal="center"/>
    </xf>
    <xf numFmtId="2" fontId="16" fillId="14" borderId="0" xfId="0" applyNumberFormat="1" applyFont="1" applyFill="1"/>
    <xf numFmtId="164" fontId="16" fillId="14" borderId="0" xfId="0" applyNumberFormat="1" applyFont="1" applyFill="1" applyAlignment="1">
      <alignment horizontal="center"/>
    </xf>
    <xf numFmtId="164" fontId="16" fillId="14" borderId="0" xfId="0" applyNumberFormat="1" applyFont="1" applyFill="1"/>
    <xf numFmtId="168" fontId="16" fillId="14" borderId="0" xfId="2" applyNumberFormat="1" applyFont="1" applyFill="1" applyBorder="1" applyAlignment="1">
      <alignment horizontal="center"/>
    </xf>
    <xf numFmtId="11" fontId="4" fillId="14" borderId="0" xfId="0" applyNumberFormat="1" applyFont="1" applyFill="1" applyAlignment="1">
      <alignment horizontal="center"/>
    </xf>
    <xf numFmtId="169" fontId="4" fillId="9" borderId="2" xfId="0" applyNumberFormat="1" applyFont="1" applyFill="1" applyBorder="1"/>
    <xf numFmtId="0" fontId="5" fillId="2" borderId="10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6" fillId="0" borderId="0" xfId="1" applyFont="1" applyBorder="1" applyAlignment="1" applyProtection="1">
      <alignment horizontal="center"/>
    </xf>
    <xf numFmtId="0" fontId="5" fillId="2" borderId="15" xfId="0" applyFont="1" applyFill="1" applyBorder="1" applyAlignment="1">
      <alignment horizontal="left"/>
    </xf>
    <xf numFmtId="0" fontId="5" fillId="2" borderId="14" xfId="0" applyFont="1" applyFill="1" applyBorder="1" applyAlignment="1">
      <alignment horizontal="left"/>
    </xf>
    <xf numFmtId="0" fontId="5" fillId="2" borderId="6" xfId="0" applyFont="1" applyFill="1" applyBorder="1" applyAlignment="1">
      <alignment horizontal="left"/>
    </xf>
    <xf numFmtId="0" fontId="4" fillId="9" borderId="7" xfId="0" applyNumberFormat="1" applyFont="1" applyFill="1" applyBorder="1" applyProtection="1">
      <protection locked="0"/>
    </xf>
    <xf numFmtId="0" fontId="4" fillId="9" borderId="0" xfId="0" applyFont="1" applyFill="1" applyAlignment="1">
      <alignment horizontal="left"/>
    </xf>
    <xf numFmtId="0" fontId="23" fillId="15" borderId="10" xfId="0" applyNumberFormat="1" applyFont="1" applyFill="1" applyBorder="1" applyAlignment="1" applyProtection="1">
      <alignment horizontal="center"/>
      <protection locked="0"/>
    </xf>
    <xf numFmtId="0" fontId="23" fillId="15" borderId="0" xfId="0" applyNumberFormat="1" applyFont="1" applyFill="1" applyProtection="1">
      <protection locked="0"/>
    </xf>
    <xf numFmtId="0" fontId="23" fillId="0" borderId="0" xfId="0" applyNumberFormat="1" applyFont="1" applyProtection="1">
      <protection locked="0"/>
    </xf>
    <xf numFmtId="0" fontId="23" fillId="9" borderId="0" xfId="0" applyNumberFormat="1" applyFont="1" applyFill="1" applyProtection="1">
      <protection locked="0"/>
    </xf>
    <xf numFmtId="0" fontId="4" fillId="16" borderId="0" xfId="0" applyFont="1" applyFill="1"/>
  </cellXfs>
  <cellStyles count="3">
    <cellStyle name="Hiperlink" xfId="1" builtinId="8"/>
    <cellStyle name="Normal" xfId="0" builtinId="0"/>
    <cellStyle name="Porcentagem" xfId="2" builtinId="5"/>
  </cellStyles>
  <dxfs count="24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27647223519118"/>
          <c:y val="2.9797927787902811E-2"/>
          <c:w val="0.52996447423075632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Diagrama!$B$211</c:f>
              <c:strCache>
                <c:ptCount val="1"/>
                <c:pt idx="0">
                  <c:v> 1-Agroecological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layout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62D3-4858-A1D5-82A125310125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Diagrama!$B$236</c:f>
              <c:numCache>
                <c:formatCode>0.00</c:formatCode>
                <c:ptCount val="1"/>
                <c:pt idx="0">
                  <c:v>0.12265065297809784</c:v>
                </c:pt>
              </c:numCache>
            </c:numRef>
          </c:xVal>
          <c:yVal>
            <c:numRef>
              <c:f>Diagrama!$B$237</c:f>
              <c:numCache>
                <c:formatCode>0.00</c:formatCode>
                <c:ptCount val="1"/>
                <c:pt idx="0">
                  <c:v>0.76037981753863337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R+Mr+Sr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7.1643052110961364E-2"/>
                  <c:y val="-4.2647111651822389E-2"/>
                </c:manualLayout>
              </c:layout>
              <c:tx>
                <c:rich>
                  <a:bodyPr/>
                  <a:lstStyle/>
                  <a:p>
                    <a:pPr>
                      <a:defRPr sz="1800" u="none" strike="noStrike" baseline="0">
                        <a:latin typeface="Arial" panose="020B0604020202020204" pitchFamily="34" charset="0"/>
                      </a:defRPr>
                    </a:pPr>
                    <a:r>
                      <a:rPr lang="en-US" sz="1800" u="none" strike="noStrike" baseline="0">
                        <a:latin typeface="Arial" panose="020B0604020202020204" pitchFamily="34" charset="0"/>
                      </a:rPr>
                      <a:t>R+Mr+Sr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4-62D3-4858-A1D5-82A125310125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u="none" strike="noStrike" baseline="0">
                    <a:latin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Mn+Sn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8.6960591380420334E-3"/>
                  <c:y val="2.4486436872657721E-2"/>
                </c:manualLayout>
              </c:layout>
              <c:tx>
                <c:rich>
                  <a:bodyPr/>
                  <a:lstStyle/>
                  <a:p>
                    <a:pPr>
                      <a:defRPr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rPr>
                      <a:t>Mn+Sn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6-62D3-4858-A1D5-82A125310125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aseline="0">
                    <a:latin typeface="Arial" panose="020B0604020202020204" pitchFamily="34" charset="0"/>
                    <a:cs typeface="Times New Roman" panose="02020603050405020304" pitchFamily="18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3.3875675260032372E-2"/>
                  <c:y val="2.4332007366658776E-2"/>
                </c:manualLayout>
              </c:layout>
              <c:tx>
                <c:rich>
                  <a:bodyPr/>
                  <a:lstStyle/>
                  <a:p>
                    <a:pPr>
                      <a:defRPr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8-62D3-4858-A1D5-82A125310125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aseline="0">
                    <a:latin typeface="Arial" panose="020B0604020202020204" pitchFamily="34" charset="0"/>
                    <a:cs typeface="Times New Roman" panose="02020603050405020304" pitchFamily="18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Diagrama!$L$66</c:f>
              <c:strCache>
                <c:ptCount val="1"/>
                <c:pt idx="0">
                  <c:v>SI=0,59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layout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A-62D3-4858-A1D5-82A125310125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-0.57735026918962584</c:v>
                </c:pt>
                <c:pt idx="1">
                  <c:v>-0.53541705668048634</c:v>
                </c:pt>
                <c:pt idx="2">
                  <c:v>-0.49238610158894791</c:v>
                </c:pt>
                <c:pt idx="3">
                  <c:v>-0.44820083452159692</c:v>
                </c:pt>
                <c:pt idx="4">
                  <c:v>-0.40280073126999572</c:v>
                </c:pt>
                <c:pt idx="5">
                  <c:v>-0.35612096105717866</c:v>
                </c:pt>
                <c:pt idx="6">
                  <c:v>-0.30809199656095443</c:v>
                </c:pt>
                <c:pt idx="7">
                  <c:v>-0.2586391807788701</c:v>
                </c:pt>
                <c:pt idx="8">
                  <c:v>-0.20768224505778632</c:v>
                </c:pt>
                <c:pt idx="9">
                  <c:v>-0.15513477174122708</c:v>
                </c:pt>
                <c:pt idx="10">
                  <c:v>-0.1009035938650389</c:v>
                </c:pt>
                <c:pt idx="11">
                  <c:v>-4.4888123125983358E-2</c:v>
                </c:pt>
                <c:pt idx="12">
                  <c:v>1.3020404078549605E-2</c:v>
                </c:pt>
                <c:pt idx="13">
                  <c:v>7.2939774434214594E-2</c:v>
                </c:pt>
                <c:pt idx="14">
                  <c:v>0.13499775322662091</c:v>
                </c:pt>
                <c:pt idx="15">
                  <c:v>0.19933316390915132</c:v>
                </c:pt>
                <c:pt idx="16">
                  <c:v>0.26609711092643173</c:v>
                </c:pt>
                <c:pt idx="17">
                  <c:v>0.3354543684729353</c:v>
                </c:pt>
                <c:pt idx="18">
                  <c:v>0.40758496206458406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0</c:v>
                </c:pt>
                <c:pt idx="1">
                  <c:v>1.6335674294616936E-2</c:v>
                </c:pt>
                <c:pt idx="2">
                  <c:v>3.2671348589233873E-2</c:v>
                </c:pt>
                <c:pt idx="3">
                  <c:v>4.9007022883850809E-2</c:v>
                </c:pt>
                <c:pt idx="4">
                  <c:v>6.5342697178467746E-2</c:v>
                </c:pt>
                <c:pt idx="5">
                  <c:v>8.1678371473084682E-2</c:v>
                </c:pt>
                <c:pt idx="6">
                  <c:v>9.8014045767701619E-2</c:v>
                </c:pt>
                <c:pt idx="7">
                  <c:v>0.11434972006231856</c:v>
                </c:pt>
                <c:pt idx="8">
                  <c:v>0.13068539435693549</c:v>
                </c:pt>
                <c:pt idx="9">
                  <c:v>0.14702106865155243</c:v>
                </c:pt>
                <c:pt idx="10">
                  <c:v>0.16335674294616936</c:v>
                </c:pt>
                <c:pt idx="11">
                  <c:v>0.1796924172407863</c:v>
                </c:pt>
                <c:pt idx="12">
                  <c:v>0.19602809153540324</c:v>
                </c:pt>
                <c:pt idx="13">
                  <c:v>0.21236376583002017</c:v>
                </c:pt>
                <c:pt idx="14">
                  <c:v>0.22869944012463711</c:v>
                </c:pt>
                <c:pt idx="15">
                  <c:v>0.24503511441925405</c:v>
                </c:pt>
                <c:pt idx="16">
                  <c:v>0.26137078871387098</c:v>
                </c:pt>
                <c:pt idx="17">
                  <c:v>0.27770646300848789</c:v>
                </c:pt>
                <c:pt idx="18">
                  <c:v>0.29404213730310486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Diagrama!$L$69</c:f>
              <c:strCache>
                <c:ptCount val="1"/>
                <c:pt idx="0">
                  <c:v>SI=3,9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layout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C-62D3-4858-A1D5-82A125310125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-0.57735026918962584</c:v>
                </c:pt>
                <c:pt idx="1">
                  <c:v>-0.54760467347013997</c:v>
                </c:pt>
                <c:pt idx="2">
                  <c:v>-0.51711474570959481</c:v>
                </c:pt>
                <c:pt idx="3">
                  <c:v>-0.48579688423552314</c:v>
                </c:pt>
                <c:pt idx="4">
                  <c:v>-0.45355448047551578</c:v>
                </c:pt>
                <c:pt idx="5">
                  <c:v>-0.42027528704127987</c:v>
                </c:pt>
                <c:pt idx="6">
                  <c:v>-0.38582811978436071</c:v>
                </c:pt>
                <c:pt idx="7">
                  <c:v>-0.35005868853028321</c:v>
                </c:pt>
                <c:pt idx="8">
                  <c:v>-0.31278427554839899</c:v>
                </c:pt>
                <c:pt idx="9">
                  <c:v>-0.27378687228997084</c:v>
                </c:pt>
                <c:pt idx="10">
                  <c:v>-0.23280422684745677</c:v>
                </c:pt>
                <c:pt idx="11">
                  <c:v>-0.18951802046774952</c:v>
                </c:pt>
                <c:pt idx="12">
                  <c:v>-0.14353803835460258</c:v>
                </c:pt>
                <c:pt idx="13">
                  <c:v>-9.4380656719132011E-2</c:v>
                </c:pt>
                <c:pt idx="14">
                  <c:v>-4.1439113525797662E-2</c:v>
                </c:pt>
                <c:pt idx="15">
                  <c:v>1.6058346946785283E-2</c:v>
                </c:pt>
                <c:pt idx="16">
                  <c:v>7.91086470965809E-2</c:v>
                </c:pt>
                <c:pt idx="17">
                  <c:v>0.14902245492827573</c:v>
                </c:pt>
                <c:pt idx="18">
                  <c:v>0.22755814949496025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0</c:v>
                </c:pt>
                <c:pt idx="1">
                  <c:v>3.3658762411020858E-2</c:v>
                </c:pt>
                <c:pt idx="2">
                  <c:v>6.7317524822041716E-2</c:v>
                </c:pt>
                <c:pt idx="3">
                  <c:v>0.10097628723306257</c:v>
                </c:pt>
                <c:pt idx="4">
                  <c:v>0.13463504964408343</c:v>
                </c:pt>
                <c:pt idx="5">
                  <c:v>0.1682938120551043</c:v>
                </c:pt>
                <c:pt idx="6">
                  <c:v>0.20195257446612513</c:v>
                </c:pt>
                <c:pt idx="7">
                  <c:v>0.235611336877146</c:v>
                </c:pt>
                <c:pt idx="8">
                  <c:v>0.26927009928816686</c:v>
                </c:pt>
                <c:pt idx="9">
                  <c:v>0.3029288616991877</c:v>
                </c:pt>
                <c:pt idx="10">
                  <c:v>0.33658762411020859</c:v>
                </c:pt>
                <c:pt idx="11">
                  <c:v>0.37024638652122943</c:v>
                </c:pt>
                <c:pt idx="12">
                  <c:v>0.40390514893225027</c:v>
                </c:pt>
                <c:pt idx="13">
                  <c:v>0.43756391134327116</c:v>
                </c:pt>
                <c:pt idx="14">
                  <c:v>0.471222673754292</c:v>
                </c:pt>
                <c:pt idx="15">
                  <c:v>0.50488143616531289</c:v>
                </c:pt>
                <c:pt idx="16">
                  <c:v>0.53854019857633373</c:v>
                </c:pt>
                <c:pt idx="17">
                  <c:v>0.57219896098735457</c:v>
                </c:pt>
                <c:pt idx="18">
                  <c:v>0.6058577233983754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Diagrama!$L$74</c:f>
              <c:strCache>
                <c:ptCount val="1"/>
                <c:pt idx="0">
                  <c:v>SI=14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layout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E-62D3-4858-A1D5-82A125310125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-0.57735026918962584</c:v>
                </c:pt>
                <c:pt idx="1">
                  <c:v>-0.54911201170833879</c:v>
                </c:pt>
                <c:pt idx="2">
                  <c:v>-0.52053264329007209</c:v>
                </c:pt>
                <c:pt idx="3">
                  <c:v>-0.49156223630370721</c:v>
                </c:pt>
                <c:pt idx="4">
                  <c:v>-0.46214061962075892</c:v>
                </c:pt>
                <c:pt idx="5">
                  <c:v>-0.432194609552074</c:v>
                </c:pt>
                <c:pt idx="6">
                  <c:v>-0.40163429119182836</c:v>
                </c:pt>
                <c:pt idx="7">
                  <c:v>-0.37034794722149605</c:v>
                </c:pt>
                <c:pt idx="8">
                  <c:v>-0.33819502320428824</c:v>
                </c:pt>
                <c:pt idx="9">
                  <c:v>-0.30499618122841843</c:v>
                </c:pt>
                <c:pt idx="10">
                  <c:v>-0.27051893174272257</c:v>
                </c:pt>
                <c:pt idx="11">
                  <c:v>-0.23445636664356478</c:v>
                </c:pt>
                <c:pt idx="12">
                  <c:v>-0.19639479303127452</c:v>
                </c:pt>
                <c:pt idx="13">
                  <c:v>-0.15576286548970059</c:v>
                </c:pt>
                <c:pt idx="14">
                  <c:v>-0.11174857894186273</c:v>
                </c:pt>
                <c:pt idx="15">
                  <c:v>-6.3157642863552979E-2</c:v>
                </c:pt>
                <c:pt idx="16">
                  <c:v>-8.158499279998158E-3</c:v>
                </c:pt>
                <c:pt idx="17">
                  <c:v>5.6208160493073978E-2</c:v>
                </c:pt>
                <c:pt idx="18">
                  <c:v>0.13505530979825167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0</c:v>
                </c:pt>
                <c:pt idx="1">
                  <c:v>4.2559852310970731E-2</c:v>
                </c:pt>
                <c:pt idx="2">
                  <c:v>8.5119704621941461E-2</c:v>
                </c:pt>
                <c:pt idx="3">
                  <c:v>0.12767955693291219</c:v>
                </c:pt>
                <c:pt idx="4">
                  <c:v>0.17023940924388292</c:v>
                </c:pt>
                <c:pt idx="5">
                  <c:v>0.21279926155485365</c:v>
                </c:pt>
                <c:pt idx="6">
                  <c:v>0.25535911386582438</c:v>
                </c:pt>
                <c:pt idx="7">
                  <c:v>0.29791896617679514</c:v>
                </c:pt>
                <c:pt idx="8">
                  <c:v>0.34047881848776584</c:v>
                </c:pt>
                <c:pt idx="9">
                  <c:v>0.38303867079873655</c:v>
                </c:pt>
                <c:pt idx="10">
                  <c:v>0.42559852310970731</c:v>
                </c:pt>
                <c:pt idx="11">
                  <c:v>0.46815837542067806</c:v>
                </c:pt>
                <c:pt idx="12">
                  <c:v>0.51071822773164877</c:v>
                </c:pt>
                <c:pt idx="13">
                  <c:v>0.55327808004261947</c:v>
                </c:pt>
                <c:pt idx="14">
                  <c:v>0.59583793235359028</c:v>
                </c:pt>
                <c:pt idx="15">
                  <c:v>0.63839778466456099</c:v>
                </c:pt>
                <c:pt idx="16">
                  <c:v>0.68095763697553169</c:v>
                </c:pt>
                <c:pt idx="17">
                  <c:v>0.72351748928650239</c:v>
                </c:pt>
                <c:pt idx="18">
                  <c:v>0.7660773415974732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5.023332368275274E-2"/>
                  <c:y val="-2.2009341074271643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0-62D3-4858-A1D5-82A125310125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  <c:pt idx="0">
                  <c:v>FALSE</c:v>
                </c:pt>
              </c:strCache>
            </c:strRef>
          </c:tx>
          <c:spPr>
            <a:ln w="12700">
              <a:solidFill>
                <a:srgbClr val="0000FF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tx>
                <c:rich>
                  <a:bodyPr/>
                  <a:lstStyle/>
                  <a:p>
                    <a:pPr algn="l">
                      <a:defRPr sz="16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fld id="{043CD7DE-B616-4DA3-9D26-C7A7790345FE}" type="SERIESNAME">
                      <a:rPr lang="en-US" sz="16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pPr algn="l">
                        <a:defRPr sz="1600">
                          <a:latin typeface="Arial" panose="020B0604020202020204" pitchFamily="34" charset="0"/>
                          <a:cs typeface="Arial" panose="020B0604020202020204" pitchFamily="34" charset="0"/>
                        </a:defRPr>
                      </a:pPr>
                      <a:t>[NOME DA SÉRIE]</a:t>
                    </a:fld>
                    <a:endParaRPr lang="en-US"/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2-62D3-4858-A1D5-82A125310125}"/>
                </c:ext>
                <c:ext xmlns:c15="http://schemas.microsoft.com/office/drawing/2012/chart" uri="{CE6537A1-D6FC-4f65-9D91-7224C49458BB}">
                  <c15:layout/>
                  <c15:dlblFieldTable/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  <c:pt idx="0">
                  <c:v>FALSE</c:v>
                </c:pt>
              </c:strCache>
            </c:strRef>
          </c:tx>
          <c:spPr>
            <a:ln w="12700">
              <a:solidFill>
                <a:srgbClr val="0000FF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90334177946954186"/>
                  <c:y val="-6.728882774808921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4-62D3-4858-A1D5-82A125310125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Diagrama!$C$211</c:f>
              <c:strCache>
                <c:ptCount val="1"/>
                <c:pt idx="0">
                  <c:v> 2-Grains/Cattle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layout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7-62D3-4858-A1D5-82A125310125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Diagrama!$C$236</c:f>
              <c:numCache>
                <c:formatCode>0.00</c:formatCode>
                <c:ptCount val="1"/>
                <c:pt idx="0">
                  <c:v>0.29465577154195161</c:v>
                </c:pt>
              </c:numCache>
            </c:numRef>
          </c:xVal>
          <c:yVal>
            <c:numRef>
              <c:f>Diagrama!$C$237</c:f>
              <c:numCache>
                <c:formatCode>0.00</c:formatCode>
                <c:ptCount val="1"/>
                <c:pt idx="0">
                  <c:v>0.42462523159845034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Diagrama!$D$211</c:f>
              <c:strCache>
                <c:ptCount val="1"/>
                <c:pt idx="0">
                  <c:v> 3-Milk/Grains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layout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A-62D3-4858-A1D5-82A125310125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Diagrama!$D$236</c:f>
              <c:numCache>
                <c:formatCode>0.00</c:formatCode>
                <c:ptCount val="1"/>
                <c:pt idx="0">
                  <c:v>0.35893811578542878</c:v>
                </c:pt>
              </c:numCache>
            </c:numRef>
          </c:xVal>
          <c:yVal>
            <c:numRef>
              <c:f>Diagrama!$D$237</c:f>
              <c:numCache>
                <c:formatCode>0.00</c:formatCode>
                <c:ptCount val="1"/>
                <c:pt idx="0">
                  <c:v>0.33594917787742901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Diagrama!$E$211</c:f>
              <c:strCache>
                <c:ptCount val="1"/>
                <c:pt idx="0">
                  <c:v> 4-Grains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5-4225-4D5C-B2E8-00CE3B1B75D3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Diagrama!$E$236</c:f>
              <c:numCache>
                <c:formatCode>0.00</c:formatCode>
                <c:ptCount val="1"/>
                <c:pt idx="0">
                  <c:v>0.32996338826683069</c:v>
                </c:pt>
              </c:numCache>
            </c:numRef>
          </c:xVal>
          <c:yVal>
            <c:numRef>
              <c:f>Diagrama!$E$237</c:f>
              <c:numCache>
                <c:formatCode>0.00</c:formatCode>
                <c:ptCount val="1"/>
                <c:pt idx="0">
                  <c:v>0.40142433234421354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Diagrama!$F$211</c:f>
              <c:strCache>
                <c:ptCount val="1"/>
                <c:pt idx="0">
                  <c:v> 5-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6-4225-4D5C-B2E8-00CE3B1B75D3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Diagrama!$F$236</c:f>
              <c:numCache>
                <c:formatCode>0.00</c:formatCode>
                <c:ptCount val="1"/>
                <c:pt idx="0">
                  <c:v>0.11906112548634627</c:v>
                </c:pt>
              </c:numCache>
            </c:numRef>
          </c:xVal>
          <c:yVal>
            <c:numRef>
              <c:f>Diagrama!$F$237</c:f>
              <c:numCache>
                <c:formatCode>0.00</c:formatCode>
                <c:ptCount val="1"/>
                <c:pt idx="0">
                  <c:v>0.49685301740096266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Diagrama!$G$211</c:f>
              <c:strCache>
                <c:ptCount val="1"/>
                <c:pt idx="0">
                  <c:v> 6-Organic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7-4225-4D5C-B2E8-00CE3B1B75D3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Diagrama!$G$236</c:f>
              <c:numCache>
                <c:formatCode>0.00</c:formatCode>
                <c:ptCount val="1"/>
                <c:pt idx="0">
                  <c:v>0.11529433004953461</c:v>
                </c:pt>
              </c:numCache>
            </c:numRef>
          </c:xVal>
          <c:yVal>
            <c:numRef>
              <c:f>Diagrama!$G$237</c:f>
              <c:numCache>
                <c:formatCode>0.00</c:formatCode>
                <c:ptCount val="1"/>
                <c:pt idx="0">
                  <c:v>0.74568819749746351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>
              <a:solidFill>
                <a:srgbClr val="000080"/>
              </a:solidFill>
            </a:ln>
            <a:effectLst>
              <a:glow>
                <a:schemeClr val="accent1"/>
              </a:glow>
              <a:outerShdw blurRad="50800" dist="50800" sx="1000" sy="1000" algn="ctr" rotWithShape="0">
                <a:schemeClr val="bg1">
                  <a:alpha val="0"/>
                </a:schemeClr>
              </a:outerShdw>
            </a:effectLst>
          </c:spPr>
          <c:marker>
            <c:symbol val="none"/>
          </c:marker>
          <c:xVal>
            <c:numRef>
              <c:f>Diagrama!$O$79:$AI$79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Diagrama!$B$240</c:f>
              <c:strCache>
                <c:ptCount val="1"/>
                <c:pt idx="0">
                  <c:v>Simergy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Simergy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2B-62D3-4858-A1D5-82A125310125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Diagrama!$B$265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Diagrama!$B$266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tx>
            <c:strRef>
              <c:f>Diagrama!$C$113</c:f>
              <c:strCache>
                <c:ptCount val="1"/>
                <c:pt idx="0">
                  <c:v>Simergy 1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(Diagrama!$E$113,Diagrama!$N$113)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(Diagrama!$E$114,Diagrama!$N$114)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tx>
            <c:strRef>
              <c:f>Diagrama!$C$116</c:f>
              <c:strCache>
                <c:ptCount val="1"/>
                <c:pt idx="0">
                  <c:v>Simergy 2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(Diagrama!$E$116,Diagrama!$N$116)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(Diagrama!$E$117,Diagrama!$N$117)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tx>
            <c:strRef>
              <c:f>Diagrama!$C$119</c:f>
              <c:strCache>
                <c:ptCount val="1"/>
                <c:pt idx="0">
                  <c:v>Simergy 3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(Diagrama!$E$119,Diagrama!$N$119)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(Diagrama!$E$120,Diagrama!$N$120)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tx>
            <c:strRef>
              <c:f>Diagrama!$C$122</c:f>
              <c:strCache>
                <c:ptCount val="1"/>
                <c:pt idx="0">
                  <c:v>Simergy 4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(Diagrama!$E$122,Diagrama!$N$122)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(Diagrama!$E$123,Diagrama!$N$123)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tx>
            <c:strRef>
              <c:f>Diagrama!$C$125</c:f>
              <c:strCache>
                <c:ptCount val="1"/>
                <c:pt idx="0">
                  <c:v>Simergy 5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(Diagrama!$E$125,Diagrama!$N$125)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(Diagrama!$E$126,Diagrama!$N$126)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tx>
            <c:strRef>
              <c:f>Diagrama!$C$128</c:f>
              <c:strCache>
                <c:ptCount val="1"/>
                <c:pt idx="0">
                  <c:v>Simergy 6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(Diagrama!$E$128,Diagrama!$N$128)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(Diagrama!$E$129,Diagrama!$N$129)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Diagrama!$H$211</c:f>
              <c:strCache>
                <c:ptCount val="1"/>
                <c:pt idx="0">
                  <c:v> 7-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8-4225-4D5C-B2E8-00CE3B1B75D3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Diagrama!$H$236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Diagrama!$H$237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Diagrama!$I$211</c:f>
              <c:strCache>
                <c:ptCount val="1"/>
                <c:pt idx="0">
                  <c:v> 8-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9-4225-4D5C-B2E8-00CE3B1B75D3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Diagrama!$I$236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Diagrama!$I$237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Diagrama!$J$211</c:f>
              <c:strCache>
                <c:ptCount val="1"/>
                <c:pt idx="0">
                  <c:v> 9-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A-4225-4D5C-B2E8-00CE3B1B75D3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Diagrama!$J$236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Diagrama!$J$237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Diagrama!$K$211</c:f>
              <c:strCache>
                <c:ptCount val="1"/>
                <c:pt idx="0">
                  <c:v> 10-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B-4225-4D5C-B2E8-00CE3B1B75D3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Diagrama!$K$236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Diagrama!$K$237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tx>
            <c:strRef>
              <c:f>Diagrama!$C$131</c:f>
              <c:strCache>
                <c:ptCount val="1"/>
                <c:pt idx="0">
                  <c:v>Simergy 7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(Diagrama!$E$131,Diagrama!$N$131)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(Diagrama!$E$132,Diagrama!$N$132)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tx>
            <c:strRef>
              <c:f>Diagrama!$C$134</c:f>
              <c:strCache>
                <c:ptCount val="1"/>
                <c:pt idx="0">
                  <c:v>Simergy 8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(Diagrama!$E$134,Diagrama!$N$134)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(Diagrama!$E$135,Diagrama!$N$135)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tx>
            <c:strRef>
              <c:f>Diagrama!$C$137</c:f>
              <c:strCache>
                <c:ptCount val="1"/>
                <c:pt idx="0">
                  <c:v>Simergy 9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(Diagrama!$E$137,Diagrama!$N$137)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(Diagrama!$E$138,Diagrama!$N$138)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tx>
            <c:strRef>
              <c:f>Diagrama!$C$140</c:f>
              <c:strCache>
                <c:ptCount val="1"/>
                <c:pt idx="0">
                  <c:v>Simergy 10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(Diagrama!$E$140,Diagrama!$N$140)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(Diagrama!$E$141,Diagrama!$N$141)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dPt>
            <c:idx val="1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Diagrama!$S$42:$T$42</c:f>
              <c:numCache>
                <c:formatCode>0.000</c:formatCode>
                <c:ptCount val="2"/>
                <c:pt idx="0">
                  <c:v>-0.57999999999999996</c:v>
                </c:pt>
                <c:pt idx="1">
                  <c:v>0.57999999999999996</c:v>
                </c:pt>
              </c:numCache>
            </c:numRef>
          </c:xVal>
          <c:yVal>
            <c:numRef>
              <c:f>Diagrama!$S$43:$T$43</c:f>
              <c:numCache>
                <c:formatCode>0.000</c:formatCode>
                <c:ptCount val="2"/>
                <c:pt idx="0" formatCode="0.00">
                  <c:v>-1</c:v>
                </c:pt>
                <c:pt idx="1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>
              <a:noFill/>
            </a:ln>
            <a:effectLst/>
          </c:spPr>
          <c:marker>
            <c:symbol val="none"/>
          </c:marker>
          <c:xVal>
            <c:numRef>
              <c:f>Diagrama!$BF$40:$BJ$40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Diagrama!$BF$41:$BJ$41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-1.9455913180910678</c:v>
                </c:pt>
                <c:pt idx="1">
                  <c:v>-1.9455913180910678</c:v>
                </c:pt>
                <c:pt idx="2">
                  <c:v>-1.9455913180910678</c:v>
                </c:pt>
                <c:pt idx="3">
                  <c:v>-1.9455913180910678</c:v>
                </c:pt>
                <c:pt idx="4">
                  <c:v>-1.9455913180910678</c:v>
                </c:pt>
                <c:pt idx="5">
                  <c:v>-1.9455913180910678</c:v>
                </c:pt>
                <c:pt idx="6">
                  <c:v>-1.9455913180910678</c:v>
                </c:pt>
                <c:pt idx="7">
                  <c:v>-1.9455913180910678</c:v>
                </c:pt>
                <c:pt idx="8">
                  <c:v>-1.9455913180910678</c:v>
                </c:pt>
                <c:pt idx="9">
                  <c:v>-1.9455913180910678</c:v>
                </c:pt>
                <c:pt idx="10">
                  <c:v>-1.9455913180910678</c:v>
                </c:pt>
                <c:pt idx="11">
                  <c:v>-1.9455913180910678</c:v>
                </c:pt>
                <c:pt idx="12">
                  <c:v>-1.9455913180910678</c:v>
                </c:pt>
                <c:pt idx="13">
                  <c:v>-1.9455913180910678</c:v>
                </c:pt>
                <c:pt idx="14">
                  <c:v>-1.9455913180910678</c:v>
                </c:pt>
                <c:pt idx="15">
                  <c:v>-1.9455913180910678</c:v>
                </c:pt>
                <c:pt idx="16">
                  <c:v>-1.9455913180910678</c:v>
                </c:pt>
                <c:pt idx="17">
                  <c:v>-1.9455913180910678</c:v>
                </c:pt>
                <c:pt idx="18">
                  <c:v>-1.9455913180910678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-1.2830005981991686</c:v>
                </c:pt>
                <c:pt idx="1">
                  <c:v>-1.2830005981991686</c:v>
                </c:pt>
                <c:pt idx="2">
                  <c:v>-1.2830005981991686</c:v>
                </c:pt>
                <c:pt idx="3">
                  <c:v>-1.2830005981991686</c:v>
                </c:pt>
                <c:pt idx="4">
                  <c:v>-1.2830005981991686</c:v>
                </c:pt>
                <c:pt idx="5">
                  <c:v>-1.2830005981991686</c:v>
                </c:pt>
                <c:pt idx="6">
                  <c:v>-1.2830005981991686</c:v>
                </c:pt>
                <c:pt idx="7">
                  <c:v>-1.2830005981991686</c:v>
                </c:pt>
                <c:pt idx="8">
                  <c:v>-1.2830005981991686</c:v>
                </c:pt>
                <c:pt idx="9">
                  <c:v>-1.2830005981991686</c:v>
                </c:pt>
                <c:pt idx="10">
                  <c:v>-1.2830005981991686</c:v>
                </c:pt>
                <c:pt idx="11">
                  <c:v>-1.2830005981991686</c:v>
                </c:pt>
                <c:pt idx="12">
                  <c:v>-1.2830005981991686</c:v>
                </c:pt>
                <c:pt idx="13">
                  <c:v>-1.2830005981991686</c:v>
                </c:pt>
                <c:pt idx="14">
                  <c:v>-1.2830005981991686</c:v>
                </c:pt>
                <c:pt idx="15">
                  <c:v>-1.2830005981991686</c:v>
                </c:pt>
                <c:pt idx="16">
                  <c:v>-1.2830005981991686</c:v>
                </c:pt>
                <c:pt idx="17">
                  <c:v>-1.2830005981991686</c:v>
                </c:pt>
                <c:pt idx="18">
                  <c:v>-1.2830005981991686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ser>
          <c:idx val="44"/>
          <c:order val="44"/>
          <c:tx>
            <c:strRef>
              <c:f>Diagrama!$L$235</c:f>
              <c:strCache>
                <c:ptCount val="1"/>
                <c:pt idx="0">
                  <c:v>11-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Pt>
            <c:idx val="0"/>
            <c:marker>
              <c:symbol val="circle"/>
              <c:size val="6"/>
              <c:spPr>
                <a:solidFill>
                  <a:srgbClr val="64FF1E"/>
                </a:solidFill>
                <a:ln>
                  <a:solidFill>
                    <a:schemeClr val="tx1"/>
                  </a:solidFill>
                </a:ln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2AC-976A-483C-A942-96C3E782DD4F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2AC-976A-483C-A942-96C3E782DD4F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Diagrama!$L$237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2AB-976A-483C-A942-96C3E782DD4F}"/>
            </c:ext>
          </c:extLst>
        </c:ser>
        <c:ser>
          <c:idx val="45"/>
          <c:order val="45"/>
          <c:tx>
            <c:strRef>
              <c:f>Diagrama!$M$235</c:f>
              <c:strCache>
                <c:ptCount val="1"/>
                <c:pt idx="0">
                  <c:v> 12-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C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C6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Diagrama!$M$237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7-E250-4AB7-85F0-9E4846E1EDB9}"/>
            </c:ext>
          </c:extLst>
        </c:ser>
        <c:ser>
          <c:idx val="46"/>
          <c:order val="46"/>
          <c:tx>
            <c:strRef>
              <c:f>Diagrama!$N$235</c:f>
              <c:strCache>
                <c:ptCount val="1"/>
                <c:pt idx="0">
                  <c:v> 13-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C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C7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Diagrama!$N$236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Diagrama!$N$237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E250-4AB7-85F0-9E4846E1EDB9}"/>
            </c:ext>
          </c:extLst>
        </c:ser>
        <c:ser>
          <c:idx val="47"/>
          <c:order val="47"/>
          <c:tx>
            <c:strRef>
              <c:f>Diagrama!$O$235</c:f>
              <c:strCache>
                <c:ptCount val="1"/>
                <c:pt idx="0">
                  <c:v> 14-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C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C8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Diagrama!$O$237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E250-4AB7-85F0-9E4846E1EDB9}"/>
            </c:ext>
          </c:extLst>
        </c:ser>
        <c:ser>
          <c:idx val="48"/>
          <c:order val="48"/>
          <c:tx>
            <c:strRef>
              <c:f>Diagrama!$P$235</c:f>
              <c:strCache>
                <c:ptCount val="1"/>
                <c:pt idx="0">
                  <c:v> 15-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C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C9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Diagrama!$P$237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A-E250-4AB7-85F0-9E4846E1EDB9}"/>
            </c:ext>
          </c:extLst>
        </c:ser>
        <c:ser>
          <c:idx val="49"/>
          <c:order val="49"/>
          <c:tx>
            <c:strRef>
              <c:f>Diagrama!$Q$235</c:f>
              <c:strCache>
                <c:ptCount val="1"/>
                <c:pt idx="0">
                  <c:v> 16-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C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CA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B-E250-4AB7-85F0-9E4846E1EDB9}"/>
            </c:ext>
          </c:extLst>
        </c:ser>
        <c:ser>
          <c:idx val="50"/>
          <c:order val="50"/>
          <c:tx>
            <c:strRef>
              <c:f>Diagrama!$R$235</c:f>
              <c:strCache>
                <c:ptCount val="1"/>
                <c:pt idx="0">
                  <c:v> 17-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C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CB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Diagrama!$R$237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C-E250-4AB7-85F0-9E4846E1EDB9}"/>
            </c:ext>
          </c:extLst>
        </c:ser>
        <c:ser>
          <c:idx val="51"/>
          <c:order val="51"/>
          <c:tx>
            <c:strRef>
              <c:f>Diagrama!$S$235</c:f>
              <c:strCache>
                <c:ptCount val="1"/>
                <c:pt idx="0">
                  <c:v> 18-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C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CC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Diagrama!$S$237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E250-4AB7-85F0-9E4846E1EDB9}"/>
            </c:ext>
          </c:extLst>
        </c:ser>
        <c:ser>
          <c:idx val="52"/>
          <c:order val="52"/>
          <c:tx>
            <c:strRef>
              <c:f>Diagrama!$T$235</c:f>
              <c:strCache>
                <c:ptCount val="1"/>
                <c:pt idx="0">
                  <c:v> 19-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C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CD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Diagrama!$T$237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F-E250-4AB7-85F0-9E4846E1EDB9}"/>
            </c:ext>
          </c:extLst>
        </c:ser>
        <c:ser>
          <c:idx val="53"/>
          <c:order val="53"/>
          <c:tx>
            <c:strRef>
              <c:f>Diagrama!$U$235</c:f>
              <c:strCache>
                <c:ptCount val="1"/>
                <c:pt idx="0">
                  <c:v> 20-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C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CE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Diagrama!$U$237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0-E250-4AB7-85F0-9E4846E1EDB9}"/>
            </c:ext>
          </c:extLst>
        </c:ser>
        <c:ser>
          <c:idx val="54"/>
          <c:order val="54"/>
          <c:tx>
            <c:strRef>
              <c:f>Diagrama!$V$235</c:f>
              <c:strCache>
                <c:ptCount val="1"/>
                <c:pt idx="0">
                  <c:v> 21-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C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CF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Diagrama!$V$237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1-E250-4AB7-85F0-9E4846E1EDB9}"/>
            </c:ext>
          </c:extLst>
        </c:ser>
        <c:ser>
          <c:idx val="55"/>
          <c:order val="55"/>
          <c:tx>
            <c:strRef>
              <c:f>Diagrama!$W$235</c:f>
              <c:strCache>
                <c:ptCount val="1"/>
                <c:pt idx="0">
                  <c:v> 22-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D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D0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Diagrama!$W$237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2-E250-4AB7-85F0-9E4846E1EDB9}"/>
            </c:ext>
          </c:extLst>
        </c:ser>
        <c:ser>
          <c:idx val="56"/>
          <c:order val="56"/>
          <c:tx>
            <c:strRef>
              <c:f>Diagrama!$X$235</c:f>
              <c:strCache>
                <c:ptCount val="1"/>
                <c:pt idx="0">
                  <c:v> 23-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D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D1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Diagrama!$X$237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3-E250-4AB7-85F0-9E4846E1EDB9}"/>
            </c:ext>
          </c:extLst>
        </c:ser>
        <c:ser>
          <c:idx val="57"/>
          <c:order val="57"/>
          <c:tx>
            <c:strRef>
              <c:f>Diagrama!$Y$235</c:f>
              <c:strCache>
                <c:ptCount val="1"/>
                <c:pt idx="0">
                  <c:v> 24-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D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D2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Diagrama!$Y$237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4-E250-4AB7-85F0-9E4846E1EDB9}"/>
            </c:ext>
          </c:extLst>
        </c:ser>
        <c:ser>
          <c:idx val="58"/>
          <c:order val="58"/>
          <c:tx>
            <c:strRef>
              <c:f>Diagrama!$Z$235</c:f>
              <c:strCache>
                <c:ptCount val="1"/>
                <c:pt idx="0">
                  <c:v> 25-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D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D3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Diagrama!$Z$236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Diagrama!$Z$237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5-E250-4AB7-85F0-9E4846E1EDB9}"/>
            </c:ext>
          </c:extLst>
        </c:ser>
        <c:ser>
          <c:idx val="59"/>
          <c:order val="59"/>
          <c:tx>
            <c:strRef>
              <c:f>Diagrama!$AA$235</c:f>
              <c:strCache>
                <c:ptCount val="1"/>
                <c:pt idx="0">
                  <c:v> 26-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D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D4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Diagrama!$AA$236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Diagrama!$AA$237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6-E250-4AB7-85F0-9E4846E1EDB9}"/>
            </c:ext>
          </c:extLst>
        </c:ser>
        <c:ser>
          <c:idx val="60"/>
          <c:order val="60"/>
          <c:tx>
            <c:strRef>
              <c:f>Diagrama!$AB$235</c:f>
              <c:strCache>
                <c:ptCount val="1"/>
                <c:pt idx="0">
                  <c:v> 27-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D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D5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Diagrama!$AB$236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Diagrama!$AB$237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7-E250-4AB7-85F0-9E4846E1EDB9}"/>
            </c:ext>
          </c:extLst>
        </c:ser>
        <c:ser>
          <c:idx val="61"/>
          <c:order val="61"/>
          <c:tx>
            <c:strRef>
              <c:f>Diagrama!$AC$235</c:f>
              <c:strCache>
                <c:ptCount val="1"/>
                <c:pt idx="0">
                  <c:v> 28-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D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D6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Diagrama!$AC$236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Diagrama!$AC$237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8-E250-4AB7-85F0-9E4846E1EDB9}"/>
            </c:ext>
          </c:extLst>
        </c:ser>
        <c:ser>
          <c:idx val="62"/>
          <c:order val="62"/>
          <c:tx>
            <c:strRef>
              <c:f>Diagrama!$AD$235</c:f>
              <c:strCache>
                <c:ptCount val="1"/>
                <c:pt idx="0">
                  <c:v> 29-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D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D7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Diagrama!$AD$236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Diagrama!$AD$237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9-E250-4AB7-85F0-9E4846E1EDB9}"/>
            </c:ext>
          </c:extLst>
        </c:ser>
        <c:ser>
          <c:idx val="63"/>
          <c:order val="63"/>
          <c:tx>
            <c:strRef>
              <c:f>Diagrama!$AE$235</c:f>
              <c:strCache>
                <c:ptCount val="1"/>
                <c:pt idx="0">
                  <c:v> 30-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D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D8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Diagrama!$AE$236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Diagrama!$AE$237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A-E250-4AB7-85F0-9E4846E1EDB9}"/>
            </c:ext>
          </c:extLst>
        </c:ser>
        <c:ser>
          <c:idx val="64"/>
          <c:order val="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D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D9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B-E250-4AB7-85F0-9E4846E1EDB9}"/>
            </c:ext>
          </c:extLst>
        </c:ser>
        <c:ser>
          <c:idx val="65"/>
          <c:order val="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D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DA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C-E250-4AB7-85F0-9E4846E1EDB9}"/>
            </c:ext>
          </c:extLst>
        </c:ser>
        <c:ser>
          <c:idx val="66"/>
          <c:order val="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D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DB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D-E250-4AB7-85F0-9E4846E1EDB9}"/>
            </c:ext>
          </c:extLst>
        </c:ser>
        <c:ser>
          <c:idx val="67"/>
          <c:order val="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D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DC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E-E250-4AB7-85F0-9E4846E1EDB9}"/>
            </c:ext>
          </c:extLst>
        </c:ser>
        <c:ser>
          <c:idx val="68"/>
          <c:order val="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D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DD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F-E250-4AB7-85F0-9E4846E1EDB9}"/>
            </c:ext>
          </c:extLst>
        </c:ser>
        <c:ser>
          <c:idx val="69"/>
          <c:order val="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D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DE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0-E250-4AB7-85F0-9E4846E1EDB9}"/>
            </c:ext>
          </c:extLst>
        </c:ser>
        <c:ser>
          <c:idx val="70"/>
          <c:order val="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D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DF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1-E250-4AB7-85F0-9E4846E1EDB9}"/>
            </c:ext>
          </c:extLst>
        </c:ser>
        <c:ser>
          <c:idx val="71"/>
          <c:order val="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E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E0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2-E250-4AB7-85F0-9E4846E1EDB9}"/>
            </c:ext>
          </c:extLst>
        </c:ser>
        <c:ser>
          <c:idx val="72"/>
          <c:order val="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E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E1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3-E250-4AB7-85F0-9E4846E1EDB9}"/>
            </c:ext>
          </c:extLst>
        </c:ser>
        <c:ser>
          <c:idx val="73"/>
          <c:order val="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E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E2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4-E250-4AB7-85F0-9E4846E1EDB9}"/>
            </c:ext>
          </c:extLst>
        </c:ser>
        <c:ser>
          <c:idx val="74"/>
          <c:order val="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E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E3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5-E250-4AB7-85F0-9E4846E1EDB9}"/>
            </c:ext>
          </c:extLst>
        </c:ser>
        <c:ser>
          <c:idx val="75"/>
          <c:order val="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E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E4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6-E250-4AB7-85F0-9E4846E1EDB9}"/>
            </c:ext>
          </c:extLst>
        </c:ser>
        <c:ser>
          <c:idx val="76"/>
          <c:order val="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E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E5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7-E250-4AB7-85F0-9E4846E1EDB9}"/>
            </c:ext>
          </c:extLst>
        </c:ser>
        <c:ser>
          <c:idx val="77"/>
          <c:order val="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E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E6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8-E250-4AB7-85F0-9E4846E1EDB9}"/>
            </c:ext>
          </c:extLst>
        </c:ser>
        <c:ser>
          <c:idx val="78"/>
          <c:order val="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E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E7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9-E250-4AB7-85F0-9E4846E1EDB9}"/>
            </c:ext>
          </c:extLst>
        </c:ser>
        <c:ser>
          <c:idx val="79"/>
          <c:order val="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E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E8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A-E250-4AB7-85F0-9E4846E1EDB9}"/>
            </c:ext>
          </c:extLst>
        </c:ser>
        <c:ser>
          <c:idx val="80"/>
          <c:order val="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E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E9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B-E250-4AB7-85F0-9E4846E1EDB9}"/>
            </c:ext>
          </c:extLst>
        </c:ser>
        <c:ser>
          <c:idx val="81"/>
          <c:order val="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E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EA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C-E250-4AB7-85F0-9E4846E1EDB9}"/>
            </c:ext>
          </c:extLst>
        </c:ser>
        <c:ser>
          <c:idx val="82"/>
          <c:order val="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E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EB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D-E250-4AB7-85F0-9E4846E1EDB9}"/>
            </c:ext>
          </c:extLst>
        </c:ser>
        <c:ser>
          <c:idx val="83"/>
          <c:order val="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E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EC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E-E250-4AB7-85F0-9E4846E1EDB9}"/>
            </c:ext>
          </c:extLst>
        </c:ser>
        <c:ser>
          <c:idx val="84"/>
          <c:order val="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E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ED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F-E250-4AB7-85F0-9E4846E1EDB9}"/>
            </c:ext>
          </c:extLst>
        </c:ser>
        <c:ser>
          <c:idx val="85"/>
          <c:order val="8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E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EE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30-E250-4AB7-85F0-9E4846E1EDB9}"/>
            </c:ext>
          </c:extLst>
        </c:ser>
        <c:ser>
          <c:idx val="86"/>
          <c:order val="8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E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EF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31-E250-4AB7-85F0-9E4846E1EDB9}"/>
            </c:ext>
          </c:extLst>
        </c:ser>
        <c:ser>
          <c:idx val="87"/>
          <c:order val="8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F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F0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32-E250-4AB7-85F0-9E4846E1EDB9}"/>
            </c:ext>
          </c:extLst>
        </c:ser>
        <c:ser>
          <c:idx val="88"/>
          <c:order val="8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F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F1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33-E250-4AB7-85F0-9E4846E1EDB9}"/>
            </c:ext>
          </c:extLst>
        </c:ser>
        <c:ser>
          <c:idx val="89"/>
          <c:order val="8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F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F2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34-E250-4AB7-85F0-9E4846E1EDB9}"/>
            </c:ext>
          </c:extLst>
        </c:ser>
        <c:ser>
          <c:idx val="90"/>
          <c:order val="9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F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F3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35-E250-4AB7-85F0-9E4846E1EDB9}"/>
            </c:ext>
          </c:extLst>
        </c:ser>
        <c:ser>
          <c:idx val="91"/>
          <c:order val="9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F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F4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36-E250-4AB7-85F0-9E4846E1EDB9}"/>
            </c:ext>
          </c:extLst>
        </c:ser>
        <c:ser>
          <c:idx val="92"/>
          <c:order val="9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F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F5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37-E250-4AB7-85F0-9E4846E1EDB9}"/>
            </c:ext>
          </c:extLst>
        </c:ser>
        <c:ser>
          <c:idx val="93"/>
          <c:order val="9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F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F6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38-E250-4AB7-85F0-9E4846E1EDB9}"/>
            </c:ext>
          </c:extLst>
        </c:ser>
        <c:ser>
          <c:idx val="94"/>
          <c:order val="9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F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F7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39-E250-4AB7-85F0-9E4846E1EDB9}"/>
            </c:ext>
          </c:extLst>
        </c:ser>
        <c:ser>
          <c:idx val="95"/>
          <c:order val="9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F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F8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3A-E250-4AB7-85F0-9E4846E1EDB9}"/>
            </c:ext>
          </c:extLst>
        </c:ser>
        <c:ser>
          <c:idx val="96"/>
          <c:order val="9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F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F9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3B-E250-4AB7-85F0-9E4846E1EDB9}"/>
            </c:ext>
          </c:extLst>
        </c:ser>
        <c:ser>
          <c:idx val="97"/>
          <c:order val="9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F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FA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3C-E250-4AB7-85F0-9E4846E1EDB9}"/>
            </c:ext>
          </c:extLst>
        </c:ser>
        <c:ser>
          <c:idx val="98"/>
          <c:order val="9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F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FB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3D-E250-4AB7-85F0-9E4846E1EDB9}"/>
            </c:ext>
          </c:extLst>
        </c:ser>
        <c:ser>
          <c:idx val="99"/>
          <c:order val="9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F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FC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3E-E250-4AB7-85F0-9E4846E1EDB9}"/>
            </c:ext>
          </c:extLst>
        </c:ser>
        <c:ser>
          <c:idx val="100"/>
          <c:order val="10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F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FD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3F-E250-4AB7-85F0-9E4846E1EDB9}"/>
            </c:ext>
          </c:extLst>
        </c:ser>
        <c:ser>
          <c:idx val="101"/>
          <c:order val="10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F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FE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40-E250-4AB7-85F0-9E4846E1EDB9}"/>
            </c:ext>
          </c:extLst>
        </c:ser>
        <c:ser>
          <c:idx val="102"/>
          <c:order val="10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F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FF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41-E250-4AB7-85F0-9E4846E1EDB9}"/>
            </c:ext>
          </c:extLst>
        </c:ser>
        <c:ser>
          <c:idx val="103"/>
          <c:order val="10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10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100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42-E250-4AB7-85F0-9E4846E1EDB9}"/>
            </c:ext>
          </c:extLst>
        </c:ser>
        <c:ser>
          <c:idx val="104"/>
          <c:order val="10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10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101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43-E250-4AB7-85F0-9E4846E1EDB9}"/>
            </c:ext>
          </c:extLst>
        </c:ser>
        <c:ser>
          <c:idx val="105"/>
          <c:order val="10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10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102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44-E250-4AB7-85F0-9E4846E1EDB9}"/>
            </c:ext>
          </c:extLst>
        </c:ser>
        <c:ser>
          <c:idx val="106"/>
          <c:order val="10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10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103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45-E250-4AB7-85F0-9E4846E1EDB9}"/>
            </c:ext>
          </c:extLst>
        </c:ser>
        <c:ser>
          <c:idx val="107"/>
          <c:order val="10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10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104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46-E250-4AB7-85F0-9E4846E1EDB9}"/>
            </c:ext>
          </c:extLst>
        </c:ser>
        <c:ser>
          <c:idx val="108"/>
          <c:order val="10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10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105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47-E250-4AB7-85F0-9E4846E1EDB9}"/>
            </c:ext>
          </c:extLst>
        </c:ser>
        <c:ser>
          <c:idx val="109"/>
          <c:order val="10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10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106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48-E250-4AB7-85F0-9E4846E1EDB9}"/>
            </c:ext>
          </c:extLst>
        </c:ser>
        <c:ser>
          <c:idx val="110"/>
          <c:order val="11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10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107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49-E250-4AB7-85F0-9E4846E1EDB9}"/>
            </c:ext>
          </c:extLst>
        </c:ser>
        <c:ser>
          <c:idx val="111"/>
          <c:order val="11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10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108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4A-E250-4AB7-85F0-9E4846E1EDB9}"/>
            </c:ext>
          </c:extLst>
        </c:ser>
        <c:ser>
          <c:idx val="112"/>
          <c:order val="11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10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109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4B-E250-4AB7-85F0-9E4846E1EDB9}"/>
            </c:ext>
          </c:extLst>
        </c:ser>
        <c:ser>
          <c:idx val="113"/>
          <c:order val="11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10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10A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4C-E250-4AB7-85F0-9E4846E1EDB9}"/>
            </c:ext>
          </c:extLst>
        </c:ser>
        <c:ser>
          <c:idx val="114"/>
          <c:order val="11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10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10B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4D-E250-4AB7-85F0-9E4846E1EDB9}"/>
            </c:ext>
          </c:extLst>
        </c:ser>
        <c:ser>
          <c:idx val="115"/>
          <c:order val="11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10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10C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4E-E250-4AB7-85F0-9E4846E1EDB9}"/>
            </c:ext>
          </c:extLst>
        </c:ser>
        <c:ser>
          <c:idx val="116"/>
          <c:order val="11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10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10D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4F-E250-4AB7-85F0-9E4846E1EDB9}"/>
            </c:ext>
          </c:extLst>
        </c:ser>
        <c:ser>
          <c:idx val="117"/>
          <c:order val="11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10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10E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50-E250-4AB7-85F0-9E4846E1EDB9}"/>
            </c:ext>
          </c:extLst>
        </c:ser>
        <c:ser>
          <c:idx val="118"/>
          <c:order val="11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10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10F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51-E250-4AB7-85F0-9E4846E1EDB9}"/>
            </c:ext>
          </c:extLst>
        </c:ser>
        <c:ser>
          <c:idx val="119"/>
          <c:order val="11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11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110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52-E250-4AB7-85F0-9E4846E1EDB9}"/>
            </c:ext>
          </c:extLst>
        </c:ser>
        <c:ser>
          <c:idx val="120"/>
          <c:order val="12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11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111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53-E250-4AB7-85F0-9E4846E1EDB9}"/>
            </c:ext>
          </c:extLst>
        </c:ser>
        <c:ser>
          <c:idx val="121"/>
          <c:order val="12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11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112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54-E250-4AB7-85F0-9E4846E1EDB9}"/>
            </c:ext>
          </c:extLst>
        </c:ser>
        <c:ser>
          <c:idx val="122"/>
          <c:order val="12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11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113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55-E250-4AB7-85F0-9E4846E1EDB9}"/>
            </c:ext>
          </c:extLst>
        </c:ser>
        <c:ser>
          <c:idx val="123"/>
          <c:order val="12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11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114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56-E250-4AB7-85F0-9E4846E1EDB9}"/>
            </c:ext>
          </c:extLst>
        </c:ser>
        <c:ser>
          <c:idx val="124"/>
          <c:order val="12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11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115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57-E250-4AB7-85F0-9E4846E1EDB9}"/>
            </c:ext>
          </c:extLst>
        </c:ser>
        <c:ser>
          <c:idx val="125"/>
          <c:order val="12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11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116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58-E250-4AB7-85F0-9E4846E1EDB9}"/>
            </c:ext>
          </c:extLst>
        </c:ser>
        <c:ser>
          <c:idx val="126"/>
          <c:order val="12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11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117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59-E250-4AB7-85F0-9E4846E1EDB9}"/>
            </c:ext>
          </c:extLst>
        </c:ser>
        <c:ser>
          <c:idx val="127"/>
          <c:order val="12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11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118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5A-E250-4AB7-85F0-9E4846E1EDB9}"/>
            </c:ext>
          </c:extLst>
        </c:ser>
        <c:ser>
          <c:idx val="128"/>
          <c:order val="12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11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119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5B-E250-4AB7-85F0-9E4846E1EDB9}"/>
            </c:ext>
          </c:extLst>
        </c:ser>
        <c:ser>
          <c:idx val="129"/>
          <c:order val="12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11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11A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5C-E250-4AB7-85F0-9E4846E1EDB9}"/>
            </c:ext>
          </c:extLst>
        </c:ser>
        <c:ser>
          <c:idx val="130"/>
          <c:order val="13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11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11B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5D-E250-4AB7-85F0-9E4846E1EDB9}"/>
            </c:ext>
          </c:extLst>
        </c:ser>
        <c:ser>
          <c:idx val="131"/>
          <c:order val="13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11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11C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5E-E250-4AB7-85F0-9E4846E1EDB9}"/>
            </c:ext>
          </c:extLst>
        </c:ser>
        <c:ser>
          <c:idx val="132"/>
          <c:order val="13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11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11D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5F-E250-4AB7-85F0-9E4846E1EDB9}"/>
            </c:ext>
          </c:extLst>
        </c:ser>
        <c:ser>
          <c:idx val="133"/>
          <c:order val="13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11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100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11E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60-E250-4AB7-85F0-9E4846E1EDB9}"/>
            </c:ext>
          </c:extLst>
        </c:ser>
        <c:ser>
          <c:idx val="134"/>
          <c:order val="134"/>
          <c:tx>
            <c:strRef>
              <c:f>Diagrama!$C$143</c:f>
              <c:strCache>
                <c:ptCount val="1"/>
                <c:pt idx="0">
                  <c:v>Simergy 11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(Diagrama!$E$143,Diagrama!$N$143)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(Diagrama!$E$144,Diagrama!$N$144)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C4-402B-4E2A-A43C-705970DF1C7B}"/>
            </c:ext>
          </c:extLst>
        </c:ser>
        <c:ser>
          <c:idx val="135"/>
          <c:order val="135"/>
          <c:tx>
            <c:strRef>
              <c:f>Diagrama!$C$146</c:f>
              <c:strCache>
                <c:ptCount val="1"/>
                <c:pt idx="0">
                  <c:v>Simergy 12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(Diagrama!$E$146,Diagrama!$N$146)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(Diagrama!$E$147,Diagrama!$N$147)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C5-402B-4E2A-A43C-705970DF1C7B}"/>
            </c:ext>
          </c:extLst>
        </c:ser>
        <c:ser>
          <c:idx val="136"/>
          <c:order val="136"/>
          <c:tx>
            <c:strRef>
              <c:f>Diagrama!$C$149</c:f>
              <c:strCache>
                <c:ptCount val="1"/>
                <c:pt idx="0">
                  <c:v>Simergy 13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(Diagrama!$E$149,Diagrama!$N$149)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(Diagrama!$E$150,Diagrama!$N$150)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C6-402B-4E2A-A43C-705970DF1C7B}"/>
            </c:ext>
          </c:extLst>
        </c:ser>
        <c:ser>
          <c:idx val="137"/>
          <c:order val="137"/>
          <c:tx>
            <c:strRef>
              <c:f>Diagrama!$C$152</c:f>
              <c:strCache>
                <c:ptCount val="1"/>
                <c:pt idx="0">
                  <c:v>Simergy 14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(Diagrama!$E$152,Diagrama!$N$152)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(Diagrama!$E$153,Diagrama!$N$153)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C7-402B-4E2A-A43C-705970DF1C7B}"/>
            </c:ext>
          </c:extLst>
        </c:ser>
        <c:ser>
          <c:idx val="138"/>
          <c:order val="138"/>
          <c:tx>
            <c:strRef>
              <c:f>Diagrama!$C$155</c:f>
              <c:strCache>
                <c:ptCount val="1"/>
                <c:pt idx="0">
                  <c:v>Simergy 15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(Diagrama!$E$155,Diagrama!$N$155)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(Diagrama!$E$156,Diagrama!$N$156)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C8-402B-4E2A-A43C-705970DF1C7B}"/>
            </c:ext>
          </c:extLst>
        </c:ser>
        <c:ser>
          <c:idx val="139"/>
          <c:order val="139"/>
          <c:tx>
            <c:strRef>
              <c:f>Diagrama!$C$158</c:f>
              <c:strCache>
                <c:ptCount val="1"/>
                <c:pt idx="0">
                  <c:v>Simergy 16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(Diagrama!$E$158,Diagrama!$N$158)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(Diagrama!$E$159,Diagrama!$N$159)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C9-402B-4E2A-A43C-705970DF1C7B}"/>
            </c:ext>
          </c:extLst>
        </c:ser>
        <c:ser>
          <c:idx val="140"/>
          <c:order val="140"/>
          <c:tx>
            <c:strRef>
              <c:f>Diagrama!$C$161</c:f>
              <c:strCache>
                <c:ptCount val="1"/>
                <c:pt idx="0">
                  <c:v>Simergy 17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(Diagrama!$E$161,Diagrama!$N$161)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(Diagrama!$E$162,Diagrama!$N$162)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CA-402B-4E2A-A43C-705970DF1C7B}"/>
            </c:ext>
          </c:extLst>
        </c:ser>
        <c:ser>
          <c:idx val="141"/>
          <c:order val="141"/>
          <c:tx>
            <c:strRef>
              <c:f>Diagrama!$C$164</c:f>
              <c:strCache>
                <c:ptCount val="1"/>
                <c:pt idx="0">
                  <c:v>Simergy 18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(Diagrama!$E$164,Diagrama!$N$164)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(Diagrama!$E$165,Diagrama!$N$165)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CB-402B-4E2A-A43C-705970DF1C7B}"/>
            </c:ext>
          </c:extLst>
        </c:ser>
        <c:ser>
          <c:idx val="142"/>
          <c:order val="142"/>
          <c:tx>
            <c:strRef>
              <c:f>Diagrama!$C$167</c:f>
              <c:strCache>
                <c:ptCount val="1"/>
                <c:pt idx="0">
                  <c:v>Simergy 19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(Diagrama!$E$167,Diagrama!$N$167)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(Diagrama!$E$168,Diagrama!$N$168)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CC-402B-4E2A-A43C-705970DF1C7B}"/>
            </c:ext>
          </c:extLst>
        </c:ser>
        <c:ser>
          <c:idx val="143"/>
          <c:order val="143"/>
          <c:tx>
            <c:strRef>
              <c:f>Diagrama!$C$170</c:f>
              <c:strCache>
                <c:ptCount val="1"/>
                <c:pt idx="0">
                  <c:v>Simergy 20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(Diagrama!$E$170,Diagrama!$N$170)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(Diagrama!$E$171,Diagrama!$N$171)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CD-402B-4E2A-A43C-705970DF1C7B}"/>
            </c:ext>
          </c:extLst>
        </c:ser>
        <c:ser>
          <c:idx val="144"/>
          <c:order val="144"/>
          <c:tx>
            <c:strRef>
              <c:f>Diagrama!$C$173</c:f>
              <c:strCache>
                <c:ptCount val="1"/>
                <c:pt idx="0">
                  <c:v>Simergy 21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(Diagrama!$E$173,Diagrama!$N$173)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(Diagrama!$E$174,Diagrama!$N$174)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CE-402B-4E2A-A43C-705970DF1C7B}"/>
            </c:ext>
          </c:extLst>
        </c:ser>
        <c:ser>
          <c:idx val="145"/>
          <c:order val="145"/>
          <c:tx>
            <c:strRef>
              <c:f>Diagrama!$C$176</c:f>
              <c:strCache>
                <c:ptCount val="1"/>
                <c:pt idx="0">
                  <c:v>Simergy 22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(Diagrama!$E$176,Diagrama!$N$176)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(Diagrama!$E$177,Diagrama!$N$177)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CF-402B-4E2A-A43C-705970DF1C7B}"/>
            </c:ext>
          </c:extLst>
        </c:ser>
        <c:ser>
          <c:idx val="146"/>
          <c:order val="146"/>
          <c:tx>
            <c:strRef>
              <c:f>Diagrama!$C$179</c:f>
              <c:strCache>
                <c:ptCount val="1"/>
                <c:pt idx="0">
                  <c:v>Simergy 23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(Diagrama!$E$179,Diagrama!$N$179)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(Diagrama!$E$180,Diagrama!$N$180)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D0-402B-4E2A-A43C-705970DF1C7B}"/>
            </c:ext>
          </c:extLst>
        </c:ser>
        <c:ser>
          <c:idx val="147"/>
          <c:order val="147"/>
          <c:tx>
            <c:strRef>
              <c:f>Diagrama!$C$182</c:f>
              <c:strCache>
                <c:ptCount val="1"/>
                <c:pt idx="0">
                  <c:v>Simergy 24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(Diagrama!$E$182,Diagrama!$N$182)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(Diagrama!$E$183,Diagrama!$N$183)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D1-402B-4E2A-A43C-705970DF1C7B}"/>
            </c:ext>
          </c:extLst>
        </c:ser>
        <c:ser>
          <c:idx val="148"/>
          <c:order val="148"/>
          <c:tx>
            <c:strRef>
              <c:f>Diagrama!$C$185</c:f>
              <c:strCache>
                <c:ptCount val="1"/>
                <c:pt idx="0">
                  <c:v>Simergy 25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(Diagrama!$E$185,Diagrama!$N$185)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(Diagrama!$E$186,Diagrama!$N$186)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D2-402B-4E2A-A43C-705970DF1C7B}"/>
            </c:ext>
          </c:extLst>
        </c:ser>
        <c:ser>
          <c:idx val="149"/>
          <c:order val="149"/>
          <c:tx>
            <c:strRef>
              <c:f>Diagrama!$C$188</c:f>
              <c:strCache>
                <c:ptCount val="1"/>
                <c:pt idx="0">
                  <c:v>Simergy 26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(Diagrama!$E$188,Diagrama!$N$188)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(Diagrama!$E$189,Diagrama!$N$189)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D3-402B-4E2A-A43C-705970DF1C7B}"/>
            </c:ext>
          </c:extLst>
        </c:ser>
        <c:ser>
          <c:idx val="150"/>
          <c:order val="150"/>
          <c:tx>
            <c:strRef>
              <c:f>Diagrama!$C$191</c:f>
              <c:strCache>
                <c:ptCount val="1"/>
                <c:pt idx="0">
                  <c:v>Simergy 27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(Diagrama!$E$191,Diagrama!$N$191)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(Diagrama!$E$192,Diagrama!$N$192)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D4-402B-4E2A-A43C-705970DF1C7B}"/>
            </c:ext>
          </c:extLst>
        </c:ser>
        <c:ser>
          <c:idx val="151"/>
          <c:order val="151"/>
          <c:tx>
            <c:strRef>
              <c:f>Diagrama!$C$194</c:f>
              <c:strCache>
                <c:ptCount val="1"/>
                <c:pt idx="0">
                  <c:v>Simergy 28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(Diagrama!$E$194,Diagrama!$N$194)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(Diagrama!$E$195,Diagrama!$N$195)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D5-402B-4E2A-A43C-705970DF1C7B}"/>
            </c:ext>
          </c:extLst>
        </c:ser>
        <c:ser>
          <c:idx val="152"/>
          <c:order val="152"/>
          <c:tx>
            <c:strRef>
              <c:f>Diagrama!$C$197</c:f>
              <c:strCache>
                <c:ptCount val="1"/>
                <c:pt idx="0">
                  <c:v>Simergy 29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(Diagrama!$E$197,Diagrama!$N$197)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(Diagrama!$E$198,Diagrama!$N$198)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D6-402B-4E2A-A43C-705970DF1C7B}"/>
            </c:ext>
          </c:extLst>
        </c:ser>
        <c:ser>
          <c:idx val="153"/>
          <c:order val="153"/>
          <c:tx>
            <c:strRef>
              <c:f>Diagrama!$C$200</c:f>
              <c:strCache>
                <c:ptCount val="1"/>
                <c:pt idx="0">
                  <c:v>Simergy 30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(Diagrama!$E$200,Diagrama!$N$200)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(Diagrama!$E$201,Diagrama!$N$201)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D7-402B-4E2A-A43C-705970DF1C7B}"/>
            </c:ext>
          </c:extLst>
        </c:ser>
        <c:ser>
          <c:idx val="154"/>
          <c:order val="15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D8-402B-4E2A-A43C-705970DF1C7B}"/>
            </c:ext>
          </c:extLst>
        </c:ser>
        <c:ser>
          <c:idx val="155"/>
          <c:order val="15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D9-402B-4E2A-A43C-705970DF1C7B}"/>
            </c:ext>
          </c:extLst>
        </c:ser>
        <c:ser>
          <c:idx val="156"/>
          <c:order val="15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DA-402B-4E2A-A43C-705970DF1C7B}"/>
            </c:ext>
          </c:extLst>
        </c:ser>
        <c:ser>
          <c:idx val="157"/>
          <c:order val="15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DB-402B-4E2A-A43C-705970DF1C7B}"/>
            </c:ext>
          </c:extLst>
        </c:ser>
        <c:ser>
          <c:idx val="158"/>
          <c:order val="15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DC-402B-4E2A-A43C-705970DF1C7B}"/>
            </c:ext>
          </c:extLst>
        </c:ser>
        <c:ser>
          <c:idx val="159"/>
          <c:order val="15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DD-402B-4E2A-A43C-705970DF1C7B}"/>
            </c:ext>
          </c:extLst>
        </c:ser>
        <c:ser>
          <c:idx val="160"/>
          <c:order val="16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DE-402B-4E2A-A43C-705970DF1C7B}"/>
            </c:ext>
          </c:extLst>
        </c:ser>
        <c:ser>
          <c:idx val="161"/>
          <c:order val="16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DF-402B-4E2A-A43C-705970DF1C7B}"/>
            </c:ext>
          </c:extLst>
        </c:ser>
        <c:ser>
          <c:idx val="162"/>
          <c:order val="16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E0-402B-4E2A-A43C-705970DF1C7B}"/>
            </c:ext>
          </c:extLst>
        </c:ser>
        <c:ser>
          <c:idx val="163"/>
          <c:order val="16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E1-402B-4E2A-A43C-705970DF1C7B}"/>
            </c:ext>
          </c:extLst>
        </c:ser>
        <c:ser>
          <c:idx val="164"/>
          <c:order val="1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E2-402B-4E2A-A43C-705970DF1C7B}"/>
            </c:ext>
          </c:extLst>
        </c:ser>
        <c:ser>
          <c:idx val="165"/>
          <c:order val="1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E3-402B-4E2A-A43C-705970DF1C7B}"/>
            </c:ext>
          </c:extLst>
        </c:ser>
        <c:ser>
          <c:idx val="166"/>
          <c:order val="1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E4-402B-4E2A-A43C-705970DF1C7B}"/>
            </c:ext>
          </c:extLst>
        </c:ser>
        <c:ser>
          <c:idx val="167"/>
          <c:order val="1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E5-402B-4E2A-A43C-705970DF1C7B}"/>
            </c:ext>
          </c:extLst>
        </c:ser>
        <c:ser>
          <c:idx val="168"/>
          <c:order val="1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E6-402B-4E2A-A43C-705970DF1C7B}"/>
            </c:ext>
          </c:extLst>
        </c:ser>
        <c:ser>
          <c:idx val="169"/>
          <c:order val="1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E7-402B-4E2A-A43C-705970DF1C7B}"/>
            </c:ext>
          </c:extLst>
        </c:ser>
        <c:ser>
          <c:idx val="170"/>
          <c:order val="1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E8-402B-4E2A-A43C-705970DF1C7B}"/>
            </c:ext>
          </c:extLst>
        </c:ser>
        <c:ser>
          <c:idx val="171"/>
          <c:order val="1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E9-402B-4E2A-A43C-705970DF1C7B}"/>
            </c:ext>
          </c:extLst>
        </c:ser>
        <c:ser>
          <c:idx val="172"/>
          <c:order val="1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EA-402B-4E2A-A43C-705970DF1C7B}"/>
            </c:ext>
          </c:extLst>
        </c:ser>
        <c:ser>
          <c:idx val="173"/>
          <c:order val="1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EB-402B-4E2A-A43C-705970DF1C7B}"/>
            </c:ext>
          </c:extLst>
        </c:ser>
        <c:ser>
          <c:idx val="174"/>
          <c:order val="1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EC-402B-4E2A-A43C-705970DF1C7B}"/>
            </c:ext>
          </c:extLst>
        </c:ser>
        <c:ser>
          <c:idx val="175"/>
          <c:order val="1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ED-402B-4E2A-A43C-705970DF1C7B}"/>
            </c:ext>
          </c:extLst>
        </c:ser>
        <c:ser>
          <c:idx val="176"/>
          <c:order val="1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EE-402B-4E2A-A43C-705970DF1C7B}"/>
            </c:ext>
          </c:extLst>
        </c:ser>
        <c:ser>
          <c:idx val="177"/>
          <c:order val="1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EF-402B-4E2A-A43C-705970DF1C7B}"/>
            </c:ext>
          </c:extLst>
        </c:ser>
        <c:ser>
          <c:idx val="178"/>
          <c:order val="1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F0-402B-4E2A-A43C-705970DF1C7B}"/>
            </c:ext>
          </c:extLst>
        </c:ser>
        <c:ser>
          <c:idx val="179"/>
          <c:order val="1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F1-402B-4E2A-A43C-705970DF1C7B}"/>
            </c:ext>
          </c:extLst>
        </c:ser>
        <c:ser>
          <c:idx val="180"/>
          <c:order val="1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F2-402B-4E2A-A43C-705970DF1C7B}"/>
            </c:ext>
          </c:extLst>
        </c:ser>
        <c:ser>
          <c:idx val="181"/>
          <c:order val="1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F3-402B-4E2A-A43C-705970DF1C7B}"/>
            </c:ext>
          </c:extLst>
        </c:ser>
        <c:ser>
          <c:idx val="187"/>
          <c:order val="1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F9-402B-4E2A-A43C-705970DF1C7B}"/>
            </c:ext>
          </c:extLst>
        </c:ser>
        <c:ser>
          <c:idx val="204"/>
          <c:order val="1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10B-402B-4E2A-A43C-705970DF1C7B}"/>
            </c:ext>
          </c:extLst>
        </c:ser>
        <c:ser>
          <c:idx val="206"/>
          <c:order val="1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10D-402B-4E2A-A43C-705970DF1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1069136"/>
        <c:axId val="1401069680"/>
      </c:scatterChart>
      <c:valAx>
        <c:axId val="1401069136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1401069680"/>
        <c:crosses val="autoZero"/>
        <c:crossBetween val="midCat"/>
        <c:majorUnit val="0.1"/>
      </c:valAx>
      <c:valAx>
        <c:axId val="1401069680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1401069136"/>
        <c:crosses val="autoZero"/>
        <c:crossBetween val="midCat"/>
        <c:majorUnit val="0.1"/>
      </c:valAx>
      <c:spPr>
        <a:solidFill>
          <a:schemeClr val="bg1"/>
        </a:solidFill>
        <a:ln cmpd="sng">
          <a:noFill/>
        </a:ln>
        <a:effectLst>
          <a:softEdge rad="0"/>
        </a:effectLst>
      </c:spPr>
    </c:plotArea>
    <c:plotVisOnly val="1"/>
    <c:dispBlanksAs val="gap"/>
    <c:showDLblsOverMax val="0"/>
  </c:chart>
  <c:spPr>
    <a:solidFill>
      <a:schemeClr val="bg1"/>
    </a:solidFill>
    <a:ln>
      <a:noFill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 alignWithMargins="0"/>
    <c:pageMargins b="0.86614173228346458" l="1.5354330708661419" r="1.0236220472440944" t="1.3779527559055118" header="0.51181102362204722" footer="0.35433070866141736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421821</xdr:colOff>
      <xdr:row>3</xdr:row>
      <xdr:rowOff>104788</xdr:rowOff>
    </xdr:from>
    <xdr:to>
      <xdr:col>13</xdr:col>
      <xdr:colOff>625929</xdr:colOff>
      <xdr:row>42</xdr:row>
      <xdr:rowOff>0</xdr:rowOff>
    </xdr:to>
    <xdr:graphicFrame macro="">
      <xdr:nvGraphicFramePr>
        <xdr:cNvPr id="1371" name="Gráfico 16">
          <a:extLst>
            <a:ext uri="{FF2B5EF4-FFF2-40B4-BE49-F238E27FC236}">
              <a16:creationId xmlns="" xmlns:a16="http://schemas.microsoft.com/office/drawing/2014/main" id="{00000000-0008-0000-00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652235</xdr:colOff>
      <xdr:row>0</xdr:row>
      <xdr:rowOff>135485</xdr:rowOff>
    </xdr:from>
    <xdr:to>
      <xdr:col>2</xdr:col>
      <xdr:colOff>626835</xdr:colOff>
      <xdr:row>2</xdr:row>
      <xdr:rowOff>48820</xdr:rowOff>
    </xdr:to>
    <xdr:sp macro="[0]!entradadados" textlink="">
      <xdr:nvSpPr>
        <xdr:cNvPr id="2" name="Retângulo: Cantos Arredondados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/>
      </xdr:nvSpPr>
      <xdr:spPr>
        <a:xfrm>
          <a:off x="652235" y="135485"/>
          <a:ext cx="1335314" cy="4576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Data Input</a:t>
          </a:r>
        </a:p>
      </xdr:txBody>
    </xdr:sp>
    <xdr:clientData/>
  </xdr:twoCellAnchor>
  <xdr:twoCellAnchor>
    <xdr:from>
      <xdr:col>3</xdr:col>
      <xdr:colOff>53629</xdr:colOff>
      <xdr:row>0</xdr:row>
      <xdr:rowOff>140881</xdr:rowOff>
    </xdr:from>
    <xdr:to>
      <xdr:col>5</xdr:col>
      <xdr:colOff>15529</xdr:colOff>
      <xdr:row>2</xdr:row>
      <xdr:rowOff>75134</xdr:rowOff>
    </xdr:to>
    <xdr:sp macro="[0]!Sheet1.Pontos_Click" textlink="">
      <xdr:nvSpPr>
        <xdr:cNvPr id="3" name="Retângulo: Cantos Arredondados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/>
      </xdr:nvSpPr>
      <xdr:spPr>
        <a:xfrm>
          <a:off x="2094700" y="140881"/>
          <a:ext cx="1322615" cy="47853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Points</a:t>
          </a:r>
        </a:p>
      </xdr:txBody>
    </xdr:sp>
    <xdr:clientData/>
  </xdr:twoCellAnchor>
  <xdr:twoCellAnchor>
    <xdr:from>
      <xdr:col>5</xdr:col>
      <xdr:colOff>126573</xdr:colOff>
      <xdr:row>0</xdr:row>
      <xdr:rowOff>150745</xdr:rowOff>
    </xdr:from>
    <xdr:to>
      <xdr:col>6</xdr:col>
      <xdr:colOff>768830</xdr:colOff>
      <xdr:row>2</xdr:row>
      <xdr:rowOff>76780</xdr:rowOff>
    </xdr:to>
    <xdr:sp macro="[0]!Sheet1.Linhas_Click" textlink="">
      <xdr:nvSpPr>
        <xdr:cNvPr id="4" name="Retângulo: Cantos Arredondados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/>
      </xdr:nvSpPr>
      <xdr:spPr>
        <a:xfrm>
          <a:off x="3528359" y="150745"/>
          <a:ext cx="1322614" cy="4703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Lines</a:t>
          </a:r>
        </a:p>
      </xdr:txBody>
    </xdr:sp>
    <xdr:clientData/>
  </xdr:twoCellAnchor>
  <xdr:twoCellAnchor>
    <xdr:from>
      <xdr:col>6</xdr:col>
      <xdr:colOff>864782</xdr:colOff>
      <xdr:row>0</xdr:row>
      <xdr:rowOff>160616</xdr:rowOff>
    </xdr:from>
    <xdr:to>
      <xdr:col>8</xdr:col>
      <xdr:colOff>826682</xdr:colOff>
      <xdr:row>2</xdr:row>
      <xdr:rowOff>94869</xdr:rowOff>
    </xdr:to>
    <xdr:sp macro="[0]!AutoForma36_Clique" textlink="">
      <xdr:nvSpPr>
        <xdr:cNvPr id="5" name="Retângulo: Cantos Arredondados 4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SpPr/>
      </xdr:nvSpPr>
      <xdr:spPr>
        <a:xfrm>
          <a:off x="4946925" y="160616"/>
          <a:ext cx="1866900" cy="47853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Information</a:t>
          </a:r>
        </a:p>
      </xdr:txBody>
    </xdr:sp>
    <xdr:clientData/>
  </xdr:twoCellAnchor>
  <xdr:twoCellAnchor>
    <xdr:from>
      <xdr:col>8</xdr:col>
      <xdr:colOff>924113</xdr:colOff>
      <xdr:row>0</xdr:row>
      <xdr:rowOff>170489</xdr:rowOff>
    </xdr:from>
    <xdr:to>
      <xdr:col>10</xdr:col>
      <xdr:colOff>670113</xdr:colOff>
      <xdr:row>2</xdr:row>
      <xdr:rowOff>96524</xdr:rowOff>
    </xdr:to>
    <xdr:sp macro="[0]!Sheet1.Aparencia_Click" textlink="">
      <xdr:nvSpPr>
        <xdr:cNvPr id="6" name="Retângulo: Cantos Arredondados 5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SpPr/>
      </xdr:nvSpPr>
      <xdr:spPr>
        <a:xfrm>
          <a:off x="6911256" y="170489"/>
          <a:ext cx="1664607" cy="4703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Appearance</a:t>
          </a:r>
        </a:p>
      </xdr:txBody>
    </xdr:sp>
    <xdr:clientData/>
  </xdr:twoCellAnchor>
  <xdr:twoCellAnchor>
    <xdr:from>
      <xdr:col>11</xdr:col>
      <xdr:colOff>94831</xdr:colOff>
      <xdr:row>0</xdr:row>
      <xdr:rowOff>182580</xdr:rowOff>
    </xdr:from>
    <xdr:to>
      <xdr:col>12</xdr:col>
      <xdr:colOff>571988</xdr:colOff>
      <xdr:row>2</xdr:row>
      <xdr:rowOff>108615</xdr:rowOff>
    </xdr:to>
    <xdr:sp macro="[0]!Sheet1.ImpressaoExportacao_Click" textlink="">
      <xdr:nvSpPr>
        <xdr:cNvPr id="7" name="Retângulo: Cantos Arredondados 6"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SpPr/>
      </xdr:nvSpPr>
      <xdr:spPr>
        <a:xfrm>
          <a:off x="8680938" y="182580"/>
          <a:ext cx="1320800" cy="4703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Print and 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179296</xdr:colOff>
      <xdr:row>1</xdr:row>
      <xdr:rowOff>11205</xdr:rowOff>
    </xdr:from>
    <xdr:to>
      <xdr:col>5</xdr:col>
      <xdr:colOff>616253</xdr:colOff>
      <xdr:row>5</xdr:row>
      <xdr:rowOff>11206</xdr:rowOff>
    </xdr:to>
    <xdr:sp macro="[0]!emergychart" textlink="">
      <xdr:nvSpPr>
        <xdr:cNvPr id="3" name="Retângulo: Cantos Arredondados 2">
          <a:extLst>
            <a:ext uri="{FF2B5EF4-FFF2-40B4-BE49-F238E27FC236}">
              <a16:creationId xmlns="" xmlns:a16="http://schemas.microsoft.com/office/drawing/2014/main" id="{00000000-0008-0000-0200-000003000000}"/>
            </a:ext>
          </a:extLst>
        </xdr:cNvPr>
        <xdr:cNvSpPr/>
      </xdr:nvSpPr>
      <xdr:spPr>
        <a:xfrm>
          <a:off x="5412443" y="537881"/>
          <a:ext cx="1344634" cy="62753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Chart</a:t>
          </a:r>
        </a:p>
      </xdr:txBody>
    </xdr:sp>
    <xdr:clientData/>
  </xdr:twoCellAnchor>
  <xdr:twoCellAnchor>
    <xdr:from>
      <xdr:col>5</xdr:col>
      <xdr:colOff>701489</xdr:colOff>
      <xdr:row>1</xdr:row>
      <xdr:rowOff>17929</xdr:rowOff>
    </xdr:from>
    <xdr:to>
      <xdr:col>7</xdr:col>
      <xdr:colOff>544535</xdr:colOff>
      <xdr:row>5</xdr:row>
      <xdr:rowOff>1</xdr:rowOff>
    </xdr:to>
    <xdr:sp macro="[0]!BtnGravarDados_Click" textlink="">
      <xdr:nvSpPr>
        <xdr:cNvPr id="4" name="Retângulo: Cantos Arredondados 3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SpPr/>
      </xdr:nvSpPr>
      <xdr:spPr>
        <a:xfrm>
          <a:off x="6842313" y="544605"/>
          <a:ext cx="1344634" cy="609602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Save</a:t>
          </a:r>
          <a:r>
            <a:rPr lang="pt-B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Table</a:t>
          </a:r>
          <a:endParaRPr lang="pt-BR" sz="11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640977</xdr:colOff>
      <xdr:row>1</xdr:row>
      <xdr:rowOff>13447</xdr:rowOff>
    </xdr:from>
    <xdr:to>
      <xdr:col>9</xdr:col>
      <xdr:colOff>551258</xdr:colOff>
      <xdr:row>5</xdr:row>
      <xdr:rowOff>0</xdr:rowOff>
    </xdr:to>
    <xdr:sp macro="[0]!EntradadeDados_Click" textlink="">
      <xdr:nvSpPr>
        <xdr:cNvPr id="5" name="Retângulo: Cantos Arredondados 4">
          <a:extLst>
            <a:ext uri="{FF2B5EF4-FFF2-40B4-BE49-F238E27FC236}">
              <a16:creationId xmlns="" xmlns:a16="http://schemas.microsoft.com/office/drawing/2014/main" id="{00000000-0008-0000-0200-000005000000}"/>
            </a:ext>
          </a:extLst>
        </xdr:cNvPr>
        <xdr:cNvSpPr/>
      </xdr:nvSpPr>
      <xdr:spPr>
        <a:xfrm>
          <a:off x="8283389" y="540123"/>
          <a:ext cx="1344634" cy="61408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Load Table</a:t>
          </a:r>
        </a:p>
      </xdr:txBody>
    </xdr:sp>
    <xdr:clientData/>
  </xdr:twoCellAnchor>
  <xdr:twoCellAnchor>
    <xdr:from>
      <xdr:col>9</xdr:col>
      <xdr:colOff>638736</xdr:colOff>
      <xdr:row>1</xdr:row>
      <xdr:rowOff>1</xdr:rowOff>
    </xdr:from>
    <xdr:to>
      <xdr:col>12</xdr:col>
      <xdr:colOff>392135</xdr:colOff>
      <xdr:row>5</xdr:row>
      <xdr:rowOff>0</xdr:rowOff>
    </xdr:to>
    <xdr:sp macro="[0]!LimpaEntrada" textlink="">
      <xdr:nvSpPr>
        <xdr:cNvPr id="6" name="Retângulo: Cantos Arredondados 5">
          <a:extLst>
            <a:ext uri="{FF2B5EF4-FFF2-40B4-BE49-F238E27FC236}">
              <a16:creationId xmlns="" xmlns:a16="http://schemas.microsoft.com/office/drawing/2014/main" id="{00000000-0008-0000-0200-000006000000}"/>
            </a:ext>
          </a:extLst>
        </xdr:cNvPr>
        <xdr:cNvSpPr/>
      </xdr:nvSpPr>
      <xdr:spPr>
        <a:xfrm>
          <a:off x="9715501" y="526677"/>
          <a:ext cx="1344634" cy="62752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Clear</a:t>
          </a:r>
          <a:endParaRPr lang="pt-BR" sz="1100" b="1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=""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333375</xdr:colOff>
          <xdr:row>29</xdr:row>
          <xdr:rowOff>47625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=""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174949</xdr:colOff>
      <xdr:row>0</xdr:row>
      <xdr:rowOff>68036</xdr:rowOff>
    </xdr:from>
    <xdr:to>
      <xdr:col>2</xdr:col>
      <xdr:colOff>499047</xdr:colOff>
      <xdr:row>2</xdr:row>
      <xdr:rowOff>101911</xdr:rowOff>
    </xdr:to>
    <xdr:sp macro="" textlink="">
      <xdr:nvSpPr>
        <xdr:cNvPr id="2" name="Retângulo: Cantos Arredondados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SpPr/>
      </xdr:nvSpPr>
      <xdr:spPr>
        <a:xfrm>
          <a:off x="777551" y="68036"/>
          <a:ext cx="1344634" cy="364334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  <xdr:twoCellAnchor editAs="oneCell">
    <xdr:from>
      <xdr:col>14</xdr:col>
      <xdr:colOff>0</xdr:colOff>
      <xdr:row>55</xdr:row>
      <xdr:rowOff>0</xdr:rowOff>
    </xdr:from>
    <xdr:to>
      <xdr:col>14</xdr:col>
      <xdr:colOff>304800</xdr:colOff>
      <xdr:row>56</xdr:row>
      <xdr:rowOff>114300</xdr:rowOff>
    </xdr:to>
    <xdr:sp macro="" textlink="">
      <xdr:nvSpPr>
        <xdr:cNvPr id="4104" name="AutoShape 8" descr="blob:https://web.whatsapp.com/bb1eb7c6-faba-4957-8698-b43e8f50acd1"/>
        <xdr:cNvSpPr>
          <a:spLocks noChangeAspect="1" noChangeArrowheads="1"/>
        </xdr:cNvSpPr>
      </xdr:nvSpPr>
      <xdr:spPr bwMode="auto">
        <a:xfrm>
          <a:off x="13173075" y="8905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867834</xdr:colOff>
      <xdr:row>52</xdr:row>
      <xdr:rowOff>126999</xdr:rowOff>
    </xdr:from>
    <xdr:to>
      <xdr:col>16</xdr:col>
      <xdr:colOff>836085</xdr:colOff>
      <xdr:row>60</xdr:row>
      <xdr:rowOff>1</xdr:rowOff>
    </xdr:to>
    <xdr:pic>
      <xdr:nvPicPr>
        <xdr:cNvPr id="3" name="Imagem 2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30531" t="42572" r="13491" b="42282"/>
        <a:stretch/>
      </xdr:blipFill>
      <xdr:spPr>
        <a:xfrm>
          <a:off x="10551584" y="8381999"/>
          <a:ext cx="5789084" cy="117475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21"/>
  </sheetPr>
  <dimension ref="A1:GS442"/>
  <sheetViews>
    <sheetView windowProtection="1" showZeros="0" zoomScale="70" zoomScaleNormal="70" workbookViewId="0">
      <selection activeCell="R15" sqref="R15"/>
    </sheetView>
  </sheetViews>
  <sheetFormatPr defaultColWidth="9" defaultRowHeight="12.75" x14ac:dyDescent="0.2"/>
  <cols>
    <col min="1" max="1" width="8.875" style="223" customWidth="1"/>
    <col min="2" max="6" width="9" style="223"/>
    <col min="7" max="7" width="11.875" style="223" customWidth="1"/>
    <col min="8" max="8" width="13" style="223" customWidth="1"/>
    <col min="9" max="9" width="13.125" style="223" customWidth="1"/>
    <col min="10" max="10" width="11.875" style="223" customWidth="1"/>
    <col min="11" max="11" width="9" style="223"/>
    <col min="12" max="12" width="11.125" style="223" bestFit="1" customWidth="1"/>
    <col min="13" max="14" width="12.5" style="223" customWidth="1"/>
    <col min="15" max="15" width="12.625" style="223" customWidth="1"/>
    <col min="16" max="16" width="15.375" style="223" customWidth="1"/>
    <col min="17" max="17" width="7" style="223" customWidth="1"/>
    <col min="18" max="18" width="15.25" style="223" bestFit="1" customWidth="1"/>
    <col min="19" max="19" width="12.25" style="224" customWidth="1"/>
    <col min="20" max="22" width="13.25" style="224" customWidth="1"/>
    <col min="23" max="23" width="13" style="223" customWidth="1"/>
    <col min="24" max="24" width="13.75" style="223" customWidth="1"/>
    <col min="25" max="25" width="12.75" style="223" customWidth="1"/>
    <col min="26" max="26" width="12.625" style="223" customWidth="1"/>
    <col min="27" max="27" width="13.5" style="223" customWidth="1"/>
    <col min="28" max="28" width="12.5" style="223" customWidth="1"/>
    <col min="29" max="29" width="9.75" style="223" customWidth="1"/>
    <col min="30" max="30" width="10.25" style="223" customWidth="1"/>
    <col min="31" max="31" width="11.375" style="223" customWidth="1"/>
    <col min="32" max="32" width="11.25" style="223" customWidth="1"/>
    <col min="33" max="33" width="9.625" style="223" customWidth="1"/>
    <col min="34" max="34" width="10.25" style="223" customWidth="1"/>
    <col min="35" max="35" width="7.75" style="223" customWidth="1"/>
    <col min="36" max="37" width="7.125" style="223" customWidth="1"/>
    <col min="38" max="38" width="8.375" style="223" customWidth="1"/>
    <col min="39" max="39" width="8.625" style="223" customWidth="1"/>
    <col min="40" max="40" width="16.125" style="223" customWidth="1"/>
    <col min="41" max="41" width="12.875" style="223" customWidth="1"/>
    <col min="42" max="42" width="13.375" style="223" customWidth="1"/>
    <col min="43" max="43" width="8.5" style="223" customWidth="1"/>
    <col min="44" max="44" width="9" style="223" customWidth="1"/>
    <col min="45" max="45" width="8.875" style="223" customWidth="1"/>
    <col min="46" max="46" width="11.875" style="223" customWidth="1"/>
    <col min="47" max="16384" width="9" style="223"/>
  </cols>
  <sheetData>
    <row r="1" spans="8:46" ht="30" customHeight="1" x14ac:dyDescent="0.2">
      <c r="P1" s="223" t="s">
        <v>64</v>
      </c>
      <c r="Q1" s="223" t="s">
        <v>0</v>
      </c>
      <c r="W1" s="223">
        <v>6</v>
      </c>
      <c r="X1" s="225"/>
      <c r="Y1" s="225"/>
      <c r="AA1" s="223">
        <f>N5+O5+P5</f>
        <v>1</v>
      </c>
      <c r="AM1" s="223">
        <v>1</v>
      </c>
      <c r="AT1" s="223" t="s">
        <v>151</v>
      </c>
    </row>
    <row r="2" spans="8:46" x14ac:dyDescent="0.2">
      <c r="AM2" s="223">
        <v>2</v>
      </c>
      <c r="AT2" s="223" t="s">
        <v>152</v>
      </c>
    </row>
    <row r="3" spans="8:46" x14ac:dyDescent="0.2">
      <c r="AM3" s="223">
        <v>3</v>
      </c>
      <c r="AT3" s="223" t="s">
        <v>5</v>
      </c>
    </row>
    <row r="4" spans="8:46" x14ac:dyDescent="0.2">
      <c r="X4" s="223" t="s">
        <v>89</v>
      </c>
      <c r="AM4" s="223">
        <v>4</v>
      </c>
      <c r="AT4" s="223" t="s">
        <v>83</v>
      </c>
    </row>
    <row r="5" spans="8:46" x14ac:dyDescent="0.2">
      <c r="N5" s="223" t="b">
        <v>0</v>
      </c>
      <c r="O5" s="223" t="b">
        <v>1</v>
      </c>
      <c r="P5" s="223" t="b">
        <v>0</v>
      </c>
      <c r="X5" s="223" t="s">
        <v>97</v>
      </c>
      <c r="Y5" s="223" t="s">
        <v>100</v>
      </c>
      <c r="Z5" s="223" t="s">
        <v>99</v>
      </c>
      <c r="AM5" s="223">
        <v>5</v>
      </c>
    </row>
    <row r="6" spans="8:46" x14ac:dyDescent="0.2">
      <c r="X6" s="223" t="b">
        <v>0</v>
      </c>
      <c r="Y6" s="223" t="b">
        <v>0</v>
      </c>
      <c r="Z6" s="223" t="b">
        <v>0</v>
      </c>
      <c r="AM6" s="223">
        <v>6</v>
      </c>
    </row>
    <row r="7" spans="8:46" x14ac:dyDescent="0.2">
      <c r="AM7" s="223">
        <v>7</v>
      </c>
    </row>
    <row r="8" spans="8:46" x14ac:dyDescent="0.2">
      <c r="AM8" s="223">
        <v>8</v>
      </c>
    </row>
    <row r="9" spans="8:46" x14ac:dyDescent="0.2">
      <c r="AM9" s="223">
        <v>9</v>
      </c>
    </row>
    <row r="10" spans="8:46" x14ac:dyDescent="0.2">
      <c r="AM10" s="223">
        <v>10</v>
      </c>
    </row>
    <row r="11" spans="8:46" x14ac:dyDescent="0.2">
      <c r="W11" s="226"/>
      <c r="X11" s="226"/>
      <c r="Y11" s="226"/>
      <c r="Z11" s="226"/>
      <c r="AA11" s="226"/>
      <c r="AB11" s="226"/>
    </row>
    <row r="13" spans="8:46" x14ac:dyDescent="0.2">
      <c r="H13" s="227"/>
      <c r="I13" s="227"/>
    </row>
    <row r="21" spans="1:32" x14ac:dyDescent="0.2">
      <c r="T21" s="224" t="b">
        <v>0</v>
      </c>
      <c r="U21" s="224" t="b">
        <v>0</v>
      </c>
      <c r="V21" s="224" t="b">
        <v>0</v>
      </c>
      <c r="W21" s="223">
        <f>IF(T21,1,0)</f>
        <v>0</v>
      </c>
      <c r="X21" s="223">
        <f>IF(T22,1,0)</f>
        <v>0</v>
      </c>
      <c r="Y21" s="223">
        <f>IF(T23,1,0)</f>
        <v>0</v>
      </c>
      <c r="Z21" s="223">
        <f>IF(T24,1,0)</f>
        <v>0</v>
      </c>
      <c r="AA21" s="223">
        <f>IF(T25,1,0)</f>
        <v>0</v>
      </c>
      <c r="AB21" s="223">
        <f>IF(T26,1,0)</f>
        <v>0</v>
      </c>
      <c r="AC21" s="223">
        <f>IF(T27,1,0)</f>
        <v>0</v>
      </c>
      <c r="AD21" s="223">
        <f>IF(T28,1,0)</f>
        <v>0</v>
      </c>
      <c r="AE21" s="223">
        <f>IF(T29,1,0)</f>
        <v>0</v>
      </c>
      <c r="AF21" s="223">
        <f>IF(T30,1,0)</f>
        <v>0</v>
      </c>
    </row>
    <row r="22" spans="1:32" x14ac:dyDescent="0.2">
      <c r="B22" s="228"/>
      <c r="T22" s="224" t="b">
        <v>0</v>
      </c>
      <c r="U22" s="224" t="b">
        <v>0</v>
      </c>
      <c r="V22" s="224" t="b">
        <v>0</v>
      </c>
    </row>
    <row r="23" spans="1:32" x14ac:dyDescent="0.2">
      <c r="B23" s="228"/>
      <c r="M23" s="229"/>
      <c r="T23" s="224" t="b">
        <v>0</v>
      </c>
      <c r="U23" s="224" t="b">
        <v>0</v>
      </c>
      <c r="V23" s="224" t="b">
        <v>0</v>
      </c>
    </row>
    <row r="24" spans="1:32" x14ac:dyDescent="0.2">
      <c r="B24" s="228"/>
      <c r="T24" s="224" t="b">
        <v>0</v>
      </c>
      <c r="U24" s="224" t="b">
        <v>0</v>
      </c>
      <c r="V24" s="224" t="b">
        <v>0</v>
      </c>
    </row>
    <row r="25" spans="1:32" x14ac:dyDescent="0.2">
      <c r="A25" s="228"/>
      <c r="B25" s="228"/>
      <c r="T25" s="224" t="b">
        <v>0</v>
      </c>
      <c r="U25" s="224" t="b">
        <v>0</v>
      </c>
      <c r="V25" s="224" t="b">
        <v>0</v>
      </c>
    </row>
    <row r="26" spans="1:32" x14ac:dyDescent="0.2">
      <c r="A26" s="230"/>
      <c r="B26" s="230"/>
      <c r="C26" s="230"/>
      <c r="D26" s="230"/>
      <c r="E26" s="230"/>
      <c r="T26" s="224" t="b">
        <v>0</v>
      </c>
      <c r="U26" s="224" t="b">
        <v>0</v>
      </c>
      <c r="V26" s="224" t="b">
        <v>0</v>
      </c>
    </row>
    <row r="27" spans="1:32" x14ac:dyDescent="0.2">
      <c r="A27" s="230"/>
      <c r="B27" s="230"/>
      <c r="C27" s="230"/>
      <c r="D27" s="230"/>
      <c r="E27" s="230"/>
      <c r="T27" s="224" t="b">
        <v>0</v>
      </c>
      <c r="U27" s="224" t="b">
        <v>0</v>
      </c>
      <c r="V27" s="224" t="b">
        <v>0</v>
      </c>
    </row>
    <row r="28" spans="1:32" x14ac:dyDescent="0.2">
      <c r="A28" s="230"/>
      <c r="B28" s="230"/>
      <c r="C28" s="230"/>
      <c r="D28" s="230"/>
      <c r="E28" s="230"/>
      <c r="T28" s="224" t="b">
        <v>0</v>
      </c>
      <c r="U28" s="224" t="b">
        <v>0</v>
      </c>
      <c r="V28" s="224" t="b">
        <v>0</v>
      </c>
    </row>
    <row r="29" spans="1:32" x14ac:dyDescent="0.2">
      <c r="A29" s="230"/>
      <c r="B29" s="230"/>
      <c r="C29" s="230"/>
      <c r="D29" s="230"/>
      <c r="E29" s="230"/>
      <c r="T29" s="224" t="b">
        <v>0</v>
      </c>
      <c r="U29" s="224" t="b">
        <v>0</v>
      </c>
      <c r="V29" s="224" t="b">
        <v>0</v>
      </c>
    </row>
    <row r="30" spans="1:32" x14ac:dyDescent="0.2">
      <c r="A30" s="231"/>
      <c r="B30" s="231"/>
      <c r="C30" s="231"/>
      <c r="T30" s="224" t="b">
        <v>0</v>
      </c>
      <c r="U30" s="224" t="b">
        <v>0</v>
      </c>
      <c r="V30" s="224" t="b">
        <v>0</v>
      </c>
    </row>
    <row r="31" spans="1:32" x14ac:dyDescent="0.2">
      <c r="T31" s="224">
        <v>1</v>
      </c>
      <c r="U31" s="224">
        <v>1</v>
      </c>
      <c r="V31" s="224">
        <v>1</v>
      </c>
    </row>
    <row r="32" spans="1:32" x14ac:dyDescent="0.2">
      <c r="T32" s="224">
        <v>1</v>
      </c>
      <c r="U32" s="224">
        <v>1</v>
      </c>
      <c r="V32" s="224">
        <v>1</v>
      </c>
    </row>
    <row r="33" spans="1:24" x14ac:dyDescent="0.2">
      <c r="T33" s="224">
        <v>1</v>
      </c>
      <c r="U33" s="224">
        <v>1</v>
      </c>
      <c r="V33" s="224">
        <v>1</v>
      </c>
    </row>
    <row r="34" spans="1:24" x14ac:dyDescent="0.2">
      <c r="T34" s="224">
        <v>1</v>
      </c>
      <c r="U34" s="224">
        <v>1</v>
      </c>
      <c r="V34" s="224">
        <v>1</v>
      </c>
    </row>
    <row r="35" spans="1:24" x14ac:dyDescent="0.2">
      <c r="T35" s="224">
        <v>1</v>
      </c>
      <c r="U35" s="224">
        <v>1</v>
      </c>
      <c r="V35" s="224">
        <v>1</v>
      </c>
    </row>
    <row r="36" spans="1:24" x14ac:dyDescent="0.2">
      <c r="T36" s="224">
        <v>1</v>
      </c>
      <c r="U36" s="224">
        <v>1</v>
      </c>
      <c r="V36" s="224">
        <v>1</v>
      </c>
    </row>
    <row r="37" spans="1:24" x14ac:dyDescent="0.2">
      <c r="E37" s="224" t="s">
        <v>63</v>
      </c>
      <c r="F37" s="224">
        <v>1</v>
      </c>
      <c r="G37" s="224" t="b">
        <v>1</v>
      </c>
      <c r="H37" s="224" t="b">
        <v>1</v>
      </c>
      <c r="I37" s="224" t="b">
        <v>1</v>
      </c>
      <c r="K37" s="232">
        <v>1</v>
      </c>
      <c r="L37" s="232" t="s">
        <v>162</v>
      </c>
      <c r="M37" s="232" t="s">
        <v>162</v>
      </c>
      <c r="N37" s="232" t="s">
        <v>162</v>
      </c>
      <c r="O37" s="224" t="s">
        <v>16</v>
      </c>
      <c r="T37" s="224">
        <v>1</v>
      </c>
      <c r="U37" s="224">
        <v>1</v>
      </c>
      <c r="V37" s="224">
        <v>1</v>
      </c>
    </row>
    <row r="38" spans="1:24" x14ac:dyDescent="0.2">
      <c r="F38" s="224">
        <v>2</v>
      </c>
      <c r="G38" s="224" t="b">
        <v>1</v>
      </c>
      <c r="H38" s="224" t="b">
        <v>1</v>
      </c>
      <c r="I38" s="224" t="b">
        <v>1</v>
      </c>
      <c r="K38" s="232">
        <v>2</v>
      </c>
      <c r="L38" s="232" t="s">
        <v>163</v>
      </c>
      <c r="M38" s="232" t="s">
        <v>163</v>
      </c>
      <c r="N38" s="232" t="s">
        <v>163</v>
      </c>
      <c r="T38" s="224">
        <v>1</v>
      </c>
      <c r="U38" s="224">
        <v>1</v>
      </c>
      <c r="V38" s="224">
        <v>1</v>
      </c>
    </row>
    <row r="39" spans="1:24" x14ac:dyDescent="0.2">
      <c r="F39" s="224">
        <v>3</v>
      </c>
      <c r="G39" s="224" t="b">
        <v>1</v>
      </c>
      <c r="H39" s="224" t="b">
        <v>1</v>
      </c>
      <c r="I39" s="224" t="b">
        <v>1</v>
      </c>
      <c r="K39" s="232">
        <v>3</v>
      </c>
      <c r="L39" s="232" t="s">
        <v>164</v>
      </c>
      <c r="M39" s="232" t="s">
        <v>164</v>
      </c>
      <c r="N39" s="232" t="s">
        <v>164</v>
      </c>
      <c r="T39" s="224">
        <v>1</v>
      </c>
      <c r="U39" s="224">
        <v>1</v>
      </c>
      <c r="V39" s="224">
        <v>1</v>
      </c>
    </row>
    <row r="40" spans="1:24" x14ac:dyDescent="0.2">
      <c r="F40" s="224">
        <v>4</v>
      </c>
      <c r="G40" s="224" t="b">
        <v>1</v>
      </c>
      <c r="H40" s="224" t="b">
        <v>1</v>
      </c>
      <c r="I40" s="224" t="b">
        <v>1</v>
      </c>
      <c r="K40" s="232">
        <v>4</v>
      </c>
      <c r="L40" s="232" t="s">
        <v>165</v>
      </c>
      <c r="M40" s="232" t="s">
        <v>165</v>
      </c>
      <c r="N40" s="232" t="s">
        <v>165</v>
      </c>
      <c r="T40" s="224">
        <v>1</v>
      </c>
      <c r="U40" s="224">
        <v>1</v>
      </c>
      <c r="V40" s="224">
        <v>1</v>
      </c>
    </row>
    <row r="41" spans="1:24" x14ac:dyDescent="0.2">
      <c r="F41" s="224">
        <v>5</v>
      </c>
      <c r="G41" s="224" t="b">
        <v>1</v>
      </c>
      <c r="H41" s="224" t="b">
        <v>1</v>
      </c>
      <c r="I41" s="224" t="b">
        <v>1</v>
      </c>
      <c r="K41" s="232">
        <v>5</v>
      </c>
      <c r="L41" s="232" t="s">
        <v>166</v>
      </c>
      <c r="M41" s="232" t="s">
        <v>166</v>
      </c>
      <c r="N41" s="232" t="s">
        <v>166</v>
      </c>
      <c r="R41" s="223" t="s">
        <v>68</v>
      </c>
      <c r="S41" s="224">
        <v>0</v>
      </c>
      <c r="T41" s="224" t="b">
        <v>0</v>
      </c>
      <c r="U41" s="224" t="b">
        <v>0</v>
      </c>
      <c r="V41" s="224" t="b">
        <v>0</v>
      </c>
      <c r="X41" s="224" t="s">
        <v>86</v>
      </c>
    </row>
    <row r="42" spans="1:24" x14ac:dyDescent="0.2">
      <c r="F42" s="224">
        <v>6</v>
      </c>
      <c r="G42" s="224" t="b">
        <v>1</v>
      </c>
      <c r="H42" s="224" t="b">
        <v>1</v>
      </c>
      <c r="I42" s="224" t="b">
        <v>1</v>
      </c>
      <c r="K42" s="232">
        <v>6</v>
      </c>
      <c r="L42" s="232" t="s">
        <v>167</v>
      </c>
      <c r="M42" s="232" t="s">
        <v>167</v>
      </c>
      <c r="N42" s="232" t="s">
        <v>167</v>
      </c>
      <c r="Q42" s="223" t="s">
        <v>2</v>
      </c>
      <c r="R42" s="223" t="s">
        <v>66</v>
      </c>
      <c r="S42" s="224" t="s">
        <v>4</v>
      </c>
      <c r="T42" s="224" t="b">
        <v>0</v>
      </c>
      <c r="U42" s="224" t="b">
        <v>0</v>
      </c>
      <c r="V42" s="224" t="b">
        <v>0</v>
      </c>
      <c r="X42" s="225" t="b">
        <v>0</v>
      </c>
    </row>
    <row r="43" spans="1:24" x14ac:dyDescent="0.2">
      <c r="F43" s="224">
        <v>7</v>
      </c>
      <c r="G43" s="224" t="b">
        <v>0</v>
      </c>
      <c r="H43" s="224" t="b">
        <v>0</v>
      </c>
      <c r="I43" s="224" t="b">
        <v>0</v>
      </c>
      <c r="K43" s="232">
        <v>7</v>
      </c>
      <c r="L43" s="232"/>
      <c r="M43" s="232"/>
      <c r="N43" s="232"/>
      <c r="S43" s="224" t="s">
        <v>5</v>
      </c>
      <c r="T43" s="224" t="b">
        <v>0</v>
      </c>
      <c r="U43" s="224" t="b">
        <v>0</v>
      </c>
      <c r="V43" s="224" t="b">
        <v>0</v>
      </c>
      <c r="X43" s="224" t="s">
        <v>101</v>
      </c>
    </row>
    <row r="44" spans="1:24" x14ac:dyDescent="0.2">
      <c r="F44" s="224">
        <v>8</v>
      </c>
      <c r="G44" s="224" t="b">
        <v>0</v>
      </c>
      <c r="H44" s="224" t="b">
        <v>0</v>
      </c>
      <c r="I44" s="224" t="b">
        <v>0</v>
      </c>
      <c r="K44" s="232">
        <v>8</v>
      </c>
      <c r="L44" s="232"/>
      <c r="M44" s="232"/>
      <c r="N44" s="232"/>
      <c r="S44" s="224" t="s">
        <v>6</v>
      </c>
      <c r="T44" s="224" t="b">
        <v>0</v>
      </c>
      <c r="U44" s="224" t="b">
        <v>0</v>
      </c>
      <c r="V44" s="224" t="b">
        <v>0</v>
      </c>
      <c r="X44" s="225" t="b">
        <v>0</v>
      </c>
    </row>
    <row r="45" spans="1:24" x14ac:dyDescent="0.2">
      <c r="F45" s="224">
        <v>9</v>
      </c>
      <c r="G45" s="224" t="b">
        <v>0</v>
      </c>
      <c r="H45" s="224" t="b">
        <v>0</v>
      </c>
      <c r="I45" s="224" t="b">
        <v>0</v>
      </c>
      <c r="K45" s="232">
        <v>9</v>
      </c>
      <c r="L45" s="232"/>
      <c r="M45" s="232"/>
      <c r="N45" s="232"/>
      <c r="R45" s="223" t="s">
        <v>65</v>
      </c>
      <c r="S45" s="224" t="s">
        <v>4</v>
      </c>
      <c r="T45" s="224">
        <v>76</v>
      </c>
      <c r="U45" s="224">
        <v>76</v>
      </c>
      <c r="V45" s="224">
        <v>76</v>
      </c>
    </row>
    <row r="46" spans="1:24" x14ac:dyDescent="0.2">
      <c r="F46" s="224">
        <v>10</v>
      </c>
      <c r="G46" s="224" t="b">
        <v>0</v>
      </c>
      <c r="H46" s="224" t="b">
        <v>0</v>
      </c>
      <c r="I46" s="224" t="b">
        <v>0</v>
      </c>
      <c r="K46" s="232">
        <v>10</v>
      </c>
      <c r="L46" s="232"/>
      <c r="M46" s="232"/>
      <c r="N46" s="232"/>
      <c r="S46" s="224" t="s">
        <v>5</v>
      </c>
      <c r="T46" s="224">
        <v>11</v>
      </c>
      <c r="U46" s="224">
        <v>11</v>
      </c>
      <c r="V46" s="224">
        <v>11</v>
      </c>
    </row>
    <row r="47" spans="1:24" x14ac:dyDescent="0.2">
      <c r="A47" s="223" t="s">
        <v>161</v>
      </c>
      <c r="F47" s="224">
        <v>11</v>
      </c>
      <c r="G47" s="223" t="b">
        <v>0</v>
      </c>
      <c r="H47" s="223" t="b">
        <v>0</v>
      </c>
      <c r="I47" s="223" t="b">
        <v>0</v>
      </c>
      <c r="K47" s="232">
        <v>11</v>
      </c>
      <c r="L47" s="232"/>
      <c r="M47" s="232"/>
      <c r="N47" s="232"/>
      <c r="S47" s="224" t="s">
        <v>6</v>
      </c>
      <c r="T47" s="224">
        <v>9</v>
      </c>
      <c r="U47" s="224">
        <v>9</v>
      </c>
      <c r="V47" s="224">
        <v>9</v>
      </c>
    </row>
    <row r="48" spans="1:24" x14ac:dyDescent="0.2">
      <c r="F48" s="224">
        <v>12</v>
      </c>
      <c r="G48" s="223" t="b">
        <v>0</v>
      </c>
      <c r="H48" s="223" t="b">
        <v>0</v>
      </c>
      <c r="I48" s="223" t="b">
        <v>0</v>
      </c>
      <c r="K48" s="232">
        <v>12</v>
      </c>
      <c r="L48" s="232"/>
      <c r="M48" s="232"/>
      <c r="N48" s="232"/>
      <c r="Q48" s="223" t="s">
        <v>17</v>
      </c>
      <c r="R48" s="223" t="s">
        <v>63</v>
      </c>
      <c r="S48" s="224">
        <v>1</v>
      </c>
      <c r="T48" s="224" t="b">
        <v>1</v>
      </c>
      <c r="U48" s="224" t="b">
        <v>1</v>
      </c>
      <c r="V48" s="224" t="b">
        <v>1</v>
      </c>
    </row>
    <row r="49" spans="6:56" x14ac:dyDescent="0.2">
      <c r="F49" s="224">
        <v>13</v>
      </c>
      <c r="G49" s="223" t="b">
        <v>0</v>
      </c>
      <c r="H49" s="223" t="b">
        <v>0</v>
      </c>
      <c r="I49" s="223" t="b">
        <v>0</v>
      </c>
      <c r="K49" s="232">
        <v>13</v>
      </c>
      <c r="L49" s="232"/>
      <c r="M49" s="232"/>
      <c r="N49" s="232"/>
      <c r="S49" s="224">
        <v>5</v>
      </c>
      <c r="T49" s="224" t="b">
        <v>1</v>
      </c>
      <c r="U49" s="224" t="b">
        <v>1</v>
      </c>
      <c r="V49" s="224" t="b">
        <v>1</v>
      </c>
    </row>
    <row r="50" spans="6:56" x14ac:dyDescent="0.2">
      <c r="F50" s="224">
        <v>14</v>
      </c>
      <c r="G50" s="223" t="b">
        <v>0</v>
      </c>
      <c r="H50" s="223" t="b">
        <v>0</v>
      </c>
      <c r="I50" s="223" t="b">
        <v>0</v>
      </c>
      <c r="K50" s="232">
        <v>14</v>
      </c>
      <c r="L50" s="232"/>
      <c r="M50" s="232"/>
      <c r="N50" s="232"/>
      <c r="S50" s="224" t="s">
        <v>14</v>
      </c>
      <c r="T50" s="224" t="b">
        <v>1</v>
      </c>
      <c r="U50" s="224" t="b">
        <v>1</v>
      </c>
      <c r="V50" s="224" t="b">
        <v>1</v>
      </c>
    </row>
    <row r="51" spans="6:56" x14ac:dyDescent="0.2">
      <c r="F51" s="224">
        <v>15</v>
      </c>
      <c r="G51" s="223" t="b">
        <v>0</v>
      </c>
      <c r="H51" s="223" t="b">
        <v>0</v>
      </c>
      <c r="I51" s="223" t="b">
        <v>0</v>
      </c>
      <c r="K51" s="232">
        <v>15</v>
      </c>
      <c r="L51" s="232"/>
      <c r="M51" s="232"/>
      <c r="N51" s="232"/>
      <c r="R51" s="223" t="s">
        <v>9</v>
      </c>
      <c r="S51" s="224">
        <v>1</v>
      </c>
      <c r="T51" s="224" t="s">
        <v>178</v>
      </c>
      <c r="U51" s="224" t="s">
        <v>178</v>
      </c>
      <c r="V51" s="224" t="s">
        <v>178</v>
      </c>
    </row>
    <row r="52" spans="6:56" x14ac:dyDescent="0.2">
      <c r="F52" s="224">
        <v>16</v>
      </c>
      <c r="G52" s="223" t="b">
        <v>0</v>
      </c>
      <c r="H52" s="223" t="b">
        <v>0</v>
      </c>
      <c r="I52" s="223" t="b">
        <v>0</v>
      </c>
      <c r="K52" s="232">
        <v>16</v>
      </c>
      <c r="L52" s="232"/>
      <c r="M52" s="232"/>
      <c r="N52" s="232"/>
      <c r="S52" s="224">
        <v>5</v>
      </c>
      <c r="T52" s="224" t="s">
        <v>179</v>
      </c>
      <c r="U52" s="224" t="s">
        <v>179</v>
      </c>
      <c r="V52" s="224" t="s">
        <v>179</v>
      </c>
    </row>
    <row r="53" spans="6:56" x14ac:dyDescent="0.2">
      <c r="F53" s="224">
        <v>17</v>
      </c>
      <c r="G53" s="223" t="b">
        <v>0</v>
      </c>
      <c r="H53" s="223" t="b">
        <v>0</v>
      </c>
      <c r="I53" s="223" t="b">
        <v>0</v>
      </c>
      <c r="K53" s="232">
        <v>17</v>
      </c>
      <c r="L53" s="232"/>
      <c r="M53" s="232"/>
      <c r="N53" s="232"/>
      <c r="S53" s="224" t="s">
        <v>14</v>
      </c>
      <c r="T53" s="224">
        <v>14</v>
      </c>
      <c r="U53" s="224">
        <v>14</v>
      </c>
      <c r="V53" s="224">
        <v>14</v>
      </c>
    </row>
    <row r="54" spans="6:56" x14ac:dyDescent="0.2">
      <c r="F54" s="224">
        <v>18</v>
      </c>
      <c r="G54" s="223" t="b">
        <v>0</v>
      </c>
      <c r="H54" s="223" t="b">
        <v>0</v>
      </c>
      <c r="I54" s="223" t="b">
        <v>0</v>
      </c>
      <c r="K54" s="232">
        <v>18</v>
      </c>
      <c r="L54" s="232"/>
      <c r="M54" s="232"/>
      <c r="N54" s="232"/>
      <c r="Q54" s="223" t="s">
        <v>67</v>
      </c>
      <c r="R54" s="223" t="s">
        <v>63</v>
      </c>
      <c r="S54" s="224" t="s">
        <v>4</v>
      </c>
      <c r="T54" s="224" t="b">
        <v>0</v>
      </c>
      <c r="U54" s="224" t="b">
        <v>0</v>
      </c>
      <c r="V54" s="224" t="b">
        <v>0</v>
      </c>
    </row>
    <row r="55" spans="6:56" x14ac:dyDescent="0.2">
      <c r="F55" s="224">
        <v>19</v>
      </c>
      <c r="G55" s="223" t="b">
        <v>0</v>
      </c>
      <c r="H55" s="223" t="b">
        <v>0</v>
      </c>
      <c r="I55" s="223" t="b">
        <v>0</v>
      </c>
      <c r="K55" s="232">
        <v>19</v>
      </c>
      <c r="L55" s="232"/>
      <c r="M55" s="232"/>
      <c r="N55" s="232"/>
      <c r="S55" s="224" t="s">
        <v>5</v>
      </c>
      <c r="T55" s="224" t="b">
        <v>0</v>
      </c>
      <c r="U55" s="224" t="b">
        <v>0</v>
      </c>
      <c r="V55" s="224" t="b">
        <v>0</v>
      </c>
      <c r="AA55" s="223" t="s">
        <v>5</v>
      </c>
    </row>
    <row r="56" spans="6:56" x14ac:dyDescent="0.2">
      <c r="F56" s="224">
        <v>20</v>
      </c>
      <c r="G56" s="223" t="b">
        <v>0</v>
      </c>
      <c r="H56" s="223" t="b">
        <v>0</v>
      </c>
      <c r="I56" s="223" t="b">
        <v>0</v>
      </c>
      <c r="K56" s="232">
        <v>20</v>
      </c>
      <c r="L56" s="232"/>
      <c r="M56" s="232"/>
      <c r="N56" s="232"/>
      <c r="S56" s="224" t="s">
        <v>6</v>
      </c>
      <c r="T56" s="224" t="b">
        <v>0</v>
      </c>
      <c r="U56" s="224" t="b">
        <v>0</v>
      </c>
      <c r="V56" s="224" t="b">
        <v>0</v>
      </c>
      <c r="W56" s="223">
        <v>1</v>
      </c>
      <c r="X56" s="223">
        <v>1</v>
      </c>
      <c r="Y56" s="223">
        <v>1</v>
      </c>
    </row>
    <row r="57" spans="6:56" x14ac:dyDescent="0.2">
      <c r="F57" s="224">
        <v>21</v>
      </c>
      <c r="G57" s="223" t="b">
        <v>0</v>
      </c>
      <c r="H57" s="223" t="b">
        <v>0</v>
      </c>
      <c r="I57" s="223" t="b">
        <v>0</v>
      </c>
      <c r="K57" s="232">
        <v>21</v>
      </c>
      <c r="L57" s="232"/>
      <c r="M57" s="232"/>
      <c r="N57" s="232"/>
      <c r="R57" s="223" t="s">
        <v>84</v>
      </c>
      <c r="S57" s="224">
        <v>0</v>
      </c>
      <c r="T57" s="224" t="s">
        <v>162</v>
      </c>
      <c r="U57" s="224" t="s">
        <v>162</v>
      </c>
      <c r="V57" s="224" t="s">
        <v>162</v>
      </c>
      <c r="Z57" s="223" t="s">
        <v>4</v>
      </c>
      <c r="AA57" s="223" t="s">
        <v>6</v>
      </c>
    </row>
    <row r="58" spans="6:56" x14ac:dyDescent="0.2">
      <c r="F58" s="224">
        <v>22</v>
      </c>
      <c r="G58" s="223" t="b">
        <v>0</v>
      </c>
      <c r="H58" s="223" t="b">
        <v>0</v>
      </c>
      <c r="I58" s="223" t="b">
        <v>0</v>
      </c>
      <c r="K58" s="232">
        <v>22</v>
      </c>
      <c r="L58" s="232"/>
      <c r="M58" s="232"/>
      <c r="N58" s="232"/>
      <c r="R58" s="223" t="s">
        <v>85</v>
      </c>
      <c r="S58" s="224">
        <v>0</v>
      </c>
      <c r="T58" s="224">
        <v>1</v>
      </c>
      <c r="U58" s="224">
        <v>1</v>
      </c>
      <c r="V58" s="224">
        <v>1</v>
      </c>
      <c r="W58" s="223">
        <v>2</v>
      </c>
      <c r="X58" s="223">
        <v>2</v>
      </c>
      <c r="Y58" s="223">
        <v>2</v>
      </c>
    </row>
    <row r="59" spans="6:56" x14ac:dyDescent="0.2">
      <c r="F59" s="224">
        <v>23</v>
      </c>
      <c r="G59" s="223" t="b">
        <v>0</v>
      </c>
      <c r="H59" s="223" t="b">
        <v>0</v>
      </c>
      <c r="I59" s="223" t="b">
        <v>0</v>
      </c>
      <c r="K59" s="232">
        <v>23</v>
      </c>
      <c r="L59" s="232"/>
      <c r="M59" s="232"/>
      <c r="N59" s="232"/>
      <c r="R59" s="223" t="s">
        <v>69</v>
      </c>
      <c r="S59" s="224">
        <v>0</v>
      </c>
      <c r="T59" s="224" t="s">
        <v>162</v>
      </c>
      <c r="U59" s="224" t="s">
        <v>162</v>
      </c>
      <c r="V59" s="224" t="s">
        <v>162</v>
      </c>
      <c r="BA59" s="223" t="s">
        <v>1</v>
      </c>
    </row>
    <row r="60" spans="6:56" x14ac:dyDescent="0.2">
      <c r="F60" s="224">
        <v>24</v>
      </c>
      <c r="G60" s="223" t="b">
        <v>0</v>
      </c>
      <c r="H60" s="223" t="b">
        <v>0</v>
      </c>
      <c r="I60" s="223" t="b">
        <v>0</v>
      </c>
      <c r="K60" s="232">
        <v>24</v>
      </c>
      <c r="L60" s="232"/>
      <c r="M60" s="232"/>
      <c r="N60" s="232"/>
      <c r="S60" s="224">
        <v>0</v>
      </c>
      <c r="T60" s="224">
        <v>1</v>
      </c>
      <c r="U60" s="224">
        <v>1</v>
      </c>
      <c r="V60" s="224">
        <v>1</v>
      </c>
    </row>
    <row r="61" spans="6:56" x14ac:dyDescent="0.2">
      <c r="F61" s="224">
        <v>25</v>
      </c>
      <c r="G61" s="223" t="b">
        <v>0</v>
      </c>
      <c r="H61" s="223" t="b">
        <v>0</v>
      </c>
      <c r="I61" s="223" t="b">
        <v>0</v>
      </c>
      <c r="K61" s="232">
        <v>25</v>
      </c>
      <c r="L61" s="232"/>
      <c r="M61" s="232"/>
      <c r="N61" s="232"/>
      <c r="S61" s="224" t="s">
        <v>4</v>
      </c>
      <c r="T61" s="233">
        <v>17.329999999999998</v>
      </c>
      <c r="U61" s="233">
        <v>17.329999999999998</v>
      </c>
      <c r="V61" s="233">
        <v>17.329999999999998</v>
      </c>
      <c r="W61" s="234">
        <f>Diagrama!B212</f>
        <v>17.329999999999998</v>
      </c>
      <c r="X61" s="234">
        <f>Diagrama!C212</f>
        <v>17.329999999999998</v>
      </c>
      <c r="Y61" s="234">
        <f>Diagrama!D212</f>
        <v>17.329999999999998</v>
      </c>
      <c r="Z61" s="234">
        <f>Diagrama!E212</f>
        <v>17.329999999999998</v>
      </c>
      <c r="AA61" s="234">
        <f>Diagrama!F212</f>
        <v>17.329999999999998</v>
      </c>
      <c r="AB61" s="234">
        <f>Diagrama!G212</f>
        <v>17.329999999999998</v>
      </c>
      <c r="AC61" s="234">
        <f>Diagrama!H212</f>
        <v>0</v>
      </c>
      <c r="AD61" s="234">
        <f>Diagrama!I212</f>
        <v>0</v>
      </c>
      <c r="AE61" s="234">
        <f>Diagrama!J212</f>
        <v>0</v>
      </c>
      <c r="AF61" s="234">
        <f>Diagrama!K212</f>
        <v>0</v>
      </c>
      <c r="AG61" s="234">
        <f>Diagrama!L212</f>
        <v>0</v>
      </c>
      <c r="AH61" s="234">
        <f>Diagrama!M212</f>
        <v>0</v>
      </c>
      <c r="AI61" s="234">
        <f>Diagrama!N212</f>
        <v>0</v>
      </c>
      <c r="AJ61" s="234">
        <f>Diagrama!O212</f>
        <v>0</v>
      </c>
      <c r="AK61" s="234">
        <f>Diagrama!P212</f>
        <v>0</v>
      </c>
      <c r="AL61" s="234">
        <f>Diagrama!Q212</f>
        <v>0</v>
      </c>
      <c r="AM61" s="234">
        <f>Diagrama!R212</f>
        <v>0</v>
      </c>
      <c r="AN61" s="234">
        <f>Diagrama!S212</f>
        <v>0</v>
      </c>
      <c r="AO61" s="234">
        <f>Diagrama!T212</f>
        <v>0</v>
      </c>
      <c r="AP61" s="234">
        <f>Diagrama!U212</f>
        <v>0</v>
      </c>
      <c r="AQ61" s="234">
        <f>Diagrama!V212</f>
        <v>0</v>
      </c>
      <c r="AR61" s="234">
        <f>Diagrama!W212</f>
        <v>0</v>
      </c>
      <c r="AS61" s="234">
        <f>Diagrama!X212</f>
        <v>0</v>
      </c>
      <c r="AT61" s="234">
        <f>Diagrama!Y212</f>
        <v>0</v>
      </c>
      <c r="AU61" s="234">
        <f>Diagrama!Z212</f>
        <v>0</v>
      </c>
      <c r="AV61" s="234">
        <f>Diagrama!AA212</f>
        <v>0</v>
      </c>
      <c r="AW61" s="234">
        <f>Diagrama!AB212</f>
        <v>0</v>
      </c>
      <c r="AX61" s="234">
        <f>Diagrama!AC212</f>
        <v>0</v>
      </c>
      <c r="AY61" s="234">
        <f>Diagrama!AD212</f>
        <v>0</v>
      </c>
      <c r="AZ61" s="234">
        <f>Diagrama!AE212</f>
        <v>0</v>
      </c>
      <c r="BA61" s="234"/>
      <c r="BB61" s="234"/>
      <c r="BC61" s="234"/>
      <c r="BD61" s="234"/>
    </row>
    <row r="62" spans="6:56" x14ac:dyDescent="0.2">
      <c r="F62" s="224">
        <v>26</v>
      </c>
      <c r="G62" s="223" t="b">
        <v>0</v>
      </c>
      <c r="H62" s="223" t="b">
        <v>0</v>
      </c>
      <c r="I62" s="223" t="b">
        <v>0</v>
      </c>
      <c r="K62" s="232">
        <v>26</v>
      </c>
      <c r="L62" s="232"/>
      <c r="M62" s="232"/>
      <c r="N62" s="232"/>
      <c r="S62" s="224" t="s">
        <v>5</v>
      </c>
      <c r="T62" s="233">
        <v>0.73</v>
      </c>
      <c r="U62" s="233">
        <v>0.73</v>
      </c>
      <c r="V62" s="233">
        <v>0.73</v>
      </c>
      <c r="W62" s="234">
        <f>Diagrama!B213</f>
        <v>0.73</v>
      </c>
      <c r="X62" s="234">
        <f>Diagrama!C213</f>
        <v>1.93</v>
      </c>
      <c r="Y62" s="234">
        <f>Diagrama!D213</f>
        <v>1.7</v>
      </c>
      <c r="Z62" s="234">
        <f>Diagrama!E213</f>
        <v>1.1399999999999999</v>
      </c>
      <c r="AA62" s="234">
        <f>Diagrama!F213</f>
        <v>8.02</v>
      </c>
      <c r="AB62" s="234">
        <f>Diagrama!G213</f>
        <v>3.23</v>
      </c>
      <c r="AC62" s="234">
        <f>Diagrama!H213</f>
        <v>0</v>
      </c>
      <c r="AD62" s="234">
        <f>Diagrama!I213</f>
        <v>0</v>
      </c>
      <c r="AE62" s="234">
        <f>Diagrama!J213</f>
        <v>0</v>
      </c>
      <c r="AF62" s="234">
        <f>Diagrama!K213</f>
        <v>0</v>
      </c>
      <c r="AG62" s="234">
        <f>Diagrama!L213</f>
        <v>0</v>
      </c>
      <c r="AH62" s="234">
        <f>Diagrama!M213</f>
        <v>0</v>
      </c>
      <c r="AI62" s="234">
        <f>Diagrama!N213</f>
        <v>0</v>
      </c>
      <c r="AJ62" s="234">
        <f>Diagrama!O213</f>
        <v>0</v>
      </c>
      <c r="AK62" s="234">
        <f>Diagrama!P213</f>
        <v>0</v>
      </c>
      <c r="AL62" s="234">
        <f>Diagrama!Q213</f>
        <v>0</v>
      </c>
      <c r="AM62" s="234">
        <f>Diagrama!R213</f>
        <v>0</v>
      </c>
      <c r="AN62" s="234">
        <f>Diagrama!S213</f>
        <v>0</v>
      </c>
      <c r="AO62" s="234">
        <f>Diagrama!T213</f>
        <v>0</v>
      </c>
      <c r="AP62" s="234">
        <f>Diagrama!U213</f>
        <v>0</v>
      </c>
      <c r="AQ62" s="234">
        <f>Diagrama!V213</f>
        <v>0</v>
      </c>
      <c r="AR62" s="234">
        <f>Diagrama!W213</f>
        <v>0</v>
      </c>
      <c r="AS62" s="234">
        <f>Diagrama!X213</f>
        <v>0</v>
      </c>
      <c r="AT62" s="234">
        <f>Diagrama!Y213</f>
        <v>0</v>
      </c>
      <c r="AU62" s="234">
        <f>Diagrama!Z213</f>
        <v>0</v>
      </c>
      <c r="AV62" s="234">
        <f>Diagrama!AA213</f>
        <v>0</v>
      </c>
      <c r="AW62" s="234">
        <f>Diagrama!AB213</f>
        <v>0</v>
      </c>
      <c r="AX62" s="234">
        <f>Diagrama!AC213</f>
        <v>0</v>
      </c>
      <c r="AY62" s="234">
        <f>Diagrama!AD213</f>
        <v>0</v>
      </c>
      <c r="AZ62" s="234">
        <f>Diagrama!AE213</f>
        <v>0</v>
      </c>
      <c r="BA62" s="234"/>
    </row>
    <row r="63" spans="6:56" x14ac:dyDescent="0.2">
      <c r="F63" s="224">
        <v>27</v>
      </c>
      <c r="G63" s="223" t="b">
        <v>0</v>
      </c>
      <c r="H63" s="223" t="b">
        <v>0</v>
      </c>
      <c r="I63" s="223" t="b">
        <v>0</v>
      </c>
      <c r="K63" s="232">
        <v>27</v>
      </c>
      <c r="L63" s="232"/>
      <c r="M63" s="232"/>
      <c r="N63" s="232"/>
      <c r="S63" s="224" t="s">
        <v>6</v>
      </c>
      <c r="T63" s="233">
        <v>12.14</v>
      </c>
      <c r="U63" s="233">
        <v>12.14</v>
      </c>
      <c r="V63" s="233">
        <v>12.14</v>
      </c>
      <c r="W63" s="234">
        <f>Diagrama!B218</f>
        <v>12.14</v>
      </c>
      <c r="X63" s="234">
        <f>Diagrama!C218</f>
        <v>32.230000000000004</v>
      </c>
      <c r="Y63" s="234">
        <f>Diagrama!D218</f>
        <v>51.61</v>
      </c>
      <c r="Z63" s="234">
        <f>Diagrama!E218</f>
        <v>49.290000000000006</v>
      </c>
      <c r="AA63" s="234">
        <f>Diagrama!F218</f>
        <v>19.159999999999997</v>
      </c>
      <c r="AB63" s="234">
        <f>Diagrama!G218</f>
        <v>26.849999999999998</v>
      </c>
      <c r="AC63" s="234">
        <f>Diagrama!H218</f>
        <v>0</v>
      </c>
      <c r="AD63" s="234">
        <f>Diagrama!I218</f>
        <v>0</v>
      </c>
      <c r="AE63" s="234">
        <f>Diagrama!J218</f>
        <v>0</v>
      </c>
      <c r="AF63" s="234">
        <f>Diagrama!K218</f>
        <v>0</v>
      </c>
      <c r="AG63" s="234">
        <f>Diagrama!L218</f>
        <v>0</v>
      </c>
      <c r="AH63" s="234">
        <f>Diagrama!M218</f>
        <v>0</v>
      </c>
      <c r="AI63" s="234">
        <f>Diagrama!N218</f>
        <v>0</v>
      </c>
      <c r="AJ63" s="234">
        <f>Diagrama!O218</f>
        <v>0</v>
      </c>
      <c r="AK63" s="234">
        <f>Diagrama!P218</f>
        <v>0</v>
      </c>
      <c r="AL63" s="234">
        <f>Diagrama!Q218</f>
        <v>0</v>
      </c>
      <c r="AM63" s="234">
        <f>Diagrama!R218</f>
        <v>0</v>
      </c>
      <c r="AN63" s="234">
        <f>Diagrama!S218</f>
        <v>0</v>
      </c>
      <c r="AO63" s="234">
        <f>Diagrama!T218</f>
        <v>0</v>
      </c>
      <c r="AP63" s="234">
        <f>Diagrama!U218</f>
        <v>0</v>
      </c>
      <c r="AQ63" s="234">
        <f>Diagrama!V218</f>
        <v>0</v>
      </c>
      <c r="AR63" s="234">
        <f>Diagrama!W218</f>
        <v>0</v>
      </c>
      <c r="AS63" s="234">
        <f>Diagrama!X218</f>
        <v>0</v>
      </c>
      <c r="AT63" s="234">
        <f>Diagrama!Y218</f>
        <v>0</v>
      </c>
      <c r="AU63" s="234">
        <f>Diagrama!Z218</f>
        <v>0</v>
      </c>
      <c r="AV63" s="234">
        <f>Diagrama!AA218</f>
        <v>0</v>
      </c>
      <c r="AW63" s="234">
        <f>Diagrama!AB218</f>
        <v>0</v>
      </c>
      <c r="AX63" s="234">
        <f>Diagrama!AC218</f>
        <v>0</v>
      </c>
      <c r="AY63" s="234">
        <f>Diagrama!AD218</f>
        <v>0</v>
      </c>
      <c r="AZ63" s="234">
        <f>Diagrama!AE218</f>
        <v>0</v>
      </c>
      <c r="BA63" s="234"/>
    </row>
    <row r="64" spans="6:56" x14ac:dyDescent="0.2">
      <c r="F64" s="224">
        <v>28</v>
      </c>
      <c r="G64" s="223" t="b">
        <v>0</v>
      </c>
      <c r="H64" s="223" t="b">
        <v>0</v>
      </c>
      <c r="I64" s="223" t="b">
        <v>0</v>
      </c>
      <c r="K64" s="232">
        <v>28</v>
      </c>
      <c r="L64" s="232"/>
      <c r="M64" s="232"/>
      <c r="N64" s="232"/>
      <c r="S64" s="224" t="s">
        <v>13</v>
      </c>
      <c r="T64" s="233">
        <v>53.709999999999994</v>
      </c>
      <c r="U64" s="233">
        <v>53.709999999999994</v>
      </c>
      <c r="V64" s="233">
        <v>53.709999999999994</v>
      </c>
      <c r="W64" s="234">
        <f>Diagrama!B219</f>
        <v>53.709999999999994</v>
      </c>
      <c r="X64" s="234">
        <f>Diagrama!C219</f>
        <v>59.370000000000005</v>
      </c>
      <c r="Y64" s="234">
        <f>Diagrama!D219</f>
        <v>80.28</v>
      </c>
      <c r="Z64" s="234">
        <f>Diagrama!E219</f>
        <v>84.25</v>
      </c>
      <c r="AA64" s="234">
        <f>Diagrama!F219</f>
        <v>54.019999999999996</v>
      </c>
      <c r="AB64" s="234">
        <f>Diagrama!G219</f>
        <v>118.28</v>
      </c>
      <c r="AC64" s="234">
        <f>Diagrama!H219</f>
        <v>0</v>
      </c>
      <c r="AD64" s="234">
        <f>Diagrama!I219</f>
        <v>0</v>
      </c>
      <c r="AE64" s="234">
        <f>Diagrama!J219</f>
        <v>0</v>
      </c>
      <c r="AF64" s="234">
        <f>Diagrama!K219</f>
        <v>0</v>
      </c>
      <c r="AG64" s="234">
        <f>Diagrama!L219</f>
        <v>0</v>
      </c>
      <c r="AH64" s="234">
        <f>Diagrama!M219</f>
        <v>0</v>
      </c>
      <c r="AI64" s="234">
        <f>Diagrama!N219</f>
        <v>0</v>
      </c>
      <c r="AJ64" s="234">
        <f>Diagrama!O219</f>
        <v>0</v>
      </c>
      <c r="AK64" s="234">
        <f>Diagrama!P219</f>
        <v>0</v>
      </c>
      <c r="AL64" s="234">
        <f>Diagrama!Q219</f>
        <v>0</v>
      </c>
      <c r="AM64" s="234">
        <f>Diagrama!R219</f>
        <v>0</v>
      </c>
      <c r="AN64" s="234">
        <f>Diagrama!S219</f>
        <v>0</v>
      </c>
      <c r="AO64" s="234">
        <f>Diagrama!T219</f>
        <v>0</v>
      </c>
      <c r="AP64" s="234">
        <f>Diagrama!U219</f>
        <v>0</v>
      </c>
      <c r="AQ64" s="234">
        <f>Diagrama!V219</f>
        <v>0</v>
      </c>
      <c r="AR64" s="234">
        <f>Diagrama!W219</f>
        <v>0</v>
      </c>
      <c r="AS64" s="234">
        <f>Diagrama!X219</f>
        <v>0</v>
      </c>
      <c r="AT64" s="234">
        <f>Diagrama!Y219</f>
        <v>0</v>
      </c>
      <c r="AU64" s="234">
        <f>Diagrama!Z219</f>
        <v>0</v>
      </c>
      <c r="AV64" s="234">
        <f>Diagrama!AA219</f>
        <v>0</v>
      </c>
      <c r="AW64" s="234">
        <f>Diagrama!AB219</f>
        <v>0</v>
      </c>
      <c r="AX64" s="234">
        <f>Diagrama!AC219</f>
        <v>0</v>
      </c>
      <c r="AY64" s="234">
        <f>Diagrama!AD219</f>
        <v>0</v>
      </c>
      <c r="AZ64" s="234">
        <f>Diagrama!AE219</f>
        <v>0</v>
      </c>
      <c r="BA64" s="234"/>
    </row>
    <row r="65" spans="6:53" x14ac:dyDescent="0.2">
      <c r="F65" s="224">
        <v>29</v>
      </c>
      <c r="G65" s="223" t="b">
        <v>0</v>
      </c>
      <c r="H65" s="223" t="b">
        <v>0</v>
      </c>
      <c r="I65" s="223" t="b">
        <v>0</v>
      </c>
      <c r="K65" s="232">
        <v>29</v>
      </c>
      <c r="L65" s="232"/>
      <c r="M65" s="232"/>
      <c r="N65" s="232"/>
      <c r="S65" s="224" t="s">
        <v>27</v>
      </c>
      <c r="T65" s="235">
        <v>1.5065918653576436</v>
      </c>
      <c r="U65" s="236">
        <v>1.5065918653576436</v>
      </c>
      <c r="V65" s="235">
        <v>1.5065918653576436</v>
      </c>
      <c r="W65" s="237">
        <f>Diagrama!B230</f>
        <v>1.5065918653576436</v>
      </c>
      <c r="X65" s="237">
        <f>Diagrama!C230</f>
        <v>1.4801795063575169</v>
      </c>
      <c r="Y65" s="237">
        <f>Diagrama!D230</f>
        <v>1.3106938775510204</v>
      </c>
      <c r="Z65" s="237">
        <f>Diagrama!E230</f>
        <v>1.280784432958346</v>
      </c>
      <c r="AA65" s="237">
        <f>Diagrama!F230</f>
        <v>1.8841995116846875</v>
      </c>
      <c r="AB65" s="237">
        <f>Diagrama!G230</f>
        <v>1.2103970528039298</v>
      </c>
      <c r="AC65" s="237">
        <f>Diagrama!H230</f>
        <v>0</v>
      </c>
      <c r="AD65" s="237">
        <f>Diagrama!I230</f>
        <v>0</v>
      </c>
      <c r="AE65" s="237">
        <f>Diagrama!J230</f>
        <v>0</v>
      </c>
      <c r="AF65" s="237">
        <f>Diagrama!K230</f>
        <v>0</v>
      </c>
      <c r="AG65" s="237">
        <f>Diagrama!L230</f>
        <v>0</v>
      </c>
      <c r="AH65" s="237">
        <f>Diagrama!M230</f>
        <v>0</v>
      </c>
      <c r="AI65" s="237">
        <f>Diagrama!N230</f>
        <v>0</v>
      </c>
      <c r="AJ65" s="237">
        <f>Diagrama!O230</f>
        <v>0</v>
      </c>
      <c r="AK65" s="237">
        <f>Diagrama!P230</f>
        <v>0</v>
      </c>
      <c r="AL65" s="237">
        <f>Diagrama!Q230</f>
        <v>0</v>
      </c>
      <c r="AM65" s="237">
        <f>Diagrama!R230</f>
        <v>0</v>
      </c>
      <c r="AN65" s="237">
        <f>Diagrama!S230</f>
        <v>0</v>
      </c>
      <c r="AO65" s="237">
        <f>Diagrama!T230</f>
        <v>0</v>
      </c>
      <c r="AP65" s="237">
        <f>Diagrama!U230</f>
        <v>0</v>
      </c>
      <c r="AQ65" s="237">
        <f>Diagrama!V230</f>
        <v>0</v>
      </c>
      <c r="AR65" s="237">
        <f>Diagrama!W230</f>
        <v>0</v>
      </c>
      <c r="AS65" s="237">
        <f>Diagrama!X230</f>
        <v>0</v>
      </c>
      <c r="AT65" s="237">
        <f>Diagrama!Y230</f>
        <v>0</v>
      </c>
      <c r="AU65" s="237">
        <f>Diagrama!Z230</f>
        <v>0</v>
      </c>
      <c r="AV65" s="237">
        <f>Diagrama!AA230</f>
        <v>0</v>
      </c>
      <c r="AW65" s="237">
        <f>Diagrama!AB230</f>
        <v>0</v>
      </c>
      <c r="AX65" s="237">
        <f>Diagrama!AC230</f>
        <v>0</v>
      </c>
      <c r="AY65" s="237">
        <f>Diagrama!AD230</f>
        <v>0</v>
      </c>
      <c r="AZ65" s="237">
        <f>Diagrama!AE230</f>
        <v>0</v>
      </c>
      <c r="BA65" s="237"/>
    </row>
    <row r="66" spans="6:53" x14ac:dyDescent="0.2">
      <c r="F66" s="224">
        <v>30</v>
      </c>
      <c r="G66" s="223" t="b">
        <v>0</v>
      </c>
      <c r="H66" s="223" t="b">
        <v>0</v>
      </c>
      <c r="I66" s="223" t="b">
        <v>0</v>
      </c>
      <c r="K66" s="232">
        <v>30</v>
      </c>
      <c r="L66" s="232"/>
      <c r="M66" s="232"/>
      <c r="N66" s="232"/>
      <c r="S66" s="224" t="s">
        <v>28</v>
      </c>
      <c r="T66" s="235">
        <v>1.9739756367663346</v>
      </c>
      <c r="U66" s="236">
        <v>1.9739756367663346</v>
      </c>
      <c r="V66" s="235">
        <v>1.9739756367663346</v>
      </c>
      <c r="W66" s="237">
        <f>Diagrama!B231</f>
        <v>1.9739756367663346</v>
      </c>
      <c r="X66" s="237">
        <f>Diagrama!C231</f>
        <v>1.187546057479735</v>
      </c>
      <c r="Y66" s="237">
        <f>Diagrama!D231</f>
        <v>1.8001395186606211</v>
      </c>
      <c r="Z66" s="237">
        <f>Diagrama!E231</f>
        <v>1.4098970251716252</v>
      </c>
      <c r="AA66" s="237">
        <f>Diagrama!F231</f>
        <v>0.54962707974756153</v>
      </c>
      <c r="AB66" s="237">
        <f>Diagrama!G231</f>
        <v>0.29366728644864926</v>
      </c>
      <c r="AC66" s="237">
        <f>Diagrama!H231</f>
        <v>0</v>
      </c>
      <c r="AD66" s="237">
        <f>Diagrama!I231</f>
        <v>0</v>
      </c>
      <c r="AE66" s="237">
        <f>Diagrama!J231</f>
        <v>0</v>
      </c>
      <c r="AF66" s="237">
        <f>Diagrama!K231</f>
        <v>0</v>
      </c>
      <c r="AG66" s="237">
        <f>Diagrama!L231</f>
        <v>0</v>
      </c>
      <c r="AH66" s="237">
        <f>Diagrama!M231</f>
        <v>0</v>
      </c>
      <c r="AI66" s="237">
        <f>Diagrama!N231</f>
        <v>0</v>
      </c>
      <c r="AJ66" s="237">
        <f>Diagrama!O231</f>
        <v>0</v>
      </c>
      <c r="AK66" s="237">
        <f>Diagrama!P231</f>
        <v>0</v>
      </c>
      <c r="AL66" s="237">
        <f>Diagrama!Q231</f>
        <v>0</v>
      </c>
      <c r="AM66" s="237">
        <f>Diagrama!R231</f>
        <v>0</v>
      </c>
      <c r="AN66" s="237">
        <f>Diagrama!S231</f>
        <v>0</v>
      </c>
      <c r="AO66" s="237">
        <f>Diagrama!T231</f>
        <v>0</v>
      </c>
      <c r="AP66" s="237">
        <f>Diagrama!U231</f>
        <v>0</v>
      </c>
      <c r="AQ66" s="237">
        <f>Diagrama!V231</f>
        <v>0</v>
      </c>
      <c r="AR66" s="237">
        <f>Diagrama!W231</f>
        <v>0</v>
      </c>
      <c r="AS66" s="237">
        <f>Diagrama!X231</f>
        <v>0</v>
      </c>
      <c r="AT66" s="237">
        <f>Diagrama!Y231</f>
        <v>0</v>
      </c>
      <c r="AU66" s="237">
        <f>Diagrama!Z231</f>
        <v>0</v>
      </c>
      <c r="AV66" s="237">
        <f>Diagrama!AA231</f>
        <v>0</v>
      </c>
      <c r="AW66" s="237">
        <f>Diagrama!AB231</f>
        <v>0</v>
      </c>
      <c r="AX66" s="237">
        <f>Diagrama!AC231</f>
        <v>0</v>
      </c>
      <c r="AY66" s="237">
        <f>Diagrama!AD231</f>
        <v>0</v>
      </c>
      <c r="AZ66" s="237">
        <f>Diagrama!AE231</f>
        <v>0</v>
      </c>
      <c r="BA66" s="237"/>
    </row>
    <row r="67" spans="6:53" x14ac:dyDescent="0.2">
      <c r="F67" s="224">
        <v>31</v>
      </c>
      <c r="G67" s="223" t="b">
        <v>0</v>
      </c>
      <c r="H67" s="223" t="b">
        <v>0</v>
      </c>
      <c r="I67" s="223" t="b">
        <v>0</v>
      </c>
      <c r="K67" s="232">
        <v>31</v>
      </c>
      <c r="L67" s="232"/>
      <c r="M67" s="232"/>
      <c r="N67" s="232"/>
      <c r="S67" s="224" t="s">
        <v>29</v>
      </c>
      <c r="T67" s="235">
        <v>0.31513222331047996</v>
      </c>
      <c r="U67" s="236">
        <v>0.31513222331047996</v>
      </c>
      <c r="V67" s="235">
        <v>0.31513222331047996</v>
      </c>
      <c r="W67" s="237">
        <f>Diagrama!B232</f>
        <v>0.31513222331047996</v>
      </c>
      <c r="X67" s="237">
        <f>Diagrama!C232</f>
        <v>1.3550178500595005</v>
      </c>
      <c r="Y67" s="237">
        <f>Diagrama!D232</f>
        <v>1.9766407119021137</v>
      </c>
      <c r="Z67" s="237">
        <f>Diagrama!E232</f>
        <v>1.4911295091661743</v>
      </c>
      <c r="AA67" s="237">
        <f>Diagrama!F232</f>
        <v>1.0126676602086437</v>
      </c>
      <c r="AB67" s="237">
        <f>Diagrama!G232</f>
        <v>0.34104308390022681</v>
      </c>
      <c r="AC67" s="237">
        <f>Diagrama!H232</f>
        <v>0</v>
      </c>
      <c r="AD67" s="237">
        <f>Diagrama!I232</f>
        <v>0</v>
      </c>
      <c r="AE67" s="237">
        <f>Diagrama!J232</f>
        <v>0</v>
      </c>
      <c r="AF67" s="237">
        <f>Diagrama!K232</f>
        <v>0</v>
      </c>
      <c r="AG67" s="237">
        <f>Diagrama!L232</f>
        <v>0</v>
      </c>
      <c r="AH67" s="237">
        <f>Diagrama!M232</f>
        <v>0</v>
      </c>
      <c r="AI67" s="237">
        <f>Diagrama!N232</f>
        <v>0</v>
      </c>
      <c r="AJ67" s="237">
        <f>Diagrama!O232</f>
        <v>0</v>
      </c>
      <c r="AK67" s="237">
        <f>Diagrama!P232</f>
        <v>0</v>
      </c>
      <c r="AL67" s="237">
        <f>Diagrama!Q232</f>
        <v>0</v>
      </c>
      <c r="AM67" s="237">
        <f>Diagrama!R232</f>
        <v>0</v>
      </c>
      <c r="AN67" s="237">
        <f>Diagrama!S232</f>
        <v>0</v>
      </c>
      <c r="AO67" s="237">
        <f>Diagrama!T232</f>
        <v>0</v>
      </c>
      <c r="AP67" s="237">
        <f>Diagrama!U232</f>
        <v>0</v>
      </c>
      <c r="AQ67" s="237">
        <f>Diagrama!V232</f>
        <v>0</v>
      </c>
      <c r="AR67" s="237">
        <f>Diagrama!W232</f>
        <v>0</v>
      </c>
      <c r="AS67" s="237">
        <f>Diagrama!X232</f>
        <v>0</v>
      </c>
      <c r="AT67" s="237">
        <f>Diagrama!Y232</f>
        <v>0</v>
      </c>
      <c r="AU67" s="237">
        <f>Diagrama!Z232</f>
        <v>0</v>
      </c>
      <c r="AV67" s="237">
        <f>Diagrama!AA232</f>
        <v>0</v>
      </c>
      <c r="AW67" s="237">
        <f>Diagrama!AB232</f>
        <v>0</v>
      </c>
      <c r="AX67" s="237">
        <f>Diagrama!AC232</f>
        <v>0</v>
      </c>
      <c r="AY67" s="237">
        <f>Diagrama!AD232</f>
        <v>0</v>
      </c>
      <c r="AZ67" s="237">
        <f>Diagrama!AE232</f>
        <v>0</v>
      </c>
      <c r="BA67" s="237"/>
    </row>
    <row r="68" spans="6:53" x14ac:dyDescent="0.2">
      <c r="F68" s="224">
        <v>32</v>
      </c>
      <c r="G68" s="223" t="b">
        <v>0</v>
      </c>
      <c r="H68" s="223" t="b">
        <v>0</v>
      </c>
      <c r="I68" s="223" t="b">
        <v>0</v>
      </c>
      <c r="K68" s="232">
        <v>32</v>
      </c>
      <c r="L68" s="232"/>
      <c r="M68" s="232"/>
      <c r="N68" s="232"/>
      <c r="S68" s="224" t="s">
        <v>17</v>
      </c>
      <c r="T68" s="235">
        <v>4.7808245362242543</v>
      </c>
      <c r="U68" s="236">
        <v>4.7808245362242543</v>
      </c>
      <c r="V68" s="235">
        <v>4.7808245362242543</v>
      </c>
      <c r="W68" s="237">
        <f>Diagrama!B233</f>
        <v>4.7808245362242543</v>
      </c>
      <c r="X68" s="237">
        <f>Diagrama!C233</f>
        <v>1.092369009229303</v>
      </c>
      <c r="Y68" s="237">
        <f>Diagrama!D233</f>
        <v>0.66309161278467488</v>
      </c>
      <c r="Z68" s="237">
        <f>Diagrama!E233</f>
        <v>0.85893574306268594</v>
      </c>
      <c r="AA68" s="237">
        <f>Diagrama!F233</f>
        <v>1.8606296870352104</v>
      </c>
      <c r="AB68" s="237">
        <f>Diagrama!G233</f>
        <v>3.5491030604157778</v>
      </c>
      <c r="AC68" s="237">
        <f>Diagrama!H233</f>
        <v>0</v>
      </c>
      <c r="AD68" s="237">
        <f>Diagrama!I233</f>
        <v>0</v>
      </c>
      <c r="AE68" s="237">
        <f>Diagrama!J233</f>
        <v>0</v>
      </c>
      <c r="AF68" s="237">
        <f>Diagrama!K233</f>
        <v>0</v>
      </c>
      <c r="AG68" s="237">
        <f>Diagrama!L233</f>
        <v>0</v>
      </c>
      <c r="AH68" s="237">
        <f>Diagrama!M233</f>
        <v>0</v>
      </c>
      <c r="AI68" s="237">
        <f>Diagrama!N233</f>
        <v>0</v>
      </c>
      <c r="AJ68" s="237">
        <f>Diagrama!O233</f>
        <v>0</v>
      </c>
      <c r="AK68" s="237">
        <f>Diagrama!P233</f>
        <v>0</v>
      </c>
      <c r="AL68" s="237">
        <f>Diagrama!Q233</f>
        <v>0</v>
      </c>
      <c r="AM68" s="237">
        <f>Diagrama!R233</f>
        <v>0</v>
      </c>
      <c r="AN68" s="237">
        <f>Diagrama!S233</f>
        <v>0</v>
      </c>
      <c r="AO68" s="237">
        <f>Diagrama!T233</f>
        <v>0</v>
      </c>
      <c r="AP68" s="237">
        <f>Diagrama!U233</f>
        <v>0</v>
      </c>
      <c r="AQ68" s="237">
        <f>Diagrama!V233</f>
        <v>0</v>
      </c>
      <c r="AR68" s="237">
        <f>Diagrama!W233</f>
        <v>0</v>
      </c>
      <c r="AS68" s="237">
        <f>Diagrama!X233</f>
        <v>0</v>
      </c>
      <c r="AT68" s="237">
        <f>Diagrama!Y233</f>
        <v>0</v>
      </c>
      <c r="AU68" s="237">
        <f>Diagrama!Z233</f>
        <v>0</v>
      </c>
      <c r="AV68" s="237">
        <f>Diagrama!AA233</f>
        <v>0</v>
      </c>
      <c r="AW68" s="237">
        <f>Diagrama!AB233</f>
        <v>0</v>
      </c>
      <c r="AX68" s="237">
        <f>Diagrama!AC233</f>
        <v>0</v>
      </c>
      <c r="AY68" s="237">
        <f>Diagrama!AD233</f>
        <v>0</v>
      </c>
      <c r="AZ68" s="237">
        <f>Diagrama!AE233</f>
        <v>0</v>
      </c>
      <c r="BA68" s="237"/>
    </row>
    <row r="69" spans="6:53" x14ac:dyDescent="0.2">
      <c r="F69" s="224">
        <v>33</v>
      </c>
      <c r="G69" s="223" t="b">
        <v>0</v>
      </c>
      <c r="H69" s="223" t="b">
        <v>0</v>
      </c>
      <c r="I69" s="223" t="b">
        <v>0</v>
      </c>
      <c r="K69" s="232">
        <v>33</v>
      </c>
      <c r="L69" s="232"/>
      <c r="M69" s="232"/>
      <c r="N69" s="232"/>
      <c r="S69" s="224" t="s">
        <v>10</v>
      </c>
      <c r="T69" s="238">
        <v>76.037981753863335</v>
      </c>
      <c r="U69" s="236">
        <v>76.037981753863335</v>
      </c>
      <c r="V69" s="238">
        <v>76.037981753863335</v>
      </c>
      <c r="W69" s="239">
        <f>100*(W61+W76+W78)/W64</f>
        <v>76.037981753863335</v>
      </c>
      <c r="X69" s="239">
        <f t="shared" ref="X69:AZ69" si="0">100*(X61+X76+X78)/X64</f>
        <v>42.462523159845027</v>
      </c>
      <c r="Y69" s="239">
        <f t="shared" si="0"/>
        <v>33.594917787742901</v>
      </c>
      <c r="Z69" s="239">
        <f t="shared" si="0"/>
        <v>40.142433234421354</v>
      </c>
      <c r="AA69" s="239">
        <f t="shared" si="0"/>
        <v>49.685301740096264</v>
      </c>
      <c r="AB69" s="239">
        <f t="shared" si="0"/>
        <v>74.568819749746353</v>
      </c>
      <c r="AC69" s="239" t="e">
        <f t="shared" si="0"/>
        <v>#DIV/0!</v>
      </c>
      <c r="AD69" s="239" t="e">
        <f t="shared" si="0"/>
        <v>#DIV/0!</v>
      </c>
      <c r="AE69" s="239" t="e">
        <f t="shared" si="0"/>
        <v>#DIV/0!</v>
      </c>
      <c r="AF69" s="239" t="e">
        <f t="shared" si="0"/>
        <v>#DIV/0!</v>
      </c>
      <c r="AG69" s="239" t="e">
        <f t="shared" si="0"/>
        <v>#DIV/0!</v>
      </c>
      <c r="AH69" s="239" t="e">
        <f t="shared" si="0"/>
        <v>#DIV/0!</v>
      </c>
      <c r="AI69" s="239" t="e">
        <f t="shared" si="0"/>
        <v>#DIV/0!</v>
      </c>
      <c r="AJ69" s="239" t="e">
        <f t="shared" si="0"/>
        <v>#DIV/0!</v>
      </c>
      <c r="AK69" s="239" t="e">
        <f t="shared" si="0"/>
        <v>#DIV/0!</v>
      </c>
      <c r="AL69" s="239" t="e">
        <f t="shared" si="0"/>
        <v>#DIV/0!</v>
      </c>
      <c r="AM69" s="239" t="e">
        <f t="shared" si="0"/>
        <v>#DIV/0!</v>
      </c>
      <c r="AN69" s="239" t="e">
        <f t="shared" si="0"/>
        <v>#DIV/0!</v>
      </c>
      <c r="AO69" s="239" t="e">
        <f t="shared" si="0"/>
        <v>#DIV/0!</v>
      </c>
      <c r="AP69" s="239" t="e">
        <f t="shared" si="0"/>
        <v>#DIV/0!</v>
      </c>
      <c r="AQ69" s="239" t="e">
        <f t="shared" si="0"/>
        <v>#DIV/0!</v>
      </c>
      <c r="AR69" s="239" t="e">
        <f t="shared" si="0"/>
        <v>#DIV/0!</v>
      </c>
      <c r="AS69" s="239" t="e">
        <f t="shared" si="0"/>
        <v>#DIV/0!</v>
      </c>
      <c r="AT69" s="239" t="e">
        <f t="shared" si="0"/>
        <v>#DIV/0!</v>
      </c>
      <c r="AU69" s="239" t="e">
        <f t="shared" si="0"/>
        <v>#DIV/0!</v>
      </c>
      <c r="AV69" s="239" t="e">
        <f t="shared" si="0"/>
        <v>#DIV/0!</v>
      </c>
      <c r="AW69" s="239" t="e">
        <f t="shared" si="0"/>
        <v>#DIV/0!</v>
      </c>
      <c r="AX69" s="239" t="e">
        <f t="shared" si="0"/>
        <v>#DIV/0!</v>
      </c>
      <c r="AY69" s="239" t="e">
        <f t="shared" si="0"/>
        <v>#DIV/0!</v>
      </c>
      <c r="AZ69" s="239" t="e">
        <f t="shared" si="0"/>
        <v>#DIV/0!</v>
      </c>
      <c r="BA69" s="239"/>
    </row>
    <row r="70" spans="6:53" x14ac:dyDescent="0.2">
      <c r="F70" s="224">
        <v>34</v>
      </c>
      <c r="G70" s="223" t="b">
        <v>0</v>
      </c>
      <c r="H70" s="223" t="b">
        <v>0</v>
      </c>
      <c r="I70" s="223" t="b">
        <v>0</v>
      </c>
      <c r="K70" s="232">
        <v>34</v>
      </c>
      <c r="L70" s="232"/>
      <c r="M70" s="232"/>
      <c r="N70" s="232"/>
      <c r="S70" s="224" t="s">
        <v>70</v>
      </c>
      <c r="T70" s="233">
        <v>0</v>
      </c>
      <c r="U70" s="233">
        <v>0</v>
      </c>
      <c r="V70" s="233">
        <v>0</v>
      </c>
    </row>
    <row r="71" spans="6:53" x14ac:dyDescent="0.2">
      <c r="F71" s="224">
        <v>35</v>
      </c>
      <c r="G71" s="223" t="b">
        <v>0</v>
      </c>
      <c r="H71" s="223" t="b">
        <v>0</v>
      </c>
      <c r="I71" s="223" t="b">
        <v>0</v>
      </c>
      <c r="K71" s="232">
        <v>35</v>
      </c>
      <c r="L71" s="232"/>
      <c r="M71" s="232"/>
      <c r="N71" s="232"/>
      <c r="S71" s="224" t="s">
        <v>71</v>
      </c>
    </row>
    <row r="72" spans="6:53" x14ac:dyDescent="0.2">
      <c r="F72" s="224">
        <v>36</v>
      </c>
      <c r="G72" s="223" t="b">
        <v>0</v>
      </c>
      <c r="H72" s="223" t="b">
        <v>0</v>
      </c>
      <c r="I72" s="223" t="b">
        <v>0</v>
      </c>
      <c r="K72" s="232">
        <v>36</v>
      </c>
      <c r="L72" s="232"/>
      <c r="M72" s="232"/>
      <c r="N72" s="232"/>
      <c r="R72" s="223" t="s">
        <v>82</v>
      </c>
      <c r="S72" s="224">
        <v>0</v>
      </c>
      <c r="T72" s="224" t="b">
        <v>0</v>
      </c>
      <c r="U72" s="224" t="b">
        <v>0</v>
      </c>
      <c r="V72" s="224" t="b">
        <v>0</v>
      </c>
      <c r="W72" s="225">
        <f>IF(U72,0.75,0.1)</f>
        <v>0.1</v>
      </c>
      <c r="X72" s="225"/>
      <c r="Y72" s="225"/>
    </row>
    <row r="73" spans="6:53" x14ac:dyDescent="0.2">
      <c r="F73" s="224">
        <v>37</v>
      </c>
      <c r="G73" s="223" t="b">
        <v>0</v>
      </c>
      <c r="H73" s="223" t="b">
        <v>0</v>
      </c>
      <c r="I73" s="223" t="b">
        <v>0</v>
      </c>
      <c r="K73" s="232">
        <v>37</v>
      </c>
      <c r="L73" s="232"/>
      <c r="M73" s="232"/>
      <c r="N73" s="232"/>
      <c r="T73" s="240"/>
      <c r="W73" s="225">
        <v>0</v>
      </c>
    </row>
    <row r="74" spans="6:53" x14ac:dyDescent="0.2">
      <c r="F74" s="224">
        <v>38</v>
      </c>
      <c r="G74" s="223" t="b">
        <v>0</v>
      </c>
      <c r="H74" s="223" t="b">
        <v>0</v>
      </c>
      <c r="I74" s="223" t="b">
        <v>0</v>
      </c>
      <c r="K74" s="232">
        <v>38</v>
      </c>
      <c r="L74" s="232"/>
      <c r="M74" s="232"/>
      <c r="N74" s="232"/>
      <c r="T74" s="240"/>
      <c r="W74" s="225">
        <f>IF(U74,0.75,0.1)</f>
        <v>0.1</v>
      </c>
    </row>
    <row r="75" spans="6:53" x14ac:dyDescent="0.2">
      <c r="F75" s="224">
        <v>39</v>
      </c>
      <c r="G75" s="223" t="b">
        <v>0</v>
      </c>
      <c r="H75" s="223" t="b">
        <v>0</v>
      </c>
      <c r="I75" s="223" t="b">
        <v>0</v>
      </c>
      <c r="K75" s="232">
        <v>39</v>
      </c>
      <c r="L75" s="232"/>
      <c r="M75" s="232"/>
      <c r="N75" s="232"/>
      <c r="T75" s="240"/>
    </row>
    <row r="76" spans="6:53" x14ac:dyDescent="0.2">
      <c r="F76" s="224">
        <v>40</v>
      </c>
      <c r="G76" s="223" t="b">
        <v>0</v>
      </c>
      <c r="H76" s="223" t="b">
        <v>0</v>
      </c>
      <c r="I76" s="223" t="b">
        <v>0</v>
      </c>
      <c r="K76" s="232">
        <v>40</v>
      </c>
      <c r="L76" s="232"/>
      <c r="M76" s="232"/>
      <c r="N76" s="232"/>
      <c r="S76" s="224" t="s">
        <v>146</v>
      </c>
      <c r="U76" s="224">
        <v>5.1100000000000003</v>
      </c>
      <c r="W76" s="241">
        <f>Diagrama!B214</f>
        <v>5.1100000000000003</v>
      </c>
      <c r="X76" s="241">
        <f>Diagrama!C214</f>
        <v>0.38</v>
      </c>
      <c r="Y76" s="241">
        <f>Diagrama!D214</f>
        <v>0.14000000000000001</v>
      </c>
      <c r="Z76" s="241">
        <f>Diagrama!E214</f>
        <v>1.24</v>
      </c>
      <c r="AA76" s="241">
        <f>Diagrama!F214</f>
        <v>0.21</v>
      </c>
      <c r="AB76" s="241">
        <f>Diagrama!G214</f>
        <v>12.29</v>
      </c>
      <c r="AC76" s="241">
        <f>Diagrama!H214</f>
        <v>0</v>
      </c>
      <c r="AD76" s="241">
        <f>Diagrama!I214</f>
        <v>0</v>
      </c>
      <c r="AE76" s="241">
        <f>Diagrama!J214</f>
        <v>0</v>
      </c>
      <c r="AF76" s="241">
        <f>Diagrama!K214</f>
        <v>0</v>
      </c>
      <c r="AG76" s="241">
        <f>Diagrama!L214</f>
        <v>0</v>
      </c>
      <c r="AH76" s="241">
        <f>Diagrama!M214</f>
        <v>0</v>
      </c>
      <c r="AI76" s="241">
        <f>Diagrama!N214</f>
        <v>0</v>
      </c>
      <c r="AJ76" s="241">
        <f>Diagrama!O214</f>
        <v>0</v>
      </c>
      <c r="AK76" s="241">
        <f>Diagrama!P214</f>
        <v>0</v>
      </c>
      <c r="AL76" s="241">
        <f>Diagrama!Q214</f>
        <v>0</v>
      </c>
      <c r="AM76" s="241">
        <f>Diagrama!R214</f>
        <v>0</v>
      </c>
      <c r="AN76" s="241">
        <f>Diagrama!S214</f>
        <v>0</v>
      </c>
      <c r="AO76" s="241">
        <f>Diagrama!T214</f>
        <v>0</v>
      </c>
      <c r="AP76" s="241">
        <f>Diagrama!U214</f>
        <v>0</v>
      </c>
      <c r="AQ76" s="241">
        <f>Diagrama!V214</f>
        <v>0</v>
      </c>
      <c r="AR76" s="241">
        <f>Diagrama!W214</f>
        <v>0</v>
      </c>
      <c r="AS76" s="241">
        <f>Diagrama!X214</f>
        <v>0</v>
      </c>
      <c r="AT76" s="241">
        <f>Diagrama!Y214</f>
        <v>0</v>
      </c>
      <c r="AU76" s="241">
        <f>Diagrama!Z214</f>
        <v>0</v>
      </c>
      <c r="AV76" s="241">
        <f>Diagrama!AA214</f>
        <v>0</v>
      </c>
      <c r="AW76" s="241">
        <f>Diagrama!AB214</f>
        <v>0</v>
      </c>
      <c r="AX76" s="241">
        <f>Diagrama!AC214</f>
        <v>0</v>
      </c>
      <c r="AY76" s="241">
        <f>Diagrama!AD214</f>
        <v>0</v>
      </c>
      <c r="AZ76" s="241">
        <f>Diagrama!AE214</f>
        <v>0</v>
      </c>
    </row>
    <row r="77" spans="6:53" x14ac:dyDescent="0.2">
      <c r="F77" s="224">
        <v>41</v>
      </c>
      <c r="G77" s="223" t="b">
        <v>0</v>
      </c>
      <c r="H77" s="223" t="b">
        <v>0</v>
      </c>
      <c r="I77" s="223" t="b">
        <v>0</v>
      </c>
      <c r="K77" s="232">
        <v>41</v>
      </c>
      <c r="L77" s="232"/>
      <c r="M77" s="232"/>
      <c r="N77" s="232"/>
      <c r="S77" s="224" t="s">
        <v>147</v>
      </c>
      <c r="U77" s="224">
        <v>4.8499999999999996</v>
      </c>
      <c r="W77" s="241">
        <f>Diagrama!B215</f>
        <v>4.8499999999999996</v>
      </c>
      <c r="X77" s="241">
        <f>Diagrama!C215</f>
        <v>15.06</v>
      </c>
      <c r="Y77" s="241">
        <f>Diagrama!D215</f>
        <v>26.09</v>
      </c>
      <c r="Z77" s="241">
        <f>Diagrama!E215</f>
        <v>21.17</v>
      </c>
      <c r="AA77" s="241">
        <f>Diagrama!F215</f>
        <v>8.1199999999999992</v>
      </c>
      <c r="AB77" s="241">
        <f>Diagrama!G215</f>
        <v>8.36</v>
      </c>
      <c r="AC77" s="241">
        <f>Diagrama!H215</f>
        <v>0</v>
      </c>
      <c r="AD77" s="241">
        <f>Diagrama!I215</f>
        <v>0</v>
      </c>
      <c r="AE77" s="241">
        <f>Diagrama!J215</f>
        <v>0</v>
      </c>
      <c r="AF77" s="241">
        <f>Diagrama!K215</f>
        <v>0</v>
      </c>
      <c r="AG77" s="241">
        <f>Diagrama!L215</f>
        <v>0</v>
      </c>
      <c r="AH77" s="241">
        <f>Diagrama!M215</f>
        <v>0</v>
      </c>
      <c r="AI77" s="241">
        <f>Diagrama!N215</f>
        <v>0</v>
      </c>
      <c r="AJ77" s="241">
        <f>Diagrama!O215</f>
        <v>0</v>
      </c>
      <c r="AK77" s="241">
        <f>Diagrama!P215</f>
        <v>0</v>
      </c>
      <c r="AL77" s="241">
        <f>Diagrama!Q215</f>
        <v>0</v>
      </c>
      <c r="AM77" s="241">
        <f>Diagrama!R215</f>
        <v>0</v>
      </c>
      <c r="AN77" s="241">
        <f>Diagrama!S215</f>
        <v>0</v>
      </c>
      <c r="AO77" s="241">
        <f>Diagrama!T215</f>
        <v>0</v>
      </c>
      <c r="AP77" s="241">
        <f>Diagrama!U215</f>
        <v>0</v>
      </c>
      <c r="AQ77" s="241">
        <f>Diagrama!V215</f>
        <v>0</v>
      </c>
      <c r="AR77" s="241">
        <f>Diagrama!W215</f>
        <v>0</v>
      </c>
      <c r="AS77" s="241">
        <f>Diagrama!X215</f>
        <v>0</v>
      </c>
      <c r="AT77" s="241">
        <f>Diagrama!Y215</f>
        <v>0</v>
      </c>
      <c r="AU77" s="241">
        <f>Diagrama!Z215</f>
        <v>0</v>
      </c>
      <c r="AV77" s="241">
        <f>Diagrama!AA215</f>
        <v>0</v>
      </c>
      <c r="AW77" s="241">
        <f>Diagrama!AB215</f>
        <v>0</v>
      </c>
      <c r="AX77" s="241">
        <f>Diagrama!AC215</f>
        <v>0</v>
      </c>
      <c r="AY77" s="241">
        <f>Diagrama!AD215</f>
        <v>0</v>
      </c>
      <c r="AZ77" s="241">
        <f>Diagrama!AE215</f>
        <v>0</v>
      </c>
    </row>
    <row r="78" spans="6:53" x14ac:dyDescent="0.2">
      <c r="F78" s="224">
        <v>42</v>
      </c>
      <c r="G78" s="223" t="b">
        <v>0</v>
      </c>
      <c r="H78" s="223" t="b">
        <v>0</v>
      </c>
      <c r="I78" s="223" t="b">
        <v>0</v>
      </c>
      <c r="K78" s="232">
        <v>42</v>
      </c>
      <c r="L78" s="232"/>
      <c r="M78" s="232"/>
      <c r="N78" s="232"/>
      <c r="S78" s="224" t="s">
        <v>148</v>
      </c>
      <c r="U78" s="224">
        <v>18.399999999999999</v>
      </c>
      <c r="W78" s="241">
        <f>Diagrama!B216</f>
        <v>18.399999999999999</v>
      </c>
      <c r="X78" s="241">
        <f>Diagrama!C216</f>
        <v>7.5</v>
      </c>
      <c r="Y78" s="241">
        <f>Diagrama!D216</f>
        <v>9.5</v>
      </c>
      <c r="Z78" s="241">
        <f>Diagrama!E216</f>
        <v>15.25</v>
      </c>
      <c r="AA78" s="241">
        <f>Diagrama!F216</f>
        <v>9.3000000000000007</v>
      </c>
      <c r="AB78" s="241">
        <f>Diagrama!G216</f>
        <v>58.58</v>
      </c>
      <c r="AC78" s="241">
        <f>Diagrama!H216</f>
        <v>0</v>
      </c>
      <c r="AD78" s="241">
        <f>Diagrama!I216</f>
        <v>0</v>
      </c>
      <c r="AE78" s="241">
        <f>Diagrama!J216</f>
        <v>0</v>
      </c>
      <c r="AF78" s="241">
        <f>Diagrama!K216</f>
        <v>0</v>
      </c>
      <c r="AG78" s="241">
        <f>Diagrama!L216</f>
        <v>0</v>
      </c>
      <c r="AH78" s="241">
        <f>Diagrama!M216</f>
        <v>0</v>
      </c>
      <c r="AI78" s="241">
        <f>Diagrama!N216</f>
        <v>0</v>
      </c>
      <c r="AJ78" s="241">
        <f>Diagrama!O216</f>
        <v>0</v>
      </c>
      <c r="AK78" s="241">
        <f>Diagrama!P216</f>
        <v>0</v>
      </c>
      <c r="AL78" s="241">
        <f>Diagrama!Q216</f>
        <v>0</v>
      </c>
      <c r="AM78" s="241">
        <f>Diagrama!R216</f>
        <v>0</v>
      </c>
      <c r="AN78" s="241">
        <f>Diagrama!S216</f>
        <v>0</v>
      </c>
      <c r="AO78" s="241">
        <f>Diagrama!T216</f>
        <v>0</v>
      </c>
      <c r="AP78" s="241">
        <f>Diagrama!U216</f>
        <v>0</v>
      </c>
      <c r="AQ78" s="241">
        <f>Diagrama!V216</f>
        <v>0</v>
      </c>
      <c r="AR78" s="241">
        <f>Diagrama!W216</f>
        <v>0</v>
      </c>
      <c r="AS78" s="241">
        <f>Diagrama!X216</f>
        <v>0</v>
      </c>
      <c r="AT78" s="241">
        <f>Diagrama!Y216</f>
        <v>0</v>
      </c>
      <c r="AU78" s="241">
        <f>Diagrama!Z216</f>
        <v>0</v>
      </c>
      <c r="AV78" s="241">
        <f>Diagrama!AA216</f>
        <v>0</v>
      </c>
      <c r="AW78" s="241">
        <f>Diagrama!AB216</f>
        <v>0</v>
      </c>
      <c r="AX78" s="241">
        <f>Diagrama!AC216</f>
        <v>0</v>
      </c>
      <c r="AY78" s="241">
        <f>Diagrama!AD216</f>
        <v>0</v>
      </c>
      <c r="AZ78" s="241">
        <f>Diagrama!AE216</f>
        <v>0</v>
      </c>
    </row>
    <row r="79" spans="6:53" x14ac:dyDescent="0.2">
      <c r="F79" s="224">
        <v>43</v>
      </c>
      <c r="G79" s="223" t="b">
        <v>0</v>
      </c>
      <c r="H79" s="223" t="b">
        <v>0</v>
      </c>
      <c r="I79" s="223" t="b">
        <v>0</v>
      </c>
      <c r="K79" s="232">
        <v>43</v>
      </c>
      <c r="L79" s="232"/>
      <c r="M79" s="232"/>
      <c r="N79" s="232"/>
      <c r="S79" s="224" t="s">
        <v>149</v>
      </c>
      <c r="U79" s="224">
        <v>7.29</v>
      </c>
      <c r="W79" s="241">
        <f>Diagrama!B217</f>
        <v>7.29</v>
      </c>
      <c r="X79" s="241">
        <f>Diagrama!C217</f>
        <v>17.170000000000002</v>
      </c>
      <c r="Y79" s="241">
        <f>Diagrama!D217</f>
        <v>25.52</v>
      </c>
      <c r="Z79" s="241">
        <f>Diagrama!E217</f>
        <v>28.12</v>
      </c>
      <c r="AA79" s="241">
        <f>Diagrama!F217</f>
        <v>11.04</v>
      </c>
      <c r="AB79" s="241">
        <f>Diagrama!G217</f>
        <v>18.489999999999998</v>
      </c>
      <c r="AC79" s="241">
        <f>Diagrama!H217</f>
        <v>0</v>
      </c>
      <c r="AD79" s="241">
        <f>Diagrama!I217</f>
        <v>0</v>
      </c>
      <c r="AE79" s="241">
        <f>Diagrama!J217</f>
        <v>0</v>
      </c>
      <c r="AF79" s="241">
        <f>Diagrama!K217</f>
        <v>0</v>
      </c>
      <c r="AG79" s="241">
        <f>Diagrama!L217</f>
        <v>0</v>
      </c>
      <c r="AH79" s="241">
        <f>Diagrama!M217</f>
        <v>0</v>
      </c>
      <c r="AI79" s="241">
        <f>Diagrama!N217</f>
        <v>0</v>
      </c>
      <c r="AJ79" s="241">
        <f>Diagrama!O217</f>
        <v>0</v>
      </c>
      <c r="AK79" s="241">
        <f>Diagrama!P217</f>
        <v>0</v>
      </c>
      <c r="AL79" s="241">
        <f>Diagrama!Q217</f>
        <v>0</v>
      </c>
      <c r="AM79" s="241">
        <f>Diagrama!R217</f>
        <v>0</v>
      </c>
      <c r="AN79" s="241">
        <f>Diagrama!S217</f>
        <v>0</v>
      </c>
      <c r="AO79" s="241">
        <f>Diagrama!T217</f>
        <v>0</v>
      </c>
      <c r="AP79" s="241">
        <f>Diagrama!U217</f>
        <v>0</v>
      </c>
      <c r="AQ79" s="241">
        <f>Diagrama!V217</f>
        <v>0</v>
      </c>
      <c r="AR79" s="241">
        <f>Diagrama!W217</f>
        <v>0</v>
      </c>
      <c r="AS79" s="241">
        <f>Diagrama!X217</f>
        <v>0</v>
      </c>
      <c r="AT79" s="241">
        <f>Diagrama!Y217</f>
        <v>0</v>
      </c>
      <c r="AU79" s="241">
        <f>Diagrama!Z217</f>
        <v>0</v>
      </c>
      <c r="AV79" s="241">
        <f>Diagrama!AA217</f>
        <v>0</v>
      </c>
      <c r="AW79" s="241">
        <f>Diagrama!AB217</f>
        <v>0</v>
      </c>
      <c r="AX79" s="241">
        <f>Diagrama!AC217</f>
        <v>0</v>
      </c>
      <c r="AY79" s="241">
        <f>Diagrama!AD217</f>
        <v>0</v>
      </c>
      <c r="AZ79" s="241">
        <f>Diagrama!AE217</f>
        <v>0</v>
      </c>
    </row>
    <row r="80" spans="6:53" x14ac:dyDescent="0.2">
      <c r="F80" s="224">
        <v>44</v>
      </c>
      <c r="G80" s="223" t="b">
        <v>0</v>
      </c>
      <c r="H80" s="223" t="b">
        <v>0</v>
      </c>
      <c r="I80" s="223" t="b">
        <v>0</v>
      </c>
      <c r="K80" s="232">
        <v>44</v>
      </c>
      <c r="L80" s="232"/>
      <c r="M80" s="232"/>
      <c r="N80" s="232"/>
    </row>
    <row r="81" spans="6:14" x14ac:dyDescent="0.2">
      <c r="F81" s="224">
        <v>45</v>
      </c>
      <c r="G81" s="223" t="b">
        <v>0</v>
      </c>
      <c r="H81" s="223" t="b">
        <v>0</v>
      </c>
      <c r="I81" s="223" t="b">
        <v>0</v>
      </c>
      <c r="K81" s="232">
        <v>45</v>
      </c>
      <c r="L81" s="232"/>
      <c r="M81" s="232"/>
      <c r="N81" s="232"/>
    </row>
    <row r="82" spans="6:14" x14ac:dyDescent="0.2">
      <c r="F82" s="224">
        <v>46</v>
      </c>
      <c r="G82" s="223" t="b">
        <v>0</v>
      </c>
      <c r="H82" s="223" t="b">
        <v>0</v>
      </c>
      <c r="I82" s="223" t="b">
        <v>0</v>
      </c>
      <c r="K82" s="232">
        <v>46</v>
      </c>
      <c r="L82" s="232"/>
      <c r="M82" s="232"/>
      <c r="N82" s="232"/>
    </row>
    <row r="83" spans="6:14" x14ac:dyDescent="0.2">
      <c r="F83" s="224">
        <v>47</v>
      </c>
      <c r="G83" s="223" t="b">
        <v>0</v>
      </c>
      <c r="H83" s="223" t="b">
        <v>0</v>
      </c>
      <c r="I83" s="223" t="b">
        <v>0</v>
      </c>
      <c r="K83" s="232">
        <v>47</v>
      </c>
      <c r="L83" s="232"/>
      <c r="M83" s="232"/>
      <c r="N83" s="232"/>
    </row>
    <row r="84" spans="6:14" x14ac:dyDescent="0.2">
      <c r="F84" s="224">
        <v>48</v>
      </c>
      <c r="G84" s="223" t="b">
        <v>0</v>
      </c>
      <c r="H84" s="223" t="b">
        <v>0</v>
      </c>
      <c r="I84" s="223" t="b">
        <v>0</v>
      </c>
      <c r="K84" s="232">
        <v>48</v>
      </c>
      <c r="L84" s="232"/>
      <c r="M84" s="232"/>
      <c r="N84" s="232"/>
    </row>
    <row r="85" spans="6:14" x14ac:dyDescent="0.2">
      <c r="F85" s="224">
        <v>49</v>
      </c>
      <c r="G85" s="223" t="b">
        <v>0</v>
      </c>
      <c r="H85" s="223" t="b">
        <v>0</v>
      </c>
      <c r="I85" s="223" t="b">
        <v>0</v>
      </c>
      <c r="K85" s="232">
        <v>49</v>
      </c>
      <c r="L85" s="232"/>
      <c r="M85" s="232"/>
      <c r="N85" s="232"/>
    </row>
    <row r="86" spans="6:14" x14ac:dyDescent="0.2">
      <c r="F86" s="224">
        <v>50</v>
      </c>
      <c r="G86" s="223" t="b">
        <v>0</v>
      </c>
      <c r="H86" s="223" t="b">
        <v>0</v>
      </c>
      <c r="I86" s="223" t="b">
        <v>0</v>
      </c>
      <c r="K86" s="232">
        <v>50</v>
      </c>
      <c r="L86" s="232"/>
      <c r="M86" s="232"/>
      <c r="N86" s="232"/>
    </row>
    <row r="87" spans="6:14" x14ac:dyDescent="0.2">
      <c r="F87" s="224">
        <v>51</v>
      </c>
      <c r="G87" s="223" t="b">
        <v>0</v>
      </c>
      <c r="H87" s="223" t="b">
        <v>0</v>
      </c>
      <c r="I87" s="223" t="b">
        <v>0</v>
      </c>
      <c r="K87" s="232">
        <v>51</v>
      </c>
      <c r="L87" s="232"/>
      <c r="M87" s="232"/>
      <c r="N87" s="232"/>
    </row>
    <row r="88" spans="6:14" x14ac:dyDescent="0.2">
      <c r="F88" s="224">
        <v>52</v>
      </c>
      <c r="G88" s="223" t="b">
        <v>0</v>
      </c>
      <c r="H88" s="223" t="b">
        <v>0</v>
      </c>
      <c r="I88" s="223" t="b">
        <v>0</v>
      </c>
      <c r="K88" s="232">
        <v>52</v>
      </c>
      <c r="L88" s="232"/>
      <c r="M88" s="232"/>
      <c r="N88" s="232"/>
    </row>
    <row r="89" spans="6:14" x14ac:dyDescent="0.2">
      <c r="F89" s="224">
        <v>53</v>
      </c>
      <c r="G89" s="223" t="b">
        <v>0</v>
      </c>
      <c r="H89" s="223" t="b">
        <v>0</v>
      </c>
      <c r="I89" s="223" t="b">
        <v>0</v>
      </c>
      <c r="K89" s="232">
        <v>53</v>
      </c>
      <c r="L89" s="232"/>
      <c r="M89" s="232"/>
      <c r="N89" s="232"/>
    </row>
    <row r="90" spans="6:14" x14ac:dyDescent="0.2">
      <c r="F90" s="224">
        <v>54</v>
      </c>
      <c r="G90" s="223" t="b">
        <v>0</v>
      </c>
      <c r="H90" s="223" t="b">
        <v>0</v>
      </c>
      <c r="I90" s="223" t="b">
        <v>0</v>
      </c>
      <c r="K90" s="232">
        <v>54</v>
      </c>
      <c r="L90" s="232"/>
      <c r="M90" s="232"/>
      <c r="N90" s="232"/>
    </row>
    <row r="91" spans="6:14" x14ac:dyDescent="0.2">
      <c r="F91" s="224">
        <v>55</v>
      </c>
      <c r="G91" s="223" t="b">
        <v>0</v>
      </c>
      <c r="H91" s="223" t="b">
        <v>0</v>
      </c>
      <c r="I91" s="223" t="b">
        <v>0</v>
      </c>
      <c r="K91" s="232">
        <v>55</v>
      </c>
      <c r="L91" s="232"/>
      <c r="M91" s="232"/>
      <c r="N91" s="232"/>
    </row>
    <row r="92" spans="6:14" x14ac:dyDescent="0.2">
      <c r="F92" s="224">
        <v>56</v>
      </c>
      <c r="G92" s="223" t="b">
        <v>0</v>
      </c>
      <c r="H92" s="223" t="b">
        <v>0</v>
      </c>
      <c r="I92" s="223" t="b">
        <v>0</v>
      </c>
      <c r="K92" s="232">
        <v>56</v>
      </c>
      <c r="L92" s="232"/>
      <c r="M92" s="232"/>
      <c r="N92" s="232"/>
    </row>
    <row r="93" spans="6:14" x14ac:dyDescent="0.2">
      <c r="F93" s="224">
        <v>57</v>
      </c>
      <c r="G93" s="223" t="b">
        <v>0</v>
      </c>
      <c r="H93" s="223" t="b">
        <v>0</v>
      </c>
      <c r="I93" s="223" t="b">
        <v>0</v>
      </c>
      <c r="K93" s="232">
        <v>57</v>
      </c>
      <c r="L93" s="232"/>
      <c r="M93" s="232"/>
      <c r="N93" s="232"/>
    </row>
    <row r="94" spans="6:14" x14ac:dyDescent="0.2">
      <c r="F94" s="224">
        <v>58</v>
      </c>
      <c r="G94" s="223" t="b">
        <v>0</v>
      </c>
      <c r="H94" s="223" t="b">
        <v>0</v>
      </c>
      <c r="I94" s="223" t="b">
        <v>0</v>
      </c>
      <c r="K94" s="232">
        <v>58</v>
      </c>
      <c r="L94" s="232"/>
      <c r="M94" s="232"/>
      <c r="N94" s="232"/>
    </row>
    <row r="95" spans="6:14" x14ac:dyDescent="0.2">
      <c r="F95" s="224">
        <v>59</v>
      </c>
      <c r="G95" s="223" t="b">
        <v>0</v>
      </c>
      <c r="H95" s="223" t="b">
        <v>0</v>
      </c>
      <c r="I95" s="223" t="b">
        <v>0</v>
      </c>
      <c r="K95" s="232">
        <v>59</v>
      </c>
      <c r="L95" s="232"/>
      <c r="M95" s="232"/>
      <c r="N95" s="232"/>
    </row>
    <row r="96" spans="6:14" x14ac:dyDescent="0.2">
      <c r="F96" s="224">
        <v>60</v>
      </c>
      <c r="G96" s="223" t="b">
        <v>0</v>
      </c>
      <c r="H96" s="223" t="b">
        <v>0</v>
      </c>
      <c r="I96" s="223" t="b">
        <v>0</v>
      </c>
      <c r="K96" s="232">
        <v>60</v>
      </c>
      <c r="L96" s="232"/>
      <c r="M96" s="232"/>
      <c r="N96" s="232"/>
    </row>
    <row r="97" spans="6:14" x14ac:dyDescent="0.2">
      <c r="F97" s="224">
        <v>61</v>
      </c>
      <c r="G97" s="223" t="b">
        <v>0</v>
      </c>
      <c r="H97" s="223" t="b">
        <v>0</v>
      </c>
      <c r="I97" s="223" t="b">
        <v>0</v>
      </c>
      <c r="K97" s="232">
        <v>61</v>
      </c>
      <c r="L97" s="232"/>
      <c r="M97" s="232"/>
      <c r="N97" s="232"/>
    </row>
    <row r="98" spans="6:14" x14ac:dyDescent="0.2">
      <c r="F98" s="224">
        <v>62</v>
      </c>
      <c r="G98" s="223" t="b">
        <v>0</v>
      </c>
      <c r="H98" s="223" t="b">
        <v>0</v>
      </c>
      <c r="I98" s="223" t="b">
        <v>0</v>
      </c>
      <c r="K98" s="232">
        <v>62</v>
      </c>
      <c r="L98" s="232"/>
      <c r="M98" s="232"/>
      <c r="N98" s="232"/>
    </row>
    <row r="99" spans="6:14" x14ac:dyDescent="0.2">
      <c r="F99" s="224">
        <v>63</v>
      </c>
      <c r="G99" s="223" t="b">
        <v>0</v>
      </c>
      <c r="H99" s="223" t="b">
        <v>0</v>
      </c>
      <c r="I99" s="223" t="b">
        <v>0</v>
      </c>
      <c r="K99" s="232">
        <v>63</v>
      </c>
      <c r="L99" s="232"/>
      <c r="M99" s="232"/>
      <c r="N99" s="232"/>
    </row>
    <row r="100" spans="6:14" x14ac:dyDescent="0.2">
      <c r="F100" s="224">
        <v>64</v>
      </c>
      <c r="G100" s="223" t="b">
        <v>0</v>
      </c>
      <c r="H100" s="223" t="b">
        <v>0</v>
      </c>
      <c r="I100" s="223" t="b">
        <v>0</v>
      </c>
      <c r="K100" s="232">
        <v>64</v>
      </c>
      <c r="L100" s="232"/>
      <c r="M100" s="232"/>
      <c r="N100" s="232"/>
    </row>
    <row r="101" spans="6:14" x14ac:dyDescent="0.2">
      <c r="F101" s="224">
        <v>65</v>
      </c>
      <c r="G101" s="223" t="b">
        <v>0</v>
      </c>
      <c r="H101" s="223" t="b">
        <v>0</v>
      </c>
      <c r="I101" s="223" t="b">
        <v>0</v>
      </c>
      <c r="K101" s="232">
        <v>65</v>
      </c>
      <c r="L101" s="232"/>
      <c r="M101" s="232"/>
      <c r="N101" s="232"/>
    </row>
    <row r="102" spans="6:14" x14ac:dyDescent="0.2">
      <c r="F102" s="224">
        <v>66</v>
      </c>
      <c r="G102" s="223" t="b">
        <v>0</v>
      </c>
      <c r="H102" s="223" t="b">
        <v>0</v>
      </c>
      <c r="I102" s="223" t="b">
        <v>0</v>
      </c>
      <c r="K102" s="232">
        <v>66</v>
      </c>
      <c r="L102" s="232"/>
      <c r="M102" s="232"/>
      <c r="N102" s="232"/>
    </row>
    <row r="103" spans="6:14" x14ac:dyDescent="0.2">
      <c r="F103" s="224">
        <v>67</v>
      </c>
      <c r="G103" s="223" t="b">
        <v>0</v>
      </c>
      <c r="H103" s="223" t="b">
        <v>0</v>
      </c>
      <c r="I103" s="223" t="b">
        <v>0</v>
      </c>
      <c r="K103" s="232">
        <v>67</v>
      </c>
      <c r="L103" s="232"/>
      <c r="M103" s="232"/>
      <c r="N103" s="232"/>
    </row>
    <row r="104" spans="6:14" x14ac:dyDescent="0.2">
      <c r="F104" s="224">
        <v>68</v>
      </c>
      <c r="G104" s="223" t="b">
        <v>0</v>
      </c>
      <c r="H104" s="223" t="b">
        <v>0</v>
      </c>
      <c r="I104" s="223" t="b">
        <v>0</v>
      </c>
      <c r="K104" s="232">
        <v>68</v>
      </c>
      <c r="L104" s="232"/>
      <c r="M104" s="232"/>
      <c r="N104" s="232"/>
    </row>
    <row r="105" spans="6:14" x14ac:dyDescent="0.2">
      <c r="F105" s="224">
        <v>69</v>
      </c>
      <c r="G105" s="223" t="b">
        <v>0</v>
      </c>
      <c r="H105" s="223" t="b">
        <v>0</v>
      </c>
      <c r="I105" s="223" t="b">
        <v>0</v>
      </c>
      <c r="K105" s="232">
        <v>69</v>
      </c>
      <c r="L105" s="232"/>
      <c r="M105" s="232"/>
      <c r="N105" s="232"/>
    </row>
    <row r="106" spans="6:14" x14ac:dyDescent="0.2">
      <c r="F106" s="224">
        <v>70</v>
      </c>
      <c r="G106" s="223" t="b">
        <v>0</v>
      </c>
      <c r="H106" s="223" t="b">
        <v>0</v>
      </c>
      <c r="I106" s="223" t="b">
        <v>0</v>
      </c>
      <c r="K106" s="232">
        <v>70</v>
      </c>
      <c r="L106" s="232"/>
      <c r="M106" s="232"/>
      <c r="N106" s="232"/>
    </row>
    <row r="107" spans="6:14" x14ac:dyDescent="0.2">
      <c r="F107" s="224">
        <v>71</v>
      </c>
      <c r="G107" s="223" t="b">
        <v>0</v>
      </c>
      <c r="H107" s="223" t="b">
        <v>0</v>
      </c>
      <c r="I107" s="223" t="b">
        <v>0</v>
      </c>
      <c r="K107" s="232">
        <v>71</v>
      </c>
      <c r="L107" s="232"/>
      <c r="M107" s="232"/>
      <c r="N107" s="232"/>
    </row>
    <row r="108" spans="6:14" x14ac:dyDescent="0.2">
      <c r="F108" s="224">
        <v>72</v>
      </c>
      <c r="G108" s="223" t="b">
        <v>0</v>
      </c>
      <c r="H108" s="223" t="b">
        <v>0</v>
      </c>
      <c r="I108" s="223" t="b">
        <v>0</v>
      </c>
      <c r="K108" s="232">
        <v>72</v>
      </c>
      <c r="L108" s="232"/>
      <c r="M108" s="232"/>
      <c r="N108" s="232"/>
    </row>
    <row r="109" spans="6:14" x14ac:dyDescent="0.2">
      <c r="F109" s="224">
        <v>73</v>
      </c>
      <c r="G109" s="223" t="b">
        <v>0</v>
      </c>
      <c r="H109" s="223" t="b">
        <v>0</v>
      </c>
      <c r="I109" s="223" t="b">
        <v>0</v>
      </c>
      <c r="K109" s="232">
        <v>73</v>
      </c>
      <c r="L109" s="232"/>
      <c r="M109" s="232"/>
      <c r="N109" s="232"/>
    </row>
    <row r="110" spans="6:14" x14ac:dyDescent="0.2">
      <c r="F110" s="224">
        <v>74</v>
      </c>
      <c r="G110" s="223" t="b">
        <v>0</v>
      </c>
      <c r="H110" s="223" t="b">
        <v>0</v>
      </c>
      <c r="I110" s="223" t="b">
        <v>0</v>
      </c>
      <c r="K110" s="232">
        <v>74</v>
      </c>
      <c r="L110" s="232"/>
      <c r="M110" s="232"/>
      <c r="N110" s="232"/>
    </row>
    <row r="111" spans="6:14" x14ac:dyDescent="0.2">
      <c r="F111" s="224">
        <v>75</v>
      </c>
      <c r="G111" s="223" t="b">
        <v>0</v>
      </c>
      <c r="H111" s="223" t="b">
        <v>0</v>
      </c>
      <c r="I111" s="223" t="b">
        <v>0</v>
      </c>
      <c r="K111" s="232">
        <v>75</v>
      </c>
      <c r="L111" s="232"/>
      <c r="M111" s="232"/>
      <c r="N111" s="232"/>
    </row>
    <row r="112" spans="6:14" x14ac:dyDescent="0.2">
      <c r="F112" s="224">
        <v>76</v>
      </c>
      <c r="G112" s="223" t="b">
        <v>0</v>
      </c>
      <c r="H112" s="223" t="b">
        <v>0</v>
      </c>
      <c r="I112" s="223" t="b">
        <v>0</v>
      </c>
      <c r="K112" s="232">
        <v>76</v>
      </c>
      <c r="L112" s="232"/>
      <c r="M112" s="232"/>
      <c r="N112" s="232"/>
    </row>
    <row r="113" spans="6:14" x14ac:dyDescent="0.2">
      <c r="F113" s="224">
        <v>77</v>
      </c>
      <c r="G113" s="223" t="b">
        <v>0</v>
      </c>
      <c r="H113" s="223" t="b">
        <v>0</v>
      </c>
      <c r="I113" s="223" t="b">
        <v>0</v>
      </c>
      <c r="K113" s="232">
        <v>77</v>
      </c>
      <c r="L113" s="232"/>
      <c r="M113" s="232"/>
      <c r="N113" s="232"/>
    </row>
    <row r="114" spans="6:14" x14ac:dyDescent="0.2">
      <c r="F114" s="224">
        <v>78</v>
      </c>
      <c r="G114" s="223" t="b">
        <v>0</v>
      </c>
      <c r="H114" s="223" t="b">
        <v>0</v>
      </c>
      <c r="I114" s="223" t="b">
        <v>0</v>
      </c>
      <c r="K114" s="232">
        <v>78</v>
      </c>
      <c r="L114" s="232"/>
      <c r="M114" s="232"/>
      <c r="N114" s="232"/>
    </row>
    <row r="115" spans="6:14" x14ac:dyDescent="0.2">
      <c r="F115" s="224">
        <v>79</v>
      </c>
      <c r="G115" s="223" t="b">
        <v>0</v>
      </c>
      <c r="H115" s="223" t="b">
        <v>0</v>
      </c>
      <c r="I115" s="223" t="b">
        <v>0</v>
      </c>
      <c r="K115" s="232">
        <v>79</v>
      </c>
      <c r="L115" s="232"/>
      <c r="M115" s="232"/>
      <c r="N115" s="232"/>
    </row>
    <row r="116" spans="6:14" x14ac:dyDescent="0.2">
      <c r="F116" s="224">
        <v>80</v>
      </c>
      <c r="G116" s="223" t="b">
        <v>0</v>
      </c>
      <c r="H116" s="223" t="b">
        <v>0</v>
      </c>
      <c r="I116" s="223" t="b">
        <v>0</v>
      </c>
      <c r="K116" s="232">
        <v>80</v>
      </c>
      <c r="L116" s="232"/>
      <c r="M116" s="232"/>
      <c r="N116" s="232"/>
    </row>
    <row r="117" spans="6:14" x14ac:dyDescent="0.2">
      <c r="F117" s="224">
        <v>81</v>
      </c>
      <c r="G117" s="223" t="b">
        <v>0</v>
      </c>
      <c r="H117" s="223" t="b">
        <v>0</v>
      </c>
      <c r="I117" s="223" t="b">
        <v>0</v>
      </c>
      <c r="K117" s="232">
        <v>81</v>
      </c>
      <c r="L117" s="232"/>
      <c r="M117" s="232"/>
      <c r="N117" s="232"/>
    </row>
    <row r="118" spans="6:14" x14ac:dyDescent="0.2">
      <c r="F118" s="224">
        <v>82</v>
      </c>
      <c r="G118" s="223" t="b">
        <v>0</v>
      </c>
      <c r="H118" s="223" t="b">
        <v>0</v>
      </c>
      <c r="I118" s="223" t="b">
        <v>0</v>
      </c>
      <c r="K118" s="232">
        <v>82</v>
      </c>
      <c r="L118" s="232"/>
      <c r="M118" s="232"/>
      <c r="N118" s="232"/>
    </row>
    <row r="119" spans="6:14" x14ac:dyDescent="0.2">
      <c r="F119" s="224">
        <v>83</v>
      </c>
      <c r="G119" s="223" t="b">
        <v>0</v>
      </c>
      <c r="H119" s="223" t="b">
        <v>0</v>
      </c>
      <c r="I119" s="223" t="b">
        <v>0</v>
      </c>
      <c r="K119" s="232">
        <v>83</v>
      </c>
      <c r="L119" s="232"/>
      <c r="M119" s="232"/>
      <c r="N119" s="232"/>
    </row>
    <row r="120" spans="6:14" x14ac:dyDescent="0.2">
      <c r="F120" s="224">
        <v>84</v>
      </c>
      <c r="G120" s="223" t="b">
        <v>0</v>
      </c>
      <c r="H120" s="223" t="b">
        <v>0</v>
      </c>
      <c r="I120" s="223" t="b">
        <v>0</v>
      </c>
      <c r="K120" s="232">
        <v>84</v>
      </c>
      <c r="L120" s="232"/>
      <c r="M120" s="232"/>
      <c r="N120" s="232"/>
    </row>
    <row r="121" spans="6:14" x14ac:dyDescent="0.2">
      <c r="F121" s="224">
        <v>85</v>
      </c>
      <c r="G121" s="223" t="b">
        <v>0</v>
      </c>
      <c r="H121" s="223" t="b">
        <v>0</v>
      </c>
      <c r="I121" s="223" t="b">
        <v>0</v>
      </c>
      <c r="K121" s="232">
        <v>85</v>
      </c>
      <c r="L121" s="232"/>
      <c r="M121" s="232"/>
      <c r="N121" s="232"/>
    </row>
    <row r="122" spans="6:14" x14ac:dyDescent="0.2">
      <c r="F122" s="224">
        <v>86</v>
      </c>
      <c r="G122" s="223" t="b">
        <v>0</v>
      </c>
      <c r="H122" s="223" t="b">
        <v>0</v>
      </c>
      <c r="I122" s="223" t="b">
        <v>0</v>
      </c>
      <c r="K122" s="232">
        <v>86</v>
      </c>
      <c r="L122" s="232"/>
      <c r="M122" s="232"/>
      <c r="N122" s="232"/>
    </row>
    <row r="123" spans="6:14" x14ac:dyDescent="0.2">
      <c r="F123" s="224">
        <v>87</v>
      </c>
      <c r="G123" s="223" t="b">
        <v>0</v>
      </c>
      <c r="H123" s="223" t="b">
        <v>0</v>
      </c>
      <c r="I123" s="223" t="b">
        <v>0</v>
      </c>
      <c r="K123" s="232">
        <v>87</v>
      </c>
      <c r="L123" s="232"/>
      <c r="M123" s="232"/>
      <c r="N123" s="232"/>
    </row>
    <row r="124" spans="6:14" x14ac:dyDescent="0.2">
      <c r="F124" s="224">
        <v>88</v>
      </c>
      <c r="G124" s="223" t="b">
        <v>0</v>
      </c>
      <c r="H124" s="223" t="b">
        <v>0</v>
      </c>
      <c r="I124" s="223" t="b">
        <v>0</v>
      </c>
      <c r="K124" s="232">
        <v>88</v>
      </c>
      <c r="L124" s="232"/>
      <c r="M124" s="232"/>
      <c r="N124" s="232"/>
    </row>
    <row r="125" spans="6:14" x14ac:dyDescent="0.2">
      <c r="F125" s="224">
        <v>89</v>
      </c>
      <c r="G125" s="223" t="b">
        <v>0</v>
      </c>
      <c r="H125" s="223" t="b">
        <v>0</v>
      </c>
      <c r="I125" s="223" t="b">
        <v>0</v>
      </c>
      <c r="K125" s="232">
        <v>89</v>
      </c>
      <c r="L125" s="232"/>
      <c r="M125" s="232"/>
      <c r="N125" s="232"/>
    </row>
    <row r="126" spans="6:14" x14ac:dyDescent="0.2">
      <c r="F126" s="224">
        <v>90</v>
      </c>
      <c r="G126" s="223" t="b">
        <v>0</v>
      </c>
      <c r="H126" s="223" t="b">
        <v>0</v>
      </c>
      <c r="I126" s="223" t="b">
        <v>0</v>
      </c>
      <c r="K126" s="232">
        <v>90</v>
      </c>
      <c r="L126" s="232"/>
      <c r="M126" s="232"/>
      <c r="N126" s="232"/>
    </row>
    <row r="127" spans="6:14" x14ac:dyDescent="0.2">
      <c r="F127" s="224">
        <v>91</v>
      </c>
      <c r="G127" s="223" t="b">
        <v>0</v>
      </c>
      <c r="H127" s="223" t="b">
        <v>0</v>
      </c>
      <c r="I127" s="223" t="b">
        <v>0</v>
      </c>
      <c r="K127" s="232">
        <v>91</v>
      </c>
      <c r="L127" s="232"/>
      <c r="M127" s="232"/>
      <c r="N127" s="232"/>
    </row>
    <row r="128" spans="6:14" x14ac:dyDescent="0.2">
      <c r="F128" s="224">
        <v>92</v>
      </c>
      <c r="G128" s="223" t="b">
        <v>0</v>
      </c>
      <c r="H128" s="223" t="b">
        <v>0</v>
      </c>
      <c r="I128" s="223" t="b">
        <v>0</v>
      </c>
      <c r="K128" s="232">
        <v>92</v>
      </c>
      <c r="L128" s="232"/>
      <c r="M128" s="232"/>
      <c r="N128" s="232"/>
    </row>
    <row r="129" spans="6:14" x14ac:dyDescent="0.2">
      <c r="F129" s="224">
        <v>93</v>
      </c>
      <c r="G129" s="223" t="b">
        <v>0</v>
      </c>
      <c r="H129" s="223" t="b">
        <v>0</v>
      </c>
      <c r="I129" s="223" t="b">
        <v>0</v>
      </c>
      <c r="K129" s="232">
        <v>93</v>
      </c>
      <c r="L129" s="232"/>
      <c r="M129" s="232"/>
      <c r="N129" s="232"/>
    </row>
    <row r="130" spans="6:14" x14ac:dyDescent="0.2">
      <c r="F130" s="224">
        <v>94</v>
      </c>
      <c r="G130" s="223" t="b">
        <v>0</v>
      </c>
      <c r="H130" s="223" t="b">
        <v>0</v>
      </c>
      <c r="I130" s="223" t="b">
        <v>0</v>
      </c>
      <c r="K130" s="232">
        <v>94</v>
      </c>
      <c r="L130" s="232"/>
      <c r="M130" s="232"/>
      <c r="N130" s="232"/>
    </row>
    <row r="131" spans="6:14" x14ac:dyDescent="0.2">
      <c r="F131" s="224">
        <v>95</v>
      </c>
      <c r="G131" s="223" t="b">
        <v>0</v>
      </c>
      <c r="H131" s="223" t="b">
        <v>0</v>
      </c>
      <c r="I131" s="223" t="b">
        <v>0</v>
      </c>
      <c r="K131" s="232">
        <v>95</v>
      </c>
      <c r="L131" s="232"/>
      <c r="M131" s="232"/>
      <c r="N131" s="232"/>
    </row>
    <row r="132" spans="6:14" x14ac:dyDescent="0.2">
      <c r="F132" s="224">
        <v>96</v>
      </c>
      <c r="G132" s="223" t="b">
        <v>0</v>
      </c>
      <c r="H132" s="223" t="b">
        <v>0</v>
      </c>
      <c r="I132" s="223" t="b">
        <v>0</v>
      </c>
      <c r="K132" s="232">
        <v>96</v>
      </c>
      <c r="L132" s="232"/>
      <c r="M132" s="232"/>
      <c r="N132" s="232"/>
    </row>
    <row r="133" spans="6:14" x14ac:dyDescent="0.2">
      <c r="F133" s="224">
        <v>97</v>
      </c>
      <c r="G133" s="223" t="b">
        <v>0</v>
      </c>
      <c r="H133" s="223" t="b">
        <v>0</v>
      </c>
      <c r="I133" s="223" t="b">
        <v>0</v>
      </c>
      <c r="K133" s="232">
        <v>97</v>
      </c>
      <c r="L133" s="232"/>
      <c r="M133" s="232"/>
      <c r="N133" s="232"/>
    </row>
    <row r="134" spans="6:14" x14ac:dyDescent="0.2">
      <c r="F134" s="224">
        <v>98</v>
      </c>
      <c r="G134" s="223" t="b">
        <v>0</v>
      </c>
      <c r="H134" s="223" t="b">
        <v>0</v>
      </c>
      <c r="I134" s="223" t="b">
        <v>0</v>
      </c>
      <c r="K134" s="232">
        <v>98</v>
      </c>
      <c r="L134" s="232"/>
      <c r="M134" s="232"/>
      <c r="N134" s="232"/>
    </row>
    <row r="135" spans="6:14" x14ac:dyDescent="0.2">
      <c r="F135" s="224">
        <v>99</v>
      </c>
      <c r="G135" s="223" t="b">
        <v>0</v>
      </c>
      <c r="H135" s="223" t="b">
        <v>0</v>
      </c>
      <c r="I135" s="223" t="b">
        <v>0</v>
      </c>
      <c r="K135" s="232">
        <v>99</v>
      </c>
      <c r="L135" s="232"/>
      <c r="M135" s="232"/>
      <c r="N135" s="232"/>
    </row>
    <row r="136" spans="6:14" x14ac:dyDescent="0.2">
      <c r="F136" s="224">
        <v>100</v>
      </c>
      <c r="G136" s="223" t="b">
        <v>0</v>
      </c>
      <c r="H136" s="223" t="b">
        <v>0</v>
      </c>
      <c r="I136" s="223" t="b">
        <v>0</v>
      </c>
      <c r="K136" s="232">
        <v>100</v>
      </c>
      <c r="L136" s="232"/>
      <c r="M136" s="232"/>
      <c r="N136" s="232"/>
    </row>
    <row r="137" spans="6:14" x14ac:dyDescent="0.2">
      <c r="F137" s="224">
        <v>101</v>
      </c>
      <c r="G137" s="223" t="b">
        <v>0</v>
      </c>
      <c r="H137" s="223" t="b">
        <v>0</v>
      </c>
      <c r="I137" s="223" t="b">
        <v>0</v>
      </c>
      <c r="K137" s="232">
        <v>101</v>
      </c>
    </row>
    <row r="138" spans="6:14" x14ac:dyDescent="0.2">
      <c r="F138" s="224">
        <v>102</v>
      </c>
      <c r="G138" s="223" t="b">
        <v>0</v>
      </c>
      <c r="H138" s="223" t="b">
        <v>0</v>
      </c>
      <c r="I138" s="223" t="b">
        <v>0</v>
      </c>
      <c r="K138" s="232">
        <v>102</v>
      </c>
    </row>
    <row r="139" spans="6:14" x14ac:dyDescent="0.2">
      <c r="F139" s="224">
        <v>103</v>
      </c>
      <c r="G139" s="223" t="b">
        <v>0</v>
      </c>
      <c r="H139" s="223" t="b">
        <v>0</v>
      </c>
      <c r="I139" s="223" t="b">
        <v>0</v>
      </c>
      <c r="K139" s="232">
        <v>103</v>
      </c>
    </row>
    <row r="140" spans="6:14" x14ac:dyDescent="0.2">
      <c r="F140" s="224">
        <v>104</v>
      </c>
      <c r="G140" s="223" t="b">
        <v>0</v>
      </c>
      <c r="H140" s="223" t="b">
        <v>0</v>
      </c>
      <c r="I140" s="223" t="b">
        <v>0</v>
      </c>
      <c r="K140" s="232">
        <v>104</v>
      </c>
    </row>
    <row r="141" spans="6:14" x14ac:dyDescent="0.2">
      <c r="F141" s="224">
        <v>105</v>
      </c>
      <c r="G141" s="223" t="b">
        <v>0</v>
      </c>
      <c r="H141" s="223" t="b">
        <v>0</v>
      </c>
      <c r="I141" s="223" t="b">
        <v>0</v>
      </c>
      <c r="K141" s="232">
        <v>105</v>
      </c>
    </row>
    <row r="142" spans="6:14" x14ac:dyDescent="0.2">
      <c r="F142" s="224">
        <v>106</v>
      </c>
      <c r="G142" s="223" t="b">
        <v>0</v>
      </c>
      <c r="H142" s="223" t="b">
        <v>0</v>
      </c>
      <c r="I142" s="223" t="b">
        <v>0</v>
      </c>
      <c r="K142" s="232">
        <v>106</v>
      </c>
    </row>
    <row r="143" spans="6:14" x14ac:dyDescent="0.2">
      <c r="F143" s="224">
        <v>107</v>
      </c>
      <c r="G143" s="223" t="b">
        <v>0</v>
      </c>
      <c r="H143" s="223" t="b">
        <v>0</v>
      </c>
      <c r="I143" s="223" t="b">
        <v>0</v>
      </c>
      <c r="K143" s="232">
        <v>107</v>
      </c>
    </row>
    <row r="144" spans="6:14" x14ac:dyDescent="0.2">
      <c r="F144" s="224">
        <v>108</v>
      </c>
      <c r="G144" s="223" t="b">
        <v>0</v>
      </c>
      <c r="H144" s="223" t="b">
        <v>0</v>
      </c>
      <c r="I144" s="223" t="b">
        <v>0</v>
      </c>
      <c r="K144" s="232">
        <v>108</v>
      </c>
    </row>
    <row r="145" spans="6:11" x14ac:dyDescent="0.2">
      <c r="F145" s="224">
        <v>109</v>
      </c>
      <c r="G145" s="223" t="b">
        <v>0</v>
      </c>
      <c r="H145" s="223" t="b">
        <v>0</v>
      </c>
      <c r="I145" s="223" t="b">
        <v>0</v>
      </c>
      <c r="K145" s="232">
        <v>109</v>
      </c>
    </row>
    <row r="146" spans="6:11" x14ac:dyDescent="0.2">
      <c r="F146" s="224">
        <v>110</v>
      </c>
      <c r="G146" s="223" t="b">
        <v>0</v>
      </c>
      <c r="H146" s="223" t="b">
        <v>0</v>
      </c>
      <c r="I146" s="223" t="b">
        <v>0</v>
      </c>
      <c r="K146" s="232">
        <v>110</v>
      </c>
    </row>
    <row r="147" spans="6:11" x14ac:dyDescent="0.2">
      <c r="F147" s="224">
        <v>111</v>
      </c>
      <c r="G147" s="223" t="b">
        <v>0</v>
      </c>
      <c r="H147" s="223" t="b">
        <v>0</v>
      </c>
      <c r="I147" s="223" t="b">
        <v>0</v>
      </c>
      <c r="K147" s="232">
        <v>111</v>
      </c>
    </row>
    <row r="148" spans="6:11" x14ac:dyDescent="0.2">
      <c r="F148" s="224">
        <v>112</v>
      </c>
      <c r="G148" s="223" t="b">
        <v>0</v>
      </c>
      <c r="H148" s="223" t="b">
        <v>0</v>
      </c>
      <c r="I148" s="223" t="b">
        <v>0</v>
      </c>
      <c r="K148" s="232">
        <v>112</v>
      </c>
    </row>
    <row r="149" spans="6:11" x14ac:dyDescent="0.2">
      <c r="F149" s="224">
        <v>113</v>
      </c>
      <c r="G149" s="223" t="b">
        <v>0</v>
      </c>
      <c r="H149" s="223" t="b">
        <v>0</v>
      </c>
      <c r="I149" s="223" t="b">
        <v>0</v>
      </c>
      <c r="K149" s="232">
        <v>113</v>
      </c>
    </row>
    <row r="150" spans="6:11" x14ac:dyDescent="0.2">
      <c r="F150" s="224">
        <v>114</v>
      </c>
      <c r="G150" s="223" t="b">
        <v>0</v>
      </c>
      <c r="H150" s="223" t="b">
        <v>0</v>
      </c>
      <c r="I150" s="223" t="b">
        <v>0</v>
      </c>
      <c r="K150" s="232">
        <v>114</v>
      </c>
    </row>
    <row r="151" spans="6:11" x14ac:dyDescent="0.2">
      <c r="F151" s="224">
        <v>115</v>
      </c>
      <c r="G151" s="223" t="b">
        <v>0</v>
      </c>
      <c r="H151" s="223" t="b">
        <v>0</v>
      </c>
      <c r="I151" s="223" t="b">
        <v>0</v>
      </c>
      <c r="K151" s="232">
        <v>115</v>
      </c>
    </row>
    <row r="152" spans="6:11" x14ac:dyDescent="0.2">
      <c r="F152" s="224">
        <v>116</v>
      </c>
      <c r="G152" s="223" t="b">
        <v>0</v>
      </c>
      <c r="H152" s="223" t="b">
        <v>0</v>
      </c>
      <c r="I152" s="223" t="b">
        <v>0</v>
      </c>
      <c r="K152" s="232">
        <v>116</v>
      </c>
    </row>
    <row r="153" spans="6:11" x14ac:dyDescent="0.2">
      <c r="F153" s="224">
        <v>117</v>
      </c>
      <c r="G153" s="223" t="b">
        <v>0</v>
      </c>
      <c r="H153" s="223" t="b">
        <v>0</v>
      </c>
      <c r="I153" s="223" t="b">
        <v>0</v>
      </c>
      <c r="K153" s="232">
        <v>117</v>
      </c>
    </row>
    <row r="154" spans="6:11" x14ac:dyDescent="0.2">
      <c r="F154" s="224">
        <v>118</v>
      </c>
      <c r="G154" s="223" t="b">
        <v>0</v>
      </c>
      <c r="H154" s="223" t="b">
        <v>0</v>
      </c>
      <c r="I154" s="223" t="b">
        <v>0</v>
      </c>
      <c r="K154" s="232">
        <v>118</v>
      </c>
    </row>
    <row r="155" spans="6:11" x14ac:dyDescent="0.2">
      <c r="F155" s="224">
        <v>119</v>
      </c>
      <c r="G155" s="223" t="b">
        <v>0</v>
      </c>
      <c r="H155" s="223" t="b">
        <v>0</v>
      </c>
      <c r="I155" s="223" t="b">
        <v>0</v>
      </c>
      <c r="K155" s="232">
        <v>119</v>
      </c>
    </row>
    <row r="156" spans="6:11" x14ac:dyDescent="0.2">
      <c r="F156" s="224">
        <v>120</v>
      </c>
      <c r="G156" s="223" t="b">
        <v>0</v>
      </c>
      <c r="H156" s="223" t="b">
        <v>0</v>
      </c>
      <c r="I156" s="223" t="b">
        <v>0</v>
      </c>
      <c r="K156" s="232">
        <v>120</v>
      </c>
    </row>
    <row r="157" spans="6:11" x14ac:dyDescent="0.2">
      <c r="F157" s="224">
        <v>121</v>
      </c>
      <c r="G157" s="223" t="b">
        <v>0</v>
      </c>
      <c r="H157" s="223" t="b">
        <v>0</v>
      </c>
      <c r="I157" s="223" t="b">
        <v>0</v>
      </c>
      <c r="K157" s="232">
        <v>121</v>
      </c>
    </row>
    <row r="158" spans="6:11" x14ac:dyDescent="0.2">
      <c r="F158" s="224">
        <v>122</v>
      </c>
      <c r="G158" s="223" t="b">
        <v>0</v>
      </c>
      <c r="H158" s="223" t="b">
        <v>0</v>
      </c>
      <c r="I158" s="223" t="b">
        <v>0</v>
      </c>
      <c r="K158" s="232">
        <v>122</v>
      </c>
    </row>
    <row r="159" spans="6:11" x14ac:dyDescent="0.2">
      <c r="F159" s="224">
        <v>123</v>
      </c>
      <c r="G159" s="223" t="b">
        <v>0</v>
      </c>
      <c r="H159" s="223" t="b">
        <v>0</v>
      </c>
      <c r="I159" s="223" t="b">
        <v>0</v>
      </c>
      <c r="K159" s="232">
        <v>123</v>
      </c>
    </row>
    <row r="160" spans="6:11" x14ac:dyDescent="0.2">
      <c r="F160" s="224">
        <v>124</v>
      </c>
      <c r="G160" s="223" t="b">
        <v>0</v>
      </c>
      <c r="H160" s="223" t="b">
        <v>0</v>
      </c>
      <c r="I160" s="223" t="b">
        <v>0</v>
      </c>
      <c r="K160" s="232">
        <v>124</v>
      </c>
    </row>
    <row r="161" spans="6:11" x14ac:dyDescent="0.2">
      <c r="F161" s="224">
        <v>125</v>
      </c>
      <c r="G161" s="223" t="b">
        <v>0</v>
      </c>
      <c r="H161" s="223" t="b">
        <v>0</v>
      </c>
      <c r="I161" s="223" t="b">
        <v>0</v>
      </c>
      <c r="K161" s="232">
        <v>125</v>
      </c>
    </row>
    <row r="162" spans="6:11" x14ac:dyDescent="0.2">
      <c r="F162" s="224">
        <v>126</v>
      </c>
      <c r="G162" s="223" t="b">
        <v>0</v>
      </c>
      <c r="H162" s="223" t="b">
        <v>0</v>
      </c>
      <c r="I162" s="223" t="b">
        <v>0</v>
      </c>
      <c r="K162" s="232">
        <v>126</v>
      </c>
    </row>
    <row r="163" spans="6:11" x14ac:dyDescent="0.2">
      <c r="F163" s="224">
        <v>127</v>
      </c>
      <c r="G163" s="223" t="b">
        <v>0</v>
      </c>
      <c r="H163" s="223" t="b">
        <v>0</v>
      </c>
      <c r="I163" s="223" t="b">
        <v>0</v>
      </c>
      <c r="K163" s="232">
        <v>127</v>
      </c>
    </row>
    <row r="164" spans="6:11" x14ac:dyDescent="0.2">
      <c r="F164" s="224">
        <v>128</v>
      </c>
      <c r="G164" s="223" t="b">
        <v>0</v>
      </c>
      <c r="H164" s="223" t="b">
        <v>0</v>
      </c>
      <c r="I164" s="223" t="b">
        <v>0</v>
      </c>
      <c r="K164" s="232">
        <v>128</v>
      </c>
    </row>
    <row r="165" spans="6:11" x14ac:dyDescent="0.2">
      <c r="F165" s="224">
        <v>129</v>
      </c>
      <c r="G165" s="223" t="b">
        <v>0</v>
      </c>
      <c r="H165" s="223" t="b">
        <v>0</v>
      </c>
      <c r="I165" s="223" t="b">
        <v>0</v>
      </c>
      <c r="K165" s="232">
        <v>129</v>
      </c>
    </row>
    <row r="166" spans="6:11" x14ac:dyDescent="0.2">
      <c r="F166" s="224">
        <v>130</v>
      </c>
      <c r="G166" s="223" t="b">
        <v>0</v>
      </c>
      <c r="H166" s="223" t="b">
        <v>0</v>
      </c>
      <c r="I166" s="223" t="b">
        <v>0</v>
      </c>
      <c r="K166" s="232">
        <v>130</v>
      </c>
    </row>
    <row r="167" spans="6:11" x14ac:dyDescent="0.2">
      <c r="F167" s="224">
        <v>131</v>
      </c>
      <c r="G167" s="223" t="b">
        <v>0</v>
      </c>
      <c r="H167" s="223" t="b">
        <v>0</v>
      </c>
      <c r="I167" s="223" t="b">
        <v>0</v>
      </c>
      <c r="K167" s="232">
        <v>131</v>
      </c>
    </row>
    <row r="168" spans="6:11" x14ac:dyDescent="0.2">
      <c r="F168" s="224">
        <v>132</v>
      </c>
      <c r="G168" s="223" t="b">
        <v>0</v>
      </c>
      <c r="H168" s="223" t="b">
        <v>0</v>
      </c>
      <c r="I168" s="223" t="b">
        <v>0</v>
      </c>
      <c r="K168" s="232">
        <v>132</v>
      </c>
    </row>
    <row r="169" spans="6:11" x14ac:dyDescent="0.2">
      <c r="F169" s="224">
        <v>133</v>
      </c>
      <c r="G169" s="223" t="b">
        <v>0</v>
      </c>
      <c r="H169" s="223" t="b">
        <v>0</v>
      </c>
      <c r="I169" s="223" t="b">
        <v>0</v>
      </c>
      <c r="K169" s="232">
        <v>133</v>
      </c>
    </row>
    <row r="170" spans="6:11" x14ac:dyDescent="0.2">
      <c r="F170" s="224">
        <v>134</v>
      </c>
      <c r="G170" s="223" t="b">
        <v>0</v>
      </c>
      <c r="H170" s="223" t="b">
        <v>0</v>
      </c>
      <c r="I170" s="223" t="b">
        <v>0</v>
      </c>
      <c r="K170" s="232">
        <v>134</v>
      </c>
    </row>
    <row r="171" spans="6:11" x14ac:dyDescent="0.2">
      <c r="F171" s="224">
        <v>135</v>
      </c>
      <c r="G171" s="223" t="b">
        <v>0</v>
      </c>
      <c r="H171" s="223" t="b">
        <v>0</v>
      </c>
      <c r="I171" s="223" t="b">
        <v>0</v>
      </c>
      <c r="K171" s="232">
        <v>135</v>
      </c>
    </row>
    <row r="172" spans="6:11" x14ac:dyDescent="0.2">
      <c r="F172" s="224">
        <v>136</v>
      </c>
      <c r="G172" s="223" t="b">
        <v>0</v>
      </c>
      <c r="H172" s="223" t="b">
        <v>0</v>
      </c>
      <c r="I172" s="223" t="b">
        <v>0</v>
      </c>
      <c r="K172" s="232">
        <v>136</v>
      </c>
    </row>
    <row r="173" spans="6:11" x14ac:dyDescent="0.2">
      <c r="F173" s="224">
        <v>137</v>
      </c>
      <c r="G173" s="223" t="b">
        <v>0</v>
      </c>
      <c r="H173" s="223" t="b">
        <v>0</v>
      </c>
      <c r="I173" s="223" t="b">
        <v>0</v>
      </c>
      <c r="K173" s="232">
        <v>137</v>
      </c>
    </row>
    <row r="174" spans="6:11" x14ac:dyDescent="0.2">
      <c r="F174" s="224">
        <v>138</v>
      </c>
      <c r="G174" s="223" t="b">
        <v>0</v>
      </c>
      <c r="H174" s="223" t="b">
        <v>0</v>
      </c>
      <c r="I174" s="223" t="b">
        <v>0</v>
      </c>
      <c r="K174" s="232">
        <v>138</v>
      </c>
    </row>
    <row r="175" spans="6:11" x14ac:dyDescent="0.2">
      <c r="F175" s="224">
        <v>139</v>
      </c>
      <c r="G175" s="223" t="b">
        <v>0</v>
      </c>
      <c r="H175" s="223" t="b">
        <v>0</v>
      </c>
      <c r="I175" s="223" t="b">
        <v>0</v>
      </c>
      <c r="K175" s="232">
        <v>139</v>
      </c>
    </row>
    <row r="176" spans="6:11" x14ac:dyDescent="0.2">
      <c r="F176" s="224">
        <v>140</v>
      </c>
      <c r="G176" s="223" t="b">
        <v>0</v>
      </c>
      <c r="H176" s="223" t="b">
        <v>0</v>
      </c>
      <c r="I176" s="223" t="b">
        <v>0</v>
      </c>
      <c r="K176" s="232">
        <v>140</v>
      </c>
    </row>
    <row r="177" spans="6:11" x14ac:dyDescent="0.2">
      <c r="F177" s="224">
        <v>141</v>
      </c>
      <c r="G177" s="223" t="b">
        <v>0</v>
      </c>
      <c r="H177" s="223" t="b">
        <v>0</v>
      </c>
      <c r="I177" s="223" t="b">
        <v>0</v>
      </c>
      <c r="K177" s="232">
        <v>141</v>
      </c>
    </row>
    <row r="178" spans="6:11" x14ac:dyDescent="0.2">
      <c r="F178" s="224">
        <v>142</v>
      </c>
      <c r="G178" s="223" t="b">
        <v>0</v>
      </c>
      <c r="H178" s="223" t="b">
        <v>0</v>
      </c>
      <c r="I178" s="223" t="b">
        <v>0</v>
      </c>
      <c r="K178" s="232">
        <v>142</v>
      </c>
    </row>
    <row r="179" spans="6:11" x14ac:dyDescent="0.2">
      <c r="F179" s="224">
        <v>143</v>
      </c>
      <c r="G179" s="223" t="b">
        <v>0</v>
      </c>
      <c r="H179" s="223" t="b">
        <v>0</v>
      </c>
      <c r="I179" s="223" t="b">
        <v>0</v>
      </c>
      <c r="K179" s="232">
        <v>143</v>
      </c>
    </row>
    <row r="180" spans="6:11" x14ac:dyDescent="0.2">
      <c r="F180" s="224">
        <v>144</v>
      </c>
      <c r="G180" s="223" t="b">
        <v>0</v>
      </c>
      <c r="H180" s="223" t="b">
        <v>0</v>
      </c>
      <c r="I180" s="223" t="b">
        <v>0</v>
      </c>
      <c r="K180" s="232">
        <v>144</v>
      </c>
    </row>
    <row r="181" spans="6:11" x14ac:dyDescent="0.2">
      <c r="F181" s="224">
        <v>145</v>
      </c>
      <c r="G181" s="223" t="b">
        <v>0</v>
      </c>
      <c r="H181" s="223" t="b">
        <v>0</v>
      </c>
      <c r="I181" s="223" t="b">
        <v>0</v>
      </c>
      <c r="K181" s="232">
        <v>145</v>
      </c>
    </row>
    <row r="182" spans="6:11" x14ac:dyDescent="0.2">
      <c r="F182" s="224">
        <v>146</v>
      </c>
      <c r="G182" s="223" t="b">
        <v>0</v>
      </c>
      <c r="H182" s="223" t="b">
        <v>0</v>
      </c>
      <c r="I182" s="223" t="b">
        <v>0</v>
      </c>
      <c r="K182" s="232">
        <v>146</v>
      </c>
    </row>
    <row r="183" spans="6:11" x14ac:dyDescent="0.2">
      <c r="F183" s="224">
        <v>147</v>
      </c>
      <c r="G183" s="223" t="b">
        <v>0</v>
      </c>
      <c r="H183" s="223" t="b">
        <v>0</v>
      </c>
      <c r="I183" s="223" t="b">
        <v>0</v>
      </c>
      <c r="K183" s="232">
        <v>147</v>
      </c>
    </row>
    <row r="184" spans="6:11" x14ac:dyDescent="0.2">
      <c r="F184" s="224">
        <v>148</v>
      </c>
      <c r="G184" s="223" t="b">
        <v>0</v>
      </c>
      <c r="H184" s="223" t="b">
        <v>0</v>
      </c>
      <c r="I184" s="223" t="b">
        <v>0</v>
      </c>
      <c r="K184" s="232">
        <v>148</v>
      </c>
    </row>
    <row r="185" spans="6:11" x14ac:dyDescent="0.2">
      <c r="F185" s="224">
        <v>149</v>
      </c>
      <c r="G185" s="223" t="b">
        <v>0</v>
      </c>
      <c r="H185" s="223" t="b">
        <v>0</v>
      </c>
      <c r="I185" s="223" t="b">
        <v>0</v>
      </c>
      <c r="K185" s="232">
        <v>149</v>
      </c>
    </row>
    <row r="186" spans="6:11" x14ac:dyDescent="0.2">
      <c r="F186" s="224">
        <v>150</v>
      </c>
      <c r="G186" s="223" t="b">
        <v>0</v>
      </c>
      <c r="H186" s="223" t="b">
        <v>0</v>
      </c>
      <c r="I186" s="223" t="b">
        <v>0</v>
      </c>
      <c r="K186" s="232">
        <v>150</v>
      </c>
    </row>
    <row r="187" spans="6:11" x14ac:dyDescent="0.2">
      <c r="F187" s="224">
        <v>151</v>
      </c>
      <c r="G187" s="223" t="b">
        <v>0</v>
      </c>
      <c r="H187" s="223" t="b">
        <v>0</v>
      </c>
      <c r="I187" s="223" t="b">
        <v>0</v>
      </c>
      <c r="K187" s="232">
        <v>151</v>
      </c>
    </row>
    <row r="188" spans="6:11" x14ac:dyDescent="0.2">
      <c r="F188" s="224">
        <v>152</v>
      </c>
      <c r="G188" s="223" t="b">
        <v>0</v>
      </c>
      <c r="H188" s="223" t="b">
        <v>0</v>
      </c>
      <c r="I188" s="223" t="b">
        <v>0</v>
      </c>
      <c r="K188" s="232">
        <v>152</v>
      </c>
    </row>
    <row r="189" spans="6:11" x14ac:dyDescent="0.2">
      <c r="F189" s="224">
        <v>153</v>
      </c>
      <c r="G189" s="223" t="b">
        <v>0</v>
      </c>
      <c r="H189" s="223" t="b">
        <v>0</v>
      </c>
      <c r="I189" s="223" t="b">
        <v>0</v>
      </c>
      <c r="K189" s="232">
        <v>153</v>
      </c>
    </row>
    <row r="190" spans="6:11" x14ac:dyDescent="0.2">
      <c r="F190" s="224">
        <v>154</v>
      </c>
      <c r="G190" s="223" t="b">
        <v>0</v>
      </c>
      <c r="H190" s="223" t="b">
        <v>0</v>
      </c>
      <c r="I190" s="223" t="b">
        <v>0</v>
      </c>
      <c r="K190" s="232">
        <v>154</v>
      </c>
    </row>
    <row r="191" spans="6:11" x14ac:dyDescent="0.2">
      <c r="F191" s="224">
        <v>155</v>
      </c>
      <c r="G191" s="223" t="b">
        <v>0</v>
      </c>
      <c r="H191" s="223" t="b">
        <v>0</v>
      </c>
      <c r="I191" s="223" t="b">
        <v>0</v>
      </c>
      <c r="K191" s="232">
        <v>155</v>
      </c>
    </row>
    <row r="192" spans="6:11" x14ac:dyDescent="0.2">
      <c r="F192" s="224">
        <v>156</v>
      </c>
      <c r="G192" s="223" t="b">
        <v>0</v>
      </c>
      <c r="H192" s="223" t="b">
        <v>0</v>
      </c>
      <c r="I192" s="223" t="b">
        <v>0</v>
      </c>
      <c r="K192" s="232">
        <v>156</v>
      </c>
    </row>
    <row r="193" spans="6:11" x14ac:dyDescent="0.2">
      <c r="F193" s="224">
        <v>157</v>
      </c>
      <c r="G193" s="223" t="b">
        <v>0</v>
      </c>
      <c r="H193" s="223" t="b">
        <v>0</v>
      </c>
      <c r="I193" s="223" t="b">
        <v>0</v>
      </c>
      <c r="K193" s="232">
        <v>157</v>
      </c>
    </row>
    <row r="194" spans="6:11" x14ac:dyDescent="0.2">
      <c r="F194" s="224">
        <v>158</v>
      </c>
      <c r="G194" s="223" t="b">
        <v>0</v>
      </c>
      <c r="H194" s="223" t="b">
        <v>0</v>
      </c>
      <c r="I194" s="223" t="b">
        <v>0</v>
      </c>
      <c r="K194" s="232">
        <v>158</v>
      </c>
    </row>
    <row r="195" spans="6:11" x14ac:dyDescent="0.2">
      <c r="F195" s="224">
        <v>159</v>
      </c>
      <c r="G195" s="223" t="b">
        <v>0</v>
      </c>
      <c r="H195" s="223" t="b">
        <v>0</v>
      </c>
      <c r="I195" s="223" t="b">
        <v>0</v>
      </c>
      <c r="K195" s="232">
        <v>159</v>
      </c>
    </row>
    <row r="196" spans="6:11" x14ac:dyDescent="0.2">
      <c r="F196" s="224">
        <v>160</v>
      </c>
      <c r="G196" s="223" t="b">
        <v>0</v>
      </c>
      <c r="H196" s="223" t="b">
        <v>0</v>
      </c>
      <c r="I196" s="223" t="b">
        <v>0</v>
      </c>
      <c r="K196" s="232">
        <v>160</v>
      </c>
    </row>
    <row r="197" spans="6:11" x14ac:dyDescent="0.2">
      <c r="F197" s="224">
        <v>161</v>
      </c>
      <c r="G197" s="223" t="b">
        <v>0</v>
      </c>
      <c r="H197" s="223" t="b">
        <v>0</v>
      </c>
      <c r="I197" s="223" t="b">
        <v>0</v>
      </c>
      <c r="K197" s="232">
        <v>161</v>
      </c>
    </row>
    <row r="198" spans="6:11" x14ac:dyDescent="0.2">
      <c r="F198" s="224">
        <v>162</v>
      </c>
      <c r="G198" s="223" t="b">
        <v>0</v>
      </c>
      <c r="H198" s="223" t="b">
        <v>0</v>
      </c>
      <c r="I198" s="223" t="b">
        <v>0</v>
      </c>
      <c r="K198" s="232">
        <v>162</v>
      </c>
    </row>
    <row r="199" spans="6:11" x14ac:dyDescent="0.2">
      <c r="F199" s="224">
        <v>163</v>
      </c>
      <c r="G199" s="223" t="b">
        <v>0</v>
      </c>
      <c r="H199" s="223" t="b">
        <v>0</v>
      </c>
      <c r="I199" s="223" t="b">
        <v>0</v>
      </c>
      <c r="K199" s="232">
        <v>163</v>
      </c>
    </row>
    <row r="200" spans="6:11" x14ac:dyDescent="0.2">
      <c r="F200" s="224">
        <v>164</v>
      </c>
      <c r="G200" s="223" t="b">
        <v>0</v>
      </c>
      <c r="H200" s="223" t="b">
        <v>0</v>
      </c>
      <c r="I200" s="223" t="b">
        <v>0</v>
      </c>
      <c r="K200" s="232">
        <v>164</v>
      </c>
    </row>
    <row r="201" spans="6:11" x14ac:dyDescent="0.2">
      <c r="F201" s="224">
        <v>165</v>
      </c>
      <c r="G201" s="223" t="b">
        <v>0</v>
      </c>
      <c r="H201" s="223" t="b">
        <v>0</v>
      </c>
      <c r="I201" s="223" t="b">
        <v>0</v>
      </c>
      <c r="K201" s="232">
        <v>165</v>
      </c>
    </row>
    <row r="202" spans="6:11" x14ac:dyDescent="0.2">
      <c r="F202" s="224">
        <v>166</v>
      </c>
      <c r="G202" s="223" t="b">
        <v>0</v>
      </c>
      <c r="H202" s="223" t="b">
        <v>0</v>
      </c>
      <c r="I202" s="223" t="b">
        <v>0</v>
      </c>
      <c r="K202" s="232">
        <v>166</v>
      </c>
    </row>
    <row r="203" spans="6:11" x14ac:dyDescent="0.2">
      <c r="F203" s="224">
        <v>167</v>
      </c>
      <c r="G203" s="223" t="b">
        <v>0</v>
      </c>
      <c r="H203" s="223" t="b">
        <v>0</v>
      </c>
      <c r="I203" s="223" t="b">
        <v>0</v>
      </c>
      <c r="K203" s="232">
        <v>167</v>
      </c>
    </row>
    <row r="204" spans="6:11" x14ac:dyDescent="0.2">
      <c r="F204" s="224">
        <v>168</v>
      </c>
      <c r="G204" s="223" t="b">
        <v>0</v>
      </c>
      <c r="H204" s="223" t="b">
        <v>0</v>
      </c>
      <c r="I204" s="223" t="b">
        <v>0</v>
      </c>
      <c r="K204" s="232">
        <v>168</v>
      </c>
    </row>
    <row r="205" spans="6:11" x14ac:dyDescent="0.2">
      <c r="F205" s="224">
        <v>169</v>
      </c>
      <c r="G205" s="223" t="b">
        <v>0</v>
      </c>
      <c r="H205" s="223" t="b">
        <v>0</v>
      </c>
      <c r="I205" s="223" t="b">
        <v>0</v>
      </c>
      <c r="K205" s="232">
        <v>169</v>
      </c>
    </row>
    <row r="206" spans="6:11" x14ac:dyDescent="0.2">
      <c r="F206" s="224">
        <v>170</v>
      </c>
      <c r="G206" s="223" t="b">
        <v>0</v>
      </c>
      <c r="H206" s="223" t="b">
        <v>0</v>
      </c>
      <c r="I206" s="223" t="b">
        <v>0</v>
      </c>
      <c r="K206" s="232">
        <v>170</v>
      </c>
    </row>
    <row r="207" spans="6:11" x14ac:dyDescent="0.2">
      <c r="F207" s="224">
        <v>171</v>
      </c>
      <c r="G207" s="223" t="b">
        <v>0</v>
      </c>
      <c r="H207" s="223" t="b">
        <v>0</v>
      </c>
      <c r="I207" s="223" t="b">
        <v>0</v>
      </c>
      <c r="K207" s="232">
        <v>171</v>
      </c>
    </row>
    <row r="208" spans="6:11" x14ac:dyDescent="0.2">
      <c r="F208" s="224">
        <v>172</v>
      </c>
      <c r="G208" s="223" t="b">
        <v>0</v>
      </c>
      <c r="H208" s="223" t="b">
        <v>0</v>
      </c>
      <c r="I208" s="223" t="b">
        <v>0</v>
      </c>
      <c r="K208" s="232">
        <v>172</v>
      </c>
    </row>
    <row r="209" spans="6:11" x14ac:dyDescent="0.2">
      <c r="F209" s="224">
        <v>173</v>
      </c>
      <c r="G209" s="223" t="b">
        <v>0</v>
      </c>
      <c r="H209" s="223" t="b">
        <v>0</v>
      </c>
      <c r="I209" s="223" t="b">
        <v>0</v>
      </c>
      <c r="K209" s="232">
        <v>173</v>
      </c>
    </row>
    <row r="210" spans="6:11" x14ac:dyDescent="0.2">
      <c r="F210" s="224">
        <v>174</v>
      </c>
      <c r="G210" s="223" t="b">
        <v>0</v>
      </c>
      <c r="H210" s="223" t="b">
        <v>0</v>
      </c>
      <c r="I210" s="223" t="b">
        <v>0</v>
      </c>
      <c r="K210" s="232">
        <v>174</v>
      </c>
    </row>
    <row r="211" spans="6:11" x14ac:dyDescent="0.2">
      <c r="F211" s="224">
        <v>175</v>
      </c>
      <c r="G211" s="223" t="b">
        <v>0</v>
      </c>
      <c r="H211" s="223" t="b">
        <v>0</v>
      </c>
      <c r="I211" s="223" t="b">
        <v>0</v>
      </c>
      <c r="K211" s="232">
        <v>175</v>
      </c>
    </row>
    <row r="212" spans="6:11" x14ac:dyDescent="0.2">
      <c r="F212" s="224">
        <v>176</v>
      </c>
      <c r="G212" s="223" t="b">
        <v>0</v>
      </c>
      <c r="H212" s="223" t="b">
        <v>0</v>
      </c>
      <c r="I212" s="223" t="b">
        <v>0</v>
      </c>
      <c r="K212" s="232">
        <v>176</v>
      </c>
    </row>
    <row r="213" spans="6:11" x14ac:dyDescent="0.2">
      <c r="F213" s="224">
        <v>177</v>
      </c>
      <c r="G213" s="223" t="b">
        <v>0</v>
      </c>
      <c r="H213" s="223" t="b">
        <v>0</v>
      </c>
      <c r="I213" s="223" t="b">
        <v>0</v>
      </c>
      <c r="K213" s="232">
        <v>177</v>
      </c>
    </row>
    <row r="214" spans="6:11" x14ac:dyDescent="0.2">
      <c r="F214" s="224">
        <v>178</v>
      </c>
      <c r="G214" s="223" t="b">
        <v>0</v>
      </c>
      <c r="H214" s="223" t="b">
        <v>0</v>
      </c>
      <c r="I214" s="223" t="b">
        <v>0</v>
      </c>
      <c r="K214" s="232">
        <v>178</v>
      </c>
    </row>
    <row r="215" spans="6:11" x14ac:dyDescent="0.2">
      <c r="F215" s="224">
        <v>179</v>
      </c>
      <c r="G215" s="223" t="b">
        <v>0</v>
      </c>
      <c r="H215" s="223" t="b">
        <v>0</v>
      </c>
      <c r="I215" s="223" t="b">
        <v>0</v>
      </c>
      <c r="K215" s="232">
        <v>179</v>
      </c>
    </row>
    <row r="216" spans="6:11" x14ac:dyDescent="0.2">
      <c r="F216" s="224">
        <v>180</v>
      </c>
      <c r="G216" s="223" t="b">
        <v>0</v>
      </c>
      <c r="H216" s="223" t="b">
        <v>0</v>
      </c>
      <c r="I216" s="223" t="b">
        <v>0</v>
      </c>
      <c r="K216" s="232">
        <v>180</v>
      </c>
    </row>
    <row r="217" spans="6:11" x14ac:dyDescent="0.2">
      <c r="F217" s="224">
        <v>181</v>
      </c>
      <c r="G217" s="223" t="b">
        <v>0</v>
      </c>
      <c r="H217" s="223" t="b">
        <v>0</v>
      </c>
      <c r="I217" s="223" t="b">
        <v>0</v>
      </c>
      <c r="K217" s="232">
        <v>181</v>
      </c>
    </row>
    <row r="218" spans="6:11" x14ac:dyDescent="0.2">
      <c r="F218" s="224">
        <v>182</v>
      </c>
      <c r="G218" s="223" t="b">
        <v>0</v>
      </c>
      <c r="H218" s="223" t="b">
        <v>0</v>
      </c>
      <c r="I218" s="223" t="b">
        <v>0</v>
      </c>
      <c r="K218" s="232">
        <v>182</v>
      </c>
    </row>
    <row r="219" spans="6:11" x14ac:dyDescent="0.2">
      <c r="F219" s="224">
        <v>183</v>
      </c>
      <c r="G219" s="223" t="b">
        <v>0</v>
      </c>
      <c r="H219" s="223" t="b">
        <v>0</v>
      </c>
      <c r="I219" s="223" t="b">
        <v>0</v>
      </c>
      <c r="K219" s="232">
        <v>183</v>
      </c>
    </row>
    <row r="220" spans="6:11" x14ac:dyDescent="0.2">
      <c r="F220" s="224">
        <v>184</v>
      </c>
      <c r="G220" s="223" t="b">
        <v>0</v>
      </c>
      <c r="H220" s="223" t="b">
        <v>0</v>
      </c>
      <c r="I220" s="223" t="b">
        <v>0</v>
      </c>
      <c r="K220" s="232">
        <v>184</v>
      </c>
    </row>
    <row r="221" spans="6:11" x14ac:dyDescent="0.2">
      <c r="F221" s="224">
        <v>185</v>
      </c>
      <c r="G221" s="223" t="b">
        <v>0</v>
      </c>
      <c r="H221" s="223" t="b">
        <v>0</v>
      </c>
      <c r="I221" s="223" t="b">
        <v>0</v>
      </c>
      <c r="K221" s="232">
        <v>185</v>
      </c>
    </row>
    <row r="222" spans="6:11" x14ac:dyDescent="0.2">
      <c r="F222" s="224">
        <v>186</v>
      </c>
      <c r="G222" s="223" t="b">
        <v>0</v>
      </c>
      <c r="H222" s="223" t="b">
        <v>0</v>
      </c>
      <c r="I222" s="223" t="b">
        <v>0</v>
      </c>
      <c r="K222" s="232">
        <v>186</v>
      </c>
    </row>
    <row r="223" spans="6:11" x14ac:dyDescent="0.2">
      <c r="F223" s="224">
        <v>187</v>
      </c>
      <c r="G223" s="223" t="b">
        <v>0</v>
      </c>
      <c r="H223" s="223" t="b">
        <v>0</v>
      </c>
      <c r="I223" s="223" t="b">
        <v>0</v>
      </c>
      <c r="K223" s="232">
        <v>187</v>
      </c>
    </row>
    <row r="224" spans="6:11" x14ac:dyDescent="0.2">
      <c r="F224" s="224">
        <v>188</v>
      </c>
      <c r="G224" s="223" t="b">
        <v>0</v>
      </c>
      <c r="H224" s="223" t="b">
        <v>0</v>
      </c>
      <c r="I224" s="223" t="b">
        <v>0</v>
      </c>
      <c r="K224" s="232">
        <v>188</v>
      </c>
    </row>
    <row r="225" spans="5:15" x14ac:dyDescent="0.2">
      <c r="F225" s="224">
        <v>189</v>
      </c>
      <c r="G225" s="223" t="b">
        <v>0</v>
      </c>
      <c r="H225" s="223" t="b">
        <v>0</v>
      </c>
      <c r="I225" s="223" t="b">
        <v>0</v>
      </c>
      <c r="K225" s="232">
        <v>189</v>
      </c>
    </row>
    <row r="226" spans="5:15" x14ac:dyDescent="0.2">
      <c r="F226" s="224">
        <v>190</v>
      </c>
      <c r="G226" s="223" t="b">
        <v>0</v>
      </c>
      <c r="H226" s="223" t="b">
        <v>0</v>
      </c>
      <c r="I226" s="223" t="b">
        <v>0</v>
      </c>
      <c r="K226" s="232">
        <v>190</v>
      </c>
    </row>
    <row r="227" spans="5:15" x14ac:dyDescent="0.2">
      <c r="F227" s="224">
        <v>191</v>
      </c>
      <c r="G227" s="223" t="b">
        <v>0</v>
      </c>
      <c r="H227" s="223" t="b">
        <v>0</v>
      </c>
      <c r="I227" s="223" t="b">
        <v>0</v>
      </c>
      <c r="K227" s="232">
        <v>191</v>
      </c>
    </row>
    <row r="228" spans="5:15" x14ac:dyDescent="0.2">
      <c r="F228" s="224">
        <v>192</v>
      </c>
      <c r="G228" s="223" t="b">
        <v>0</v>
      </c>
      <c r="H228" s="223" t="b">
        <v>0</v>
      </c>
      <c r="I228" s="223" t="b">
        <v>0</v>
      </c>
      <c r="K228" s="232">
        <v>192</v>
      </c>
    </row>
    <row r="229" spans="5:15" x14ac:dyDescent="0.2">
      <c r="F229" s="224">
        <v>193</v>
      </c>
      <c r="G229" s="223" t="b">
        <v>0</v>
      </c>
      <c r="H229" s="223" t="b">
        <v>0</v>
      </c>
      <c r="I229" s="223" t="b">
        <v>0</v>
      </c>
      <c r="K229" s="232">
        <v>193</v>
      </c>
    </row>
    <row r="230" spans="5:15" x14ac:dyDescent="0.2">
      <c r="F230" s="224">
        <v>194</v>
      </c>
      <c r="G230" s="223" t="b">
        <v>0</v>
      </c>
      <c r="H230" s="223" t="b">
        <v>0</v>
      </c>
      <c r="I230" s="223" t="b">
        <v>0</v>
      </c>
      <c r="K230" s="232">
        <v>194</v>
      </c>
    </row>
    <row r="231" spans="5:15" x14ac:dyDescent="0.2">
      <c r="F231" s="224">
        <v>195</v>
      </c>
      <c r="G231" s="223" t="b">
        <v>0</v>
      </c>
      <c r="H231" s="223" t="b">
        <v>0</v>
      </c>
      <c r="I231" s="223" t="b">
        <v>0</v>
      </c>
      <c r="K231" s="232">
        <v>195</v>
      </c>
    </row>
    <row r="232" spans="5:15" x14ac:dyDescent="0.2">
      <c r="F232" s="224">
        <v>196</v>
      </c>
      <c r="G232" s="223" t="b">
        <v>0</v>
      </c>
      <c r="H232" s="223" t="b">
        <v>0</v>
      </c>
      <c r="I232" s="223" t="b">
        <v>0</v>
      </c>
      <c r="K232" s="232">
        <v>196</v>
      </c>
    </row>
    <row r="233" spans="5:15" x14ac:dyDescent="0.2">
      <c r="F233" s="224">
        <v>197</v>
      </c>
      <c r="G233" s="223" t="b">
        <v>0</v>
      </c>
      <c r="H233" s="223" t="b">
        <v>0</v>
      </c>
      <c r="I233" s="223" t="b">
        <v>0</v>
      </c>
      <c r="K233" s="232">
        <v>197</v>
      </c>
    </row>
    <row r="234" spans="5:15" x14ac:dyDescent="0.2">
      <c r="F234" s="224">
        <v>198</v>
      </c>
      <c r="G234" s="223" t="b">
        <v>0</v>
      </c>
      <c r="H234" s="223" t="b">
        <v>0</v>
      </c>
      <c r="I234" s="223" t="b">
        <v>0</v>
      </c>
      <c r="K234" s="232">
        <v>198</v>
      </c>
    </row>
    <row r="235" spans="5:15" x14ac:dyDescent="0.2">
      <c r="F235" s="224">
        <v>199</v>
      </c>
      <c r="G235" s="223" t="b">
        <v>0</v>
      </c>
      <c r="H235" s="223" t="b">
        <v>0</v>
      </c>
      <c r="I235" s="223" t="b">
        <v>0</v>
      </c>
      <c r="K235" s="232">
        <v>199</v>
      </c>
    </row>
    <row r="236" spans="5:15" x14ac:dyDescent="0.2">
      <c r="F236" s="224">
        <v>200</v>
      </c>
      <c r="G236" s="223" t="b">
        <v>0</v>
      </c>
      <c r="H236" s="223" t="b">
        <v>0</v>
      </c>
      <c r="I236" s="223" t="b">
        <v>0</v>
      </c>
      <c r="K236" s="232">
        <v>200</v>
      </c>
    </row>
    <row r="239" spans="5:15" x14ac:dyDescent="0.2">
      <c r="E239" s="223" t="s">
        <v>112</v>
      </c>
      <c r="F239" s="224">
        <v>1</v>
      </c>
      <c r="G239" s="224" t="b">
        <v>0</v>
      </c>
      <c r="H239" s="224" t="b">
        <v>0</v>
      </c>
      <c r="I239" s="224" t="b">
        <v>0</v>
      </c>
      <c r="K239" s="224">
        <v>1</v>
      </c>
      <c r="L239" s="224">
        <v>1</v>
      </c>
      <c r="M239" s="224">
        <v>1</v>
      </c>
      <c r="N239" s="224">
        <v>1</v>
      </c>
      <c r="O239" s="223" t="s">
        <v>113</v>
      </c>
    </row>
    <row r="240" spans="5:15" x14ac:dyDescent="0.2">
      <c r="F240" s="224">
        <v>2</v>
      </c>
      <c r="G240" s="224" t="b">
        <v>0</v>
      </c>
      <c r="H240" s="224" t="b">
        <v>0</v>
      </c>
      <c r="I240" s="224" t="b">
        <v>0</v>
      </c>
      <c r="K240" s="224">
        <v>2</v>
      </c>
      <c r="L240" s="224">
        <v>1</v>
      </c>
      <c r="M240" s="224">
        <v>1</v>
      </c>
      <c r="N240" s="224">
        <v>1</v>
      </c>
    </row>
    <row r="241" spans="6:14" x14ac:dyDescent="0.2">
      <c r="F241" s="224">
        <v>3</v>
      </c>
      <c r="G241" s="224" t="b">
        <v>0</v>
      </c>
      <c r="H241" s="224" t="b">
        <v>0</v>
      </c>
      <c r="I241" s="224" t="b">
        <v>0</v>
      </c>
      <c r="K241" s="224">
        <v>3</v>
      </c>
      <c r="L241" s="224">
        <v>1</v>
      </c>
      <c r="M241" s="224">
        <v>1</v>
      </c>
      <c r="N241" s="224">
        <v>1</v>
      </c>
    </row>
    <row r="242" spans="6:14" x14ac:dyDescent="0.2">
      <c r="F242" s="224">
        <v>4</v>
      </c>
      <c r="G242" s="224" t="b">
        <v>0</v>
      </c>
      <c r="H242" s="224" t="b">
        <v>0</v>
      </c>
      <c r="I242" s="224" t="b">
        <v>0</v>
      </c>
      <c r="K242" s="224">
        <v>4</v>
      </c>
      <c r="L242" s="224">
        <v>1</v>
      </c>
      <c r="M242" s="224">
        <v>1</v>
      </c>
      <c r="N242" s="224">
        <v>1</v>
      </c>
    </row>
    <row r="243" spans="6:14" x14ac:dyDescent="0.2">
      <c r="F243" s="224">
        <v>5</v>
      </c>
      <c r="G243" s="224" t="b">
        <v>0</v>
      </c>
      <c r="H243" s="224" t="b">
        <v>0</v>
      </c>
      <c r="I243" s="224" t="b">
        <v>0</v>
      </c>
      <c r="K243" s="224">
        <v>5</v>
      </c>
      <c r="L243" s="224">
        <v>1</v>
      </c>
      <c r="M243" s="224">
        <v>1</v>
      </c>
      <c r="N243" s="224">
        <v>1</v>
      </c>
    </row>
    <row r="244" spans="6:14" x14ac:dyDescent="0.2">
      <c r="F244" s="224">
        <v>6</v>
      </c>
      <c r="G244" s="224" t="b">
        <v>0</v>
      </c>
      <c r="H244" s="224" t="b">
        <v>0</v>
      </c>
      <c r="I244" s="224" t="b">
        <v>0</v>
      </c>
      <c r="K244" s="224">
        <v>6</v>
      </c>
      <c r="L244" s="224">
        <v>1</v>
      </c>
      <c r="M244" s="224">
        <v>1</v>
      </c>
      <c r="N244" s="224">
        <v>1</v>
      </c>
    </row>
    <row r="245" spans="6:14" x14ac:dyDescent="0.2">
      <c r="F245" s="224">
        <v>7</v>
      </c>
      <c r="G245" s="224" t="b">
        <v>0</v>
      </c>
      <c r="H245" s="224" t="b">
        <v>0</v>
      </c>
      <c r="I245" s="224" t="b">
        <v>0</v>
      </c>
      <c r="K245" s="224">
        <v>7</v>
      </c>
      <c r="L245" s="224">
        <v>1</v>
      </c>
      <c r="M245" s="224">
        <v>1</v>
      </c>
      <c r="N245" s="224">
        <v>1</v>
      </c>
    </row>
    <row r="246" spans="6:14" x14ac:dyDescent="0.2">
      <c r="F246" s="224">
        <v>8</v>
      </c>
      <c r="G246" s="224" t="b">
        <v>0</v>
      </c>
      <c r="H246" s="224" t="b">
        <v>0</v>
      </c>
      <c r="I246" s="224" t="b">
        <v>0</v>
      </c>
      <c r="K246" s="224">
        <v>8</v>
      </c>
      <c r="L246" s="224">
        <v>1</v>
      </c>
      <c r="M246" s="224">
        <v>1</v>
      </c>
      <c r="N246" s="224">
        <v>1</v>
      </c>
    </row>
    <row r="247" spans="6:14" x14ac:dyDescent="0.2">
      <c r="F247" s="224">
        <v>9</v>
      </c>
      <c r="G247" s="224" t="b">
        <v>0</v>
      </c>
      <c r="H247" s="224" t="b">
        <v>0</v>
      </c>
      <c r="I247" s="224" t="b">
        <v>0</v>
      </c>
      <c r="K247" s="224">
        <v>9</v>
      </c>
      <c r="L247" s="224">
        <v>1</v>
      </c>
      <c r="M247" s="224">
        <v>1</v>
      </c>
      <c r="N247" s="224">
        <v>1</v>
      </c>
    </row>
    <row r="248" spans="6:14" x14ac:dyDescent="0.2">
      <c r="F248" s="224">
        <v>10</v>
      </c>
      <c r="G248" s="224" t="b">
        <v>0</v>
      </c>
      <c r="H248" s="224" t="b">
        <v>0</v>
      </c>
      <c r="I248" s="224" t="b">
        <v>0</v>
      </c>
      <c r="K248" s="224">
        <v>10</v>
      </c>
      <c r="L248" s="224">
        <v>1</v>
      </c>
      <c r="M248" s="224">
        <v>1</v>
      </c>
      <c r="N248" s="224">
        <v>1</v>
      </c>
    </row>
    <row r="249" spans="6:14" x14ac:dyDescent="0.2">
      <c r="F249" s="224">
        <v>11</v>
      </c>
      <c r="G249" s="224" t="b">
        <v>0</v>
      </c>
      <c r="H249" s="224" t="b">
        <v>0</v>
      </c>
      <c r="I249" s="224" t="b">
        <v>0</v>
      </c>
      <c r="K249" s="224">
        <v>11</v>
      </c>
      <c r="L249" s="224">
        <v>1</v>
      </c>
      <c r="M249" s="224">
        <v>1</v>
      </c>
      <c r="N249" s="224">
        <v>1</v>
      </c>
    </row>
    <row r="250" spans="6:14" x14ac:dyDescent="0.2">
      <c r="F250" s="224">
        <v>12</v>
      </c>
      <c r="G250" s="224" t="b">
        <v>0</v>
      </c>
      <c r="H250" s="224" t="b">
        <v>0</v>
      </c>
      <c r="I250" s="224" t="b">
        <v>0</v>
      </c>
      <c r="K250" s="224">
        <v>12</v>
      </c>
      <c r="L250" s="224">
        <v>1</v>
      </c>
      <c r="M250" s="224">
        <v>1</v>
      </c>
      <c r="N250" s="224">
        <v>1</v>
      </c>
    </row>
    <row r="251" spans="6:14" x14ac:dyDescent="0.2">
      <c r="F251" s="224">
        <v>13</v>
      </c>
      <c r="G251" s="224" t="b">
        <v>0</v>
      </c>
      <c r="H251" s="224" t="b">
        <v>0</v>
      </c>
      <c r="I251" s="224" t="b">
        <v>0</v>
      </c>
      <c r="K251" s="224">
        <v>13</v>
      </c>
      <c r="L251" s="224">
        <v>1</v>
      </c>
      <c r="M251" s="224">
        <v>1</v>
      </c>
      <c r="N251" s="224">
        <v>1</v>
      </c>
    </row>
    <row r="252" spans="6:14" x14ac:dyDescent="0.2">
      <c r="F252" s="224">
        <v>14</v>
      </c>
      <c r="G252" s="224" t="b">
        <v>0</v>
      </c>
      <c r="H252" s="224" t="b">
        <v>0</v>
      </c>
      <c r="I252" s="224" t="b">
        <v>0</v>
      </c>
      <c r="K252" s="224">
        <v>14</v>
      </c>
      <c r="L252" s="224">
        <v>1</v>
      </c>
      <c r="M252" s="224">
        <v>1</v>
      </c>
      <c r="N252" s="224">
        <v>1</v>
      </c>
    </row>
    <row r="253" spans="6:14" x14ac:dyDescent="0.2">
      <c r="F253" s="224">
        <v>15</v>
      </c>
      <c r="G253" s="224" t="b">
        <v>0</v>
      </c>
      <c r="H253" s="224" t="b">
        <v>0</v>
      </c>
      <c r="I253" s="224" t="b">
        <v>0</v>
      </c>
      <c r="K253" s="224">
        <v>15</v>
      </c>
      <c r="L253" s="224">
        <v>1</v>
      </c>
      <c r="M253" s="224">
        <v>1</v>
      </c>
      <c r="N253" s="224">
        <v>1</v>
      </c>
    </row>
    <row r="254" spans="6:14" x14ac:dyDescent="0.2">
      <c r="F254" s="224">
        <v>16</v>
      </c>
      <c r="G254" s="224" t="b">
        <v>0</v>
      </c>
      <c r="H254" s="224" t="b">
        <v>0</v>
      </c>
      <c r="I254" s="224" t="b">
        <v>0</v>
      </c>
      <c r="K254" s="224">
        <v>16</v>
      </c>
      <c r="L254" s="224">
        <v>1</v>
      </c>
      <c r="M254" s="224">
        <v>1</v>
      </c>
      <c r="N254" s="224">
        <v>1</v>
      </c>
    </row>
    <row r="255" spans="6:14" x14ac:dyDescent="0.2">
      <c r="F255" s="224">
        <v>17</v>
      </c>
      <c r="G255" s="224" t="b">
        <v>0</v>
      </c>
      <c r="H255" s="224" t="b">
        <v>0</v>
      </c>
      <c r="I255" s="224" t="b">
        <v>0</v>
      </c>
      <c r="K255" s="224">
        <v>17</v>
      </c>
      <c r="L255" s="224">
        <v>1</v>
      </c>
      <c r="M255" s="224">
        <v>1</v>
      </c>
      <c r="N255" s="224">
        <v>1</v>
      </c>
    </row>
    <row r="256" spans="6:14" x14ac:dyDescent="0.2">
      <c r="F256" s="224">
        <v>18</v>
      </c>
      <c r="G256" s="224" t="b">
        <v>0</v>
      </c>
      <c r="H256" s="224" t="b">
        <v>0</v>
      </c>
      <c r="I256" s="224" t="b">
        <v>0</v>
      </c>
      <c r="K256" s="224">
        <v>18</v>
      </c>
      <c r="L256" s="224">
        <v>1</v>
      </c>
      <c r="M256" s="224">
        <v>1</v>
      </c>
      <c r="N256" s="224">
        <v>1</v>
      </c>
    </row>
    <row r="257" spans="6:14" x14ac:dyDescent="0.2">
      <c r="F257" s="224">
        <v>19</v>
      </c>
      <c r="G257" s="224" t="b">
        <v>0</v>
      </c>
      <c r="H257" s="224" t="b">
        <v>0</v>
      </c>
      <c r="I257" s="224" t="b">
        <v>0</v>
      </c>
      <c r="K257" s="224">
        <v>19</v>
      </c>
      <c r="L257" s="224">
        <v>1</v>
      </c>
      <c r="M257" s="224">
        <v>1</v>
      </c>
      <c r="N257" s="224">
        <v>1</v>
      </c>
    </row>
    <row r="258" spans="6:14" x14ac:dyDescent="0.2">
      <c r="F258" s="224">
        <v>20</v>
      </c>
      <c r="G258" s="224" t="b">
        <v>0</v>
      </c>
      <c r="H258" s="224" t="b">
        <v>0</v>
      </c>
      <c r="I258" s="224" t="b">
        <v>0</v>
      </c>
      <c r="K258" s="224">
        <v>20</v>
      </c>
      <c r="L258" s="224">
        <v>1</v>
      </c>
      <c r="M258" s="224">
        <v>1</v>
      </c>
      <c r="N258" s="224">
        <v>1</v>
      </c>
    </row>
    <row r="259" spans="6:14" x14ac:dyDescent="0.2">
      <c r="F259" s="224">
        <v>21</v>
      </c>
      <c r="G259" s="224" t="b">
        <v>0</v>
      </c>
      <c r="H259" s="224" t="b">
        <v>0</v>
      </c>
      <c r="I259" s="224" t="b">
        <v>0</v>
      </c>
      <c r="K259" s="224">
        <v>21</v>
      </c>
      <c r="L259" s="224">
        <v>1</v>
      </c>
      <c r="M259" s="224">
        <v>1</v>
      </c>
      <c r="N259" s="224">
        <v>1</v>
      </c>
    </row>
    <row r="260" spans="6:14" x14ac:dyDescent="0.2">
      <c r="F260" s="224">
        <v>22</v>
      </c>
      <c r="G260" s="224" t="b">
        <v>0</v>
      </c>
      <c r="H260" s="224" t="b">
        <v>0</v>
      </c>
      <c r="I260" s="224" t="b">
        <v>0</v>
      </c>
      <c r="K260" s="224">
        <v>22</v>
      </c>
      <c r="L260" s="224">
        <v>1</v>
      </c>
      <c r="M260" s="224">
        <v>1</v>
      </c>
      <c r="N260" s="224">
        <v>1</v>
      </c>
    </row>
    <row r="261" spans="6:14" x14ac:dyDescent="0.2">
      <c r="F261" s="224">
        <v>23</v>
      </c>
      <c r="G261" s="224" t="b">
        <v>0</v>
      </c>
      <c r="H261" s="224" t="b">
        <v>0</v>
      </c>
      <c r="I261" s="224" t="b">
        <v>0</v>
      </c>
      <c r="K261" s="224">
        <v>23</v>
      </c>
      <c r="L261" s="224">
        <v>1</v>
      </c>
      <c r="M261" s="224">
        <v>1</v>
      </c>
      <c r="N261" s="224">
        <v>1</v>
      </c>
    </row>
    <row r="262" spans="6:14" x14ac:dyDescent="0.2">
      <c r="F262" s="224">
        <v>24</v>
      </c>
      <c r="G262" s="224" t="b">
        <v>0</v>
      </c>
      <c r="H262" s="224" t="b">
        <v>0</v>
      </c>
      <c r="I262" s="224" t="b">
        <v>0</v>
      </c>
      <c r="K262" s="224">
        <v>24</v>
      </c>
      <c r="L262" s="224">
        <v>1</v>
      </c>
      <c r="M262" s="224">
        <v>1</v>
      </c>
      <c r="N262" s="224">
        <v>1</v>
      </c>
    </row>
    <row r="263" spans="6:14" x14ac:dyDescent="0.2">
      <c r="F263" s="224">
        <v>25</v>
      </c>
      <c r="G263" s="224" t="b">
        <v>0</v>
      </c>
      <c r="H263" s="224" t="b">
        <v>0</v>
      </c>
      <c r="I263" s="224" t="b">
        <v>0</v>
      </c>
      <c r="K263" s="224">
        <v>25</v>
      </c>
      <c r="L263" s="224">
        <v>1</v>
      </c>
      <c r="M263" s="224">
        <v>1</v>
      </c>
      <c r="N263" s="224">
        <v>1</v>
      </c>
    </row>
    <row r="264" spans="6:14" x14ac:dyDescent="0.2">
      <c r="F264" s="224">
        <v>26</v>
      </c>
      <c r="G264" s="224" t="b">
        <v>0</v>
      </c>
      <c r="H264" s="224" t="b">
        <v>0</v>
      </c>
      <c r="I264" s="224" t="b">
        <v>0</v>
      </c>
      <c r="K264" s="224">
        <v>26</v>
      </c>
      <c r="L264" s="224">
        <v>1</v>
      </c>
      <c r="M264" s="224">
        <v>1</v>
      </c>
      <c r="N264" s="224">
        <v>1</v>
      </c>
    </row>
    <row r="265" spans="6:14" x14ac:dyDescent="0.2">
      <c r="F265" s="224">
        <v>27</v>
      </c>
      <c r="G265" s="224" t="b">
        <v>0</v>
      </c>
      <c r="H265" s="224" t="b">
        <v>0</v>
      </c>
      <c r="I265" s="224" t="b">
        <v>0</v>
      </c>
      <c r="K265" s="224">
        <v>27</v>
      </c>
      <c r="L265" s="224">
        <v>1</v>
      </c>
      <c r="M265" s="224">
        <v>1</v>
      </c>
      <c r="N265" s="224">
        <v>1</v>
      </c>
    </row>
    <row r="266" spans="6:14" x14ac:dyDescent="0.2">
      <c r="F266" s="224">
        <v>28</v>
      </c>
      <c r="G266" s="224" t="b">
        <v>0</v>
      </c>
      <c r="H266" s="224" t="b">
        <v>0</v>
      </c>
      <c r="I266" s="224" t="b">
        <v>0</v>
      </c>
      <c r="K266" s="224">
        <v>28</v>
      </c>
      <c r="L266" s="224">
        <v>1</v>
      </c>
      <c r="M266" s="224">
        <v>1</v>
      </c>
      <c r="N266" s="224">
        <v>1</v>
      </c>
    </row>
    <row r="267" spans="6:14" x14ac:dyDescent="0.2">
      <c r="F267" s="224">
        <v>29</v>
      </c>
      <c r="G267" s="224" t="b">
        <v>0</v>
      </c>
      <c r="H267" s="224" t="b">
        <v>0</v>
      </c>
      <c r="I267" s="224" t="b">
        <v>0</v>
      </c>
      <c r="K267" s="224">
        <v>29</v>
      </c>
      <c r="L267" s="224">
        <v>1</v>
      </c>
      <c r="M267" s="224">
        <v>1</v>
      </c>
      <c r="N267" s="224">
        <v>1</v>
      </c>
    </row>
    <row r="268" spans="6:14" x14ac:dyDescent="0.2">
      <c r="F268" s="224">
        <v>30</v>
      </c>
      <c r="G268" s="224" t="b">
        <v>0</v>
      </c>
      <c r="H268" s="224" t="b">
        <v>0</v>
      </c>
      <c r="I268" s="224" t="b">
        <v>0</v>
      </c>
      <c r="K268" s="224">
        <v>30</v>
      </c>
      <c r="L268" s="224">
        <v>1</v>
      </c>
      <c r="M268" s="224">
        <v>1</v>
      </c>
      <c r="N268" s="224">
        <v>1</v>
      </c>
    </row>
    <row r="269" spans="6:14" x14ac:dyDescent="0.2">
      <c r="F269" s="224">
        <v>31</v>
      </c>
      <c r="G269" s="224" t="b">
        <v>0</v>
      </c>
      <c r="H269" s="224" t="b">
        <v>0</v>
      </c>
      <c r="I269" s="224" t="b">
        <v>0</v>
      </c>
      <c r="K269" s="224">
        <v>31</v>
      </c>
      <c r="L269" s="224">
        <v>1</v>
      </c>
      <c r="M269" s="224">
        <v>1</v>
      </c>
      <c r="N269" s="224">
        <v>1</v>
      </c>
    </row>
    <row r="270" spans="6:14" x14ac:dyDescent="0.2">
      <c r="F270" s="224">
        <v>32</v>
      </c>
      <c r="G270" s="224" t="b">
        <v>0</v>
      </c>
      <c r="H270" s="224" t="b">
        <v>0</v>
      </c>
      <c r="I270" s="224" t="b">
        <v>0</v>
      </c>
      <c r="K270" s="224">
        <v>32</v>
      </c>
      <c r="L270" s="224">
        <v>1</v>
      </c>
      <c r="M270" s="224">
        <v>1</v>
      </c>
      <c r="N270" s="224">
        <v>1</v>
      </c>
    </row>
    <row r="271" spans="6:14" x14ac:dyDescent="0.2">
      <c r="F271" s="224">
        <v>33</v>
      </c>
      <c r="G271" s="224" t="b">
        <v>0</v>
      </c>
      <c r="H271" s="224" t="b">
        <v>0</v>
      </c>
      <c r="I271" s="224" t="b">
        <v>0</v>
      </c>
      <c r="K271" s="224">
        <v>33</v>
      </c>
      <c r="L271" s="224">
        <v>1</v>
      </c>
      <c r="M271" s="224">
        <v>1</v>
      </c>
      <c r="N271" s="224">
        <v>1</v>
      </c>
    </row>
    <row r="272" spans="6:14" x14ac:dyDescent="0.2">
      <c r="F272" s="224">
        <v>34</v>
      </c>
      <c r="G272" s="224" t="b">
        <v>0</v>
      </c>
      <c r="H272" s="224" t="b">
        <v>0</v>
      </c>
      <c r="I272" s="224" t="b">
        <v>0</v>
      </c>
      <c r="K272" s="224">
        <v>34</v>
      </c>
      <c r="L272" s="224">
        <v>1</v>
      </c>
      <c r="M272" s="224">
        <v>1</v>
      </c>
      <c r="N272" s="224">
        <v>1</v>
      </c>
    </row>
    <row r="273" spans="6:14" x14ac:dyDescent="0.2">
      <c r="F273" s="224">
        <v>35</v>
      </c>
      <c r="G273" s="224" t="b">
        <v>0</v>
      </c>
      <c r="H273" s="224" t="b">
        <v>0</v>
      </c>
      <c r="I273" s="224" t="b">
        <v>0</v>
      </c>
      <c r="K273" s="224">
        <v>35</v>
      </c>
      <c r="L273" s="224">
        <v>1</v>
      </c>
      <c r="M273" s="224">
        <v>1</v>
      </c>
      <c r="N273" s="224">
        <v>1</v>
      </c>
    </row>
    <row r="274" spans="6:14" x14ac:dyDescent="0.2">
      <c r="F274" s="224">
        <v>36</v>
      </c>
      <c r="G274" s="224" t="b">
        <v>0</v>
      </c>
      <c r="H274" s="224" t="b">
        <v>0</v>
      </c>
      <c r="I274" s="224" t="b">
        <v>0</v>
      </c>
      <c r="K274" s="224">
        <v>36</v>
      </c>
      <c r="L274" s="224">
        <v>1</v>
      </c>
      <c r="M274" s="224">
        <v>1</v>
      </c>
      <c r="N274" s="224">
        <v>1</v>
      </c>
    </row>
    <row r="275" spans="6:14" x14ac:dyDescent="0.2">
      <c r="F275" s="224">
        <v>37</v>
      </c>
      <c r="G275" s="224" t="b">
        <v>0</v>
      </c>
      <c r="H275" s="224" t="b">
        <v>0</v>
      </c>
      <c r="I275" s="224" t="b">
        <v>0</v>
      </c>
      <c r="K275" s="224">
        <v>37</v>
      </c>
      <c r="L275" s="224">
        <v>1</v>
      </c>
      <c r="M275" s="224">
        <v>1</v>
      </c>
      <c r="N275" s="224">
        <v>1</v>
      </c>
    </row>
    <row r="276" spans="6:14" x14ac:dyDescent="0.2">
      <c r="F276" s="224">
        <v>38</v>
      </c>
      <c r="G276" s="224" t="b">
        <v>0</v>
      </c>
      <c r="H276" s="224" t="b">
        <v>0</v>
      </c>
      <c r="I276" s="224" t="b">
        <v>0</v>
      </c>
      <c r="K276" s="224">
        <v>38</v>
      </c>
      <c r="L276" s="224">
        <v>1</v>
      </c>
      <c r="M276" s="224">
        <v>1</v>
      </c>
      <c r="N276" s="224">
        <v>1</v>
      </c>
    </row>
    <row r="277" spans="6:14" x14ac:dyDescent="0.2">
      <c r="F277" s="224">
        <v>39</v>
      </c>
      <c r="G277" s="224" t="b">
        <v>0</v>
      </c>
      <c r="H277" s="224" t="b">
        <v>0</v>
      </c>
      <c r="I277" s="224" t="b">
        <v>0</v>
      </c>
      <c r="K277" s="224">
        <v>39</v>
      </c>
      <c r="L277" s="224">
        <v>1</v>
      </c>
      <c r="M277" s="224">
        <v>1</v>
      </c>
      <c r="N277" s="224">
        <v>1</v>
      </c>
    </row>
    <row r="278" spans="6:14" x14ac:dyDescent="0.2">
      <c r="F278" s="224">
        <v>40</v>
      </c>
      <c r="G278" s="224" t="b">
        <v>0</v>
      </c>
      <c r="H278" s="224" t="b">
        <v>0</v>
      </c>
      <c r="I278" s="224" t="b">
        <v>0</v>
      </c>
      <c r="K278" s="224">
        <v>40</v>
      </c>
      <c r="L278" s="224">
        <v>1</v>
      </c>
      <c r="M278" s="224">
        <v>1</v>
      </c>
      <c r="N278" s="224">
        <v>1</v>
      </c>
    </row>
    <row r="279" spans="6:14" x14ac:dyDescent="0.2">
      <c r="F279" s="224">
        <v>41</v>
      </c>
      <c r="G279" s="224" t="b">
        <v>0</v>
      </c>
      <c r="H279" s="224" t="b">
        <v>0</v>
      </c>
      <c r="I279" s="224" t="b">
        <v>0</v>
      </c>
      <c r="K279" s="224">
        <v>41</v>
      </c>
      <c r="L279" s="224">
        <v>1</v>
      </c>
      <c r="M279" s="224">
        <v>1</v>
      </c>
      <c r="N279" s="224">
        <v>1</v>
      </c>
    </row>
    <row r="280" spans="6:14" x14ac:dyDescent="0.2">
      <c r="F280" s="224">
        <v>42</v>
      </c>
      <c r="G280" s="224" t="b">
        <v>0</v>
      </c>
      <c r="H280" s="224" t="b">
        <v>0</v>
      </c>
      <c r="I280" s="224" t="b">
        <v>0</v>
      </c>
      <c r="K280" s="224">
        <v>42</v>
      </c>
      <c r="L280" s="224">
        <v>1</v>
      </c>
      <c r="M280" s="224">
        <v>1</v>
      </c>
      <c r="N280" s="224">
        <v>1</v>
      </c>
    </row>
    <row r="281" spans="6:14" x14ac:dyDescent="0.2">
      <c r="F281" s="224">
        <v>43</v>
      </c>
      <c r="G281" s="224" t="b">
        <v>0</v>
      </c>
      <c r="H281" s="224" t="b">
        <v>0</v>
      </c>
      <c r="I281" s="224" t="b">
        <v>0</v>
      </c>
      <c r="K281" s="224">
        <v>43</v>
      </c>
      <c r="L281" s="224">
        <v>1</v>
      </c>
      <c r="M281" s="224">
        <v>1</v>
      </c>
      <c r="N281" s="224">
        <v>1</v>
      </c>
    </row>
    <row r="282" spans="6:14" x14ac:dyDescent="0.2">
      <c r="F282" s="224">
        <v>44</v>
      </c>
      <c r="G282" s="224" t="b">
        <v>0</v>
      </c>
      <c r="H282" s="224" t="b">
        <v>0</v>
      </c>
      <c r="I282" s="224" t="b">
        <v>0</v>
      </c>
      <c r="K282" s="224">
        <v>44</v>
      </c>
      <c r="L282" s="224">
        <v>1</v>
      </c>
      <c r="M282" s="224">
        <v>1</v>
      </c>
      <c r="N282" s="224">
        <v>1</v>
      </c>
    </row>
    <row r="283" spans="6:14" x14ac:dyDescent="0.2">
      <c r="F283" s="224">
        <v>45</v>
      </c>
      <c r="G283" s="224" t="b">
        <v>0</v>
      </c>
      <c r="H283" s="224" t="b">
        <v>0</v>
      </c>
      <c r="I283" s="224" t="b">
        <v>0</v>
      </c>
      <c r="K283" s="224">
        <v>45</v>
      </c>
      <c r="L283" s="224">
        <v>1</v>
      </c>
      <c r="M283" s="224">
        <v>1</v>
      </c>
      <c r="N283" s="224">
        <v>1</v>
      </c>
    </row>
    <row r="284" spans="6:14" x14ac:dyDescent="0.2">
      <c r="F284" s="224">
        <v>46</v>
      </c>
      <c r="G284" s="224" t="b">
        <v>0</v>
      </c>
      <c r="H284" s="224" t="b">
        <v>0</v>
      </c>
      <c r="I284" s="224" t="b">
        <v>0</v>
      </c>
      <c r="K284" s="224">
        <v>46</v>
      </c>
      <c r="L284" s="224">
        <v>1</v>
      </c>
      <c r="M284" s="224">
        <v>1</v>
      </c>
      <c r="N284" s="224">
        <v>1</v>
      </c>
    </row>
    <row r="285" spans="6:14" x14ac:dyDescent="0.2">
      <c r="F285" s="224">
        <v>47</v>
      </c>
      <c r="G285" s="224" t="b">
        <v>0</v>
      </c>
      <c r="H285" s="224" t="b">
        <v>0</v>
      </c>
      <c r="I285" s="224" t="b">
        <v>0</v>
      </c>
      <c r="K285" s="224">
        <v>47</v>
      </c>
      <c r="L285" s="224">
        <v>1</v>
      </c>
      <c r="M285" s="224">
        <v>1</v>
      </c>
      <c r="N285" s="224">
        <v>1</v>
      </c>
    </row>
    <row r="286" spans="6:14" x14ac:dyDescent="0.2">
      <c r="F286" s="224">
        <v>48</v>
      </c>
      <c r="G286" s="224" t="b">
        <v>0</v>
      </c>
      <c r="H286" s="224" t="b">
        <v>0</v>
      </c>
      <c r="I286" s="224" t="b">
        <v>0</v>
      </c>
      <c r="K286" s="224">
        <v>48</v>
      </c>
      <c r="L286" s="224">
        <v>1</v>
      </c>
      <c r="M286" s="224">
        <v>1</v>
      </c>
      <c r="N286" s="224">
        <v>1</v>
      </c>
    </row>
    <row r="287" spans="6:14" x14ac:dyDescent="0.2">
      <c r="F287" s="224">
        <v>49</v>
      </c>
      <c r="G287" s="224" t="b">
        <v>0</v>
      </c>
      <c r="H287" s="224" t="b">
        <v>0</v>
      </c>
      <c r="I287" s="224" t="b">
        <v>0</v>
      </c>
      <c r="K287" s="224">
        <v>49</v>
      </c>
      <c r="L287" s="224">
        <v>1</v>
      </c>
      <c r="M287" s="224">
        <v>1</v>
      </c>
      <c r="N287" s="224">
        <v>1</v>
      </c>
    </row>
    <row r="288" spans="6:14" x14ac:dyDescent="0.2">
      <c r="F288" s="224">
        <v>50</v>
      </c>
      <c r="G288" s="224" t="b">
        <v>0</v>
      </c>
      <c r="H288" s="224" t="b">
        <v>0</v>
      </c>
      <c r="I288" s="224" t="b">
        <v>0</v>
      </c>
      <c r="K288" s="224">
        <v>50</v>
      </c>
      <c r="L288" s="224">
        <v>1</v>
      </c>
      <c r="M288" s="224">
        <v>1</v>
      </c>
      <c r="N288" s="224">
        <v>1</v>
      </c>
    </row>
    <row r="289" spans="6:14" x14ac:dyDescent="0.2">
      <c r="F289" s="224">
        <v>51</v>
      </c>
      <c r="G289" s="224" t="b">
        <v>0</v>
      </c>
      <c r="H289" s="224" t="b">
        <v>0</v>
      </c>
      <c r="I289" s="224" t="b">
        <v>0</v>
      </c>
      <c r="K289" s="224">
        <v>51</v>
      </c>
      <c r="L289" s="224">
        <v>1</v>
      </c>
      <c r="M289" s="224">
        <v>1</v>
      </c>
      <c r="N289" s="224">
        <v>1</v>
      </c>
    </row>
    <row r="290" spans="6:14" x14ac:dyDescent="0.2">
      <c r="F290" s="224">
        <v>52</v>
      </c>
      <c r="G290" s="224" t="b">
        <v>0</v>
      </c>
      <c r="H290" s="224" t="b">
        <v>0</v>
      </c>
      <c r="I290" s="224" t="b">
        <v>0</v>
      </c>
      <c r="K290" s="224">
        <v>52</v>
      </c>
      <c r="L290" s="224">
        <v>1</v>
      </c>
      <c r="M290" s="224">
        <v>1</v>
      </c>
      <c r="N290" s="224">
        <v>1</v>
      </c>
    </row>
    <row r="291" spans="6:14" x14ac:dyDescent="0.2">
      <c r="F291" s="224">
        <v>53</v>
      </c>
      <c r="G291" s="224" t="b">
        <v>0</v>
      </c>
      <c r="H291" s="224" t="b">
        <v>0</v>
      </c>
      <c r="I291" s="224" t="b">
        <v>0</v>
      </c>
      <c r="K291" s="224">
        <v>53</v>
      </c>
      <c r="L291" s="224">
        <v>1</v>
      </c>
      <c r="M291" s="224">
        <v>1</v>
      </c>
      <c r="N291" s="224">
        <v>1</v>
      </c>
    </row>
    <row r="292" spans="6:14" x14ac:dyDescent="0.2">
      <c r="F292" s="224">
        <v>54</v>
      </c>
      <c r="G292" s="224" t="b">
        <v>0</v>
      </c>
      <c r="H292" s="224" t="b">
        <v>0</v>
      </c>
      <c r="I292" s="224" t="b">
        <v>0</v>
      </c>
      <c r="K292" s="224">
        <v>54</v>
      </c>
      <c r="L292" s="224">
        <v>1</v>
      </c>
      <c r="M292" s="224">
        <v>1</v>
      </c>
      <c r="N292" s="224">
        <v>1</v>
      </c>
    </row>
    <row r="293" spans="6:14" x14ac:dyDescent="0.2">
      <c r="F293" s="224">
        <v>55</v>
      </c>
      <c r="G293" s="224" t="b">
        <v>0</v>
      </c>
      <c r="H293" s="224" t="b">
        <v>0</v>
      </c>
      <c r="I293" s="224" t="b">
        <v>0</v>
      </c>
      <c r="K293" s="224">
        <v>55</v>
      </c>
      <c r="L293" s="224">
        <v>1</v>
      </c>
      <c r="M293" s="224">
        <v>1</v>
      </c>
      <c r="N293" s="224">
        <v>1</v>
      </c>
    </row>
    <row r="294" spans="6:14" x14ac:dyDescent="0.2">
      <c r="F294" s="224">
        <v>56</v>
      </c>
      <c r="G294" s="224" t="b">
        <v>0</v>
      </c>
      <c r="H294" s="224" t="b">
        <v>0</v>
      </c>
      <c r="I294" s="224" t="b">
        <v>0</v>
      </c>
      <c r="K294" s="224">
        <v>56</v>
      </c>
      <c r="L294" s="224">
        <v>1</v>
      </c>
      <c r="M294" s="224">
        <v>1</v>
      </c>
      <c r="N294" s="224">
        <v>1</v>
      </c>
    </row>
    <row r="295" spans="6:14" x14ac:dyDescent="0.2">
      <c r="F295" s="224">
        <v>57</v>
      </c>
      <c r="G295" s="224" t="b">
        <v>0</v>
      </c>
      <c r="H295" s="224" t="b">
        <v>0</v>
      </c>
      <c r="I295" s="224" t="b">
        <v>0</v>
      </c>
      <c r="K295" s="224">
        <v>57</v>
      </c>
      <c r="L295" s="224">
        <v>1</v>
      </c>
      <c r="M295" s="224">
        <v>1</v>
      </c>
      <c r="N295" s="224">
        <v>1</v>
      </c>
    </row>
    <row r="296" spans="6:14" x14ac:dyDescent="0.2">
      <c r="F296" s="224">
        <v>58</v>
      </c>
      <c r="G296" s="224" t="b">
        <v>0</v>
      </c>
      <c r="H296" s="224" t="b">
        <v>0</v>
      </c>
      <c r="I296" s="224" t="b">
        <v>0</v>
      </c>
      <c r="K296" s="224">
        <v>58</v>
      </c>
      <c r="L296" s="224">
        <v>1</v>
      </c>
      <c r="M296" s="224">
        <v>1</v>
      </c>
      <c r="N296" s="224">
        <v>1</v>
      </c>
    </row>
    <row r="297" spans="6:14" x14ac:dyDescent="0.2">
      <c r="F297" s="224">
        <v>59</v>
      </c>
      <c r="G297" s="224" t="b">
        <v>0</v>
      </c>
      <c r="H297" s="224" t="b">
        <v>0</v>
      </c>
      <c r="I297" s="224" t="b">
        <v>0</v>
      </c>
      <c r="K297" s="224">
        <v>59</v>
      </c>
      <c r="L297" s="224">
        <v>1</v>
      </c>
      <c r="M297" s="224">
        <v>1</v>
      </c>
      <c r="N297" s="224">
        <v>1</v>
      </c>
    </row>
    <row r="298" spans="6:14" x14ac:dyDescent="0.2">
      <c r="F298" s="224">
        <v>60</v>
      </c>
      <c r="G298" s="224" t="b">
        <v>0</v>
      </c>
      <c r="H298" s="224" t="b">
        <v>0</v>
      </c>
      <c r="I298" s="224" t="b">
        <v>0</v>
      </c>
      <c r="K298" s="224">
        <v>60</v>
      </c>
      <c r="L298" s="224">
        <v>1</v>
      </c>
      <c r="M298" s="224">
        <v>1</v>
      </c>
      <c r="N298" s="224">
        <v>1</v>
      </c>
    </row>
    <row r="299" spans="6:14" x14ac:dyDescent="0.2">
      <c r="F299" s="224">
        <v>61</v>
      </c>
      <c r="G299" s="224" t="b">
        <v>0</v>
      </c>
      <c r="H299" s="224" t="b">
        <v>0</v>
      </c>
      <c r="I299" s="224" t="b">
        <v>0</v>
      </c>
      <c r="K299" s="224">
        <v>61</v>
      </c>
      <c r="L299" s="224">
        <v>1</v>
      </c>
      <c r="M299" s="224">
        <v>1</v>
      </c>
      <c r="N299" s="224">
        <v>1</v>
      </c>
    </row>
    <row r="300" spans="6:14" x14ac:dyDescent="0.2">
      <c r="F300" s="224">
        <v>62</v>
      </c>
      <c r="G300" s="224" t="b">
        <v>0</v>
      </c>
      <c r="H300" s="224" t="b">
        <v>0</v>
      </c>
      <c r="I300" s="224" t="b">
        <v>0</v>
      </c>
      <c r="K300" s="224">
        <v>62</v>
      </c>
      <c r="L300" s="224">
        <v>1</v>
      </c>
      <c r="M300" s="224">
        <v>1</v>
      </c>
      <c r="N300" s="224">
        <v>1</v>
      </c>
    </row>
    <row r="301" spans="6:14" x14ac:dyDescent="0.2">
      <c r="F301" s="224">
        <v>63</v>
      </c>
      <c r="G301" s="224" t="b">
        <v>0</v>
      </c>
      <c r="H301" s="224" t="b">
        <v>0</v>
      </c>
      <c r="I301" s="224" t="b">
        <v>0</v>
      </c>
      <c r="K301" s="224">
        <v>63</v>
      </c>
      <c r="L301" s="224">
        <v>1</v>
      </c>
      <c r="M301" s="224">
        <v>1</v>
      </c>
      <c r="N301" s="224">
        <v>1</v>
      </c>
    </row>
    <row r="302" spans="6:14" x14ac:dyDescent="0.2">
      <c r="F302" s="224">
        <v>64</v>
      </c>
      <c r="G302" s="224" t="b">
        <v>0</v>
      </c>
      <c r="H302" s="224" t="b">
        <v>0</v>
      </c>
      <c r="I302" s="224" t="b">
        <v>0</v>
      </c>
      <c r="K302" s="224">
        <v>64</v>
      </c>
      <c r="L302" s="224">
        <v>1</v>
      </c>
      <c r="M302" s="224">
        <v>1</v>
      </c>
      <c r="N302" s="224">
        <v>1</v>
      </c>
    </row>
    <row r="303" spans="6:14" x14ac:dyDescent="0.2">
      <c r="F303" s="224">
        <v>65</v>
      </c>
      <c r="G303" s="224" t="b">
        <v>0</v>
      </c>
      <c r="H303" s="224" t="b">
        <v>0</v>
      </c>
      <c r="I303" s="224" t="b">
        <v>0</v>
      </c>
      <c r="K303" s="224">
        <v>65</v>
      </c>
      <c r="L303" s="224">
        <v>1</v>
      </c>
      <c r="M303" s="224">
        <v>1</v>
      </c>
      <c r="N303" s="224">
        <v>1</v>
      </c>
    </row>
    <row r="304" spans="6:14" x14ac:dyDescent="0.2">
      <c r="F304" s="224">
        <v>66</v>
      </c>
      <c r="G304" s="224" t="b">
        <v>0</v>
      </c>
      <c r="H304" s="224" t="b">
        <v>0</v>
      </c>
      <c r="I304" s="224" t="b">
        <v>0</v>
      </c>
      <c r="K304" s="224">
        <v>66</v>
      </c>
      <c r="L304" s="224">
        <v>1</v>
      </c>
      <c r="M304" s="224">
        <v>1</v>
      </c>
      <c r="N304" s="224">
        <v>1</v>
      </c>
    </row>
    <row r="305" spans="6:14" x14ac:dyDescent="0.2">
      <c r="F305" s="224">
        <v>67</v>
      </c>
      <c r="G305" s="224" t="b">
        <v>0</v>
      </c>
      <c r="H305" s="224" t="b">
        <v>0</v>
      </c>
      <c r="I305" s="224" t="b">
        <v>0</v>
      </c>
      <c r="K305" s="224">
        <v>67</v>
      </c>
      <c r="L305" s="224">
        <v>1</v>
      </c>
      <c r="M305" s="224">
        <v>1</v>
      </c>
      <c r="N305" s="224">
        <v>1</v>
      </c>
    </row>
    <row r="306" spans="6:14" x14ac:dyDescent="0.2">
      <c r="F306" s="224">
        <v>68</v>
      </c>
      <c r="G306" s="224" t="b">
        <v>0</v>
      </c>
      <c r="H306" s="224" t="b">
        <v>0</v>
      </c>
      <c r="I306" s="224" t="b">
        <v>0</v>
      </c>
      <c r="K306" s="224">
        <v>68</v>
      </c>
      <c r="L306" s="224">
        <v>1</v>
      </c>
      <c r="M306" s="224">
        <v>1</v>
      </c>
      <c r="N306" s="224">
        <v>1</v>
      </c>
    </row>
    <row r="307" spans="6:14" x14ac:dyDescent="0.2">
      <c r="F307" s="224">
        <v>69</v>
      </c>
      <c r="G307" s="224" t="b">
        <v>0</v>
      </c>
      <c r="H307" s="224" t="b">
        <v>0</v>
      </c>
      <c r="I307" s="224" t="b">
        <v>0</v>
      </c>
      <c r="K307" s="224">
        <v>69</v>
      </c>
      <c r="L307" s="224">
        <v>1</v>
      </c>
      <c r="M307" s="224">
        <v>1</v>
      </c>
      <c r="N307" s="224">
        <v>1</v>
      </c>
    </row>
    <row r="308" spans="6:14" x14ac:dyDescent="0.2">
      <c r="F308" s="224">
        <v>70</v>
      </c>
      <c r="G308" s="224" t="b">
        <v>0</v>
      </c>
      <c r="H308" s="224" t="b">
        <v>0</v>
      </c>
      <c r="I308" s="224" t="b">
        <v>0</v>
      </c>
      <c r="K308" s="224">
        <v>70</v>
      </c>
      <c r="L308" s="224">
        <v>1</v>
      </c>
      <c r="M308" s="224">
        <v>1</v>
      </c>
      <c r="N308" s="224">
        <v>1</v>
      </c>
    </row>
    <row r="309" spans="6:14" x14ac:dyDescent="0.2">
      <c r="F309" s="224">
        <v>71</v>
      </c>
      <c r="G309" s="224" t="b">
        <v>0</v>
      </c>
      <c r="H309" s="224" t="b">
        <v>0</v>
      </c>
      <c r="I309" s="224" t="b">
        <v>0</v>
      </c>
      <c r="K309" s="224">
        <v>71</v>
      </c>
      <c r="L309" s="224">
        <v>1</v>
      </c>
      <c r="M309" s="224">
        <v>1</v>
      </c>
      <c r="N309" s="224">
        <v>1</v>
      </c>
    </row>
    <row r="310" spans="6:14" x14ac:dyDescent="0.2">
      <c r="F310" s="224">
        <v>72</v>
      </c>
      <c r="G310" s="224" t="b">
        <v>0</v>
      </c>
      <c r="H310" s="224" t="b">
        <v>0</v>
      </c>
      <c r="I310" s="224" t="b">
        <v>0</v>
      </c>
      <c r="K310" s="224">
        <v>72</v>
      </c>
      <c r="L310" s="224">
        <v>1</v>
      </c>
      <c r="M310" s="224">
        <v>1</v>
      </c>
      <c r="N310" s="224">
        <v>1</v>
      </c>
    </row>
    <row r="311" spans="6:14" x14ac:dyDescent="0.2">
      <c r="F311" s="224">
        <v>73</v>
      </c>
      <c r="G311" s="224" t="b">
        <v>0</v>
      </c>
      <c r="H311" s="224" t="b">
        <v>0</v>
      </c>
      <c r="I311" s="224" t="b">
        <v>0</v>
      </c>
      <c r="K311" s="224">
        <v>73</v>
      </c>
      <c r="L311" s="224">
        <v>1</v>
      </c>
      <c r="M311" s="224">
        <v>1</v>
      </c>
      <c r="N311" s="224">
        <v>1</v>
      </c>
    </row>
    <row r="312" spans="6:14" x14ac:dyDescent="0.2">
      <c r="F312" s="224">
        <v>74</v>
      </c>
      <c r="G312" s="224" t="b">
        <v>0</v>
      </c>
      <c r="H312" s="224" t="b">
        <v>0</v>
      </c>
      <c r="I312" s="224" t="b">
        <v>0</v>
      </c>
      <c r="K312" s="224">
        <v>74</v>
      </c>
      <c r="L312" s="224">
        <v>1</v>
      </c>
      <c r="M312" s="224">
        <v>1</v>
      </c>
      <c r="N312" s="224">
        <v>1</v>
      </c>
    </row>
    <row r="313" spans="6:14" x14ac:dyDescent="0.2">
      <c r="F313" s="224">
        <v>75</v>
      </c>
      <c r="G313" s="224" t="b">
        <v>0</v>
      </c>
      <c r="H313" s="224" t="b">
        <v>0</v>
      </c>
      <c r="I313" s="224" t="b">
        <v>0</v>
      </c>
      <c r="K313" s="224">
        <v>75</v>
      </c>
      <c r="L313" s="224">
        <v>1</v>
      </c>
      <c r="M313" s="224">
        <v>1</v>
      </c>
      <c r="N313" s="224">
        <v>1</v>
      </c>
    </row>
    <row r="314" spans="6:14" x14ac:dyDescent="0.2">
      <c r="F314" s="224">
        <v>76</v>
      </c>
      <c r="G314" s="224" t="b">
        <v>0</v>
      </c>
      <c r="H314" s="224" t="b">
        <v>0</v>
      </c>
      <c r="I314" s="224" t="b">
        <v>0</v>
      </c>
      <c r="K314" s="224">
        <v>76</v>
      </c>
      <c r="L314" s="224">
        <v>1</v>
      </c>
      <c r="M314" s="224">
        <v>1</v>
      </c>
      <c r="N314" s="224">
        <v>1</v>
      </c>
    </row>
    <row r="315" spans="6:14" x14ac:dyDescent="0.2">
      <c r="F315" s="224">
        <v>77</v>
      </c>
      <c r="G315" s="224" t="b">
        <v>0</v>
      </c>
      <c r="H315" s="224" t="b">
        <v>0</v>
      </c>
      <c r="I315" s="224" t="b">
        <v>0</v>
      </c>
      <c r="K315" s="224">
        <v>77</v>
      </c>
      <c r="L315" s="224">
        <v>1</v>
      </c>
      <c r="M315" s="224">
        <v>1</v>
      </c>
      <c r="N315" s="224">
        <v>1</v>
      </c>
    </row>
    <row r="316" spans="6:14" x14ac:dyDescent="0.2">
      <c r="F316" s="224">
        <v>78</v>
      </c>
      <c r="G316" s="224" t="b">
        <v>0</v>
      </c>
      <c r="H316" s="224" t="b">
        <v>0</v>
      </c>
      <c r="I316" s="224" t="b">
        <v>0</v>
      </c>
      <c r="K316" s="224">
        <v>78</v>
      </c>
      <c r="L316" s="224">
        <v>1</v>
      </c>
      <c r="M316" s="224">
        <v>1</v>
      </c>
      <c r="N316" s="224">
        <v>1</v>
      </c>
    </row>
    <row r="317" spans="6:14" x14ac:dyDescent="0.2">
      <c r="F317" s="224">
        <v>79</v>
      </c>
      <c r="G317" s="224" t="b">
        <v>0</v>
      </c>
      <c r="H317" s="224" t="b">
        <v>0</v>
      </c>
      <c r="I317" s="224" t="b">
        <v>0</v>
      </c>
      <c r="K317" s="224">
        <v>79</v>
      </c>
      <c r="L317" s="224">
        <v>1</v>
      </c>
      <c r="M317" s="224">
        <v>1</v>
      </c>
      <c r="N317" s="224">
        <v>1</v>
      </c>
    </row>
    <row r="318" spans="6:14" x14ac:dyDescent="0.2">
      <c r="F318" s="224">
        <v>80</v>
      </c>
      <c r="G318" s="224" t="b">
        <v>0</v>
      </c>
      <c r="H318" s="224" t="b">
        <v>0</v>
      </c>
      <c r="I318" s="224" t="b">
        <v>0</v>
      </c>
      <c r="K318" s="224">
        <v>80</v>
      </c>
      <c r="L318" s="224">
        <v>1</v>
      </c>
      <c r="M318" s="224">
        <v>1</v>
      </c>
      <c r="N318" s="224">
        <v>1</v>
      </c>
    </row>
    <row r="319" spans="6:14" x14ac:dyDescent="0.2">
      <c r="F319" s="224">
        <v>81</v>
      </c>
      <c r="G319" s="224" t="b">
        <v>0</v>
      </c>
      <c r="H319" s="224" t="b">
        <v>0</v>
      </c>
      <c r="I319" s="224" t="b">
        <v>0</v>
      </c>
      <c r="K319" s="224">
        <v>81</v>
      </c>
      <c r="L319" s="224">
        <v>1</v>
      </c>
      <c r="M319" s="224">
        <v>1</v>
      </c>
      <c r="N319" s="224">
        <v>1</v>
      </c>
    </row>
    <row r="320" spans="6:14" x14ac:dyDescent="0.2">
      <c r="F320" s="224">
        <v>82</v>
      </c>
      <c r="G320" s="224" t="b">
        <v>0</v>
      </c>
      <c r="H320" s="224" t="b">
        <v>0</v>
      </c>
      <c r="I320" s="224" t="b">
        <v>0</v>
      </c>
      <c r="K320" s="224">
        <v>82</v>
      </c>
      <c r="L320" s="224">
        <v>1</v>
      </c>
      <c r="M320" s="224">
        <v>1</v>
      </c>
      <c r="N320" s="224">
        <v>1</v>
      </c>
    </row>
    <row r="321" spans="6:14" x14ac:dyDescent="0.2">
      <c r="F321" s="224">
        <v>83</v>
      </c>
      <c r="G321" s="224" t="b">
        <v>0</v>
      </c>
      <c r="H321" s="224" t="b">
        <v>0</v>
      </c>
      <c r="I321" s="224" t="b">
        <v>0</v>
      </c>
      <c r="K321" s="224">
        <v>83</v>
      </c>
      <c r="L321" s="224">
        <v>1</v>
      </c>
      <c r="M321" s="224">
        <v>1</v>
      </c>
      <c r="N321" s="224">
        <v>1</v>
      </c>
    </row>
    <row r="322" spans="6:14" x14ac:dyDescent="0.2">
      <c r="F322" s="224">
        <v>84</v>
      </c>
      <c r="G322" s="224" t="b">
        <v>0</v>
      </c>
      <c r="H322" s="224" t="b">
        <v>0</v>
      </c>
      <c r="I322" s="224" t="b">
        <v>0</v>
      </c>
      <c r="K322" s="224">
        <v>84</v>
      </c>
      <c r="L322" s="224">
        <v>1</v>
      </c>
      <c r="M322" s="224">
        <v>1</v>
      </c>
      <c r="N322" s="224">
        <v>1</v>
      </c>
    </row>
    <row r="323" spans="6:14" x14ac:dyDescent="0.2">
      <c r="F323" s="224">
        <v>85</v>
      </c>
      <c r="G323" s="224" t="b">
        <v>0</v>
      </c>
      <c r="H323" s="224" t="b">
        <v>0</v>
      </c>
      <c r="I323" s="224" t="b">
        <v>0</v>
      </c>
      <c r="K323" s="224">
        <v>85</v>
      </c>
      <c r="L323" s="224">
        <v>1</v>
      </c>
      <c r="M323" s="224">
        <v>1</v>
      </c>
      <c r="N323" s="224">
        <v>1</v>
      </c>
    </row>
    <row r="324" spans="6:14" x14ac:dyDescent="0.2">
      <c r="F324" s="224">
        <v>86</v>
      </c>
      <c r="G324" s="224" t="b">
        <v>0</v>
      </c>
      <c r="H324" s="224" t="b">
        <v>0</v>
      </c>
      <c r="I324" s="224" t="b">
        <v>0</v>
      </c>
      <c r="K324" s="224">
        <v>86</v>
      </c>
      <c r="L324" s="224">
        <v>1</v>
      </c>
      <c r="M324" s="224">
        <v>1</v>
      </c>
      <c r="N324" s="224">
        <v>1</v>
      </c>
    </row>
    <row r="325" spans="6:14" x14ac:dyDescent="0.2">
      <c r="F325" s="224">
        <v>87</v>
      </c>
      <c r="G325" s="224" t="b">
        <v>0</v>
      </c>
      <c r="H325" s="224" t="b">
        <v>0</v>
      </c>
      <c r="I325" s="224" t="b">
        <v>0</v>
      </c>
      <c r="K325" s="224">
        <v>87</v>
      </c>
      <c r="L325" s="224">
        <v>1</v>
      </c>
      <c r="M325" s="224">
        <v>1</v>
      </c>
      <c r="N325" s="224">
        <v>1</v>
      </c>
    </row>
    <row r="326" spans="6:14" x14ac:dyDescent="0.2">
      <c r="F326" s="224">
        <v>88</v>
      </c>
      <c r="G326" s="224" t="b">
        <v>0</v>
      </c>
      <c r="H326" s="224" t="b">
        <v>0</v>
      </c>
      <c r="I326" s="224" t="b">
        <v>0</v>
      </c>
      <c r="K326" s="224">
        <v>88</v>
      </c>
      <c r="L326" s="224">
        <v>1</v>
      </c>
      <c r="M326" s="224">
        <v>1</v>
      </c>
      <c r="N326" s="224">
        <v>1</v>
      </c>
    </row>
    <row r="327" spans="6:14" x14ac:dyDescent="0.2">
      <c r="F327" s="224">
        <v>89</v>
      </c>
      <c r="G327" s="224" t="b">
        <v>0</v>
      </c>
      <c r="H327" s="224" t="b">
        <v>0</v>
      </c>
      <c r="I327" s="224" t="b">
        <v>0</v>
      </c>
      <c r="K327" s="224">
        <v>89</v>
      </c>
      <c r="L327" s="224">
        <v>1</v>
      </c>
      <c r="M327" s="224">
        <v>1</v>
      </c>
      <c r="N327" s="224">
        <v>1</v>
      </c>
    </row>
    <row r="328" spans="6:14" x14ac:dyDescent="0.2">
      <c r="F328" s="224">
        <v>90</v>
      </c>
      <c r="G328" s="224" t="b">
        <v>0</v>
      </c>
      <c r="H328" s="224" t="b">
        <v>0</v>
      </c>
      <c r="I328" s="224" t="b">
        <v>0</v>
      </c>
      <c r="K328" s="224">
        <v>90</v>
      </c>
      <c r="L328" s="224">
        <v>1</v>
      </c>
      <c r="M328" s="224">
        <v>1</v>
      </c>
      <c r="N328" s="224">
        <v>1</v>
      </c>
    </row>
    <row r="329" spans="6:14" x14ac:dyDescent="0.2">
      <c r="F329" s="224">
        <v>91</v>
      </c>
      <c r="G329" s="224" t="b">
        <v>0</v>
      </c>
      <c r="H329" s="224" t="b">
        <v>0</v>
      </c>
      <c r="I329" s="224" t="b">
        <v>0</v>
      </c>
      <c r="K329" s="224">
        <v>91</v>
      </c>
      <c r="L329" s="224">
        <v>1</v>
      </c>
      <c r="M329" s="224">
        <v>1</v>
      </c>
      <c r="N329" s="224">
        <v>1</v>
      </c>
    </row>
    <row r="330" spans="6:14" x14ac:dyDescent="0.2">
      <c r="F330" s="224">
        <v>92</v>
      </c>
      <c r="G330" s="224" t="b">
        <v>0</v>
      </c>
      <c r="H330" s="224" t="b">
        <v>0</v>
      </c>
      <c r="I330" s="224" t="b">
        <v>0</v>
      </c>
      <c r="K330" s="224">
        <v>92</v>
      </c>
      <c r="L330" s="224">
        <v>1</v>
      </c>
      <c r="M330" s="224">
        <v>1</v>
      </c>
      <c r="N330" s="224">
        <v>1</v>
      </c>
    </row>
    <row r="331" spans="6:14" x14ac:dyDescent="0.2">
      <c r="F331" s="224">
        <v>93</v>
      </c>
      <c r="G331" s="224" t="b">
        <v>0</v>
      </c>
      <c r="H331" s="224" t="b">
        <v>0</v>
      </c>
      <c r="I331" s="224" t="b">
        <v>0</v>
      </c>
      <c r="K331" s="224">
        <v>93</v>
      </c>
      <c r="L331" s="224">
        <v>1</v>
      </c>
      <c r="M331" s="224">
        <v>1</v>
      </c>
      <c r="N331" s="224">
        <v>1</v>
      </c>
    </row>
    <row r="332" spans="6:14" x14ac:dyDescent="0.2">
      <c r="F332" s="224">
        <v>94</v>
      </c>
      <c r="G332" s="224" t="b">
        <v>0</v>
      </c>
      <c r="H332" s="224" t="b">
        <v>0</v>
      </c>
      <c r="I332" s="224" t="b">
        <v>0</v>
      </c>
      <c r="K332" s="224">
        <v>94</v>
      </c>
      <c r="L332" s="224">
        <v>1</v>
      </c>
      <c r="M332" s="224">
        <v>1</v>
      </c>
      <c r="N332" s="224">
        <v>1</v>
      </c>
    </row>
    <row r="333" spans="6:14" x14ac:dyDescent="0.2">
      <c r="F333" s="224">
        <v>95</v>
      </c>
      <c r="G333" s="224" t="b">
        <v>0</v>
      </c>
      <c r="H333" s="224" t="b">
        <v>0</v>
      </c>
      <c r="I333" s="224" t="b">
        <v>0</v>
      </c>
      <c r="K333" s="224">
        <v>95</v>
      </c>
      <c r="L333" s="224">
        <v>1</v>
      </c>
      <c r="M333" s="224">
        <v>1</v>
      </c>
      <c r="N333" s="224">
        <v>1</v>
      </c>
    </row>
    <row r="334" spans="6:14" x14ac:dyDescent="0.2">
      <c r="F334" s="224">
        <v>96</v>
      </c>
      <c r="G334" s="224" t="b">
        <v>0</v>
      </c>
      <c r="H334" s="224" t="b">
        <v>0</v>
      </c>
      <c r="I334" s="224" t="b">
        <v>0</v>
      </c>
      <c r="K334" s="224">
        <v>96</v>
      </c>
      <c r="L334" s="224">
        <v>1</v>
      </c>
      <c r="M334" s="224">
        <v>1</v>
      </c>
      <c r="N334" s="224">
        <v>1</v>
      </c>
    </row>
    <row r="335" spans="6:14" x14ac:dyDescent="0.2">
      <c r="F335" s="224">
        <v>97</v>
      </c>
      <c r="G335" s="224" t="b">
        <v>0</v>
      </c>
      <c r="H335" s="224" t="b">
        <v>0</v>
      </c>
      <c r="I335" s="224" t="b">
        <v>0</v>
      </c>
      <c r="K335" s="224">
        <v>97</v>
      </c>
      <c r="L335" s="224">
        <v>1</v>
      </c>
      <c r="M335" s="224">
        <v>1</v>
      </c>
      <c r="N335" s="224">
        <v>1</v>
      </c>
    </row>
    <row r="336" spans="6:14" x14ac:dyDescent="0.2">
      <c r="F336" s="224">
        <v>98</v>
      </c>
      <c r="G336" s="224" t="b">
        <v>0</v>
      </c>
      <c r="H336" s="224" t="b">
        <v>0</v>
      </c>
      <c r="I336" s="224" t="b">
        <v>0</v>
      </c>
      <c r="K336" s="224">
        <v>98</v>
      </c>
      <c r="L336" s="224">
        <v>1</v>
      </c>
      <c r="M336" s="224">
        <v>1</v>
      </c>
      <c r="N336" s="224">
        <v>1</v>
      </c>
    </row>
    <row r="337" spans="6:14" x14ac:dyDescent="0.2">
      <c r="F337" s="224">
        <v>99</v>
      </c>
      <c r="G337" s="224" t="b">
        <v>0</v>
      </c>
      <c r="H337" s="224" t="b">
        <v>0</v>
      </c>
      <c r="I337" s="224" t="b">
        <v>0</v>
      </c>
      <c r="K337" s="224">
        <v>99</v>
      </c>
      <c r="L337" s="224">
        <v>1</v>
      </c>
      <c r="M337" s="224">
        <v>1</v>
      </c>
      <c r="N337" s="224">
        <v>1</v>
      </c>
    </row>
    <row r="338" spans="6:14" x14ac:dyDescent="0.2">
      <c r="F338" s="224">
        <v>100</v>
      </c>
      <c r="G338" s="224" t="b">
        <v>0</v>
      </c>
      <c r="H338" s="224" t="b">
        <v>0</v>
      </c>
      <c r="I338" s="224" t="b">
        <v>0</v>
      </c>
      <c r="K338" s="224">
        <v>100</v>
      </c>
      <c r="L338" s="224">
        <v>1</v>
      </c>
      <c r="M338" s="224">
        <v>1</v>
      </c>
      <c r="N338" s="224">
        <v>1</v>
      </c>
    </row>
    <row r="339" spans="6:14" x14ac:dyDescent="0.2">
      <c r="F339" s="224">
        <v>101</v>
      </c>
      <c r="G339" s="224" t="b">
        <v>0</v>
      </c>
      <c r="H339" s="224" t="b">
        <v>0</v>
      </c>
      <c r="I339" s="224" t="b">
        <v>0</v>
      </c>
      <c r="K339" s="224">
        <v>101</v>
      </c>
      <c r="L339" s="224">
        <v>1</v>
      </c>
      <c r="M339" s="224">
        <v>1</v>
      </c>
      <c r="N339" s="224">
        <v>1</v>
      </c>
    </row>
    <row r="340" spans="6:14" x14ac:dyDescent="0.2">
      <c r="F340" s="224">
        <v>102</v>
      </c>
      <c r="G340" s="224" t="b">
        <v>0</v>
      </c>
      <c r="H340" s="224" t="b">
        <v>0</v>
      </c>
      <c r="I340" s="224" t="b">
        <v>0</v>
      </c>
      <c r="K340" s="224">
        <v>102</v>
      </c>
      <c r="L340" s="224">
        <v>1</v>
      </c>
      <c r="M340" s="224">
        <v>1</v>
      </c>
      <c r="N340" s="224">
        <v>1</v>
      </c>
    </row>
    <row r="341" spans="6:14" x14ac:dyDescent="0.2">
      <c r="F341" s="224">
        <v>103</v>
      </c>
      <c r="G341" s="224" t="b">
        <v>0</v>
      </c>
      <c r="H341" s="224" t="b">
        <v>0</v>
      </c>
      <c r="I341" s="224" t="b">
        <v>0</v>
      </c>
      <c r="K341" s="224">
        <v>103</v>
      </c>
      <c r="L341" s="224">
        <v>1</v>
      </c>
      <c r="M341" s="224">
        <v>1</v>
      </c>
      <c r="N341" s="224">
        <v>1</v>
      </c>
    </row>
    <row r="342" spans="6:14" x14ac:dyDescent="0.2">
      <c r="F342" s="224">
        <v>104</v>
      </c>
      <c r="G342" s="224" t="b">
        <v>0</v>
      </c>
      <c r="H342" s="224" t="b">
        <v>0</v>
      </c>
      <c r="I342" s="224" t="b">
        <v>0</v>
      </c>
      <c r="K342" s="224">
        <v>104</v>
      </c>
      <c r="L342" s="224">
        <v>1</v>
      </c>
      <c r="M342" s="224">
        <v>1</v>
      </c>
      <c r="N342" s="224">
        <v>1</v>
      </c>
    </row>
    <row r="343" spans="6:14" x14ac:dyDescent="0.2">
      <c r="F343" s="224">
        <v>105</v>
      </c>
      <c r="G343" s="224" t="b">
        <v>0</v>
      </c>
      <c r="H343" s="224" t="b">
        <v>0</v>
      </c>
      <c r="I343" s="224" t="b">
        <v>0</v>
      </c>
      <c r="K343" s="224">
        <v>105</v>
      </c>
      <c r="L343" s="224">
        <v>1</v>
      </c>
      <c r="M343" s="224">
        <v>1</v>
      </c>
      <c r="N343" s="224">
        <v>1</v>
      </c>
    </row>
    <row r="344" spans="6:14" x14ac:dyDescent="0.2">
      <c r="F344" s="224">
        <v>106</v>
      </c>
      <c r="G344" s="224" t="b">
        <v>0</v>
      </c>
      <c r="H344" s="224" t="b">
        <v>0</v>
      </c>
      <c r="I344" s="224" t="b">
        <v>0</v>
      </c>
      <c r="K344" s="224">
        <v>106</v>
      </c>
      <c r="L344" s="224">
        <v>1</v>
      </c>
      <c r="M344" s="224">
        <v>1</v>
      </c>
      <c r="N344" s="224">
        <v>1</v>
      </c>
    </row>
    <row r="345" spans="6:14" x14ac:dyDescent="0.2">
      <c r="F345" s="224">
        <v>107</v>
      </c>
      <c r="G345" s="224" t="b">
        <v>0</v>
      </c>
      <c r="H345" s="224" t="b">
        <v>0</v>
      </c>
      <c r="I345" s="224" t="b">
        <v>0</v>
      </c>
      <c r="K345" s="224">
        <v>107</v>
      </c>
      <c r="L345" s="224">
        <v>1</v>
      </c>
      <c r="M345" s="224">
        <v>1</v>
      </c>
      <c r="N345" s="224">
        <v>1</v>
      </c>
    </row>
    <row r="346" spans="6:14" x14ac:dyDescent="0.2">
      <c r="F346" s="224">
        <v>108</v>
      </c>
      <c r="G346" s="224" t="b">
        <v>0</v>
      </c>
      <c r="H346" s="224" t="b">
        <v>0</v>
      </c>
      <c r="I346" s="224" t="b">
        <v>0</v>
      </c>
      <c r="K346" s="224">
        <v>108</v>
      </c>
      <c r="L346" s="224">
        <v>1</v>
      </c>
      <c r="M346" s="224">
        <v>1</v>
      </c>
      <c r="N346" s="224">
        <v>1</v>
      </c>
    </row>
    <row r="347" spans="6:14" x14ac:dyDescent="0.2">
      <c r="F347" s="224">
        <v>109</v>
      </c>
      <c r="G347" s="224" t="b">
        <v>0</v>
      </c>
      <c r="H347" s="224" t="b">
        <v>0</v>
      </c>
      <c r="I347" s="224" t="b">
        <v>0</v>
      </c>
      <c r="K347" s="224">
        <v>109</v>
      </c>
      <c r="L347" s="224">
        <v>1</v>
      </c>
      <c r="M347" s="224">
        <v>1</v>
      </c>
      <c r="N347" s="224">
        <v>1</v>
      </c>
    </row>
    <row r="348" spans="6:14" x14ac:dyDescent="0.2">
      <c r="F348" s="224">
        <v>110</v>
      </c>
      <c r="G348" s="224" t="b">
        <v>0</v>
      </c>
      <c r="H348" s="224" t="b">
        <v>0</v>
      </c>
      <c r="I348" s="224" t="b">
        <v>0</v>
      </c>
      <c r="K348" s="224">
        <v>110</v>
      </c>
      <c r="L348" s="224">
        <v>1</v>
      </c>
      <c r="M348" s="224">
        <v>1</v>
      </c>
      <c r="N348" s="224">
        <v>1</v>
      </c>
    </row>
    <row r="349" spans="6:14" x14ac:dyDescent="0.2">
      <c r="F349" s="224">
        <v>111</v>
      </c>
      <c r="G349" s="224" t="b">
        <v>0</v>
      </c>
      <c r="H349" s="224" t="b">
        <v>0</v>
      </c>
      <c r="I349" s="224" t="b">
        <v>0</v>
      </c>
      <c r="K349" s="224">
        <v>111</v>
      </c>
      <c r="L349" s="224">
        <v>1</v>
      </c>
      <c r="M349" s="224">
        <v>1</v>
      </c>
      <c r="N349" s="224">
        <v>1</v>
      </c>
    </row>
    <row r="350" spans="6:14" x14ac:dyDescent="0.2">
      <c r="F350" s="224">
        <v>112</v>
      </c>
      <c r="G350" s="224" t="b">
        <v>0</v>
      </c>
      <c r="H350" s="224" t="b">
        <v>0</v>
      </c>
      <c r="I350" s="224" t="b">
        <v>0</v>
      </c>
      <c r="K350" s="224">
        <v>112</v>
      </c>
      <c r="L350" s="224">
        <v>1</v>
      </c>
      <c r="M350" s="224">
        <v>1</v>
      </c>
      <c r="N350" s="224">
        <v>1</v>
      </c>
    </row>
    <row r="351" spans="6:14" x14ac:dyDescent="0.2">
      <c r="F351" s="224">
        <v>113</v>
      </c>
      <c r="G351" s="224" t="b">
        <v>0</v>
      </c>
      <c r="H351" s="224" t="b">
        <v>0</v>
      </c>
      <c r="I351" s="224" t="b">
        <v>0</v>
      </c>
      <c r="K351" s="224">
        <v>113</v>
      </c>
      <c r="L351" s="224">
        <v>1</v>
      </c>
      <c r="M351" s="224">
        <v>1</v>
      </c>
      <c r="N351" s="224">
        <v>1</v>
      </c>
    </row>
    <row r="352" spans="6:14" x14ac:dyDescent="0.2">
      <c r="F352" s="224">
        <v>114</v>
      </c>
      <c r="G352" s="224" t="b">
        <v>0</v>
      </c>
      <c r="H352" s="224" t="b">
        <v>0</v>
      </c>
      <c r="I352" s="224" t="b">
        <v>0</v>
      </c>
      <c r="K352" s="224">
        <v>114</v>
      </c>
      <c r="L352" s="224">
        <v>1</v>
      </c>
      <c r="M352" s="224">
        <v>1</v>
      </c>
      <c r="N352" s="224">
        <v>1</v>
      </c>
    </row>
    <row r="353" spans="6:14" x14ac:dyDescent="0.2">
      <c r="F353" s="224">
        <v>115</v>
      </c>
      <c r="G353" s="224" t="b">
        <v>0</v>
      </c>
      <c r="H353" s="224" t="b">
        <v>0</v>
      </c>
      <c r="I353" s="224" t="b">
        <v>0</v>
      </c>
      <c r="K353" s="224">
        <v>115</v>
      </c>
      <c r="L353" s="224">
        <v>1</v>
      </c>
      <c r="M353" s="224">
        <v>1</v>
      </c>
      <c r="N353" s="224">
        <v>1</v>
      </c>
    </row>
    <row r="354" spans="6:14" x14ac:dyDescent="0.2">
      <c r="F354" s="224">
        <v>116</v>
      </c>
      <c r="G354" s="224" t="b">
        <v>0</v>
      </c>
      <c r="H354" s="224" t="b">
        <v>0</v>
      </c>
      <c r="I354" s="224" t="b">
        <v>0</v>
      </c>
      <c r="K354" s="224">
        <v>116</v>
      </c>
      <c r="L354" s="224">
        <v>1</v>
      </c>
      <c r="M354" s="224">
        <v>1</v>
      </c>
      <c r="N354" s="224">
        <v>1</v>
      </c>
    </row>
    <row r="355" spans="6:14" x14ac:dyDescent="0.2">
      <c r="F355" s="224">
        <v>117</v>
      </c>
      <c r="G355" s="224" t="b">
        <v>0</v>
      </c>
      <c r="H355" s="224" t="b">
        <v>0</v>
      </c>
      <c r="I355" s="224" t="b">
        <v>0</v>
      </c>
      <c r="K355" s="224">
        <v>117</v>
      </c>
      <c r="L355" s="224">
        <v>1</v>
      </c>
      <c r="M355" s="224">
        <v>1</v>
      </c>
      <c r="N355" s="224">
        <v>1</v>
      </c>
    </row>
    <row r="356" spans="6:14" x14ac:dyDescent="0.2">
      <c r="F356" s="224">
        <v>118</v>
      </c>
      <c r="G356" s="224" t="b">
        <v>0</v>
      </c>
      <c r="H356" s="224" t="b">
        <v>0</v>
      </c>
      <c r="I356" s="224" t="b">
        <v>0</v>
      </c>
      <c r="K356" s="224">
        <v>118</v>
      </c>
      <c r="L356" s="224">
        <v>1</v>
      </c>
      <c r="M356" s="224">
        <v>1</v>
      </c>
      <c r="N356" s="224">
        <v>1</v>
      </c>
    </row>
    <row r="357" spans="6:14" x14ac:dyDescent="0.2">
      <c r="F357" s="224">
        <v>119</v>
      </c>
      <c r="G357" s="224" t="b">
        <v>0</v>
      </c>
      <c r="H357" s="224" t="b">
        <v>0</v>
      </c>
      <c r="I357" s="224" t="b">
        <v>0</v>
      </c>
      <c r="K357" s="224">
        <v>119</v>
      </c>
      <c r="L357" s="224">
        <v>1</v>
      </c>
      <c r="M357" s="224">
        <v>1</v>
      </c>
      <c r="N357" s="224">
        <v>1</v>
      </c>
    </row>
    <row r="358" spans="6:14" x14ac:dyDescent="0.2">
      <c r="F358" s="224">
        <v>120</v>
      </c>
      <c r="G358" s="224" t="b">
        <v>0</v>
      </c>
      <c r="H358" s="224" t="b">
        <v>0</v>
      </c>
      <c r="I358" s="224" t="b">
        <v>0</v>
      </c>
      <c r="K358" s="224">
        <v>120</v>
      </c>
      <c r="L358" s="224">
        <v>1</v>
      </c>
      <c r="M358" s="224">
        <v>1</v>
      </c>
      <c r="N358" s="224">
        <v>1</v>
      </c>
    </row>
    <row r="359" spans="6:14" x14ac:dyDescent="0.2">
      <c r="F359" s="224">
        <v>121</v>
      </c>
      <c r="G359" s="224" t="b">
        <v>0</v>
      </c>
      <c r="H359" s="224" t="b">
        <v>0</v>
      </c>
      <c r="I359" s="224" t="b">
        <v>0</v>
      </c>
      <c r="K359" s="224">
        <v>121</v>
      </c>
      <c r="L359" s="224">
        <v>1</v>
      </c>
      <c r="M359" s="224">
        <v>1</v>
      </c>
      <c r="N359" s="224">
        <v>1</v>
      </c>
    </row>
    <row r="360" spans="6:14" x14ac:dyDescent="0.2">
      <c r="F360" s="224">
        <v>122</v>
      </c>
      <c r="G360" s="224" t="b">
        <v>0</v>
      </c>
      <c r="H360" s="224" t="b">
        <v>0</v>
      </c>
      <c r="I360" s="224" t="b">
        <v>0</v>
      </c>
      <c r="K360" s="224">
        <v>122</v>
      </c>
      <c r="L360" s="224">
        <v>1</v>
      </c>
      <c r="M360" s="224">
        <v>1</v>
      </c>
      <c r="N360" s="224">
        <v>1</v>
      </c>
    </row>
    <row r="361" spans="6:14" x14ac:dyDescent="0.2">
      <c r="F361" s="224">
        <v>123</v>
      </c>
      <c r="G361" s="224" t="b">
        <v>0</v>
      </c>
      <c r="H361" s="224" t="b">
        <v>0</v>
      </c>
      <c r="I361" s="224" t="b">
        <v>0</v>
      </c>
      <c r="K361" s="224">
        <v>123</v>
      </c>
      <c r="L361" s="224">
        <v>1</v>
      </c>
      <c r="M361" s="224">
        <v>1</v>
      </c>
      <c r="N361" s="224">
        <v>1</v>
      </c>
    </row>
    <row r="362" spans="6:14" x14ac:dyDescent="0.2">
      <c r="F362" s="224">
        <v>124</v>
      </c>
      <c r="G362" s="224" t="b">
        <v>0</v>
      </c>
      <c r="H362" s="224" t="b">
        <v>0</v>
      </c>
      <c r="I362" s="224" t="b">
        <v>0</v>
      </c>
      <c r="K362" s="224">
        <v>124</v>
      </c>
      <c r="L362" s="224">
        <v>1</v>
      </c>
      <c r="M362" s="224">
        <v>1</v>
      </c>
      <c r="N362" s="224">
        <v>1</v>
      </c>
    </row>
    <row r="363" spans="6:14" x14ac:dyDescent="0.2">
      <c r="F363" s="224">
        <v>125</v>
      </c>
      <c r="G363" s="224" t="b">
        <v>0</v>
      </c>
      <c r="H363" s="224" t="b">
        <v>0</v>
      </c>
      <c r="I363" s="224" t="b">
        <v>0</v>
      </c>
      <c r="K363" s="224">
        <v>125</v>
      </c>
      <c r="L363" s="224">
        <v>1</v>
      </c>
      <c r="M363" s="224">
        <v>1</v>
      </c>
      <c r="N363" s="224">
        <v>1</v>
      </c>
    </row>
    <row r="364" spans="6:14" x14ac:dyDescent="0.2">
      <c r="F364" s="224">
        <v>126</v>
      </c>
      <c r="G364" s="224" t="b">
        <v>0</v>
      </c>
      <c r="H364" s="224" t="b">
        <v>0</v>
      </c>
      <c r="I364" s="224" t="b">
        <v>0</v>
      </c>
      <c r="K364" s="224">
        <v>126</v>
      </c>
      <c r="L364" s="224">
        <v>1</v>
      </c>
      <c r="M364" s="224">
        <v>1</v>
      </c>
      <c r="N364" s="224">
        <v>1</v>
      </c>
    </row>
    <row r="365" spans="6:14" x14ac:dyDescent="0.2">
      <c r="F365" s="224">
        <v>127</v>
      </c>
      <c r="G365" s="224" t="b">
        <v>0</v>
      </c>
      <c r="H365" s="224" t="b">
        <v>0</v>
      </c>
      <c r="I365" s="224" t="b">
        <v>0</v>
      </c>
      <c r="K365" s="224">
        <v>127</v>
      </c>
      <c r="L365" s="224">
        <v>1</v>
      </c>
      <c r="M365" s="224">
        <v>1</v>
      </c>
      <c r="N365" s="224">
        <v>1</v>
      </c>
    </row>
    <row r="366" spans="6:14" x14ac:dyDescent="0.2">
      <c r="F366" s="224">
        <v>128</v>
      </c>
      <c r="G366" s="224" t="b">
        <v>0</v>
      </c>
      <c r="H366" s="224" t="b">
        <v>0</v>
      </c>
      <c r="I366" s="224" t="b">
        <v>0</v>
      </c>
      <c r="K366" s="224">
        <v>128</v>
      </c>
      <c r="L366" s="224">
        <v>1</v>
      </c>
      <c r="M366" s="224">
        <v>1</v>
      </c>
      <c r="N366" s="224">
        <v>1</v>
      </c>
    </row>
    <row r="367" spans="6:14" x14ac:dyDescent="0.2">
      <c r="F367" s="224">
        <v>129</v>
      </c>
      <c r="G367" s="224" t="b">
        <v>0</v>
      </c>
      <c r="H367" s="224" t="b">
        <v>0</v>
      </c>
      <c r="I367" s="224" t="b">
        <v>0</v>
      </c>
      <c r="K367" s="224">
        <v>129</v>
      </c>
      <c r="L367" s="224">
        <v>1</v>
      </c>
      <c r="M367" s="224">
        <v>1</v>
      </c>
      <c r="N367" s="224">
        <v>1</v>
      </c>
    </row>
    <row r="368" spans="6:14" x14ac:dyDescent="0.2">
      <c r="F368" s="224">
        <v>130</v>
      </c>
      <c r="G368" s="224" t="b">
        <v>0</v>
      </c>
      <c r="H368" s="224" t="b">
        <v>0</v>
      </c>
      <c r="I368" s="224" t="b">
        <v>0</v>
      </c>
      <c r="K368" s="224">
        <v>130</v>
      </c>
      <c r="L368" s="224">
        <v>1</v>
      </c>
      <c r="M368" s="224">
        <v>1</v>
      </c>
      <c r="N368" s="224">
        <v>1</v>
      </c>
    </row>
    <row r="369" spans="6:14" x14ac:dyDescent="0.2">
      <c r="F369" s="224">
        <v>131</v>
      </c>
      <c r="G369" s="224" t="b">
        <v>0</v>
      </c>
      <c r="H369" s="224" t="b">
        <v>0</v>
      </c>
      <c r="I369" s="224" t="b">
        <v>0</v>
      </c>
      <c r="K369" s="224">
        <v>131</v>
      </c>
      <c r="L369" s="224">
        <v>1</v>
      </c>
      <c r="M369" s="224">
        <v>1</v>
      </c>
      <c r="N369" s="224">
        <v>1</v>
      </c>
    </row>
    <row r="370" spans="6:14" x14ac:dyDescent="0.2">
      <c r="F370" s="224">
        <v>132</v>
      </c>
      <c r="G370" s="224" t="b">
        <v>0</v>
      </c>
      <c r="H370" s="224" t="b">
        <v>0</v>
      </c>
      <c r="I370" s="224" t="b">
        <v>0</v>
      </c>
      <c r="K370" s="224">
        <v>132</v>
      </c>
      <c r="L370" s="224">
        <v>1</v>
      </c>
      <c r="M370" s="224">
        <v>1</v>
      </c>
      <c r="N370" s="224">
        <v>1</v>
      </c>
    </row>
    <row r="371" spans="6:14" x14ac:dyDescent="0.2">
      <c r="F371" s="224">
        <v>133</v>
      </c>
      <c r="G371" s="224" t="b">
        <v>0</v>
      </c>
      <c r="H371" s="224" t="b">
        <v>0</v>
      </c>
      <c r="I371" s="224" t="b">
        <v>0</v>
      </c>
      <c r="K371" s="224">
        <v>133</v>
      </c>
      <c r="L371" s="224">
        <v>1</v>
      </c>
      <c r="M371" s="224">
        <v>1</v>
      </c>
      <c r="N371" s="224">
        <v>1</v>
      </c>
    </row>
    <row r="372" spans="6:14" x14ac:dyDescent="0.2">
      <c r="F372" s="224">
        <v>134</v>
      </c>
      <c r="G372" s="224" t="b">
        <v>0</v>
      </c>
      <c r="H372" s="224" t="b">
        <v>0</v>
      </c>
      <c r="I372" s="224" t="b">
        <v>0</v>
      </c>
      <c r="K372" s="224">
        <v>134</v>
      </c>
      <c r="L372" s="224">
        <v>1</v>
      </c>
      <c r="M372" s="224">
        <v>1</v>
      </c>
      <c r="N372" s="224">
        <v>1</v>
      </c>
    </row>
    <row r="373" spans="6:14" x14ac:dyDescent="0.2">
      <c r="F373" s="224">
        <v>135</v>
      </c>
      <c r="G373" s="224" t="b">
        <v>0</v>
      </c>
      <c r="H373" s="224" t="b">
        <v>0</v>
      </c>
      <c r="I373" s="224" t="b">
        <v>0</v>
      </c>
      <c r="K373" s="224">
        <v>135</v>
      </c>
      <c r="L373" s="224">
        <v>1</v>
      </c>
      <c r="M373" s="224">
        <v>1</v>
      </c>
      <c r="N373" s="224">
        <v>1</v>
      </c>
    </row>
    <row r="374" spans="6:14" x14ac:dyDescent="0.2">
      <c r="F374" s="224">
        <v>136</v>
      </c>
      <c r="G374" s="224" t="b">
        <v>0</v>
      </c>
      <c r="H374" s="224" t="b">
        <v>0</v>
      </c>
      <c r="I374" s="224" t="b">
        <v>0</v>
      </c>
      <c r="K374" s="224">
        <v>136</v>
      </c>
      <c r="L374" s="224">
        <v>1</v>
      </c>
      <c r="M374" s="224">
        <v>1</v>
      </c>
      <c r="N374" s="224">
        <v>1</v>
      </c>
    </row>
    <row r="375" spans="6:14" x14ac:dyDescent="0.2">
      <c r="F375" s="224">
        <v>137</v>
      </c>
      <c r="G375" s="224" t="b">
        <v>0</v>
      </c>
      <c r="H375" s="224" t="b">
        <v>0</v>
      </c>
      <c r="I375" s="224" t="b">
        <v>0</v>
      </c>
      <c r="K375" s="224">
        <v>137</v>
      </c>
      <c r="L375" s="224">
        <v>1</v>
      </c>
      <c r="M375" s="224">
        <v>1</v>
      </c>
      <c r="N375" s="224">
        <v>1</v>
      </c>
    </row>
    <row r="376" spans="6:14" x14ac:dyDescent="0.2">
      <c r="F376" s="224">
        <v>138</v>
      </c>
      <c r="G376" s="224" t="b">
        <v>0</v>
      </c>
      <c r="H376" s="224" t="b">
        <v>0</v>
      </c>
      <c r="I376" s="224" t="b">
        <v>0</v>
      </c>
      <c r="K376" s="224">
        <v>138</v>
      </c>
      <c r="L376" s="224">
        <v>1</v>
      </c>
      <c r="M376" s="224">
        <v>1</v>
      </c>
      <c r="N376" s="224">
        <v>1</v>
      </c>
    </row>
    <row r="377" spans="6:14" x14ac:dyDescent="0.2">
      <c r="F377" s="224">
        <v>139</v>
      </c>
      <c r="G377" s="224" t="b">
        <v>0</v>
      </c>
      <c r="H377" s="224" t="b">
        <v>0</v>
      </c>
      <c r="I377" s="224" t="b">
        <v>0</v>
      </c>
      <c r="K377" s="224">
        <v>139</v>
      </c>
      <c r="L377" s="224">
        <v>1</v>
      </c>
      <c r="M377" s="224">
        <v>1</v>
      </c>
      <c r="N377" s="224">
        <v>1</v>
      </c>
    </row>
    <row r="378" spans="6:14" x14ac:dyDescent="0.2">
      <c r="F378" s="224">
        <v>140</v>
      </c>
      <c r="G378" s="224" t="b">
        <v>0</v>
      </c>
      <c r="H378" s="224" t="b">
        <v>0</v>
      </c>
      <c r="I378" s="224" t="b">
        <v>0</v>
      </c>
      <c r="K378" s="224">
        <v>140</v>
      </c>
      <c r="L378" s="224">
        <v>1</v>
      </c>
      <c r="M378" s="224">
        <v>1</v>
      </c>
      <c r="N378" s="224">
        <v>1</v>
      </c>
    </row>
    <row r="379" spans="6:14" x14ac:dyDescent="0.2">
      <c r="F379" s="224">
        <v>141</v>
      </c>
      <c r="G379" s="224" t="b">
        <v>0</v>
      </c>
      <c r="H379" s="224" t="b">
        <v>0</v>
      </c>
      <c r="I379" s="224" t="b">
        <v>0</v>
      </c>
      <c r="K379" s="224">
        <v>141</v>
      </c>
      <c r="L379" s="224">
        <v>1</v>
      </c>
      <c r="M379" s="224">
        <v>1</v>
      </c>
      <c r="N379" s="224">
        <v>1</v>
      </c>
    </row>
    <row r="380" spans="6:14" x14ac:dyDescent="0.2">
      <c r="F380" s="224">
        <v>142</v>
      </c>
      <c r="G380" s="224" t="b">
        <v>0</v>
      </c>
      <c r="H380" s="224" t="b">
        <v>0</v>
      </c>
      <c r="I380" s="224" t="b">
        <v>0</v>
      </c>
      <c r="K380" s="224">
        <v>142</v>
      </c>
      <c r="L380" s="224">
        <v>1</v>
      </c>
      <c r="M380" s="224">
        <v>1</v>
      </c>
      <c r="N380" s="224">
        <v>1</v>
      </c>
    </row>
    <row r="381" spans="6:14" x14ac:dyDescent="0.2">
      <c r="F381" s="224">
        <v>143</v>
      </c>
      <c r="G381" s="224" t="b">
        <v>0</v>
      </c>
      <c r="H381" s="224" t="b">
        <v>0</v>
      </c>
      <c r="I381" s="224" t="b">
        <v>0</v>
      </c>
      <c r="K381" s="224">
        <v>143</v>
      </c>
      <c r="L381" s="224">
        <v>1</v>
      </c>
      <c r="M381" s="224">
        <v>1</v>
      </c>
      <c r="N381" s="224">
        <v>1</v>
      </c>
    </row>
    <row r="382" spans="6:14" x14ac:dyDescent="0.2">
      <c r="F382" s="224">
        <v>144</v>
      </c>
      <c r="G382" s="224" t="b">
        <v>0</v>
      </c>
      <c r="H382" s="224" t="b">
        <v>0</v>
      </c>
      <c r="I382" s="224" t="b">
        <v>0</v>
      </c>
      <c r="K382" s="224">
        <v>144</v>
      </c>
      <c r="L382" s="224">
        <v>1</v>
      </c>
      <c r="M382" s="224">
        <v>1</v>
      </c>
      <c r="N382" s="224">
        <v>1</v>
      </c>
    </row>
    <row r="383" spans="6:14" x14ac:dyDescent="0.2">
      <c r="F383" s="224">
        <v>145</v>
      </c>
      <c r="G383" s="224" t="b">
        <v>0</v>
      </c>
      <c r="H383" s="224" t="b">
        <v>0</v>
      </c>
      <c r="I383" s="224" t="b">
        <v>0</v>
      </c>
      <c r="K383" s="224">
        <v>145</v>
      </c>
      <c r="L383" s="224">
        <v>1</v>
      </c>
      <c r="M383" s="224">
        <v>1</v>
      </c>
      <c r="N383" s="224">
        <v>1</v>
      </c>
    </row>
    <row r="384" spans="6:14" x14ac:dyDescent="0.2">
      <c r="F384" s="224">
        <v>146</v>
      </c>
      <c r="G384" s="224" t="b">
        <v>0</v>
      </c>
      <c r="H384" s="224" t="b">
        <v>0</v>
      </c>
      <c r="I384" s="224" t="b">
        <v>0</v>
      </c>
      <c r="K384" s="224">
        <v>146</v>
      </c>
      <c r="L384" s="224">
        <v>1</v>
      </c>
      <c r="M384" s="224">
        <v>1</v>
      </c>
      <c r="N384" s="224">
        <v>1</v>
      </c>
    </row>
    <row r="385" spans="6:14" x14ac:dyDescent="0.2">
      <c r="F385" s="224">
        <v>147</v>
      </c>
      <c r="G385" s="224" t="b">
        <v>0</v>
      </c>
      <c r="H385" s="224" t="b">
        <v>0</v>
      </c>
      <c r="I385" s="224" t="b">
        <v>0</v>
      </c>
      <c r="K385" s="224">
        <v>147</v>
      </c>
      <c r="L385" s="224">
        <v>1</v>
      </c>
      <c r="M385" s="224">
        <v>1</v>
      </c>
      <c r="N385" s="224">
        <v>1</v>
      </c>
    </row>
    <row r="386" spans="6:14" x14ac:dyDescent="0.2">
      <c r="F386" s="224">
        <v>148</v>
      </c>
      <c r="G386" s="224" t="b">
        <v>0</v>
      </c>
      <c r="H386" s="224" t="b">
        <v>0</v>
      </c>
      <c r="I386" s="224" t="b">
        <v>0</v>
      </c>
      <c r="K386" s="224">
        <v>148</v>
      </c>
      <c r="L386" s="224">
        <v>1</v>
      </c>
      <c r="M386" s="224">
        <v>1</v>
      </c>
      <c r="N386" s="224">
        <v>1</v>
      </c>
    </row>
    <row r="387" spans="6:14" x14ac:dyDescent="0.2">
      <c r="F387" s="224">
        <v>149</v>
      </c>
      <c r="G387" s="224" t="b">
        <v>0</v>
      </c>
      <c r="H387" s="224" t="b">
        <v>0</v>
      </c>
      <c r="I387" s="224" t="b">
        <v>0</v>
      </c>
      <c r="K387" s="224">
        <v>149</v>
      </c>
      <c r="L387" s="224">
        <v>1</v>
      </c>
      <c r="M387" s="224">
        <v>1</v>
      </c>
      <c r="N387" s="224">
        <v>1</v>
      </c>
    </row>
    <row r="388" spans="6:14" x14ac:dyDescent="0.2">
      <c r="F388" s="224">
        <v>150</v>
      </c>
      <c r="G388" s="224" t="b">
        <v>0</v>
      </c>
      <c r="H388" s="224" t="b">
        <v>0</v>
      </c>
      <c r="I388" s="224" t="b">
        <v>0</v>
      </c>
      <c r="K388" s="224">
        <v>150</v>
      </c>
      <c r="L388" s="224">
        <v>1</v>
      </c>
      <c r="M388" s="224">
        <v>1</v>
      </c>
      <c r="N388" s="224">
        <v>1</v>
      </c>
    </row>
    <row r="389" spans="6:14" x14ac:dyDescent="0.2">
      <c r="F389" s="224">
        <v>151</v>
      </c>
      <c r="G389" s="224" t="b">
        <v>0</v>
      </c>
      <c r="H389" s="224" t="b">
        <v>0</v>
      </c>
      <c r="I389" s="224" t="b">
        <v>0</v>
      </c>
      <c r="K389" s="224">
        <v>151</v>
      </c>
      <c r="L389" s="224">
        <v>1</v>
      </c>
      <c r="M389" s="224">
        <v>1</v>
      </c>
      <c r="N389" s="224">
        <v>1</v>
      </c>
    </row>
    <row r="390" spans="6:14" x14ac:dyDescent="0.2">
      <c r="F390" s="224">
        <v>152</v>
      </c>
      <c r="G390" s="224" t="b">
        <v>0</v>
      </c>
      <c r="H390" s="224" t="b">
        <v>0</v>
      </c>
      <c r="I390" s="224" t="b">
        <v>0</v>
      </c>
      <c r="K390" s="224">
        <v>152</v>
      </c>
      <c r="L390" s="224">
        <v>1</v>
      </c>
      <c r="M390" s="224">
        <v>1</v>
      </c>
      <c r="N390" s="224">
        <v>1</v>
      </c>
    </row>
    <row r="391" spans="6:14" x14ac:dyDescent="0.2">
      <c r="F391" s="224">
        <v>153</v>
      </c>
      <c r="G391" s="224" t="b">
        <v>0</v>
      </c>
      <c r="H391" s="224" t="b">
        <v>0</v>
      </c>
      <c r="I391" s="224" t="b">
        <v>0</v>
      </c>
      <c r="K391" s="224">
        <v>153</v>
      </c>
      <c r="L391" s="224">
        <v>1</v>
      </c>
      <c r="M391" s="224">
        <v>1</v>
      </c>
      <c r="N391" s="224">
        <v>1</v>
      </c>
    </row>
    <row r="392" spans="6:14" x14ac:dyDescent="0.2">
      <c r="F392" s="224">
        <v>154</v>
      </c>
      <c r="G392" s="224" t="b">
        <v>0</v>
      </c>
      <c r="H392" s="224" t="b">
        <v>0</v>
      </c>
      <c r="I392" s="224" t="b">
        <v>0</v>
      </c>
      <c r="K392" s="224">
        <v>154</v>
      </c>
      <c r="L392" s="224">
        <v>1</v>
      </c>
      <c r="M392" s="224">
        <v>1</v>
      </c>
      <c r="N392" s="224">
        <v>1</v>
      </c>
    </row>
    <row r="393" spans="6:14" x14ac:dyDescent="0.2">
      <c r="F393" s="224">
        <v>155</v>
      </c>
      <c r="G393" s="224" t="b">
        <v>0</v>
      </c>
      <c r="H393" s="224" t="b">
        <v>0</v>
      </c>
      <c r="I393" s="224" t="b">
        <v>0</v>
      </c>
      <c r="K393" s="224">
        <v>155</v>
      </c>
      <c r="L393" s="224">
        <v>1</v>
      </c>
      <c r="M393" s="224">
        <v>1</v>
      </c>
      <c r="N393" s="224">
        <v>1</v>
      </c>
    </row>
    <row r="394" spans="6:14" x14ac:dyDescent="0.2">
      <c r="F394" s="224">
        <v>156</v>
      </c>
      <c r="G394" s="224" t="b">
        <v>0</v>
      </c>
      <c r="H394" s="224" t="b">
        <v>0</v>
      </c>
      <c r="I394" s="224" t="b">
        <v>0</v>
      </c>
      <c r="K394" s="224">
        <v>156</v>
      </c>
      <c r="L394" s="224">
        <v>1</v>
      </c>
      <c r="M394" s="224">
        <v>1</v>
      </c>
      <c r="N394" s="224">
        <v>1</v>
      </c>
    </row>
    <row r="395" spans="6:14" x14ac:dyDescent="0.2">
      <c r="F395" s="224">
        <v>157</v>
      </c>
      <c r="G395" s="224" t="b">
        <v>0</v>
      </c>
      <c r="H395" s="224" t="b">
        <v>0</v>
      </c>
      <c r="I395" s="224" t="b">
        <v>0</v>
      </c>
      <c r="K395" s="224">
        <v>157</v>
      </c>
      <c r="L395" s="224">
        <v>1</v>
      </c>
      <c r="M395" s="224">
        <v>1</v>
      </c>
      <c r="N395" s="224">
        <v>1</v>
      </c>
    </row>
    <row r="396" spans="6:14" x14ac:dyDescent="0.2">
      <c r="F396" s="224">
        <v>158</v>
      </c>
      <c r="G396" s="224" t="b">
        <v>0</v>
      </c>
      <c r="H396" s="224" t="b">
        <v>0</v>
      </c>
      <c r="I396" s="224" t="b">
        <v>0</v>
      </c>
      <c r="K396" s="224">
        <v>158</v>
      </c>
      <c r="L396" s="224">
        <v>1</v>
      </c>
      <c r="M396" s="224">
        <v>1</v>
      </c>
      <c r="N396" s="224">
        <v>1</v>
      </c>
    </row>
    <row r="397" spans="6:14" x14ac:dyDescent="0.2">
      <c r="F397" s="224">
        <v>159</v>
      </c>
      <c r="G397" s="224" t="b">
        <v>0</v>
      </c>
      <c r="H397" s="224" t="b">
        <v>0</v>
      </c>
      <c r="I397" s="224" t="b">
        <v>0</v>
      </c>
      <c r="K397" s="224">
        <v>159</v>
      </c>
      <c r="L397" s="224">
        <v>1</v>
      </c>
      <c r="M397" s="224">
        <v>1</v>
      </c>
      <c r="N397" s="224">
        <v>1</v>
      </c>
    </row>
    <row r="398" spans="6:14" x14ac:dyDescent="0.2">
      <c r="F398" s="224">
        <v>160</v>
      </c>
      <c r="G398" s="224" t="b">
        <v>0</v>
      </c>
      <c r="H398" s="224" t="b">
        <v>0</v>
      </c>
      <c r="I398" s="224" t="b">
        <v>0</v>
      </c>
      <c r="K398" s="224">
        <v>160</v>
      </c>
      <c r="L398" s="224">
        <v>1</v>
      </c>
      <c r="M398" s="224">
        <v>1</v>
      </c>
      <c r="N398" s="224">
        <v>1</v>
      </c>
    </row>
    <row r="399" spans="6:14" x14ac:dyDescent="0.2">
      <c r="F399" s="224">
        <v>161</v>
      </c>
      <c r="G399" s="224" t="b">
        <v>0</v>
      </c>
      <c r="H399" s="224" t="b">
        <v>0</v>
      </c>
      <c r="I399" s="224" t="b">
        <v>0</v>
      </c>
      <c r="K399" s="224">
        <v>161</v>
      </c>
      <c r="L399" s="224">
        <v>1</v>
      </c>
      <c r="M399" s="224">
        <v>1</v>
      </c>
      <c r="N399" s="224">
        <v>1</v>
      </c>
    </row>
    <row r="400" spans="6:14" x14ac:dyDescent="0.2">
      <c r="F400" s="224">
        <v>162</v>
      </c>
      <c r="G400" s="224" t="b">
        <v>0</v>
      </c>
      <c r="H400" s="224" t="b">
        <v>0</v>
      </c>
      <c r="I400" s="224" t="b">
        <v>0</v>
      </c>
      <c r="K400" s="224">
        <v>162</v>
      </c>
      <c r="L400" s="224">
        <v>1</v>
      </c>
      <c r="M400" s="224">
        <v>1</v>
      </c>
      <c r="N400" s="224">
        <v>1</v>
      </c>
    </row>
    <row r="401" spans="6:14" x14ac:dyDescent="0.2">
      <c r="F401" s="224">
        <v>163</v>
      </c>
      <c r="G401" s="224" t="b">
        <v>0</v>
      </c>
      <c r="H401" s="224" t="b">
        <v>0</v>
      </c>
      <c r="I401" s="224" t="b">
        <v>0</v>
      </c>
      <c r="K401" s="224">
        <v>163</v>
      </c>
      <c r="L401" s="224">
        <v>1</v>
      </c>
      <c r="M401" s="224">
        <v>1</v>
      </c>
      <c r="N401" s="224">
        <v>1</v>
      </c>
    </row>
    <row r="402" spans="6:14" x14ac:dyDescent="0.2">
      <c r="F402" s="224">
        <v>164</v>
      </c>
      <c r="G402" s="224" t="b">
        <v>0</v>
      </c>
      <c r="H402" s="224" t="b">
        <v>0</v>
      </c>
      <c r="I402" s="224" t="b">
        <v>0</v>
      </c>
      <c r="K402" s="224">
        <v>164</v>
      </c>
      <c r="L402" s="224">
        <v>1</v>
      </c>
      <c r="M402" s="224">
        <v>1</v>
      </c>
      <c r="N402" s="224">
        <v>1</v>
      </c>
    </row>
    <row r="403" spans="6:14" x14ac:dyDescent="0.2">
      <c r="F403" s="224">
        <v>165</v>
      </c>
      <c r="G403" s="224" t="b">
        <v>0</v>
      </c>
      <c r="H403" s="224" t="b">
        <v>0</v>
      </c>
      <c r="I403" s="224" t="b">
        <v>0</v>
      </c>
      <c r="K403" s="224">
        <v>165</v>
      </c>
      <c r="L403" s="224">
        <v>1</v>
      </c>
      <c r="M403" s="224">
        <v>1</v>
      </c>
      <c r="N403" s="224">
        <v>1</v>
      </c>
    </row>
    <row r="404" spans="6:14" x14ac:dyDescent="0.2">
      <c r="F404" s="224">
        <v>166</v>
      </c>
      <c r="G404" s="224" t="b">
        <v>0</v>
      </c>
      <c r="H404" s="224" t="b">
        <v>0</v>
      </c>
      <c r="I404" s="224" t="b">
        <v>0</v>
      </c>
      <c r="K404" s="224">
        <v>166</v>
      </c>
      <c r="L404" s="224">
        <v>1</v>
      </c>
      <c r="M404" s="224">
        <v>1</v>
      </c>
      <c r="N404" s="224">
        <v>1</v>
      </c>
    </row>
    <row r="405" spans="6:14" x14ac:dyDescent="0.2">
      <c r="F405" s="224">
        <v>167</v>
      </c>
      <c r="G405" s="224" t="b">
        <v>0</v>
      </c>
      <c r="H405" s="224" t="b">
        <v>0</v>
      </c>
      <c r="I405" s="224" t="b">
        <v>0</v>
      </c>
      <c r="K405" s="224">
        <v>167</v>
      </c>
      <c r="L405" s="224">
        <v>1</v>
      </c>
      <c r="M405" s="224">
        <v>1</v>
      </c>
      <c r="N405" s="224">
        <v>1</v>
      </c>
    </row>
    <row r="406" spans="6:14" x14ac:dyDescent="0.2">
      <c r="F406" s="224">
        <v>168</v>
      </c>
      <c r="G406" s="224" t="b">
        <v>0</v>
      </c>
      <c r="H406" s="224" t="b">
        <v>0</v>
      </c>
      <c r="I406" s="224" t="b">
        <v>0</v>
      </c>
      <c r="K406" s="224">
        <v>168</v>
      </c>
      <c r="L406" s="224">
        <v>1</v>
      </c>
      <c r="M406" s="224">
        <v>1</v>
      </c>
      <c r="N406" s="224">
        <v>1</v>
      </c>
    </row>
    <row r="407" spans="6:14" x14ac:dyDescent="0.2">
      <c r="F407" s="224">
        <v>169</v>
      </c>
      <c r="G407" s="224" t="b">
        <v>0</v>
      </c>
      <c r="H407" s="224" t="b">
        <v>0</v>
      </c>
      <c r="I407" s="224" t="b">
        <v>0</v>
      </c>
      <c r="K407" s="224">
        <v>169</v>
      </c>
      <c r="L407" s="224">
        <v>1</v>
      </c>
      <c r="M407" s="224">
        <v>1</v>
      </c>
      <c r="N407" s="224">
        <v>1</v>
      </c>
    </row>
    <row r="408" spans="6:14" x14ac:dyDescent="0.2">
      <c r="F408" s="224">
        <v>170</v>
      </c>
      <c r="G408" s="224" t="b">
        <v>0</v>
      </c>
      <c r="H408" s="224" t="b">
        <v>0</v>
      </c>
      <c r="I408" s="224" t="b">
        <v>0</v>
      </c>
      <c r="K408" s="224">
        <v>170</v>
      </c>
      <c r="L408" s="224">
        <v>1</v>
      </c>
      <c r="M408" s="224">
        <v>1</v>
      </c>
      <c r="N408" s="224">
        <v>1</v>
      </c>
    </row>
    <row r="409" spans="6:14" x14ac:dyDescent="0.2">
      <c r="F409" s="224">
        <v>171</v>
      </c>
      <c r="G409" s="224" t="b">
        <v>0</v>
      </c>
      <c r="H409" s="224" t="b">
        <v>0</v>
      </c>
      <c r="I409" s="224" t="b">
        <v>0</v>
      </c>
      <c r="K409" s="224">
        <v>171</v>
      </c>
      <c r="L409" s="224">
        <v>1</v>
      </c>
      <c r="M409" s="224">
        <v>1</v>
      </c>
      <c r="N409" s="224">
        <v>1</v>
      </c>
    </row>
    <row r="410" spans="6:14" x14ac:dyDescent="0.2">
      <c r="F410" s="224">
        <v>172</v>
      </c>
      <c r="G410" s="224" t="b">
        <v>0</v>
      </c>
      <c r="H410" s="224" t="b">
        <v>0</v>
      </c>
      <c r="I410" s="224" t="b">
        <v>0</v>
      </c>
      <c r="K410" s="224">
        <v>172</v>
      </c>
      <c r="L410" s="224">
        <v>1</v>
      </c>
      <c r="M410" s="224">
        <v>1</v>
      </c>
      <c r="N410" s="224">
        <v>1</v>
      </c>
    </row>
    <row r="411" spans="6:14" x14ac:dyDescent="0.2">
      <c r="F411" s="224">
        <v>173</v>
      </c>
      <c r="G411" s="224" t="b">
        <v>0</v>
      </c>
      <c r="H411" s="224" t="b">
        <v>0</v>
      </c>
      <c r="I411" s="224" t="b">
        <v>0</v>
      </c>
      <c r="K411" s="224">
        <v>173</v>
      </c>
      <c r="L411" s="224">
        <v>1</v>
      </c>
      <c r="M411" s="224">
        <v>1</v>
      </c>
      <c r="N411" s="224">
        <v>1</v>
      </c>
    </row>
    <row r="412" spans="6:14" x14ac:dyDescent="0.2">
      <c r="F412" s="224">
        <v>174</v>
      </c>
      <c r="G412" s="224" t="b">
        <v>0</v>
      </c>
      <c r="H412" s="224" t="b">
        <v>0</v>
      </c>
      <c r="I412" s="224" t="b">
        <v>0</v>
      </c>
      <c r="K412" s="224">
        <v>174</v>
      </c>
      <c r="L412" s="224">
        <v>1</v>
      </c>
      <c r="M412" s="224">
        <v>1</v>
      </c>
      <c r="N412" s="224">
        <v>1</v>
      </c>
    </row>
    <row r="413" spans="6:14" x14ac:dyDescent="0.2">
      <c r="F413" s="224">
        <v>175</v>
      </c>
      <c r="G413" s="224" t="b">
        <v>0</v>
      </c>
      <c r="H413" s="224" t="b">
        <v>0</v>
      </c>
      <c r="I413" s="224" t="b">
        <v>0</v>
      </c>
      <c r="K413" s="224">
        <v>175</v>
      </c>
      <c r="L413" s="224">
        <v>1</v>
      </c>
      <c r="M413" s="224">
        <v>1</v>
      </c>
      <c r="N413" s="224">
        <v>1</v>
      </c>
    </row>
    <row r="414" spans="6:14" x14ac:dyDescent="0.2">
      <c r="F414" s="224">
        <v>176</v>
      </c>
      <c r="G414" s="224" t="b">
        <v>0</v>
      </c>
      <c r="H414" s="224" t="b">
        <v>0</v>
      </c>
      <c r="I414" s="224" t="b">
        <v>0</v>
      </c>
      <c r="K414" s="224">
        <v>176</v>
      </c>
      <c r="L414" s="224">
        <v>1</v>
      </c>
      <c r="M414" s="224">
        <v>1</v>
      </c>
      <c r="N414" s="224">
        <v>1</v>
      </c>
    </row>
    <row r="415" spans="6:14" x14ac:dyDescent="0.2">
      <c r="F415" s="224">
        <v>177</v>
      </c>
      <c r="G415" s="224" t="b">
        <v>0</v>
      </c>
      <c r="H415" s="224" t="b">
        <v>0</v>
      </c>
      <c r="I415" s="224" t="b">
        <v>0</v>
      </c>
      <c r="K415" s="224">
        <v>177</v>
      </c>
      <c r="L415" s="224">
        <v>1</v>
      </c>
      <c r="M415" s="224">
        <v>1</v>
      </c>
      <c r="N415" s="224">
        <v>1</v>
      </c>
    </row>
    <row r="416" spans="6:14" x14ac:dyDescent="0.2">
      <c r="F416" s="224">
        <v>178</v>
      </c>
      <c r="G416" s="224" t="b">
        <v>0</v>
      </c>
      <c r="H416" s="224" t="b">
        <v>0</v>
      </c>
      <c r="I416" s="224" t="b">
        <v>0</v>
      </c>
      <c r="K416" s="224">
        <v>178</v>
      </c>
      <c r="L416" s="224">
        <v>1</v>
      </c>
      <c r="M416" s="224">
        <v>1</v>
      </c>
      <c r="N416" s="224">
        <v>1</v>
      </c>
    </row>
    <row r="417" spans="6:14" x14ac:dyDescent="0.2">
      <c r="F417" s="224">
        <v>179</v>
      </c>
      <c r="G417" s="224" t="b">
        <v>0</v>
      </c>
      <c r="H417" s="224" t="b">
        <v>0</v>
      </c>
      <c r="I417" s="224" t="b">
        <v>0</v>
      </c>
      <c r="K417" s="224">
        <v>179</v>
      </c>
      <c r="L417" s="224">
        <v>1</v>
      </c>
      <c r="M417" s="224">
        <v>1</v>
      </c>
      <c r="N417" s="224">
        <v>1</v>
      </c>
    </row>
    <row r="418" spans="6:14" x14ac:dyDescent="0.2">
      <c r="F418" s="224">
        <v>180</v>
      </c>
      <c r="G418" s="224" t="b">
        <v>0</v>
      </c>
      <c r="H418" s="224" t="b">
        <v>0</v>
      </c>
      <c r="I418" s="224" t="b">
        <v>0</v>
      </c>
      <c r="K418" s="224">
        <v>180</v>
      </c>
      <c r="L418" s="224">
        <v>1</v>
      </c>
      <c r="M418" s="224">
        <v>1</v>
      </c>
      <c r="N418" s="224">
        <v>1</v>
      </c>
    </row>
    <row r="419" spans="6:14" x14ac:dyDescent="0.2">
      <c r="F419" s="224">
        <v>181</v>
      </c>
      <c r="G419" s="224" t="b">
        <v>0</v>
      </c>
      <c r="H419" s="224" t="b">
        <v>0</v>
      </c>
      <c r="I419" s="224" t="b">
        <v>0</v>
      </c>
      <c r="K419" s="224">
        <v>181</v>
      </c>
      <c r="L419" s="224">
        <v>1</v>
      </c>
      <c r="M419" s="224">
        <v>1</v>
      </c>
      <c r="N419" s="224">
        <v>1</v>
      </c>
    </row>
    <row r="420" spans="6:14" x14ac:dyDescent="0.2">
      <c r="F420" s="224">
        <v>182</v>
      </c>
      <c r="G420" s="224" t="b">
        <v>0</v>
      </c>
      <c r="H420" s="224" t="b">
        <v>0</v>
      </c>
      <c r="I420" s="224" t="b">
        <v>0</v>
      </c>
      <c r="K420" s="224">
        <v>182</v>
      </c>
      <c r="L420" s="224">
        <v>1</v>
      </c>
      <c r="M420" s="224">
        <v>1</v>
      </c>
      <c r="N420" s="224">
        <v>1</v>
      </c>
    </row>
    <row r="421" spans="6:14" x14ac:dyDescent="0.2">
      <c r="F421" s="224">
        <v>183</v>
      </c>
      <c r="G421" s="224" t="b">
        <v>0</v>
      </c>
      <c r="H421" s="224" t="b">
        <v>0</v>
      </c>
      <c r="I421" s="224" t="b">
        <v>0</v>
      </c>
      <c r="K421" s="224">
        <v>183</v>
      </c>
      <c r="L421" s="224">
        <v>1</v>
      </c>
      <c r="M421" s="224">
        <v>1</v>
      </c>
      <c r="N421" s="224">
        <v>1</v>
      </c>
    </row>
    <row r="422" spans="6:14" x14ac:dyDescent="0.2">
      <c r="F422" s="224">
        <v>184</v>
      </c>
      <c r="G422" s="224" t="b">
        <v>0</v>
      </c>
      <c r="H422" s="224" t="b">
        <v>0</v>
      </c>
      <c r="I422" s="224" t="b">
        <v>0</v>
      </c>
      <c r="K422" s="224">
        <v>184</v>
      </c>
      <c r="L422" s="224">
        <v>1</v>
      </c>
      <c r="M422" s="224">
        <v>1</v>
      </c>
      <c r="N422" s="224">
        <v>1</v>
      </c>
    </row>
    <row r="423" spans="6:14" x14ac:dyDescent="0.2">
      <c r="F423" s="224">
        <v>185</v>
      </c>
      <c r="G423" s="224" t="b">
        <v>0</v>
      </c>
      <c r="H423" s="224" t="b">
        <v>0</v>
      </c>
      <c r="I423" s="224" t="b">
        <v>0</v>
      </c>
      <c r="K423" s="224">
        <v>185</v>
      </c>
      <c r="L423" s="224">
        <v>1</v>
      </c>
      <c r="M423" s="224">
        <v>1</v>
      </c>
      <c r="N423" s="224">
        <v>1</v>
      </c>
    </row>
    <row r="424" spans="6:14" x14ac:dyDescent="0.2">
      <c r="F424" s="224">
        <v>186</v>
      </c>
      <c r="G424" s="224" t="b">
        <v>0</v>
      </c>
      <c r="H424" s="224" t="b">
        <v>0</v>
      </c>
      <c r="I424" s="224" t="b">
        <v>0</v>
      </c>
      <c r="K424" s="224">
        <v>186</v>
      </c>
      <c r="L424" s="224">
        <v>1</v>
      </c>
      <c r="M424" s="224">
        <v>1</v>
      </c>
      <c r="N424" s="224">
        <v>1</v>
      </c>
    </row>
    <row r="425" spans="6:14" x14ac:dyDescent="0.2">
      <c r="F425" s="224">
        <v>187</v>
      </c>
      <c r="G425" s="224" t="b">
        <v>0</v>
      </c>
      <c r="H425" s="224" t="b">
        <v>0</v>
      </c>
      <c r="I425" s="224" t="b">
        <v>0</v>
      </c>
      <c r="K425" s="224">
        <v>187</v>
      </c>
      <c r="L425" s="224">
        <v>1</v>
      </c>
      <c r="M425" s="224">
        <v>1</v>
      </c>
      <c r="N425" s="224">
        <v>1</v>
      </c>
    </row>
    <row r="426" spans="6:14" x14ac:dyDescent="0.2">
      <c r="F426" s="224">
        <v>188</v>
      </c>
      <c r="G426" s="224" t="b">
        <v>0</v>
      </c>
      <c r="H426" s="224" t="b">
        <v>0</v>
      </c>
      <c r="I426" s="224" t="b">
        <v>0</v>
      </c>
      <c r="K426" s="224">
        <v>188</v>
      </c>
      <c r="L426" s="224">
        <v>1</v>
      </c>
      <c r="M426" s="224">
        <v>1</v>
      </c>
      <c r="N426" s="224">
        <v>1</v>
      </c>
    </row>
    <row r="427" spans="6:14" x14ac:dyDescent="0.2">
      <c r="F427" s="224">
        <v>189</v>
      </c>
      <c r="G427" s="224" t="b">
        <v>0</v>
      </c>
      <c r="H427" s="224" t="b">
        <v>0</v>
      </c>
      <c r="I427" s="224" t="b">
        <v>0</v>
      </c>
      <c r="K427" s="224">
        <v>189</v>
      </c>
      <c r="L427" s="224">
        <v>1</v>
      </c>
      <c r="M427" s="224">
        <v>1</v>
      </c>
      <c r="N427" s="224">
        <v>1</v>
      </c>
    </row>
    <row r="428" spans="6:14" x14ac:dyDescent="0.2">
      <c r="F428" s="224">
        <v>190</v>
      </c>
      <c r="G428" s="224" t="b">
        <v>0</v>
      </c>
      <c r="H428" s="224" t="b">
        <v>0</v>
      </c>
      <c r="I428" s="224" t="b">
        <v>0</v>
      </c>
      <c r="K428" s="224">
        <v>190</v>
      </c>
      <c r="L428" s="224">
        <v>1</v>
      </c>
      <c r="M428" s="224">
        <v>1</v>
      </c>
      <c r="N428" s="224">
        <v>1</v>
      </c>
    </row>
    <row r="429" spans="6:14" x14ac:dyDescent="0.2">
      <c r="F429" s="224">
        <v>191</v>
      </c>
      <c r="G429" s="224" t="b">
        <v>0</v>
      </c>
      <c r="H429" s="224" t="b">
        <v>0</v>
      </c>
      <c r="I429" s="224" t="b">
        <v>0</v>
      </c>
      <c r="K429" s="224">
        <v>191</v>
      </c>
      <c r="L429" s="224">
        <v>1</v>
      </c>
      <c r="M429" s="224">
        <v>1</v>
      </c>
      <c r="N429" s="224">
        <v>1</v>
      </c>
    </row>
    <row r="430" spans="6:14" x14ac:dyDescent="0.2">
      <c r="F430" s="224">
        <v>192</v>
      </c>
      <c r="G430" s="224" t="b">
        <v>0</v>
      </c>
      <c r="H430" s="224" t="b">
        <v>0</v>
      </c>
      <c r="I430" s="224" t="b">
        <v>0</v>
      </c>
      <c r="K430" s="224">
        <v>192</v>
      </c>
      <c r="L430" s="224">
        <v>1</v>
      </c>
      <c r="M430" s="224">
        <v>1</v>
      </c>
      <c r="N430" s="224">
        <v>1</v>
      </c>
    </row>
    <row r="431" spans="6:14" x14ac:dyDescent="0.2">
      <c r="F431" s="224">
        <v>193</v>
      </c>
      <c r="G431" s="224" t="b">
        <v>0</v>
      </c>
      <c r="H431" s="224" t="b">
        <v>0</v>
      </c>
      <c r="I431" s="224" t="b">
        <v>0</v>
      </c>
      <c r="K431" s="224">
        <v>193</v>
      </c>
      <c r="L431" s="224">
        <v>1</v>
      </c>
      <c r="M431" s="224">
        <v>1</v>
      </c>
      <c r="N431" s="224">
        <v>1</v>
      </c>
    </row>
    <row r="432" spans="6:14" x14ac:dyDescent="0.2">
      <c r="F432" s="224">
        <v>194</v>
      </c>
      <c r="G432" s="224" t="b">
        <v>0</v>
      </c>
      <c r="H432" s="224" t="b">
        <v>0</v>
      </c>
      <c r="I432" s="224" t="b">
        <v>0</v>
      </c>
      <c r="K432" s="224">
        <v>194</v>
      </c>
      <c r="L432" s="224">
        <v>1</v>
      </c>
      <c r="M432" s="224">
        <v>1</v>
      </c>
      <c r="N432" s="224">
        <v>1</v>
      </c>
    </row>
    <row r="433" spans="1:201" x14ac:dyDescent="0.2">
      <c r="F433" s="224">
        <v>195</v>
      </c>
      <c r="G433" s="224" t="b">
        <v>0</v>
      </c>
      <c r="H433" s="224" t="b">
        <v>0</v>
      </c>
      <c r="I433" s="224" t="b">
        <v>0</v>
      </c>
      <c r="K433" s="224">
        <v>195</v>
      </c>
      <c r="L433" s="224">
        <v>1</v>
      </c>
      <c r="M433" s="224">
        <v>1</v>
      </c>
      <c r="N433" s="224">
        <v>1</v>
      </c>
    </row>
    <row r="434" spans="1:201" x14ac:dyDescent="0.2">
      <c r="F434" s="224">
        <v>196</v>
      </c>
      <c r="G434" s="224" t="b">
        <v>0</v>
      </c>
      <c r="H434" s="224" t="b">
        <v>0</v>
      </c>
      <c r="I434" s="224" t="b">
        <v>0</v>
      </c>
      <c r="K434" s="224">
        <v>196</v>
      </c>
      <c r="L434" s="224">
        <v>1</v>
      </c>
      <c r="M434" s="224">
        <v>1</v>
      </c>
      <c r="N434" s="224">
        <v>1</v>
      </c>
    </row>
    <row r="435" spans="1:201" x14ac:dyDescent="0.2">
      <c r="F435" s="224">
        <v>197</v>
      </c>
      <c r="G435" s="224" t="b">
        <v>0</v>
      </c>
      <c r="H435" s="224" t="b">
        <v>0</v>
      </c>
      <c r="I435" s="224" t="b">
        <v>0</v>
      </c>
      <c r="K435" s="224">
        <v>197</v>
      </c>
      <c r="L435" s="224">
        <v>1</v>
      </c>
      <c r="M435" s="224">
        <v>1</v>
      </c>
      <c r="N435" s="224">
        <v>1</v>
      </c>
    </row>
    <row r="436" spans="1:201" x14ac:dyDescent="0.2">
      <c r="F436" s="224">
        <v>198</v>
      </c>
      <c r="G436" s="224" t="b">
        <v>0</v>
      </c>
      <c r="H436" s="224" t="b">
        <v>0</v>
      </c>
      <c r="I436" s="224" t="b">
        <v>0</v>
      </c>
      <c r="K436" s="224">
        <v>198</v>
      </c>
      <c r="L436" s="224">
        <v>1</v>
      </c>
      <c r="M436" s="224">
        <v>1</v>
      </c>
      <c r="N436" s="224">
        <v>1</v>
      </c>
    </row>
    <row r="437" spans="1:201" x14ac:dyDescent="0.2">
      <c r="F437" s="224">
        <v>199</v>
      </c>
      <c r="G437" s="224" t="b">
        <v>0</v>
      </c>
      <c r="H437" s="224" t="b">
        <v>0</v>
      </c>
      <c r="I437" s="224" t="b">
        <v>0</v>
      </c>
      <c r="K437" s="224">
        <v>199</v>
      </c>
      <c r="L437" s="224">
        <v>1</v>
      </c>
      <c r="M437" s="224">
        <v>1</v>
      </c>
      <c r="N437" s="224">
        <v>1</v>
      </c>
    </row>
    <row r="438" spans="1:201" x14ac:dyDescent="0.2">
      <c r="F438" s="224">
        <v>200</v>
      </c>
      <c r="G438" s="224" t="b">
        <v>0</v>
      </c>
      <c r="H438" s="224" t="b">
        <v>0</v>
      </c>
      <c r="I438" s="224" t="b">
        <v>0</v>
      </c>
      <c r="K438" s="224">
        <v>200</v>
      </c>
      <c r="L438" s="224">
        <v>1</v>
      </c>
      <c r="M438" s="224">
        <v>1</v>
      </c>
      <c r="N438" s="224">
        <v>1</v>
      </c>
    </row>
    <row r="440" spans="1:201" x14ac:dyDescent="0.2">
      <c r="A440" s="223" t="s">
        <v>115</v>
      </c>
      <c r="B440" s="223">
        <f>IF(G239,1,0)</f>
        <v>0</v>
      </c>
      <c r="C440" s="223">
        <f>IF(G240,1,0)</f>
        <v>0</v>
      </c>
      <c r="D440" s="223">
        <f>IF(G241,1,0)</f>
        <v>0</v>
      </c>
      <c r="E440" s="223">
        <f>IF(G242,1,0)</f>
        <v>0</v>
      </c>
      <c r="F440" s="223">
        <f>IF(G243,1,0)</f>
        <v>0</v>
      </c>
      <c r="G440" s="223">
        <f>IF(G244,1,0)</f>
        <v>0</v>
      </c>
      <c r="H440" s="223">
        <f>IF(G245,1,0)</f>
        <v>0</v>
      </c>
      <c r="I440" s="223">
        <f>IF(G246,1,0)</f>
        <v>0</v>
      </c>
      <c r="J440" s="223">
        <f>IF(G247,1,0)</f>
        <v>0</v>
      </c>
      <c r="K440" s="223">
        <f>IF(G248,1,0)</f>
        <v>0</v>
      </c>
      <c r="L440" s="223">
        <f>IF(G249,1,0)</f>
        <v>0</v>
      </c>
      <c r="M440" s="223">
        <f>IF(G250,1,0)</f>
        <v>0</v>
      </c>
      <c r="N440" s="223">
        <f>IF(G251,1,0)</f>
        <v>0</v>
      </c>
      <c r="O440" s="223">
        <f>IF(G252,1,0)</f>
        <v>0</v>
      </c>
      <c r="P440" s="223">
        <f>IF(G253,1,0)</f>
        <v>0</v>
      </c>
      <c r="Q440" s="223">
        <f>IF(G254,1,0)</f>
        <v>0</v>
      </c>
      <c r="R440" s="223">
        <f>IF(G255,1,0)</f>
        <v>0</v>
      </c>
      <c r="S440" s="223">
        <f>IF(G256,1,0)</f>
        <v>0</v>
      </c>
      <c r="T440" s="223">
        <f>IF(G257,1,0)</f>
        <v>0</v>
      </c>
      <c r="U440" s="223">
        <f>IF(G258,1,0)</f>
        <v>0</v>
      </c>
      <c r="V440" s="223">
        <f>IF(G259,1,0)</f>
        <v>0</v>
      </c>
      <c r="W440" s="223">
        <f>IF(G260,1,0)</f>
        <v>0</v>
      </c>
      <c r="X440" s="223">
        <f>IF(G261,1,0)</f>
        <v>0</v>
      </c>
      <c r="Y440" s="223">
        <f>IF(G262,1,0)</f>
        <v>0</v>
      </c>
      <c r="Z440" s="223">
        <f>IF(G263,1,0)</f>
        <v>0</v>
      </c>
      <c r="AA440" s="223">
        <f>IF(G264,1,0)</f>
        <v>0</v>
      </c>
      <c r="AB440" s="223">
        <f>IF(G265,1,0)</f>
        <v>0</v>
      </c>
      <c r="AC440" s="223">
        <f>IF(G266,1,0)</f>
        <v>0</v>
      </c>
      <c r="AD440" s="223">
        <f>IF(G267,1,0)</f>
        <v>0</v>
      </c>
      <c r="AE440" s="223">
        <f>IF(G268,1,0)</f>
        <v>0</v>
      </c>
      <c r="AF440" s="223">
        <f>IF(G269,1,0)</f>
        <v>0</v>
      </c>
      <c r="AG440" s="223">
        <f>IF(G270,1,0)</f>
        <v>0</v>
      </c>
      <c r="AH440" s="223">
        <f>IF(G271,1,0)</f>
        <v>0</v>
      </c>
      <c r="AI440" s="223">
        <f>IF(G272,1,0)</f>
        <v>0</v>
      </c>
      <c r="AJ440" s="223">
        <f>IF(G273,1,0)</f>
        <v>0</v>
      </c>
      <c r="AK440" s="223">
        <f>IF(G274,1,0)</f>
        <v>0</v>
      </c>
      <c r="AL440" s="223">
        <f>IF(G275,1,0)</f>
        <v>0</v>
      </c>
      <c r="AM440" s="223">
        <f>IF(G276,1,0)</f>
        <v>0</v>
      </c>
      <c r="AN440" s="223">
        <f>IF(G277,1,0)</f>
        <v>0</v>
      </c>
      <c r="AO440" s="223">
        <f>IF(G278,1,0)</f>
        <v>0</v>
      </c>
      <c r="AP440" s="223">
        <f>IF(G279,1,0)</f>
        <v>0</v>
      </c>
      <c r="AQ440" s="223">
        <f>IF(G280,1,0)</f>
        <v>0</v>
      </c>
      <c r="AR440" s="223">
        <f>IF(G281,1,0)</f>
        <v>0</v>
      </c>
      <c r="AS440" s="223">
        <f>IF(G282,1,0)</f>
        <v>0</v>
      </c>
      <c r="AT440" s="223">
        <f>IF(G283,1,0)</f>
        <v>0</v>
      </c>
      <c r="AU440" s="223">
        <f>IF(G284,1,0)</f>
        <v>0</v>
      </c>
      <c r="AV440" s="223">
        <f>IF(G285,1,0)</f>
        <v>0</v>
      </c>
      <c r="AW440" s="223">
        <f>IF(G286,1,0)</f>
        <v>0</v>
      </c>
      <c r="AX440" s="223">
        <f>IF(G287,1,0)</f>
        <v>0</v>
      </c>
      <c r="AY440" s="223">
        <f>IF(G288,1,0)</f>
        <v>0</v>
      </c>
      <c r="AZ440" s="223">
        <f>IF(G289,1,0)</f>
        <v>0</v>
      </c>
      <c r="BA440" s="223">
        <f>IF(G290,1,0)</f>
        <v>0</v>
      </c>
      <c r="BB440" s="223">
        <f>IF(G291,1,0)</f>
        <v>0</v>
      </c>
      <c r="BC440" s="223">
        <f>IF(G292,1,0)</f>
        <v>0</v>
      </c>
      <c r="BD440" s="223">
        <f>IF(G293,1,0)</f>
        <v>0</v>
      </c>
      <c r="BE440" s="223">
        <f>IF(G294,1,0)</f>
        <v>0</v>
      </c>
      <c r="BF440" s="223">
        <f>IF(G295,1,0)</f>
        <v>0</v>
      </c>
      <c r="BG440" s="223">
        <f>IF(G296,1,0)</f>
        <v>0</v>
      </c>
      <c r="BH440" s="223">
        <f>IF(G297,1,0)</f>
        <v>0</v>
      </c>
      <c r="BI440" s="223">
        <f>IF(G298,1,0)</f>
        <v>0</v>
      </c>
      <c r="BJ440" s="223">
        <f>IF(G299,1,0)</f>
        <v>0</v>
      </c>
      <c r="BK440" s="223">
        <f>IF(G300,1,0)</f>
        <v>0</v>
      </c>
      <c r="BL440" s="223">
        <f>IF(G301,1,0)</f>
        <v>0</v>
      </c>
      <c r="BM440" s="223">
        <f>IF(G302,1,0)</f>
        <v>0</v>
      </c>
      <c r="BN440" s="223">
        <f>IF(G303,1,0)</f>
        <v>0</v>
      </c>
      <c r="BO440" s="223">
        <f>IF(G304,1,0)</f>
        <v>0</v>
      </c>
      <c r="BP440" s="223">
        <f>IF(G305,1,0)</f>
        <v>0</v>
      </c>
      <c r="BQ440" s="223">
        <f>IF(G306,1,0)</f>
        <v>0</v>
      </c>
      <c r="BR440" s="223">
        <f>IF(G307,1,0)</f>
        <v>0</v>
      </c>
      <c r="BS440" s="223">
        <f>IF(G308,1,0)</f>
        <v>0</v>
      </c>
      <c r="BT440" s="223">
        <f>IF(G309,1,0)</f>
        <v>0</v>
      </c>
      <c r="BU440" s="223">
        <f>IF(G310,1,0)</f>
        <v>0</v>
      </c>
      <c r="BV440" s="223">
        <f>IF(G311,1,0)</f>
        <v>0</v>
      </c>
      <c r="BW440" s="223">
        <f>IF(G312,1,0)</f>
        <v>0</v>
      </c>
      <c r="BX440" s="223">
        <f>IF(G313,1,0)</f>
        <v>0</v>
      </c>
      <c r="BY440" s="223">
        <f>IF(G314,1,0)</f>
        <v>0</v>
      </c>
      <c r="BZ440" s="223">
        <f>IF(G315,1,0)</f>
        <v>0</v>
      </c>
      <c r="CA440" s="223">
        <f>IF(G316,1,0)</f>
        <v>0</v>
      </c>
      <c r="CB440" s="223">
        <f>IF(G317,1,0)</f>
        <v>0</v>
      </c>
      <c r="CC440" s="223">
        <f>IF(G318,1,0)</f>
        <v>0</v>
      </c>
      <c r="CD440" s="223">
        <f>IF(G319,1,0)</f>
        <v>0</v>
      </c>
      <c r="CE440" s="223">
        <f>IF(G320,1,0)</f>
        <v>0</v>
      </c>
      <c r="CF440" s="223">
        <f>IF(G321,1,0)</f>
        <v>0</v>
      </c>
      <c r="CG440" s="223">
        <f>IF(G322,1,0)</f>
        <v>0</v>
      </c>
      <c r="CH440" s="223">
        <f>IF(G323,1,0)</f>
        <v>0</v>
      </c>
      <c r="CI440" s="223">
        <f>IF(G324,1,0)</f>
        <v>0</v>
      </c>
      <c r="CJ440" s="223">
        <f>IF(G325,1,0)</f>
        <v>0</v>
      </c>
      <c r="CK440" s="223">
        <f>IF(G326,1,0)</f>
        <v>0</v>
      </c>
      <c r="CL440" s="223">
        <f>IF(G327,1,0)</f>
        <v>0</v>
      </c>
      <c r="CM440" s="223">
        <f>IF(G328,1,0)</f>
        <v>0</v>
      </c>
      <c r="CN440" s="223">
        <f>IF(G329,1,0)</f>
        <v>0</v>
      </c>
      <c r="CO440" s="223">
        <f>IF(G330,1,0)</f>
        <v>0</v>
      </c>
      <c r="CP440" s="223">
        <f>IF(G331,1,0)</f>
        <v>0</v>
      </c>
      <c r="CQ440" s="223">
        <f>IF(G332,1,0)</f>
        <v>0</v>
      </c>
      <c r="CR440" s="223">
        <f>IF(G333,1,0)</f>
        <v>0</v>
      </c>
      <c r="CS440" s="223">
        <f>IF(G334,1,0)</f>
        <v>0</v>
      </c>
      <c r="CT440" s="223">
        <f>IF(G335,1,0)</f>
        <v>0</v>
      </c>
      <c r="CU440" s="223">
        <f>IF(G336,1,0)</f>
        <v>0</v>
      </c>
      <c r="CV440" s="223">
        <f>IF(G337,1,0)</f>
        <v>0</v>
      </c>
      <c r="CW440" s="223">
        <f>IF(G338,1,0)</f>
        <v>0</v>
      </c>
      <c r="CX440" s="223">
        <f>IF(G339,1,0)</f>
        <v>0</v>
      </c>
      <c r="CY440" s="223">
        <f>IF(G340,1,0)</f>
        <v>0</v>
      </c>
      <c r="CZ440" s="223">
        <f>IF(G341,1,0)</f>
        <v>0</v>
      </c>
      <c r="DA440" s="223">
        <f>IF(G342,1,0)</f>
        <v>0</v>
      </c>
      <c r="DB440" s="223">
        <f>IF(G343,1,0)</f>
        <v>0</v>
      </c>
      <c r="DC440" s="223">
        <f>IF(G344,1,0)</f>
        <v>0</v>
      </c>
      <c r="DD440" s="223">
        <f>IF(G345,1,0)</f>
        <v>0</v>
      </c>
      <c r="DE440" s="223">
        <f>IF(G346,1,0)</f>
        <v>0</v>
      </c>
      <c r="DF440" s="223">
        <f>IF(G347,1,0)</f>
        <v>0</v>
      </c>
      <c r="DG440" s="223">
        <f>IF(G348,1,0)</f>
        <v>0</v>
      </c>
      <c r="DH440" s="223">
        <f>IF(G349,1,0)</f>
        <v>0</v>
      </c>
      <c r="DI440" s="223">
        <f>IF(G350,1,0)</f>
        <v>0</v>
      </c>
      <c r="DJ440" s="223">
        <f>IF(G351,1,0)</f>
        <v>0</v>
      </c>
      <c r="DK440" s="223">
        <f>IF(G352,1,0)</f>
        <v>0</v>
      </c>
      <c r="DL440" s="223">
        <f>IF(G353,1,0)</f>
        <v>0</v>
      </c>
      <c r="DM440" s="223">
        <f>IF(G354,1,0)</f>
        <v>0</v>
      </c>
      <c r="DN440" s="223">
        <f>IF(G355,1,0)</f>
        <v>0</v>
      </c>
      <c r="DO440" s="223">
        <f>IF(G356,1,0)</f>
        <v>0</v>
      </c>
      <c r="DP440" s="223">
        <f>IF(G357,1,0)</f>
        <v>0</v>
      </c>
      <c r="DQ440" s="223">
        <f>IF(G358,1,0)</f>
        <v>0</v>
      </c>
      <c r="DR440" s="223">
        <f>IF(G359,1,0)</f>
        <v>0</v>
      </c>
      <c r="DS440" s="223">
        <f>IF(G360,1,0)</f>
        <v>0</v>
      </c>
      <c r="DT440" s="223">
        <f>IF(G361,1,0)</f>
        <v>0</v>
      </c>
      <c r="DU440" s="223">
        <f>IF(G362,1,0)</f>
        <v>0</v>
      </c>
      <c r="DV440" s="223">
        <f>IF(G363,1,0)</f>
        <v>0</v>
      </c>
      <c r="DW440" s="223">
        <f>IF(G364,1,0)</f>
        <v>0</v>
      </c>
      <c r="DX440" s="223">
        <f>IF(G365,1,0)</f>
        <v>0</v>
      </c>
      <c r="DY440" s="223">
        <f>IF(G366,1,0)</f>
        <v>0</v>
      </c>
      <c r="DZ440" s="223">
        <f>IF(G367,1,0)</f>
        <v>0</v>
      </c>
      <c r="EA440" s="223">
        <f>IF(G368,1,0)</f>
        <v>0</v>
      </c>
      <c r="EB440" s="223">
        <f>IF(G369,1,0)</f>
        <v>0</v>
      </c>
      <c r="EC440" s="223">
        <f>IF(G370,1,0)</f>
        <v>0</v>
      </c>
      <c r="ED440" s="223">
        <f>IF(G371,1,0)</f>
        <v>0</v>
      </c>
      <c r="EE440" s="223">
        <f>IF(G372,1,0)</f>
        <v>0</v>
      </c>
      <c r="EF440" s="223">
        <f>IF(G373,1,0)</f>
        <v>0</v>
      </c>
      <c r="EG440" s="223">
        <f>IF(G374,1,0)</f>
        <v>0</v>
      </c>
      <c r="EH440" s="223">
        <f>IF(G375,1,0)</f>
        <v>0</v>
      </c>
      <c r="EI440" s="223">
        <f>IF(G376,1,0)</f>
        <v>0</v>
      </c>
      <c r="EJ440" s="223">
        <f>IF(G377,1,0)</f>
        <v>0</v>
      </c>
      <c r="EK440" s="223">
        <f>IF(G378,1,0)</f>
        <v>0</v>
      </c>
      <c r="EL440" s="223">
        <f>IF(G379,1,0)</f>
        <v>0</v>
      </c>
      <c r="EM440" s="223">
        <f>IF(G380,1,0)</f>
        <v>0</v>
      </c>
      <c r="EN440" s="223">
        <f>IF(G381,1,0)</f>
        <v>0</v>
      </c>
      <c r="EO440" s="223">
        <f>IF(G382,1,0)</f>
        <v>0</v>
      </c>
      <c r="EP440" s="223">
        <f>IF(G383,1,0)</f>
        <v>0</v>
      </c>
      <c r="EQ440" s="223">
        <f>IF(G384,1,0)</f>
        <v>0</v>
      </c>
      <c r="ER440" s="223">
        <f>IF(G385,1,0)</f>
        <v>0</v>
      </c>
      <c r="ES440" s="223">
        <f>IF(G386,1,0)</f>
        <v>0</v>
      </c>
      <c r="ET440" s="223">
        <f>IF(G387,1,0)</f>
        <v>0</v>
      </c>
      <c r="EU440" s="223">
        <f>IF(G388,1,0)</f>
        <v>0</v>
      </c>
      <c r="EV440" s="223">
        <f>IF(G389,1,0)</f>
        <v>0</v>
      </c>
      <c r="EW440" s="223">
        <f>IF(G390,1,0)</f>
        <v>0</v>
      </c>
      <c r="EX440" s="223">
        <f>IF(G391,1,0)</f>
        <v>0</v>
      </c>
      <c r="EY440" s="223">
        <f>IF(G392,1,0)</f>
        <v>0</v>
      </c>
      <c r="EZ440" s="223">
        <f>IF(G393,1,0)</f>
        <v>0</v>
      </c>
      <c r="FA440" s="223">
        <f>IF(G394,1,0)</f>
        <v>0</v>
      </c>
      <c r="FB440" s="223">
        <f>IF(G395,1,0)</f>
        <v>0</v>
      </c>
      <c r="FC440" s="223">
        <f>IF(G396,1,0)</f>
        <v>0</v>
      </c>
      <c r="FD440" s="223">
        <f>IF(G397,1,0)</f>
        <v>0</v>
      </c>
      <c r="FE440" s="223">
        <f>IF(G398,1,0)</f>
        <v>0</v>
      </c>
      <c r="FF440" s="223">
        <f>IF(G399,1,0)</f>
        <v>0</v>
      </c>
      <c r="FG440" s="223">
        <f>IF(G400,1,0)</f>
        <v>0</v>
      </c>
      <c r="FH440" s="223">
        <f>IF(G401,1,0)</f>
        <v>0</v>
      </c>
      <c r="FI440" s="223">
        <f>IF(G402,1,0)</f>
        <v>0</v>
      </c>
      <c r="FJ440" s="223">
        <f>IF(G403,1,0)</f>
        <v>0</v>
      </c>
      <c r="FK440" s="223">
        <f>IF(G404,1,0)</f>
        <v>0</v>
      </c>
      <c r="FL440" s="223">
        <f>IF(G405,1,0)</f>
        <v>0</v>
      </c>
      <c r="FM440" s="223">
        <f>IF(G406,1,0)</f>
        <v>0</v>
      </c>
      <c r="FN440" s="223">
        <f>IF(G407,1,0)</f>
        <v>0</v>
      </c>
      <c r="FO440" s="223">
        <f>IF(G408,1,0)</f>
        <v>0</v>
      </c>
      <c r="FP440" s="223">
        <f>IF(G409,1,0)</f>
        <v>0</v>
      </c>
      <c r="FQ440" s="223">
        <f>IF(G410,1,0)</f>
        <v>0</v>
      </c>
      <c r="FR440" s="223">
        <f>IF(G411,1,0)</f>
        <v>0</v>
      </c>
      <c r="FS440" s="223">
        <f>IF(G412,1,0)</f>
        <v>0</v>
      </c>
      <c r="FT440" s="223">
        <f>IF(G413,1,0)</f>
        <v>0</v>
      </c>
      <c r="FU440" s="223">
        <f>IF(G414,1,0)</f>
        <v>0</v>
      </c>
      <c r="FV440" s="223">
        <f>IF(G415,1,0)</f>
        <v>0</v>
      </c>
      <c r="FW440" s="223">
        <f>IF(G416,1,0)</f>
        <v>0</v>
      </c>
      <c r="FX440" s="223">
        <f>IF(G417,1,0)</f>
        <v>0</v>
      </c>
      <c r="FY440" s="223">
        <f>IF(G418,1,0)</f>
        <v>0</v>
      </c>
      <c r="FZ440" s="223">
        <f>IF(G419,1,0)</f>
        <v>0</v>
      </c>
      <c r="GA440" s="223">
        <f>IF(G420,1,0)</f>
        <v>0</v>
      </c>
      <c r="GB440" s="223">
        <f>IF(G421,1,0)</f>
        <v>0</v>
      </c>
      <c r="GC440" s="223">
        <f>IF(G422,1,0)</f>
        <v>0</v>
      </c>
      <c r="GD440" s="223">
        <f>IF(G423,1,0)</f>
        <v>0</v>
      </c>
      <c r="GE440" s="223">
        <f>IF(G424,1,0)</f>
        <v>0</v>
      </c>
      <c r="GF440" s="223">
        <f>IF(G425,1,0)</f>
        <v>0</v>
      </c>
      <c r="GG440" s="223">
        <f>IF(G426,1,0)</f>
        <v>0</v>
      </c>
      <c r="GH440" s="223">
        <f>IF(G427,1,0)</f>
        <v>0</v>
      </c>
      <c r="GI440" s="223">
        <f>IF(G428,1,0)</f>
        <v>0</v>
      </c>
      <c r="GJ440" s="223">
        <f>IF(G429,1,0)</f>
        <v>0</v>
      </c>
      <c r="GK440" s="223">
        <f>IF(G430,1,0)</f>
        <v>0</v>
      </c>
      <c r="GL440" s="223">
        <f>IF(G431,1,0)</f>
        <v>0</v>
      </c>
      <c r="GM440" s="223">
        <f>IF(G432,1,0)</f>
        <v>0</v>
      </c>
      <c r="GN440" s="223">
        <f>IF(G433,1,0)</f>
        <v>0</v>
      </c>
      <c r="GO440" s="223">
        <f>IF(G434,1,0)</f>
        <v>0</v>
      </c>
      <c r="GP440" s="223">
        <f>IF(G435,1,0)</f>
        <v>0</v>
      </c>
      <c r="GQ440" s="223">
        <f>IF(G436,1,0)</f>
        <v>0</v>
      </c>
      <c r="GR440" s="223">
        <f>IF(G437,1,0)</f>
        <v>0</v>
      </c>
      <c r="GS440" s="223">
        <f>IF(G438,1,0)</f>
        <v>0</v>
      </c>
    </row>
    <row r="442" spans="1:201" x14ac:dyDescent="0.2">
      <c r="A442" s="223" t="s">
        <v>113</v>
      </c>
      <c r="B442" s="223">
        <f>IF($T$41,L239,1)</f>
        <v>1</v>
      </c>
      <c r="C442" s="223">
        <f>IF($T$41,L240,1)</f>
        <v>1</v>
      </c>
      <c r="D442" s="223">
        <f>IF($T$41,L241,1)</f>
        <v>1</v>
      </c>
      <c r="E442" s="223">
        <f>IF($T$41,L242,1)</f>
        <v>1</v>
      </c>
      <c r="F442" s="223">
        <f>IF($T$41,L243,1)</f>
        <v>1</v>
      </c>
      <c r="G442" s="223">
        <f>IF($T$41,L244,1)</f>
        <v>1</v>
      </c>
      <c r="H442" s="223">
        <f>IF($T$41,L245,1)</f>
        <v>1</v>
      </c>
      <c r="I442" s="223">
        <f>IF($T$41,L246,1)</f>
        <v>1</v>
      </c>
      <c r="J442" s="223">
        <f>IF($T$41,L247,1)</f>
        <v>1</v>
      </c>
      <c r="K442" s="223">
        <f>IF($T$41,L248,1)</f>
        <v>1</v>
      </c>
      <c r="L442" s="223">
        <f>IF($T$41,L249,1)</f>
        <v>1</v>
      </c>
      <c r="M442" s="223">
        <f>IF($T$41,L250,1)</f>
        <v>1</v>
      </c>
      <c r="N442" s="223">
        <f>IF($T$41,L251,1)</f>
        <v>1</v>
      </c>
      <c r="O442" s="223">
        <f>IF($T$41,L252,1)</f>
        <v>1</v>
      </c>
      <c r="P442" s="223">
        <f>IF($T$41,L253,1)</f>
        <v>1</v>
      </c>
      <c r="Q442" s="223">
        <f>IF($T$41,L254,1)</f>
        <v>1</v>
      </c>
      <c r="R442" s="223">
        <f>IF($T$41,L255,1)</f>
        <v>1</v>
      </c>
      <c r="S442" s="223">
        <f>IF($T$41,L256,1)</f>
        <v>1</v>
      </c>
      <c r="T442" s="223">
        <f>IF($T$41,L257,1)</f>
        <v>1</v>
      </c>
      <c r="U442" s="223">
        <f>IF($T$41,L258,1)</f>
        <v>1</v>
      </c>
      <c r="V442" s="223">
        <f>IF($T$41,L259,1)</f>
        <v>1</v>
      </c>
      <c r="W442" s="223">
        <f>IF($T$41,L260,1)</f>
        <v>1</v>
      </c>
      <c r="X442" s="223">
        <f>IF($T$41,L261,1)</f>
        <v>1</v>
      </c>
      <c r="Y442" s="223">
        <f>IF($T$41,L262,1)</f>
        <v>1</v>
      </c>
      <c r="Z442" s="223">
        <f>IF($T$41,L263,1)</f>
        <v>1</v>
      </c>
      <c r="AA442" s="223">
        <f>IF($T$41,L264,1)</f>
        <v>1</v>
      </c>
      <c r="AB442" s="223">
        <f>IF($T$41,L265,1)</f>
        <v>1</v>
      </c>
      <c r="AC442" s="223">
        <f>IF($T$41,L266,1)</f>
        <v>1</v>
      </c>
      <c r="AD442" s="223">
        <f>IF($T$41,L267,1)</f>
        <v>1</v>
      </c>
      <c r="AE442" s="223">
        <f>IF($T$41,L268,1)</f>
        <v>1</v>
      </c>
      <c r="AF442" s="223">
        <f>IF($T$41,L269,1)</f>
        <v>1</v>
      </c>
      <c r="AG442" s="223">
        <f>IF($T$41,L270,1)</f>
        <v>1</v>
      </c>
      <c r="AH442" s="223">
        <f>IF($T$41,L271,1)</f>
        <v>1</v>
      </c>
      <c r="AI442" s="223">
        <f>IF($T$41,L272,1)</f>
        <v>1</v>
      </c>
      <c r="AJ442" s="223">
        <f>IF($T$41,L273,1)</f>
        <v>1</v>
      </c>
      <c r="AK442" s="223">
        <f>IF($T$41,L274,1)</f>
        <v>1</v>
      </c>
      <c r="AL442" s="223">
        <f>IF($T$41,L275,1)</f>
        <v>1</v>
      </c>
      <c r="AM442" s="223">
        <f>IF($T$41,L276,1)</f>
        <v>1</v>
      </c>
      <c r="AN442" s="223">
        <f>IF($T$41,L277,1)</f>
        <v>1</v>
      </c>
      <c r="AO442" s="223">
        <f>IF($T$41,L278,1)</f>
        <v>1</v>
      </c>
      <c r="AP442" s="223">
        <f>IF($T$41,L279,1)</f>
        <v>1</v>
      </c>
      <c r="AQ442" s="223">
        <f>IF($T$41,L280,1)</f>
        <v>1</v>
      </c>
      <c r="AR442" s="223">
        <f>IF($T$41,L281,1)</f>
        <v>1</v>
      </c>
      <c r="AS442" s="223">
        <f>IF($T$41,L282,1)</f>
        <v>1</v>
      </c>
      <c r="AT442" s="223">
        <f>IF($T$41,L283,1)</f>
        <v>1</v>
      </c>
      <c r="AU442" s="223">
        <f>IF($T$41,L284,1)</f>
        <v>1</v>
      </c>
      <c r="AV442" s="223">
        <f>IF($T$41,L285,1)</f>
        <v>1</v>
      </c>
      <c r="AW442" s="223">
        <f>IF($T$41,L286,1)</f>
        <v>1</v>
      </c>
      <c r="AX442" s="223">
        <f>IF($T$41,L287,1)</f>
        <v>1</v>
      </c>
      <c r="AY442" s="223">
        <f>IF($T$41,L288,1)</f>
        <v>1</v>
      </c>
      <c r="AZ442" s="223">
        <f>IF($T$41,L289,1)</f>
        <v>1</v>
      </c>
      <c r="BA442" s="223">
        <f>IF($T$41,L290,1)</f>
        <v>1</v>
      </c>
      <c r="BB442" s="223">
        <f>IF($T$41,L291,1)</f>
        <v>1</v>
      </c>
      <c r="BC442" s="223">
        <f>IF($T$41,L292,1)</f>
        <v>1</v>
      </c>
      <c r="BD442" s="223">
        <f>IF($T$41,L293,1)</f>
        <v>1</v>
      </c>
      <c r="BE442" s="223">
        <f>IF($T$41,L294,1)</f>
        <v>1</v>
      </c>
      <c r="BF442" s="223">
        <f>IF($T$41,L295,1)</f>
        <v>1</v>
      </c>
      <c r="BG442" s="223">
        <f>IF($T$41,L296,1)</f>
        <v>1</v>
      </c>
      <c r="BH442" s="223">
        <f>IF($T$41,L297,1)</f>
        <v>1</v>
      </c>
      <c r="BI442" s="223">
        <f>IF($T$41,L298,1)</f>
        <v>1</v>
      </c>
      <c r="BJ442" s="223">
        <f>IF($T$41,L299,1)</f>
        <v>1</v>
      </c>
      <c r="BK442" s="223">
        <f>IF($T$41,L300,1)</f>
        <v>1</v>
      </c>
      <c r="BL442" s="223">
        <f>IF($T$41,L301,1)</f>
        <v>1</v>
      </c>
      <c r="BM442" s="223">
        <f>IF($T$41,L302,1)</f>
        <v>1</v>
      </c>
      <c r="BN442" s="223">
        <f>IF($T$41,L303,1)</f>
        <v>1</v>
      </c>
      <c r="BO442" s="223">
        <f>IF($T$41,L304,1)</f>
        <v>1</v>
      </c>
      <c r="BP442" s="223">
        <f>IF($T$41,L305,1)</f>
        <v>1</v>
      </c>
      <c r="BQ442" s="223">
        <f>IF($T$41,L306,1)</f>
        <v>1</v>
      </c>
      <c r="BR442" s="223">
        <f>IF($T$41,L307,1)</f>
        <v>1</v>
      </c>
      <c r="BS442" s="223">
        <f>IF($T$41,L308,1)</f>
        <v>1</v>
      </c>
      <c r="BT442" s="223">
        <f>IF($T$41,L309,1)</f>
        <v>1</v>
      </c>
      <c r="BU442" s="223">
        <f>IF($T$41,L310,1)</f>
        <v>1</v>
      </c>
      <c r="BV442" s="223">
        <f>IF($T$41,L311,1)</f>
        <v>1</v>
      </c>
      <c r="BW442" s="223">
        <f>IF($T$41,L312,1)</f>
        <v>1</v>
      </c>
      <c r="BX442" s="223">
        <f>IF($T$41,L313,1)</f>
        <v>1</v>
      </c>
      <c r="BY442" s="223">
        <f>IF($T$41,L314,1)</f>
        <v>1</v>
      </c>
      <c r="BZ442" s="223">
        <f>IF($T$41,L315,1)</f>
        <v>1</v>
      </c>
      <c r="CA442" s="223">
        <f>IF($T$41,L316,1)</f>
        <v>1</v>
      </c>
      <c r="CB442" s="223">
        <f>IF($T$41,L317,1)</f>
        <v>1</v>
      </c>
      <c r="CC442" s="223">
        <f>IF($T$41,L318,1)</f>
        <v>1</v>
      </c>
      <c r="CD442" s="223">
        <f>IF($T$41,L319,1)</f>
        <v>1</v>
      </c>
      <c r="CE442" s="223">
        <f>IF($T$41,L320,1)</f>
        <v>1</v>
      </c>
      <c r="CF442" s="223">
        <f>IF($T$41,L321,1)</f>
        <v>1</v>
      </c>
      <c r="CG442" s="223">
        <f>IF($T$41,L322,1)</f>
        <v>1</v>
      </c>
      <c r="CH442" s="223">
        <f>IF($T$41,L323,1)</f>
        <v>1</v>
      </c>
      <c r="CI442" s="223">
        <f>IF($T$41,L324,1)</f>
        <v>1</v>
      </c>
      <c r="CJ442" s="223">
        <f>IF($T$41,L325,1)</f>
        <v>1</v>
      </c>
      <c r="CK442" s="223">
        <f>IF($T$41,L326,1)</f>
        <v>1</v>
      </c>
      <c r="CL442" s="223">
        <f>IF($T$41,L327,1)</f>
        <v>1</v>
      </c>
      <c r="CM442" s="223">
        <f>IF($T$41,L328,1)</f>
        <v>1</v>
      </c>
      <c r="CN442" s="223">
        <f>IF($T$41,L329,1)</f>
        <v>1</v>
      </c>
      <c r="CO442" s="223">
        <f>IF($T$41,L330,1)</f>
        <v>1</v>
      </c>
      <c r="CP442" s="223">
        <f>IF($T$41,L331,1)</f>
        <v>1</v>
      </c>
      <c r="CQ442" s="223">
        <f>IF($T$41,L332,1)</f>
        <v>1</v>
      </c>
      <c r="CR442" s="223">
        <f>IF($T$41,L333,1)</f>
        <v>1</v>
      </c>
      <c r="CS442" s="223">
        <f>IF($T$41,L334,1)</f>
        <v>1</v>
      </c>
      <c r="CT442" s="223">
        <f>IF($T$41,L335,1)</f>
        <v>1</v>
      </c>
      <c r="CU442" s="223">
        <f>IF($T$41,L336,1)</f>
        <v>1</v>
      </c>
      <c r="CV442" s="223">
        <f>IF($T$41,L337,1)</f>
        <v>1</v>
      </c>
      <c r="CW442" s="223">
        <f>IF($T$41,L338,1)</f>
        <v>1</v>
      </c>
      <c r="CX442" s="223">
        <f>IF($T$41,L339,1)</f>
        <v>1</v>
      </c>
      <c r="CY442" s="223">
        <f>IF($T$41,L340,1)</f>
        <v>1</v>
      </c>
      <c r="CZ442" s="223">
        <f>IF($T$41,L341,1)</f>
        <v>1</v>
      </c>
      <c r="DA442" s="223">
        <f>IF($T$41,L342,1)</f>
        <v>1</v>
      </c>
      <c r="DB442" s="223">
        <f>IF($T$41,L343,1)</f>
        <v>1</v>
      </c>
      <c r="DC442" s="223">
        <f>IF($T$41,L344,1)</f>
        <v>1</v>
      </c>
      <c r="DD442" s="223">
        <f>IF($T$41,L345,1)</f>
        <v>1</v>
      </c>
      <c r="DE442" s="223">
        <f>IF($T$41,L346,1)</f>
        <v>1</v>
      </c>
      <c r="DF442" s="223">
        <f>IF($T$41,L347,1)</f>
        <v>1</v>
      </c>
      <c r="DG442" s="223">
        <f>IF($T$41,L348,1)</f>
        <v>1</v>
      </c>
      <c r="DH442" s="223">
        <f>IF($T$41,L349,1)</f>
        <v>1</v>
      </c>
      <c r="DI442" s="223">
        <f>IF($T$41,L350,1)</f>
        <v>1</v>
      </c>
      <c r="DJ442" s="223">
        <f>IF($T$41,L351,1)</f>
        <v>1</v>
      </c>
      <c r="DK442" s="223">
        <f>IF($T$41,L352,1)</f>
        <v>1</v>
      </c>
      <c r="DL442" s="223">
        <f>IF($T$41,L353,1)</f>
        <v>1</v>
      </c>
      <c r="DM442" s="223">
        <f>IF($T$41,L354,1)</f>
        <v>1</v>
      </c>
      <c r="DN442" s="223">
        <f>IF($T$41,L355,1)</f>
        <v>1</v>
      </c>
      <c r="DO442" s="223">
        <f>IF($T$41,L356,1)</f>
        <v>1</v>
      </c>
      <c r="DP442" s="223">
        <f>IF($T$41,L357,1)</f>
        <v>1</v>
      </c>
      <c r="DQ442" s="223">
        <f>IF($T$41,L358,1)</f>
        <v>1</v>
      </c>
      <c r="DR442" s="223">
        <f>IF($T$41,L359,1)</f>
        <v>1</v>
      </c>
      <c r="DS442" s="223">
        <f>IF($T$41,L360,1)</f>
        <v>1</v>
      </c>
      <c r="DT442" s="223">
        <f>IF($T$41,L361,1)</f>
        <v>1</v>
      </c>
      <c r="DU442" s="223">
        <f>IF($T$41,L362,1)</f>
        <v>1</v>
      </c>
      <c r="DV442" s="223">
        <f>IF($T$41,L363,1)</f>
        <v>1</v>
      </c>
      <c r="DW442" s="223">
        <f>IF($T$41,L364,1)</f>
        <v>1</v>
      </c>
      <c r="DX442" s="223">
        <f>IF($T$41,L365,1)</f>
        <v>1</v>
      </c>
      <c r="DY442" s="223">
        <f>IF($T$41,L366,1)</f>
        <v>1</v>
      </c>
      <c r="DZ442" s="223">
        <f>IF($T$41,L367,1)</f>
        <v>1</v>
      </c>
      <c r="EA442" s="223">
        <f>IF($T$41,L368,1)</f>
        <v>1</v>
      </c>
      <c r="EB442" s="223">
        <f>IF($T$41,L369,1)</f>
        <v>1</v>
      </c>
      <c r="EC442" s="223">
        <f>IF($T$41,L370,1)</f>
        <v>1</v>
      </c>
      <c r="ED442" s="223">
        <f>IF($T$41,L371,1)</f>
        <v>1</v>
      </c>
      <c r="EE442" s="223">
        <f>IF($T$41,L372,1)</f>
        <v>1</v>
      </c>
      <c r="EF442" s="223">
        <f>IF($T$41,L373,1)</f>
        <v>1</v>
      </c>
      <c r="EG442" s="223">
        <f>IF($T$41,L374,1)</f>
        <v>1</v>
      </c>
      <c r="EH442" s="223">
        <f>IF($T$41,L375,1)</f>
        <v>1</v>
      </c>
      <c r="EI442" s="223">
        <f>IF($T$41,L376,1)</f>
        <v>1</v>
      </c>
      <c r="EJ442" s="223">
        <f>IF($T$41,L377,1)</f>
        <v>1</v>
      </c>
      <c r="EK442" s="223">
        <f>IF($T$41,L378,1)</f>
        <v>1</v>
      </c>
      <c r="EL442" s="223">
        <f>IF($T$41,L379,1)</f>
        <v>1</v>
      </c>
      <c r="EM442" s="223">
        <f>IF($T$41,L380,1)</f>
        <v>1</v>
      </c>
      <c r="EN442" s="223">
        <f>IF($T$41,L381,1)</f>
        <v>1</v>
      </c>
      <c r="EO442" s="223">
        <f>IF($T$41,L382,1)</f>
        <v>1</v>
      </c>
      <c r="EP442" s="223">
        <f>IF($T$41,L383,1)</f>
        <v>1</v>
      </c>
      <c r="EQ442" s="223">
        <f>IF($T$41,L384,1)</f>
        <v>1</v>
      </c>
      <c r="ER442" s="223">
        <f>IF($T$41,L385,1)</f>
        <v>1</v>
      </c>
      <c r="ES442" s="223">
        <f>IF($T$41,L386,1)</f>
        <v>1</v>
      </c>
      <c r="ET442" s="223">
        <f>IF($T$41,L387,1)</f>
        <v>1</v>
      </c>
      <c r="EU442" s="223">
        <f>IF($T$41,L388,1)</f>
        <v>1</v>
      </c>
      <c r="EV442" s="223">
        <f>IF($T$41,L389,1)</f>
        <v>1</v>
      </c>
      <c r="EW442" s="223">
        <f>IF($T$41,L390,1)</f>
        <v>1</v>
      </c>
      <c r="EX442" s="223">
        <f>IF($T$41,L391,1)</f>
        <v>1</v>
      </c>
      <c r="EY442" s="223">
        <f>IF($T$41,L392,1)</f>
        <v>1</v>
      </c>
      <c r="EZ442" s="223">
        <f>IF($T$41,L393,1)</f>
        <v>1</v>
      </c>
      <c r="FA442" s="223">
        <f>IF($T$41,L394,1)</f>
        <v>1</v>
      </c>
      <c r="FB442" s="223">
        <f>IF($T$41,L395,1)</f>
        <v>1</v>
      </c>
      <c r="FC442" s="223">
        <f>IF($T$41,L396,1)</f>
        <v>1</v>
      </c>
      <c r="FD442" s="223">
        <f>IF($T$41,L397,1)</f>
        <v>1</v>
      </c>
      <c r="FE442" s="223">
        <f>IF($T$41,L398,1)</f>
        <v>1</v>
      </c>
      <c r="FF442" s="223">
        <f>IF($T$41,L399,1)</f>
        <v>1</v>
      </c>
      <c r="FG442" s="223">
        <f>IF($T$41,L400,1)</f>
        <v>1</v>
      </c>
      <c r="FH442" s="223">
        <f>IF($T$41,L401,1)</f>
        <v>1</v>
      </c>
      <c r="FI442" s="223">
        <f>IF($T$41,L402,1)</f>
        <v>1</v>
      </c>
      <c r="FJ442" s="223">
        <f>IF($T$41,L403,1)</f>
        <v>1</v>
      </c>
      <c r="FK442" s="223">
        <f>IF($T$41,L404,1)</f>
        <v>1</v>
      </c>
      <c r="FL442" s="223">
        <f>IF($T$41,L405,1)</f>
        <v>1</v>
      </c>
      <c r="FM442" s="223">
        <f>IF($T$41,L406,1)</f>
        <v>1</v>
      </c>
      <c r="FN442" s="223">
        <f>IF($T$41,L407,1)</f>
        <v>1</v>
      </c>
      <c r="FO442" s="223">
        <f>IF($T$41,L408,1)</f>
        <v>1</v>
      </c>
      <c r="FP442" s="223">
        <f>IF($T$41,L409,1)</f>
        <v>1</v>
      </c>
      <c r="FQ442" s="223">
        <f>IF($T$41,L410,1)</f>
        <v>1</v>
      </c>
      <c r="FR442" s="223">
        <f>IF($T$41,L411,1)</f>
        <v>1</v>
      </c>
      <c r="FS442" s="223">
        <f>IF($T$41,L412,1)</f>
        <v>1</v>
      </c>
      <c r="FT442" s="223">
        <f>IF($T$41,L413,1)</f>
        <v>1</v>
      </c>
      <c r="FU442" s="223">
        <f>IF($T$41,L414,1)</f>
        <v>1</v>
      </c>
      <c r="FV442" s="223">
        <f>IF($T$41,L415,1)</f>
        <v>1</v>
      </c>
      <c r="FW442" s="223">
        <f>IF($T$41,L416,1)</f>
        <v>1</v>
      </c>
      <c r="FX442" s="223">
        <f>IF($T$41,L417,1)</f>
        <v>1</v>
      </c>
      <c r="FY442" s="223">
        <f>IF($T$41,L418,1)</f>
        <v>1</v>
      </c>
      <c r="FZ442" s="223">
        <f>IF($T$41,L419,1)</f>
        <v>1</v>
      </c>
      <c r="GA442" s="223">
        <f>IF($T$41,L420,1)</f>
        <v>1</v>
      </c>
      <c r="GB442" s="223">
        <f>IF($T$41,L421,1)</f>
        <v>1</v>
      </c>
      <c r="GC442" s="223">
        <f>IF($T$41,L422,1)</f>
        <v>1</v>
      </c>
      <c r="GD442" s="223">
        <f>IF($T$41,L423,1)</f>
        <v>1</v>
      </c>
      <c r="GE442" s="223">
        <f>IF($T$41,L424,1)</f>
        <v>1</v>
      </c>
      <c r="GF442" s="223">
        <f>IF($T$41,L425,1)</f>
        <v>1</v>
      </c>
      <c r="GG442" s="223">
        <f>IF($T$41,L426,1)</f>
        <v>1</v>
      </c>
      <c r="GH442" s="223">
        <f>IF($T$41,L427,1)</f>
        <v>1</v>
      </c>
      <c r="GI442" s="223">
        <f>IF($T$41,L428,1)</f>
        <v>1</v>
      </c>
      <c r="GJ442" s="223">
        <f>IF($T$41,L429,1)</f>
        <v>1</v>
      </c>
      <c r="GK442" s="223">
        <f>IF($T$41,L430,1)</f>
        <v>1</v>
      </c>
      <c r="GL442" s="223">
        <f>IF($T$41,L431,1)</f>
        <v>1</v>
      </c>
      <c r="GM442" s="223">
        <f>IF($T$41,L432,1)</f>
        <v>1</v>
      </c>
      <c r="GN442" s="223">
        <f>IF($T$41,L433,1)</f>
        <v>1</v>
      </c>
      <c r="GO442" s="223">
        <f>IF($T$41,L434,1)</f>
        <v>1</v>
      </c>
      <c r="GP442" s="223">
        <f>IF($T$41,L435,1)</f>
        <v>1</v>
      </c>
      <c r="GQ442" s="223">
        <f>IF($T$41,L436,1)</f>
        <v>1</v>
      </c>
      <c r="GR442" s="223">
        <f>IF($T$41,L437,1)</f>
        <v>1</v>
      </c>
      <c r="GS442" s="223">
        <f>IF($T$41,L438,1)</f>
        <v>1</v>
      </c>
    </row>
  </sheetData>
  <sheetProtection sheet="1" objects="1" scenarios="1" selectLockedCells="1" selectUnlockedCells="1"/>
  <phoneticPr fontId="2" type="noConversion"/>
  <conditionalFormatting sqref="BA60:BA68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{0C001474-290A-4CB7-AF86-DFA33B989AD8}</x14:id>
        </ext>
      </extLst>
    </cfRule>
  </conditionalFormatting>
  <pageMargins left="0.78740157499999996" right="0.78740157499999996" top="0.984251969" bottom="0.984251969" header="0.5" footer="0.5"/>
  <pageSetup scale="95" orientation="portrait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C001474-290A-4CB7-AF86-DFA33B989AD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BA60:BA68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indexed="53"/>
    <pageSetUpPr fitToPage="1"/>
  </sheetPr>
  <dimension ref="A1:L499"/>
  <sheetViews>
    <sheetView windowProtection="1" showZeros="0" zoomScaleNormal="100" workbookViewId="0">
      <selection activeCell="K17" sqref="K17"/>
    </sheetView>
  </sheetViews>
  <sheetFormatPr defaultColWidth="9" defaultRowHeight="12" x14ac:dyDescent="0.2"/>
  <cols>
    <col min="1" max="1" width="4.5" style="202" bestFit="1" customWidth="1"/>
    <col min="2" max="2" width="11.625" style="196" customWidth="1"/>
    <col min="3" max="4" width="0.5" style="196" hidden="1" customWidth="1"/>
    <col min="5" max="5" width="16.5" style="196" customWidth="1"/>
    <col min="6" max="6" width="4.875" style="196" hidden="1" customWidth="1"/>
    <col min="7" max="7" width="17.375" style="204" customWidth="1"/>
    <col min="8" max="8" width="17.375" style="220" customWidth="1"/>
    <col min="9" max="9" width="9.375" style="196" customWidth="1"/>
    <col min="10" max="10" width="13.75" style="206" customWidth="1"/>
    <col min="11" max="11" width="9" style="196"/>
    <col min="12" max="12" width="13.375" style="206" customWidth="1"/>
    <col min="13" max="16384" width="9" style="196"/>
  </cols>
  <sheetData>
    <row r="1" spans="1:12" ht="38.25" customHeight="1" x14ac:dyDescent="0.2">
      <c r="A1" s="199" t="s">
        <v>159</v>
      </c>
      <c r="B1" s="199" t="s">
        <v>108</v>
      </c>
      <c r="C1" s="199"/>
      <c r="D1" s="199"/>
      <c r="E1" s="199" t="s">
        <v>109</v>
      </c>
      <c r="F1" s="199"/>
      <c r="G1" s="200" t="s">
        <v>110</v>
      </c>
      <c r="H1" s="219" t="s">
        <v>157</v>
      </c>
      <c r="I1" s="201"/>
      <c r="J1" s="221" t="s">
        <v>160</v>
      </c>
      <c r="L1" s="196"/>
    </row>
    <row r="2" spans="1:12" x14ac:dyDescent="0.2">
      <c r="A2" s="202">
        <v>1</v>
      </c>
      <c r="B2" s="203" t="s">
        <v>162</v>
      </c>
      <c r="E2" s="205" t="s">
        <v>4</v>
      </c>
      <c r="G2" s="204">
        <v>17.329999999999998</v>
      </c>
      <c r="H2" s="220">
        <v>0.32265872277043384</v>
      </c>
      <c r="I2" s="205" t="s">
        <v>27</v>
      </c>
      <c r="J2" s="206">
        <v>1.506591796875</v>
      </c>
      <c r="K2" s="205"/>
    </row>
    <row r="3" spans="1:12" x14ac:dyDescent="0.2">
      <c r="A3" s="202">
        <v>1</v>
      </c>
      <c r="B3" s="203" t="s">
        <v>162</v>
      </c>
      <c r="E3" s="205" t="s">
        <v>5</v>
      </c>
      <c r="G3" s="204">
        <v>0.73</v>
      </c>
      <c r="H3" s="220">
        <v>1.3591509960901136E-2</v>
      </c>
      <c r="I3" s="205" t="s">
        <v>28</v>
      </c>
      <c r="J3" s="206">
        <v>1.9739757776260376</v>
      </c>
      <c r="K3" s="205"/>
    </row>
    <row r="4" spans="1:12" x14ac:dyDescent="0.2">
      <c r="A4" s="202">
        <v>1</v>
      </c>
      <c r="B4" s="203" t="s">
        <v>162</v>
      </c>
      <c r="E4" s="205" t="s">
        <v>146</v>
      </c>
      <c r="G4" s="204">
        <v>5.1100000000000003</v>
      </c>
      <c r="H4" s="220">
        <v>9.5140569726307966E-2</v>
      </c>
      <c r="I4" s="205" t="s">
        <v>29</v>
      </c>
      <c r="J4" s="206">
        <v>0.31513223052024841</v>
      </c>
      <c r="K4" s="205"/>
    </row>
    <row r="5" spans="1:12" x14ac:dyDescent="0.2">
      <c r="A5" s="202">
        <v>1</v>
      </c>
      <c r="B5" s="196" t="s">
        <v>162</v>
      </c>
      <c r="E5" s="205" t="s">
        <v>147</v>
      </c>
      <c r="G5" s="204">
        <v>4.8499999999999996</v>
      </c>
      <c r="H5" s="220">
        <v>9.0299757959411656E-2</v>
      </c>
      <c r="I5" s="205" t="s">
        <v>150</v>
      </c>
      <c r="J5" s="206">
        <v>4.7808242095319278</v>
      </c>
      <c r="K5" s="205"/>
    </row>
    <row r="6" spans="1:12" x14ac:dyDescent="0.2">
      <c r="A6" s="202">
        <v>1</v>
      </c>
      <c r="B6" s="196" t="s">
        <v>162</v>
      </c>
      <c r="E6" s="205" t="s">
        <v>148</v>
      </c>
      <c r="G6" s="204">
        <v>18.399999999999999</v>
      </c>
      <c r="H6" s="220">
        <v>0.34258052504189168</v>
      </c>
      <c r="I6" s="205" t="s">
        <v>10</v>
      </c>
      <c r="J6" s="206">
        <v>76.037979125976563</v>
      </c>
      <c r="K6" s="205"/>
    </row>
    <row r="7" spans="1:12" x14ac:dyDescent="0.2">
      <c r="A7" s="202">
        <v>1</v>
      </c>
      <c r="B7" s="203" t="s">
        <v>162</v>
      </c>
      <c r="E7" s="205" t="s">
        <v>149</v>
      </c>
      <c r="G7" s="204">
        <v>7.29</v>
      </c>
      <c r="H7" s="220">
        <v>0.13572891454105382</v>
      </c>
    </row>
    <row r="8" spans="1:12" x14ac:dyDescent="0.2">
      <c r="A8" s="202">
        <v>1</v>
      </c>
      <c r="B8" s="203" t="s">
        <v>162</v>
      </c>
      <c r="E8" s="205" t="s">
        <v>6</v>
      </c>
      <c r="G8" s="204">
        <v>35.650001525878906</v>
      </c>
      <c r="H8" s="220">
        <v>0.66374979567825187</v>
      </c>
    </row>
    <row r="9" spans="1:12" x14ac:dyDescent="0.2">
      <c r="A9" s="202">
        <v>1</v>
      </c>
      <c r="B9" s="203" t="s">
        <v>162</v>
      </c>
      <c r="E9" s="205" t="s">
        <v>168</v>
      </c>
      <c r="G9" s="204">
        <v>53.709999999999994</v>
      </c>
      <c r="H9" s="220">
        <v>1</v>
      </c>
    </row>
    <row r="12" spans="1:12" x14ac:dyDescent="0.2">
      <c r="A12" s="202">
        <v>2</v>
      </c>
      <c r="B12" s="203" t="s">
        <v>163</v>
      </c>
      <c r="E12" s="205" t="s">
        <v>4</v>
      </c>
      <c r="G12" s="204">
        <v>17.329999999999998</v>
      </c>
      <c r="H12" s="220">
        <v>0.29189826511706246</v>
      </c>
      <c r="I12" s="205" t="s">
        <v>27</v>
      </c>
      <c r="J12" s="206">
        <v>1.4801794290542603</v>
      </c>
      <c r="K12" s="205"/>
    </row>
    <row r="13" spans="1:12" x14ac:dyDescent="0.2">
      <c r="A13" s="202">
        <v>2</v>
      </c>
      <c r="B13" s="203" t="s">
        <v>163</v>
      </c>
      <c r="E13" s="205" t="s">
        <v>5</v>
      </c>
      <c r="G13" s="204">
        <v>1.93</v>
      </c>
      <c r="H13" s="220">
        <v>3.250800067374094E-2</v>
      </c>
      <c r="I13" s="205" t="s">
        <v>28</v>
      </c>
      <c r="J13" s="206">
        <v>2.0825545787811279</v>
      </c>
      <c r="K13" s="205"/>
    </row>
    <row r="14" spans="1:12" x14ac:dyDescent="0.2">
      <c r="A14" s="202">
        <v>2</v>
      </c>
      <c r="B14" s="203" t="s">
        <v>163</v>
      </c>
      <c r="E14" s="205" t="s">
        <v>146</v>
      </c>
      <c r="G14" s="204">
        <v>0.38</v>
      </c>
      <c r="H14" s="220">
        <v>6.4005389927572843E-3</v>
      </c>
      <c r="I14" s="205" t="s">
        <v>29</v>
      </c>
      <c r="J14" s="206">
        <v>1.3550179004669189</v>
      </c>
      <c r="K14" s="205"/>
    </row>
    <row r="15" spans="1:12" x14ac:dyDescent="0.2">
      <c r="A15" s="202">
        <v>2</v>
      </c>
      <c r="B15" s="196" t="s">
        <v>163</v>
      </c>
      <c r="E15" s="205" t="s">
        <v>147</v>
      </c>
      <c r="G15" s="204">
        <v>15.06</v>
      </c>
      <c r="H15" s="220">
        <v>0.2536634663971703</v>
      </c>
      <c r="I15" s="205" t="s">
        <v>150</v>
      </c>
      <c r="J15" s="206">
        <v>1.0923689115429489</v>
      </c>
      <c r="K15" s="205"/>
    </row>
    <row r="16" spans="1:12" x14ac:dyDescent="0.2">
      <c r="A16" s="202">
        <v>2</v>
      </c>
      <c r="B16" s="196" t="s">
        <v>163</v>
      </c>
      <c r="E16" s="205" t="s">
        <v>148</v>
      </c>
      <c r="G16" s="204">
        <v>7.5</v>
      </c>
      <c r="H16" s="220">
        <v>0.1263264274886306</v>
      </c>
      <c r="I16" s="205" t="s">
        <v>10</v>
      </c>
      <c r="J16" s="206">
        <v>42.4625244140625</v>
      </c>
    </row>
    <row r="17" spans="1:11" x14ac:dyDescent="0.2">
      <c r="A17" s="202">
        <v>2</v>
      </c>
      <c r="B17" s="203" t="s">
        <v>163</v>
      </c>
      <c r="E17" s="205" t="s">
        <v>149</v>
      </c>
      <c r="G17" s="204">
        <v>17.170000000000002</v>
      </c>
      <c r="H17" s="220">
        <v>0.28920330133063837</v>
      </c>
    </row>
    <row r="18" spans="1:11" x14ac:dyDescent="0.2">
      <c r="A18" s="202">
        <v>2</v>
      </c>
      <c r="B18" s="203" t="s">
        <v>163</v>
      </c>
      <c r="E18" s="205" t="s">
        <v>6</v>
      </c>
      <c r="G18" s="222">
        <v>40.110000610351563</v>
      </c>
      <c r="H18" s="220">
        <v>0.67559374448966747</v>
      </c>
    </row>
    <row r="19" spans="1:11" x14ac:dyDescent="0.2">
      <c r="A19" s="202">
        <v>2</v>
      </c>
      <c r="B19" s="203" t="s">
        <v>163</v>
      </c>
      <c r="E19" s="205" t="s">
        <v>168</v>
      </c>
      <c r="G19" s="204">
        <v>59.370000000000005</v>
      </c>
      <c r="H19" s="220">
        <v>1</v>
      </c>
    </row>
    <row r="22" spans="1:11" x14ac:dyDescent="0.2">
      <c r="A22" s="202">
        <v>3</v>
      </c>
      <c r="B22" s="203" t="s">
        <v>164</v>
      </c>
      <c r="E22" s="205" t="s">
        <v>4</v>
      </c>
      <c r="G22" s="204">
        <v>17.329999999999998</v>
      </c>
      <c r="H22" s="220">
        <v>0.21586945690084702</v>
      </c>
      <c r="I22" s="205" t="s">
        <v>27</v>
      </c>
      <c r="J22" s="206">
        <v>1.3106938600540161</v>
      </c>
      <c r="K22" s="205"/>
    </row>
    <row r="23" spans="1:11" x14ac:dyDescent="0.2">
      <c r="A23" s="202">
        <v>3</v>
      </c>
      <c r="B23" s="203" t="s">
        <v>164</v>
      </c>
      <c r="E23" s="205" t="s">
        <v>5</v>
      </c>
      <c r="G23" s="204">
        <v>1.7</v>
      </c>
      <c r="H23" s="220">
        <v>2.1175884404583956E-2</v>
      </c>
      <c r="I23" s="205" t="s">
        <v>28</v>
      </c>
      <c r="J23" s="206">
        <v>3.218602180480957</v>
      </c>
      <c r="K23" s="205"/>
    </row>
    <row r="24" spans="1:11" x14ac:dyDescent="0.2">
      <c r="A24" s="202">
        <v>3</v>
      </c>
      <c r="B24" s="203" t="s">
        <v>164</v>
      </c>
      <c r="E24" s="205" t="s">
        <v>146</v>
      </c>
      <c r="G24" s="204">
        <v>0.14000000000000001</v>
      </c>
      <c r="H24" s="220">
        <v>1.7438963627304435E-3</v>
      </c>
      <c r="I24" s="205" t="s">
        <v>29</v>
      </c>
      <c r="J24" s="206">
        <v>1.9766407012939453</v>
      </c>
      <c r="K24" s="205"/>
    </row>
    <row r="25" spans="1:11" x14ac:dyDescent="0.2">
      <c r="A25" s="202">
        <v>3</v>
      </c>
      <c r="B25" s="196" t="s">
        <v>164</v>
      </c>
      <c r="E25" s="205" t="s">
        <v>147</v>
      </c>
      <c r="G25" s="204">
        <v>26.09</v>
      </c>
      <c r="H25" s="220">
        <v>0.32498754359740906</v>
      </c>
      <c r="I25" s="205" t="s">
        <v>150</v>
      </c>
      <c r="J25" s="206">
        <v>0.66309160749144336</v>
      </c>
      <c r="K25" s="205"/>
    </row>
    <row r="26" spans="1:11" x14ac:dyDescent="0.2">
      <c r="A26" s="202">
        <v>3</v>
      </c>
      <c r="B26" s="196" t="s">
        <v>164</v>
      </c>
      <c r="E26" s="205" t="s">
        <v>148</v>
      </c>
      <c r="G26" s="204">
        <v>9.5</v>
      </c>
      <c r="H26" s="220">
        <v>0.11833582461385152</v>
      </c>
      <c r="I26" s="205" t="s">
        <v>10</v>
      </c>
      <c r="J26" s="206">
        <v>33.594917297363281</v>
      </c>
    </row>
    <row r="27" spans="1:11" x14ac:dyDescent="0.2">
      <c r="A27" s="202">
        <v>3</v>
      </c>
      <c r="B27" s="203" t="s">
        <v>164</v>
      </c>
      <c r="E27" s="205" t="s">
        <v>149</v>
      </c>
      <c r="G27" s="204">
        <v>25.52</v>
      </c>
      <c r="H27" s="220">
        <v>0.31788739412057798</v>
      </c>
    </row>
    <row r="28" spans="1:11" x14ac:dyDescent="0.2">
      <c r="A28" s="202">
        <v>3</v>
      </c>
      <c r="B28" s="203" t="s">
        <v>164</v>
      </c>
      <c r="E28" s="205" t="s">
        <v>6</v>
      </c>
      <c r="G28" s="222">
        <v>61.25</v>
      </c>
      <c r="H28" s="220">
        <v>0.76295465869456902</v>
      </c>
    </row>
    <row r="29" spans="1:11" x14ac:dyDescent="0.2">
      <c r="A29" s="202">
        <v>3</v>
      </c>
      <c r="B29" s="203" t="s">
        <v>164</v>
      </c>
      <c r="E29" s="205" t="s">
        <v>168</v>
      </c>
      <c r="G29" s="204">
        <v>80.28</v>
      </c>
      <c r="H29" s="220">
        <v>1</v>
      </c>
    </row>
    <row r="32" spans="1:11" x14ac:dyDescent="0.2">
      <c r="A32" s="202">
        <v>4</v>
      </c>
      <c r="B32" s="203" t="s">
        <v>165</v>
      </c>
      <c r="E32" s="205" t="s">
        <v>4</v>
      </c>
      <c r="G32" s="204">
        <v>17.329999999999998</v>
      </c>
      <c r="H32" s="220">
        <v>0.20569732937685459</v>
      </c>
      <c r="I32" s="205" t="s">
        <v>27</v>
      </c>
      <c r="J32" s="206">
        <v>1.2807844877243042</v>
      </c>
      <c r="K32" s="205"/>
    </row>
    <row r="33" spans="1:11" x14ac:dyDescent="0.2">
      <c r="A33" s="202">
        <v>4</v>
      </c>
      <c r="B33" s="203" t="s">
        <v>165</v>
      </c>
      <c r="E33" s="205" t="s">
        <v>5</v>
      </c>
      <c r="G33" s="204">
        <v>1.1399999999999999</v>
      </c>
      <c r="H33" s="220">
        <v>1.3531157270029672E-2</v>
      </c>
      <c r="I33" s="205" t="s">
        <v>28</v>
      </c>
      <c r="J33" s="206">
        <v>3.5614509582519531</v>
      </c>
      <c r="K33" s="205"/>
    </row>
    <row r="34" spans="1:11" x14ac:dyDescent="0.2">
      <c r="A34" s="202">
        <v>4</v>
      </c>
      <c r="B34" s="203" t="s">
        <v>165</v>
      </c>
      <c r="E34" s="205" t="s">
        <v>146</v>
      </c>
      <c r="G34" s="204">
        <v>1.24</v>
      </c>
      <c r="H34" s="220">
        <v>1.4718100890207714E-2</v>
      </c>
      <c r="I34" s="205" t="s">
        <v>29</v>
      </c>
      <c r="J34" s="206">
        <v>1.4911295175552368</v>
      </c>
      <c r="K34" s="205"/>
    </row>
    <row r="35" spans="1:11" x14ac:dyDescent="0.2">
      <c r="A35" s="202">
        <v>4</v>
      </c>
      <c r="B35" s="196" t="s">
        <v>165</v>
      </c>
      <c r="E35" s="205" t="s">
        <v>147</v>
      </c>
      <c r="G35" s="204">
        <v>21.17</v>
      </c>
      <c r="H35" s="220">
        <v>0.25127596439169142</v>
      </c>
      <c r="I35" s="205" t="s">
        <v>150</v>
      </c>
      <c r="J35" s="206">
        <v>0.85893577495816642</v>
      </c>
      <c r="K35" s="205"/>
    </row>
    <row r="36" spans="1:11" x14ac:dyDescent="0.2">
      <c r="A36" s="202">
        <v>4</v>
      </c>
      <c r="B36" s="196" t="s">
        <v>165</v>
      </c>
      <c r="E36" s="205" t="s">
        <v>148</v>
      </c>
      <c r="G36" s="204">
        <v>15.25</v>
      </c>
      <c r="H36" s="220">
        <v>0.18100890207715134</v>
      </c>
      <c r="I36" s="205" t="s">
        <v>10</v>
      </c>
      <c r="J36" s="206">
        <v>40.142433166503906</v>
      </c>
    </row>
    <row r="37" spans="1:11" x14ac:dyDescent="0.2">
      <c r="A37" s="202">
        <v>4</v>
      </c>
      <c r="B37" s="203" t="s">
        <v>165</v>
      </c>
      <c r="E37" s="205" t="s">
        <v>149</v>
      </c>
      <c r="G37" s="204">
        <v>28.12</v>
      </c>
      <c r="H37" s="220">
        <v>0.3337685459940653</v>
      </c>
    </row>
    <row r="38" spans="1:11" x14ac:dyDescent="0.2">
      <c r="A38" s="202">
        <v>4</v>
      </c>
      <c r="B38" s="203" t="s">
        <v>165</v>
      </c>
      <c r="E38" s="205" t="s">
        <v>6</v>
      </c>
      <c r="G38" s="222">
        <v>65.779998779296875</v>
      </c>
      <c r="H38" s="220">
        <v>0.78077149886405783</v>
      </c>
    </row>
    <row r="39" spans="1:11" x14ac:dyDescent="0.2">
      <c r="A39" s="202">
        <v>4</v>
      </c>
      <c r="B39" s="203" t="s">
        <v>165</v>
      </c>
      <c r="E39" s="205" t="s">
        <v>168</v>
      </c>
      <c r="G39" s="204">
        <v>84.25</v>
      </c>
      <c r="H39" s="220">
        <v>1</v>
      </c>
    </row>
    <row r="42" spans="1:11" x14ac:dyDescent="0.2">
      <c r="A42" s="202">
        <v>5</v>
      </c>
      <c r="B42" s="203" t="s">
        <v>166</v>
      </c>
      <c r="E42" s="205" t="s">
        <v>4</v>
      </c>
      <c r="G42" s="204">
        <v>17.329999999999998</v>
      </c>
      <c r="H42" s="220">
        <v>0.32080710847834137</v>
      </c>
      <c r="I42" s="205" t="s">
        <v>27</v>
      </c>
      <c r="J42" s="206">
        <v>1.8841995000839233</v>
      </c>
      <c r="K42" s="205"/>
    </row>
    <row r="43" spans="1:11" x14ac:dyDescent="0.2">
      <c r="A43" s="202">
        <v>5</v>
      </c>
      <c r="B43" s="203" t="s">
        <v>166</v>
      </c>
      <c r="E43" s="205" t="s">
        <v>5</v>
      </c>
      <c r="G43" s="204">
        <v>8.02</v>
      </c>
      <c r="H43" s="220">
        <v>0.14846353202517587</v>
      </c>
      <c r="I43" s="205" t="s">
        <v>28</v>
      </c>
      <c r="J43" s="206">
        <v>1.1309664249420166</v>
      </c>
      <c r="K43" s="205"/>
    </row>
    <row r="44" spans="1:11" x14ac:dyDescent="0.2">
      <c r="A44" s="202">
        <v>5</v>
      </c>
      <c r="B44" s="203" t="s">
        <v>166</v>
      </c>
      <c r="E44" s="205" t="s">
        <v>146</v>
      </c>
      <c r="G44" s="204">
        <v>0.21</v>
      </c>
      <c r="H44" s="220">
        <v>3.8874490929285449E-3</v>
      </c>
      <c r="I44" s="205" t="s">
        <v>29</v>
      </c>
      <c r="J44" s="206">
        <v>1.0126676559448242</v>
      </c>
      <c r="K44" s="205"/>
    </row>
    <row r="45" spans="1:11" x14ac:dyDescent="0.2">
      <c r="A45" s="202">
        <v>5</v>
      </c>
      <c r="B45" s="196" t="s">
        <v>166</v>
      </c>
      <c r="E45" s="205" t="s">
        <v>147</v>
      </c>
      <c r="G45" s="204">
        <v>8.1199999999999992</v>
      </c>
      <c r="H45" s="220">
        <v>0.15031469825990373</v>
      </c>
      <c r="I45" s="205" t="s">
        <v>150</v>
      </c>
      <c r="J45" s="206">
        <v>1.8606296834137113</v>
      </c>
      <c r="K45" s="205"/>
    </row>
    <row r="46" spans="1:11" x14ac:dyDescent="0.2">
      <c r="A46" s="202">
        <v>5</v>
      </c>
      <c r="B46" s="196" t="s">
        <v>166</v>
      </c>
      <c r="E46" s="205" t="s">
        <v>148</v>
      </c>
      <c r="G46" s="204">
        <v>9.3000000000000007</v>
      </c>
      <c r="H46" s="220">
        <v>0.17215845982969274</v>
      </c>
      <c r="I46" s="205" t="s">
        <v>10</v>
      </c>
      <c r="J46" s="206">
        <v>49.685302734375</v>
      </c>
    </row>
    <row r="47" spans="1:11" x14ac:dyDescent="0.2">
      <c r="A47" s="202">
        <v>5</v>
      </c>
      <c r="B47" s="203" t="s">
        <v>166</v>
      </c>
      <c r="E47" s="205" t="s">
        <v>149</v>
      </c>
      <c r="G47" s="204">
        <v>11.04</v>
      </c>
      <c r="H47" s="220">
        <v>0.20436875231395779</v>
      </c>
    </row>
    <row r="48" spans="1:11" x14ac:dyDescent="0.2">
      <c r="A48" s="202">
        <v>5</v>
      </c>
      <c r="B48" s="203" t="s">
        <v>166</v>
      </c>
      <c r="E48" s="205" t="s">
        <v>6</v>
      </c>
      <c r="G48" s="222">
        <v>28.670000076293945</v>
      </c>
      <c r="H48" s="220">
        <v>0.53072936090881062</v>
      </c>
    </row>
    <row r="49" spans="1:11" x14ac:dyDescent="0.2">
      <c r="A49" s="202">
        <v>5</v>
      </c>
      <c r="B49" s="203" t="s">
        <v>166</v>
      </c>
      <c r="E49" s="205" t="s">
        <v>168</v>
      </c>
      <c r="G49" s="204">
        <v>54.019999999999996</v>
      </c>
      <c r="H49" s="220">
        <v>1</v>
      </c>
    </row>
    <row r="52" spans="1:11" x14ac:dyDescent="0.2">
      <c r="A52" s="202">
        <v>6</v>
      </c>
      <c r="B52" s="203" t="s">
        <v>167</v>
      </c>
      <c r="E52" s="205" t="s">
        <v>4</v>
      </c>
      <c r="G52" s="204">
        <v>17.329999999999998</v>
      </c>
      <c r="H52" s="220">
        <v>0.14651673993912748</v>
      </c>
      <c r="I52" s="205" t="s">
        <v>27</v>
      </c>
      <c r="J52" s="206">
        <v>1.2103970050811768</v>
      </c>
      <c r="K52" s="205"/>
    </row>
    <row r="53" spans="1:11" x14ac:dyDescent="0.2">
      <c r="A53" s="202">
        <v>6</v>
      </c>
      <c r="B53" s="203" t="s">
        <v>167</v>
      </c>
      <c r="E53" s="205" t="s">
        <v>5</v>
      </c>
      <c r="G53" s="204">
        <v>3.23</v>
      </c>
      <c r="H53" s="220">
        <v>2.7308082516063578E-2</v>
      </c>
      <c r="I53" s="205" t="s">
        <v>28</v>
      </c>
      <c r="J53" s="206">
        <v>4.7529182434082031</v>
      </c>
      <c r="K53" s="205"/>
    </row>
    <row r="54" spans="1:11" x14ac:dyDescent="0.2">
      <c r="A54" s="202">
        <v>6</v>
      </c>
      <c r="B54" s="203" t="s">
        <v>167</v>
      </c>
      <c r="E54" s="205" t="s">
        <v>146</v>
      </c>
      <c r="G54" s="204">
        <v>12.29</v>
      </c>
      <c r="H54" s="220">
        <v>0.10390598579641527</v>
      </c>
      <c r="I54" s="205" t="s">
        <v>29</v>
      </c>
      <c r="J54" s="206">
        <v>0.34104308485984802</v>
      </c>
      <c r="K54" s="205"/>
    </row>
    <row r="55" spans="1:11" x14ac:dyDescent="0.2">
      <c r="A55" s="202">
        <v>6</v>
      </c>
      <c r="B55" s="196" t="s">
        <v>167</v>
      </c>
      <c r="E55" s="205" t="s">
        <v>147</v>
      </c>
      <c r="G55" s="204">
        <v>8.36</v>
      </c>
      <c r="H55" s="220">
        <v>7.0679742982752786E-2</v>
      </c>
      <c r="I55" s="205" t="s">
        <v>150</v>
      </c>
      <c r="J55" s="206">
        <v>3.5491029104976297</v>
      </c>
      <c r="K55" s="205"/>
    </row>
    <row r="56" spans="1:11" x14ac:dyDescent="0.2">
      <c r="A56" s="202">
        <v>6</v>
      </c>
      <c r="B56" s="196" t="s">
        <v>167</v>
      </c>
      <c r="E56" s="205" t="s">
        <v>148</v>
      </c>
      <c r="G56" s="204">
        <v>58.58</v>
      </c>
      <c r="H56" s="220">
        <v>0.49526547176192087</v>
      </c>
      <c r="I56" s="205" t="s">
        <v>10</v>
      </c>
      <c r="J56" s="206">
        <v>74.568824768066406</v>
      </c>
    </row>
    <row r="57" spans="1:11" x14ac:dyDescent="0.2">
      <c r="A57" s="202">
        <v>6</v>
      </c>
      <c r="B57" s="203" t="s">
        <v>167</v>
      </c>
      <c r="E57" s="205" t="s">
        <v>149</v>
      </c>
      <c r="G57" s="204">
        <v>18.489999999999998</v>
      </c>
      <c r="H57" s="220">
        <v>0.15632397700371997</v>
      </c>
    </row>
    <row r="58" spans="1:11" x14ac:dyDescent="0.2">
      <c r="A58" s="202">
        <v>6</v>
      </c>
      <c r="B58" s="203" t="s">
        <v>167</v>
      </c>
      <c r="E58" s="205" t="s">
        <v>6</v>
      </c>
      <c r="G58" s="222">
        <v>97.720001220703125</v>
      </c>
      <c r="H58" s="220">
        <v>0.82617518786526145</v>
      </c>
    </row>
    <row r="59" spans="1:11" x14ac:dyDescent="0.2">
      <c r="A59" s="202">
        <v>6</v>
      </c>
      <c r="B59" s="203" t="s">
        <v>167</v>
      </c>
      <c r="E59" s="205" t="s">
        <v>168</v>
      </c>
      <c r="G59" s="204">
        <v>118.28</v>
      </c>
      <c r="H59" s="220">
        <v>1</v>
      </c>
    </row>
    <row r="62" spans="1:11" x14ac:dyDescent="0.2">
      <c r="B62" s="203"/>
      <c r="I62" s="205"/>
      <c r="K62" s="205"/>
    </row>
    <row r="63" spans="1:11" x14ac:dyDescent="0.2">
      <c r="B63" s="203"/>
      <c r="I63" s="205"/>
      <c r="K63" s="205"/>
    </row>
    <row r="64" spans="1:11" x14ac:dyDescent="0.2">
      <c r="B64" s="203"/>
      <c r="I64" s="205"/>
      <c r="K64" s="205"/>
    </row>
    <row r="65" spans="2:11" x14ac:dyDescent="0.2">
      <c r="I65" s="205"/>
      <c r="K65" s="205"/>
    </row>
    <row r="67" spans="2:11" x14ac:dyDescent="0.2">
      <c r="B67" s="203"/>
    </row>
    <row r="68" spans="2:11" x14ac:dyDescent="0.2">
      <c r="B68" s="203"/>
    </row>
    <row r="69" spans="2:11" x14ac:dyDescent="0.2">
      <c r="B69" s="203"/>
    </row>
    <row r="72" spans="2:11" x14ac:dyDescent="0.2">
      <c r="B72" s="203"/>
      <c r="I72" s="205"/>
      <c r="K72" s="205"/>
    </row>
    <row r="73" spans="2:11" x14ac:dyDescent="0.2">
      <c r="B73" s="203"/>
      <c r="I73" s="205"/>
      <c r="K73" s="205"/>
    </row>
    <row r="74" spans="2:11" x14ac:dyDescent="0.2">
      <c r="B74" s="203"/>
      <c r="I74" s="205"/>
      <c r="K74" s="205"/>
    </row>
    <row r="75" spans="2:11" x14ac:dyDescent="0.2">
      <c r="I75" s="205"/>
      <c r="K75" s="205"/>
    </row>
    <row r="77" spans="2:11" ht="16.5" customHeight="1" x14ac:dyDescent="0.2">
      <c r="B77" s="203"/>
    </row>
    <row r="78" spans="2:11" x14ac:dyDescent="0.2">
      <c r="B78" s="203"/>
    </row>
    <row r="79" spans="2:11" x14ac:dyDescent="0.2">
      <c r="B79" s="203"/>
    </row>
    <row r="82" spans="2:11" x14ac:dyDescent="0.2">
      <c r="B82" s="203"/>
      <c r="I82" s="205"/>
      <c r="K82" s="205"/>
    </row>
    <row r="83" spans="2:11" x14ac:dyDescent="0.2">
      <c r="B83" s="203"/>
      <c r="I83" s="205"/>
      <c r="K83" s="205"/>
    </row>
    <row r="84" spans="2:11" x14ac:dyDescent="0.2">
      <c r="B84" s="203"/>
      <c r="I84" s="205"/>
      <c r="K84" s="205"/>
    </row>
    <row r="85" spans="2:11" x14ac:dyDescent="0.2">
      <c r="I85" s="205"/>
      <c r="K85" s="205"/>
    </row>
    <row r="87" spans="2:11" x14ac:dyDescent="0.2">
      <c r="B87" s="203"/>
    </row>
    <row r="88" spans="2:11" x14ac:dyDescent="0.2">
      <c r="B88" s="203"/>
    </row>
    <row r="89" spans="2:11" x14ac:dyDescent="0.2">
      <c r="B89" s="203"/>
    </row>
    <row r="92" spans="2:11" x14ac:dyDescent="0.2">
      <c r="B92" s="203"/>
      <c r="I92" s="205"/>
      <c r="K92" s="205"/>
    </row>
    <row r="93" spans="2:11" x14ac:dyDescent="0.2">
      <c r="B93" s="203"/>
      <c r="I93" s="205"/>
      <c r="K93" s="205"/>
    </row>
    <row r="94" spans="2:11" x14ac:dyDescent="0.2">
      <c r="B94" s="203"/>
      <c r="I94" s="205"/>
      <c r="K94" s="205"/>
    </row>
    <row r="95" spans="2:11" x14ac:dyDescent="0.2">
      <c r="I95" s="205"/>
      <c r="K95" s="205"/>
    </row>
    <row r="97" spans="2:11" x14ac:dyDescent="0.2">
      <c r="B97" s="203"/>
    </row>
    <row r="98" spans="2:11" x14ac:dyDescent="0.2">
      <c r="B98" s="203"/>
    </row>
    <row r="99" spans="2:11" x14ac:dyDescent="0.2">
      <c r="B99" s="203"/>
    </row>
    <row r="102" spans="2:11" x14ac:dyDescent="0.2">
      <c r="B102" s="203"/>
      <c r="I102" s="205"/>
      <c r="K102" s="205"/>
    </row>
    <row r="103" spans="2:11" x14ac:dyDescent="0.2">
      <c r="B103" s="203"/>
      <c r="I103" s="205"/>
      <c r="K103" s="205"/>
    </row>
    <row r="104" spans="2:11" x14ac:dyDescent="0.2">
      <c r="B104" s="203"/>
      <c r="I104" s="205"/>
      <c r="K104" s="205"/>
    </row>
    <row r="105" spans="2:11" x14ac:dyDescent="0.2">
      <c r="I105" s="205"/>
      <c r="K105" s="205"/>
    </row>
    <row r="107" spans="2:11" x14ac:dyDescent="0.2">
      <c r="B107" s="203"/>
    </row>
    <row r="108" spans="2:11" x14ac:dyDescent="0.2">
      <c r="B108" s="203"/>
    </row>
    <row r="109" spans="2:11" x14ac:dyDescent="0.2">
      <c r="B109" s="203"/>
    </row>
    <row r="112" spans="2:11" x14ac:dyDescent="0.2">
      <c r="B112" s="203"/>
      <c r="I112" s="205"/>
      <c r="K112" s="205"/>
    </row>
    <row r="113" spans="2:11" x14ac:dyDescent="0.2">
      <c r="B113" s="203"/>
      <c r="I113" s="205"/>
      <c r="K113" s="205"/>
    </row>
    <row r="114" spans="2:11" x14ac:dyDescent="0.2">
      <c r="B114" s="203"/>
      <c r="I114" s="205"/>
      <c r="K114" s="205"/>
    </row>
    <row r="115" spans="2:11" x14ac:dyDescent="0.2">
      <c r="I115" s="205"/>
      <c r="K115" s="205"/>
    </row>
    <row r="117" spans="2:11" x14ac:dyDescent="0.2">
      <c r="B117" s="203"/>
    </row>
    <row r="118" spans="2:11" x14ac:dyDescent="0.2">
      <c r="B118" s="203"/>
    </row>
    <row r="119" spans="2:11" x14ac:dyDescent="0.2">
      <c r="B119" s="203"/>
    </row>
    <row r="122" spans="2:11" x14ac:dyDescent="0.2">
      <c r="B122" s="203"/>
      <c r="I122" s="205"/>
      <c r="K122" s="205"/>
    </row>
    <row r="123" spans="2:11" x14ac:dyDescent="0.2">
      <c r="B123" s="203"/>
      <c r="I123" s="205"/>
      <c r="K123" s="205"/>
    </row>
    <row r="124" spans="2:11" x14ac:dyDescent="0.2">
      <c r="B124" s="203"/>
      <c r="I124" s="205"/>
      <c r="K124" s="205"/>
    </row>
    <row r="125" spans="2:11" x14ac:dyDescent="0.2">
      <c r="I125" s="205"/>
      <c r="K125" s="205"/>
    </row>
    <row r="127" spans="2:11" x14ac:dyDescent="0.2">
      <c r="B127" s="203"/>
    </row>
    <row r="128" spans="2:11" x14ac:dyDescent="0.2">
      <c r="B128" s="203"/>
    </row>
    <row r="129" spans="2:11" x14ac:dyDescent="0.2">
      <c r="B129" s="203"/>
    </row>
    <row r="132" spans="2:11" x14ac:dyDescent="0.2">
      <c r="B132" s="203"/>
      <c r="I132" s="205"/>
      <c r="K132" s="205"/>
    </row>
    <row r="133" spans="2:11" x14ac:dyDescent="0.2">
      <c r="B133" s="203"/>
      <c r="I133" s="205"/>
      <c r="K133" s="205"/>
    </row>
    <row r="134" spans="2:11" x14ac:dyDescent="0.2">
      <c r="B134" s="203"/>
      <c r="I134" s="205"/>
      <c r="K134" s="205"/>
    </row>
    <row r="135" spans="2:11" x14ac:dyDescent="0.2">
      <c r="I135" s="205"/>
      <c r="K135" s="205"/>
    </row>
    <row r="137" spans="2:11" x14ac:dyDescent="0.2">
      <c r="B137" s="203"/>
    </row>
    <row r="138" spans="2:11" x14ac:dyDescent="0.2">
      <c r="B138" s="203"/>
    </row>
    <row r="139" spans="2:11" x14ac:dyDescent="0.2">
      <c r="B139" s="203"/>
    </row>
    <row r="142" spans="2:11" x14ac:dyDescent="0.2">
      <c r="B142" s="203"/>
      <c r="I142" s="205"/>
      <c r="K142" s="205"/>
    </row>
    <row r="143" spans="2:11" x14ac:dyDescent="0.2">
      <c r="B143" s="203"/>
      <c r="I143" s="205"/>
      <c r="K143" s="205"/>
    </row>
    <row r="144" spans="2:11" x14ac:dyDescent="0.2">
      <c r="B144" s="203"/>
      <c r="I144" s="205"/>
      <c r="K144" s="205"/>
    </row>
    <row r="145" spans="2:11" x14ac:dyDescent="0.2">
      <c r="I145" s="205"/>
      <c r="K145" s="205"/>
    </row>
    <row r="147" spans="2:11" x14ac:dyDescent="0.2">
      <c r="B147" s="203"/>
    </row>
    <row r="148" spans="2:11" x14ac:dyDescent="0.2">
      <c r="B148" s="203"/>
    </row>
    <row r="149" spans="2:11" x14ac:dyDescent="0.2">
      <c r="B149" s="203"/>
    </row>
    <row r="152" spans="2:11" x14ac:dyDescent="0.2">
      <c r="B152" s="203"/>
      <c r="I152" s="205"/>
      <c r="K152" s="205"/>
    </row>
    <row r="153" spans="2:11" x14ac:dyDescent="0.2">
      <c r="B153" s="203"/>
      <c r="I153" s="205"/>
      <c r="K153" s="205"/>
    </row>
    <row r="154" spans="2:11" x14ac:dyDescent="0.2">
      <c r="B154" s="203"/>
      <c r="I154" s="205"/>
      <c r="K154" s="205"/>
    </row>
    <row r="155" spans="2:11" x14ac:dyDescent="0.2">
      <c r="I155" s="205"/>
      <c r="K155" s="205"/>
    </row>
    <row r="157" spans="2:11" x14ac:dyDescent="0.2">
      <c r="B157" s="203"/>
    </row>
    <row r="158" spans="2:11" x14ac:dyDescent="0.2">
      <c r="B158" s="203"/>
    </row>
    <row r="159" spans="2:11" x14ac:dyDescent="0.2">
      <c r="B159" s="203"/>
    </row>
    <row r="162" spans="2:11" x14ac:dyDescent="0.2">
      <c r="B162" s="203"/>
      <c r="I162" s="205"/>
      <c r="K162" s="205"/>
    </row>
    <row r="163" spans="2:11" x14ac:dyDescent="0.2">
      <c r="B163" s="203"/>
      <c r="I163" s="205"/>
      <c r="K163" s="205"/>
    </row>
    <row r="164" spans="2:11" x14ac:dyDescent="0.2">
      <c r="B164" s="203"/>
      <c r="I164" s="205"/>
      <c r="K164" s="205"/>
    </row>
    <row r="165" spans="2:11" x14ac:dyDescent="0.2">
      <c r="I165" s="205"/>
      <c r="K165" s="205"/>
    </row>
    <row r="167" spans="2:11" x14ac:dyDescent="0.2">
      <c r="B167" s="203"/>
    </row>
    <row r="168" spans="2:11" x14ac:dyDescent="0.2">
      <c r="B168" s="203"/>
    </row>
    <row r="169" spans="2:11" x14ac:dyDescent="0.2">
      <c r="B169" s="203"/>
    </row>
    <row r="172" spans="2:11" x14ac:dyDescent="0.2">
      <c r="B172" s="203"/>
      <c r="I172" s="205"/>
      <c r="K172" s="205"/>
    </row>
    <row r="173" spans="2:11" x14ac:dyDescent="0.2">
      <c r="B173" s="203"/>
      <c r="I173" s="205"/>
      <c r="K173" s="205"/>
    </row>
    <row r="174" spans="2:11" x14ac:dyDescent="0.2">
      <c r="B174" s="203"/>
      <c r="I174" s="205"/>
      <c r="K174" s="205"/>
    </row>
    <row r="175" spans="2:11" x14ac:dyDescent="0.2">
      <c r="I175" s="205"/>
      <c r="K175" s="205"/>
    </row>
    <row r="177" spans="2:11" x14ac:dyDescent="0.2">
      <c r="B177" s="203"/>
    </row>
    <row r="178" spans="2:11" x14ac:dyDescent="0.2">
      <c r="B178" s="203"/>
    </row>
    <row r="179" spans="2:11" x14ac:dyDescent="0.2">
      <c r="B179" s="203"/>
    </row>
    <row r="182" spans="2:11" x14ac:dyDescent="0.2">
      <c r="B182" s="203"/>
      <c r="I182" s="205"/>
      <c r="K182" s="205"/>
    </row>
    <row r="183" spans="2:11" x14ac:dyDescent="0.2">
      <c r="B183" s="203"/>
      <c r="I183" s="205"/>
      <c r="K183" s="205"/>
    </row>
    <row r="184" spans="2:11" x14ac:dyDescent="0.2">
      <c r="B184" s="203"/>
      <c r="I184" s="205"/>
      <c r="K184" s="205"/>
    </row>
    <row r="185" spans="2:11" x14ac:dyDescent="0.2">
      <c r="I185" s="205"/>
      <c r="K185" s="205"/>
    </row>
    <row r="187" spans="2:11" x14ac:dyDescent="0.2">
      <c r="B187" s="203"/>
    </row>
    <row r="188" spans="2:11" x14ac:dyDescent="0.2">
      <c r="B188" s="203"/>
    </row>
    <row r="189" spans="2:11" x14ac:dyDescent="0.2">
      <c r="B189" s="203"/>
    </row>
    <row r="192" spans="2:11" x14ac:dyDescent="0.2">
      <c r="B192" s="203"/>
      <c r="I192" s="205"/>
      <c r="K192" s="205"/>
    </row>
    <row r="193" spans="2:11" x14ac:dyDescent="0.2">
      <c r="B193" s="203"/>
      <c r="I193" s="205"/>
      <c r="K193" s="205"/>
    </row>
    <row r="194" spans="2:11" x14ac:dyDescent="0.2">
      <c r="B194" s="203"/>
      <c r="I194" s="205"/>
      <c r="K194" s="205"/>
    </row>
    <row r="195" spans="2:11" x14ac:dyDescent="0.2">
      <c r="I195" s="205"/>
      <c r="K195" s="205"/>
    </row>
    <row r="197" spans="2:11" x14ac:dyDescent="0.2">
      <c r="B197" s="203"/>
    </row>
    <row r="198" spans="2:11" x14ac:dyDescent="0.2">
      <c r="B198" s="203"/>
    </row>
    <row r="199" spans="2:11" x14ac:dyDescent="0.2">
      <c r="B199" s="203"/>
    </row>
    <row r="202" spans="2:11" x14ac:dyDescent="0.2">
      <c r="B202" s="203"/>
      <c r="I202" s="205"/>
      <c r="K202" s="205"/>
    </row>
    <row r="203" spans="2:11" x14ac:dyDescent="0.2">
      <c r="B203" s="203"/>
      <c r="I203" s="205"/>
      <c r="K203" s="205"/>
    </row>
    <row r="204" spans="2:11" x14ac:dyDescent="0.2">
      <c r="B204" s="203"/>
      <c r="I204" s="205"/>
      <c r="K204" s="205"/>
    </row>
    <row r="205" spans="2:11" x14ac:dyDescent="0.2">
      <c r="I205" s="205"/>
      <c r="K205" s="205"/>
    </row>
    <row r="207" spans="2:11" x14ac:dyDescent="0.2">
      <c r="B207" s="203"/>
    </row>
    <row r="208" spans="2:11" x14ac:dyDescent="0.2">
      <c r="B208" s="203"/>
    </row>
    <row r="209" spans="2:11" x14ac:dyDescent="0.2">
      <c r="B209" s="203"/>
    </row>
    <row r="212" spans="2:11" x14ac:dyDescent="0.2">
      <c r="B212" s="203"/>
      <c r="I212" s="205"/>
      <c r="K212" s="205"/>
    </row>
    <row r="213" spans="2:11" x14ac:dyDescent="0.2">
      <c r="B213" s="203"/>
      <c r="I213" s="205"/>
      <c r="K213" s="205"/>
    </row>
    <row r="214" spans="2:11" x14ac:dyDescent="0.2">
      <c r="B214" s="203"/>
      <c r="I214" s="205"/>
      <c r="K214" s="205"/>
    </row>
    <row r="215" spans="2:11" x14ac:dyDescent="0.2">
      <c r="I215" s="205"/>
      <c r="K215" s="205"/>
    </row>
    <row r="217" spans="2:11" x14ac:dyDescent="0.2">
      <c r="B217" s="203"/>
    </row>
    <row r="218" spans="2:11" x14ac:dyDescent="0.2">
      <c r="B218" s="203"/>
    </row>
    <row r="219" spans="2:11" x14ac:dyDescent="0.2">
      <c r="B219" s="203"/>
    </row>
    <row r="222" spans="2:11" x14ac:dyDescent="0.2">
      <c r="B222" s="203"/>
      <c r="I222" s="205"/>
      <c r="K222" s="205"/>
    </row>
    <row r="223" spans="2:11" x14ac:dyDescent="0.2">
      <c r="B223" s="203"/>
      <c r="I223" s="205"/>
      <c r="K223" s="205"/>
    </row>
    <row r="224" spans="2:11" x14ac:dyDescent="0.2">
      <c r="B224" s="203"/>
      <c r="I224" s="205"/>
      <c r="K224" s="205"/>
    </row>
    <row r="225" spans="2:11" x14ac:dyDescent="0.2">
      <c r="I225" s="205"/>
      <c r="K225" s="205"/>
    </row>
    <row r="227" spans="2:11" x14ac:dyDescent="0.2">
      <c r="B227" s="203"/>
    </row>
    <row r="228" spans="2:11" x14ac:dyDescent="0.2">
      <c r="B228" s="203"/>
    </row>
    <row r="229" spans="2:11" x14ac:dyDescent="0.2">
      <c r="B229" s="203"/>
    </row>
    <row r="232" spans="2:11" x14ac:dyDescent="0.2">
      <c r="B232" s="203"/>
      <c r="I232" s="205"/>
      <c r="K232" s="205"/>
    </row>
    <row r="233" spans="2:11" x14ac:dyDescent="0.2">
      <c r="B233" s="203"/>
      <c r="I233" s="205"/>
      <c r="K233" s="205"/>
    </row>
    <row r="234" spans="2:11" x14ac:dyDescent="0.2">
      <c r="B234" s="203"/>
      <c r="I234" s="205"/>
      <c r="K234" s="205"/>
    </row>
    <row r="235" spans="2:11" x14ac:dyDescent="0.2">
      <c r="I235" s="205"/>
      <c r="K235" s="205"/>
    </row>
    <row r="237" spans="2:11" x14ac:dyDescent="0.2">
      <c r="B237" s="203"/>
    </row>
    <row r="238" spans="2:11" x14ac:dyDescent="0.2">
      <c r="B238" s="203"/>
    </row>
    <row r="239" spans="2:11" x14ac:dyDescent="0.2">
      <c r="B239" s="203"/>
    </row>
    <row r="242" spans="2:11" x14ac:dyDescent="0.2">
      <c r="B242" s="203"/>
      <c r="I242" s="205"/>
      <c r="K242" s="205"/>
    </row>
    <row r="243" spans="2:11" x14ac:dyDescent="0.2">
      <c r="B243" s="203"/>
      <c r="I243" s="205"/>
      <c r="K243" s="205"/>
    </row>
    <row r="244" spans="2:11" x14ac:dyDescent="0.2">
      <c r="B244" s="203"/>
      <c r="I244" s="205"/>
      <c r="K244" s="205"/>
    </row>
    <row r="245" spans="2:11" x14ac:dyDescent="0.2">
      <c r="I245" s="205"/>
      <c r="K245" s="205"/>
    </row>
    <row r="247" spans="2:11" x14ac:dyDescent="0.2">
      <c r="B247" s="203"/>
    </row>
    <row r="248" spans="2:11" x14ac:dyDescent="0.2">
      <c r="B248" s="203"/>
    </row>
    <row r="249" spans="2:11" x14ac:dyDescent="0.2">
      <c r="B249" s="203"/>
    </row>
    <row r="252" spans="2:11" x14ac:dyDescent="0.2">
      <c r="B252" s="203"/>
      <c r="I252" s="205"/>
      <c r="K252" s="205"/>
    </row>
    <row r="253" spans="2:11" x14ac:dyDescent="0.2">
      <c r="B253" s="203"/>
      <c r="I253" s="205"/>
      <c r="K253" s="205"/>
    </row>
    <row r="254" spans="2:11" x14ac:dyDescent="0.2">
      <c r="B254" s="203"/>
      <c r="I254" s="205"/>
      <c r="K254" s="205"/>
    </row>
    <row r="255" spans="2:11" x14ac:dyDescent="0.2">
      <c r="I255" s="205"/>
      <c r="K255" s="205"/>
    </row>
    <row r="257" spans="2:11" x14ac:dyDescent="0.2">
      <c r="B257" s="203"/>
    </row>
    <row r="258" spans="2:11" x14ac:dyDescent="0.2">
      <c r="B258" s="203"/>
    </row>
    <row r="259" spans="2:11" x14ac:dyDescent="0.2">
      <c r="B259" s="203"/>
    </row>
    <row r="262" spans="2:11" x14ac:dyDescent="0.2">
      <c r="B262" s="203"/>
      <c r="I262" s="205"/>
      <c r="K262" s="205"/>
    </row>
    <row r="263" spans="2:11" x14ac:dyDescent="0.2">
      <c r="B263" s="203"/>
      <c r="I263" s="205"/>
      <c r="K263" s="205"/>
    </row>
    <row r="264" spans="2:11" x14ac:dyDescent="0.2">
      <c r="B264" s="203"/>
      <c r="I264" s="205"/>
      <c r="K264" s="205"/>
    </row>
    <row r="265" spans="2:11" x14ac:dyDescent="0.2">
      <c r="I265" s="205"/>
      <c r="K265" s="205"/>
    </row>
    <row r="267" spans="2:11" x14ac:dyDescent="0.2">
      <c r="B267" s="203"/>
    </row>
    <row r="268" spans="2:11" x14ac:dyDescent="0.2">
      <c r="B268" s="203"/>
    </row>
    <row r="269" spans="2:11" x14ac:dyDescent="0.2">
      <c r="B269" s="203"/>
    </row>
    <row r="272" spans="2:11" x14ac:dyDescent="0.2">
      <c r="B272" s="203"/>
      <c r="I272" s="205"/>
      <c r="K272" s="205"/>
    </row>
    <row r="273" spans="2:11" x14ac:dyDescent="0.2">
      <c r="B273" s="203"/>
      <c r="I273" s="205"/>
      <c r="K273" s="205"/>
    </row>
    <row r="274" spans="2:11" x14ac:dyDescent="0.2">
      <c r="B274" s="203"/>
      <c r="I274" s="205"/>
      <c r="K274" s="205"/>
    </row>
    <row r="275" spans="2:11" x14ac:dyDescent="0.2">
      <c r="I275" s="205"/>
      <c r="K275" s="205"/>
    </row>
    <row r="277" spans="2:11" x14ac:dyDescent="0.2">
      <c r="B277" s="203"/>
    </row>
    <row r="278" spans="2:11" x14ac:dyDescent="0.2">
      <c r="B278" s="203"/>
    </row>
    <row r="279" spans="2:11" x14ac:dyDescent="0.2">
      <c r="B279" s="203"/>
    </row>
    <row r="282" spans="2:11" x14ac:dyDescent="0.2">
      <c r="B282" s="203"/>
      <c r="I282" s="205"/>
      <c r="K282" s="205"/>
    </row>
    <row r="283" spans="2:11" x14ac:dyDescent="0.2">
      <c r="B283" s="203"/>
      <c r="I283" s="205"/>
      <c r="K283" s="205"/>
    </row>
    <row r="284" spans="2:11" x14ac:dyDescent="0.2">
      <c r="B284" s="203"/>
      <c r="I284" s="205"/>
      <c r="K284" s="205"/>
    </row>
    <row r="285" spans="2:11" x14ac:dyDescent="0.2">
      <c r="I285" s="205"/>
      <c r="K285" s="205"/>
    </row>
    <row r="287" spans="2:11" x14ac:dyDescent="0.2">
      <c r="B287" s="203"/>
    </row>
    <row r="288" spans="2:11" x14ac:dyDescent="0.2">
      <c r="B288" s="207"/>
    </row>
    <row r="289" spans="2:11" x14ac:dyDescent="0.2">
      <c r="B289" s="207"/>
    </row>
    <row r="292" spans="2:11" x14ac:dyDescent="0.2">
      <c r="B292" s="203"/>
      <c r="I292" s="205"/>
      <c r="K292" s="205"/>
    </row>
    <row r="293" spans="2:11" x14ac:dyDescent="0.2">
      <c r="B293" s="207"/>
      <c r="I293" s="205"/>
      <c r="K293" s="205"/>
    </row>
    <row r="294" spans="2:11" x14ac:dyDescent="0.2">
      <c r="B294" s="207"/>
      <c r="I294" s="205"/>
      <c r="K294" s="205"/>
    </row>
    <row r="295" spans="2:11" x14ac:dyDescent="0.2">
      <c r="I295" s="205"/>
      <c r="K295" s="205"/>
    </row>
    <row r="297" spans="2:11" x14ac:dyDescent="0.2">
      <c r="B297" s="203"/>
    </row>
    <row r="298" spans="2:11" x14ac:dyDescent="0.2">
      <c r="B298" s="207"/>
    </row>
    <row r="299" spans="2:11" x14ac:dyDescent="0.2">
      <c r="B299" s="207"/>
    </row>
    <row r="302" spans="2:11" x14ac:dyDescent="0.2">
      <c r="B302" s="203"/>
    </row>
    <row r="303" spans="2:11" x14ac:dyDescent="0.2">
      <c r="B303" s="207"/>
    </row>
    <row r="304" spans="2:11" x14ac:dyDescent="0.2">
      <c r="B304" s="207"/>
    </row>
    <row r="307" spans="2:2" x14ac:dyDescent="0.2">
      <c r="B307" s="203"/>
    </row>
    <row r="308" spans="2:2" x14ac:dyDescent="0.2">
      <c r="B308" s="207"/>
    </row>
    <row r="309" spans="2:2" x14ac:dyDescent="0.2">
      <c r="B309" s="207"/>
    </row>
    <row r="312" spans="2:2" x14ac:dyDescent="0.2">
      <c r="B312" s="203"/>
    </row>
    <row r="313" spans="2:2" x14ac:dyDescent="0.2">
      <c r="B313" s="207"/>
    </row>
    <row r="314" spans="2:2" x14ac:dyDescent="0.2">
      <c r="B314" s="207"/>
    </row>
    <row r="317" spans="2:2" x14ac:dyDescent="0.2">
      <c r="B317" s="203"/>
    </row>
    <row r="318" spans="2:2" x14ac:dyDescent="0.2">
      <c r="B318" s="207"/>
    </row>
    <row r="319" spans="2:2" x14ac:dyDescent="0.2">
      <c r="B319" s="207"/>
    </row>
    <row r="322" spans="2:2" x14ac:dyDescent="0.2">
      <c r="B322" s="203"/>
    </row>
    <row r="323" spans="2:2" x14ac:dyDescent="0.2">
      <c r="B323" s="207"/>
    </row>
    <row r="324" spans="2:2" x14ac:dyDescent="0.2">
      <c r="B324" s="207"/>
    </row>
    <row r="327" spans="2:2" x14ac:dyDescent="0.2">
      <c r="B327" s="203"/>
    </row>
    <row r="328" spans="2:2" x14ac:dyDescent="0.2">
      <c r="B328" s="207"/>
    </row>
    <row r="329" spans="2:2" x14ac:dyDescent="0.2">
      <c r="B329" s="207"/>
    </row>
    <row r="332" spans="2:2" x14ac:dyDescent="0.2">
      <c r="B332" s="203"/>
    </row>
    <row r="333" spans="2:2" x14ac:dyDescent="0.2">
      <c r="B333" s="207"/>
    </row>
    <row r="334" spans="2:2" x14ac:dyDescent="0.2">
      <c r="B334" s="207"/>
    </row>
    <row r="337" spans="2:2" x14ac:dyDescent="0.2">
      <c r="B337" s="203"/>
    </row>
    <row r="338" spans="2:2" x14ac:dyDescent="0.2">
      <c r="B338" s="207"/>
    </row>
    <row r="339" spans="2:2" x14ac:dyDescent="0.2">
      <c r="B339" s="207"/>
    </row>
    <row r="342" spans="2:2" x14ac:dyDescent="0.2">
      <c r="B342" s="203"/>
    </row>
    <row r="343" spans="2:2" x14ac:dyDescent="0.2">
      <c r="B343" s="207"/>
    </row>
    <row r="344" spans="2:2" x14ac:dyDescent="0.2">
      <c r="B344" s="207"/>
    </row>
    <row r="347" spans="2:2" x14ac:dyDescent="0.2">
      <c r="B347" s="203"/>
    </row>
    <row r="348" spans="2:2" x14ac:dyDescent="0.2">
      <c r="B348" s="207"/>
    </row>
    <row r="349" spans="2:2" x14ac:dyDescent="0.2">
      <c r="B349" s="207"/>
    </row>
    <row r="352" spans="2:2" x14ac:dyDescent="0.2">
      <c r="B352" s="203"/>
    </row>
    <row r="353" spans="2:2" x14ac:dyDescent="0.2">
      <c r="B353" s="207"/>
    </row>
    <row r="354" spans="2:2" x14ac:dyDescent="0.2">
      <c r="B354" s="207"/>
    </row>
    <row r="357" spans="2:2" x14ac:dyDescent="0.2">
      <c r="B357" s="203"/>
    </row>
    <row r="358" spans="2:2" x14ac:dyDescent="0.2">
      <c r="B358" s="207"/>
    </row>
    <row r="359" spans="2:2" x14ac:dyDescent="0.2">
      <c r="B359" s="207"/>
    </row>
    <row r="362" spans="2:2" x14ac:dyDescent="0.2">
      <c r="B362" s="203"/>
    </row>
    <row r="363" spans="2:2" x14ac:dyDescent="0.2">
      <c r="B363" s="207"/>
    </row>
    <row r="364" spans="2:2" x14ac:dyDescent="0.2">
      <c r="B364" s="207"/>
    </row>
    <row r="367" spans="2:2" x14ac:dyDescent="0.2">
      <c r="B367" s="203"/>
    </row>
    <row r="368" spans="2:2" x14ac:dyDescent="0.2">
      <c r="B368" s="207"/>
    </row>
    <row r="369" spans="2:2" x14ac:dyDescent="0.2">
      <c r="B369" s="207"/>
    </row>
    <row r="372" spans="2:2" x14ac:dyDescent="0.2">
      <c r="B372" s="203"/>
    </row>
    <row r="373" spans="2:2" x14ac:dyDescent="0.2">
      <c r="B373" s="207"/>
    </row>
    <row r="374" spans="2:2" x14ac:dyDescent="0.2">
      <c r="B374" s="207"/>
    </row>
    <row r="377" spans="2:2" x14ac:dyDescent="0.2">
      <c r="B377" s="203"/>
    </row>
    <row r="378" spans="2:2" x14ac:dyDescent="0.2">
      <c r="B378" s="207"/>
    </row>
    <row r="379" spans="2:2" x14ac:dyDescent="0.2">
      <c r="B379" s="207"/>
    </row>
    <row r="382" spans="2:2" x14ac:dyDescent="0.2">
      <c r="B382" s="203"/>
    </row>
    <row r="383" spans="2:2" x14ac:dyDescent="0.2">
      <c r="B383" s="207"/>
    </row>
    <row r="384" spans="2:2" x14ac:dyDescent="0.2">
      <c r="B384" s="207"/>
    </row>
    <row r="387" spans="2:2" x14ac:dyDescent="0.2">
      <c r="B387" s="203"/>
    </row>
    <row r="388" spans="2:2" x14ac:dyDescent="0.2">
      <c r="B388" s="207"/>
    </row>
    <row r="389" spans="2:2" x14ac:dyDescent="0.2">
      <c r="B389" s="207"/>
    </row>
    <row r="392" spans="2:2" x14ac:dyDescent="0.2">
      <c r="B392" s="203"/>
    </row>
    <row r="393" spans="2:2" x14ac:dyDescent="0.2">
      <c r="B393" s="207"/>
    </row>
    <row r="394" spans="2:2" x14ac:dyDescent="0.2">
      <c r="B394" s="207"/>
    </row>
    <row r="397" spans="2:2" x14ac:dyDescent="0.2">
      <c r="B397" s="203"/>
    </row>
    <row r="398" spans="2:2" x14ac:dyDescent="0.2">
      <c r="B398" s="207"/>
    </row>
    <row r="399" spans="2:2" x14ac:dyDescent="0.2">
      <c r="B399" s="207"/>
    </row>
    <row r="402" spans="2:2" x14ac:dyDescent="0.2">
      <c r="B402" s="203"/>
    </row>
    <row r="403" spans="2:2" x14ac:dyDescent="0.2">
      <c r="B403" s="207"/>
    </row>
    <row r="404" spans="2:2" x14ac:dyDescent="0.2">
      <c r="B404" s="207"/>
    </row>
    <row r="407" spans="2:2" x14ac:dyDescent="0.2">
      <c r="B407" s="203"/>
    </row>
    <row r="408" spans="2:2" x14ac:dyDescent="0.2">
      <c r="B408" s="207"/>
    </row>
    <row r="409" spans="2:2" x14ac:dyDescent="0.2">
      <c r="B409" s="207"/>
    </row>
    <row r="412" spans="2:2" x14ac:dyDescent="0.2">
      <c r="B412" s="203"/>
    </row>
    <row r="413" spans="2:2" x14ac:dyDescent="0.2">
      <c r="B413" s="207"/>
    </row>
    <row r="414" spans="2:2" x14ac:dyDescent="0.2">
      <c r="B414" s="207"/>
    </row>
    <row r="417" spans="2:2" x14ac:dyDescent="0.2">
      <c r="B417" s="203"/>
    </row>
    <row r="418" spans="2:2" x14ac:dyDescent="0.2">
      <c r="B418" s="207"/>
    </row>
    <row r="419" spans="2:2" x14ac:dyDescent="0.2">
      <c r="B419" s="207"/>
    </row>
    <row r="422" spans="2:2" x14ac:dyDescent="0.2">
      <c r="B422" s="203"/>
    </row>
    <row r="423" spans="2:2" x14ac:dyDescent="0.2">
      <c r="B423" s="207"/>
    </row>
    <row r="424" spans="2:2" x14ac:dyDescent="0.2">
      <c r="B424" s="207"/>
    </row>
    <row r="427" spans="2:2" x14ac:dyDescent="0.2">
      <c r="B427" s="203"/>
    </row>
    <row r="428" spans="2:2" x14ac:dyDescent="0.2">
      <c r="B428" s="207"/>
    </row>
    <row r="429" spans="2:2" x14ac:dyDescent="0.2">
      <c r="B429" s="207"/>
    </row>
    <row r="432" spans="2:2" x14ac:dyDescent="0.2">
      <c r="B432" s="203"/>
    </row>
    <row r="433" spans="2:2" x14ac:dyDescent="0.2">
      <c r="B433" s="207"/>
    </row>
    <row r="434" spans="2:2" x14ac:dyDescent="0.2">
      <c r="B434" s="207"/>
    </row>
    <row r="437" spans="2:2" x14ac:dyDescent="0.2">
      <c r="B437" s="203"/>
    </row>
    <row r="438" spans="2:2" x14ac:dyDescent="0.2">
      <c r="B438" s="207"/>
    </row>
    <row r="439" spans="2:2" x14ac:dyDescent="0.2">
      <c r="B439" s="207"/>
    </row>
    <row r="442" spans="2:2" x14ac:dyDescent="0.2">
      <c r="B442" s="203"/>
    </row>
    <row r="443" spans="2:2" x14ac:dyDescent="0.2">
      <c r="B443" s="207"/>
    </row>
    <row r="444" spans="2:2" x14ac:dyDescent="0.2">
      <c r="B444" s="207"/>
    </row>
    <row r="447" spans="2:2" x14ac:dyDescent="0.2">
      <c r="B447" s="203"/>
    </row>
    <row r="448" spans="2:2" x14ac:dyDescent="0.2">
      <c r="B448" s="207"/>
    </row>
    <row r="449" spans="2:2" x14ac:dyDescent="0.2">
      <c r="B449" s="207"/>
    </row>
    <row r="452" spans="2:2" x14ac:dyDescent="0.2">
      <c r="B452" s="203"/>
    </row>
    <row r="453" spans="2:2" x14ac:dyDescent="0.2">
      <c r="B453" s="207"/>
    </row>
    <row r="454" spans="2:2" x14ac:dyDescent="0.2">
      <c r="B454" s="207"/>
    </row>
    <row r="457" spans="2:2" x14ac:dyDescent="0.2">
      <c r="B457" s="203"/>
    </row>
    <row r="458" spans="2:2" x14ac:dyDescent="0.2">
      <c r="B458" s="207"/>
    </row>
    <row r="459" spans="2:2" x14ac:dyDescent="0.2">
      <c r="B459" s="207"/>
    </row>
    <row r="462" spans="2:2" x14ac:dyDescent="0.2">
      <c r="B462" s="203"/>
    </row>
    <row r="463" spans="2:2" x14ac:dyDescent="0.2">
      <c r="B463" s="207"/>
    </row>
    <row r="464" spans="2:2" x14ac:dyDescent="0.2">
      <c r="B464" s="207"/>
    </row>
    <row r="467" spans="2:2" x14ac:dyDescent="0.2">
      <c r="B467" s="203"/>
    </row>
    <row r="468" spans="2:2" x14ac:dyDescent="0.2">
      <c r="B468" s="207"/>
    </row>
    <row r="469" spans="2:2" x14ac:dyDescent="0.2">
      <c r="B469" s="207"/>
    </row>
    <row r="472" spans="2:2" x14ac:dyDescent="0.2">
      <c r="B472" s="203"/>
    </row>
    <row r="473" spans="2:2" x14ac:dyDescent="0.2">
      <c r="B473" s="207"/>
    </row>
    <row r="474" spans="2:2" x14ac:dyDescent="0.2">
      <c r="B474" s="207"/>
    </row>
    <row r="477" spans="2:2" x14ac:dyDescent="0.2">
      <c r="B477" s="203"/>
    </row>
    <row r="478" spans="2:2" x14ac:dyDescent="0.2">
      <c r="B478" s="207"/>
    </row>
    <row r="479" spans="2:2" x14ac:dyDescent="0.2">
      <c r="B479" s="207"/>
    </row>
    <row r="482" spans="2:2" x14ac:dyDescent="0.2">
      <c r="B482" s="203"/>
    </row>
    <row r="483" spans="2:2" x14ac:dyDescent="0.2">
      <c r="B483" s="207"/>
    </row>
    <row r="484" spans="2:2" x14ac:dyDescent="0.2">
      <c r="B484" s="207"/>
    </row>
    <row r="487" spans="2:2" x14ac:dyDescent="0.2">
      <c r="B487" s="203"/>
    </row>
    <row r="488" spans="2:2" x14ac:dyDescent="0.2">
      <c r="B488" s="207"/>
    </row>
    <row r="489" spans="2:2" x14ac:dyDescent="0.2">
      <c r="B489" s="207"/>
    </row>
    <row r="492" spans="2:2" x14ac:dyDescent="0.2">
      <c r="B492" s="203"/>
    </row>
    <row r="493" spans="2:2" x14ac:dyDescent="0.2">
      <c r="B493" s="207"/>
    </row>
    <row r="494" spans="2:2" x14ac:dyDescent="0.2">
      <c r="B494" s="207"/>
    </row>
    <row r="497" spans="2:2" x14ac:dyDescent="0.2">
      <c r="B497" s="203"/>
    </row>
    <row r="498" spans="2:2" x14ac:dyDescent="0.2">
      <c r="B498" s="207"/>
    </row>
    <row r="499" spans="2:2" x14ac:dyDescent="0.2">
      <c r="B499" s="207"/>
    </row>
  </sheetData>
  <sheetProtection selectLockedCells="1" selectUnlockedCells="1"/>
  <phoneticPr fontId="2" type="noConversion"/>
  <pageMargins left="1.1023622047244095" right="0.98425196850393704" top="0.86614173228346458" bottom="0.86614173228346458" header="0.51181102362204722" footer="0.39370078740157483"/>
  <pageSetup scale="83" fitToHeight="0" orientation="portrait" verticalDpi="300" r:id="rId1"/>
  <headerFooter alignWithMargins="0">
    <oddHeader xml:space="preserve">&amp;L&amp;"Comic Sans MS,Negrito"&amp;14Summarized Emergy Flows and Indicators&amp;R
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indexed="53"/>
  </sheetPr>
  <dimension ref="A1:I703"/>
  <sheetViews>
    <sheetView windowProtection="1" zoomScale="120" zoomScaleNormal="120" workbookViewId="0">
      <selection activeCell="D6" sqref="D6"/>
    </sheetView>
  </sheetViews>
  <sheetFormatPr defaultColWidth="9" defaultRowHeight="11.25" x14ac:dyDescent="0.2"/>
  <cols>
    <col min="1" max="1" width="4.5" style="192" bestFit="1" customWidth="1"/>
    <col min="2" max="2" width="9" style="174"/>
    <col min="3" max="3" width="17.75" style="192" customWidth="1"/>
    <col min="4" max="4" width="37.375" style="174" customWidth="1"/>
    <col min="5" max="5" width="11.875" style="174" customWidth="1"/>
    <col min="6" max="6" width="10.25" style="174" customWidth="1"/>
    <col min="7" max="9" width="9.375" style="174" customWidth="1"/>
    <col min="10" max="10" width="9" style="174"/>
    <col min="11" max="11" width="3" style="174" customWidth="1"/>
    <col min="12" max="16384" width="9" style="174"/>
  </cols>
  <sheetData>
    <row r="1" spans="1:4" ht="41.25" customHeight="1" thickBot="1" x14ac:dyDescent="0.25">
      <c r="A1" s="170" t="s">
        <v>159</v>
      </c>
      <c r="B1" s="171" t="s">
        <v>108</v>
      </c>
      <c r="C1" s="172" t="s">
        <v>109</v>
      </c>
      <c r="D1" s="173" t="s">
        <v>110</v>
      </c>
    </row>
    <row r="2" spans="1:4" ht="12" x14ac:dyDescent="0.2">
      <c r="A2" s="175">
        <v>1</v>
      </c>
      <c r="B2" s="176" t="s">
        <v>162</v>
      </c>
      <c r="C2" s="177" t="s">
        <v>4</v>
      </c>
      <c r="D2" s="178">
        <v>17.329999999999998</v>
      </c>
    </row>
    <row r="3" spans="1:4" ht="12" x14ac:dyDescent="0.2">
      <c r="A3" s="179">
        <f>$A$2+0</f>
        <v>1</v>
      </c>
      <c r="B3" s="180" t="str">
        <f t="shared" ref="B3:B7" si="0">$B$2</f>
        <v>Agroecological</v>
      </c>
      <c r="C3" s="181" t="s">
        <v>5</v>
      </c>
      <c r="D3" s="182">
        <v>0.73</v>
      </c>
    </row>
    <row r="4" spans="1:4" ht="12" x14ac:dyDescent="0.2">
      <c r="A4" s="179">
        <v>1</v>
      </c>
      <c r="B4" s="180" t="str">
        <f t="shared" si="0"/>
        <v>Agroecological</v>
      </c>
      <c r="C4" s="181" t="s">
        <v>146</v>
      </c>
      <c r="D4" s="182">
        <v>5.1100000000000003</v>
      </c>
    </row>
    <row r="5" spans="1:4" ht="12" x14ac:dyDescent="0.2">
      <c r="A5" s="179">
        <v>1</v>
      </c>
      <c r="B5" s="180" t="str">
        <f t="shared" si="0"/>
        <v>Agroecological</v>
      </c>
      <c r="C5" s="181" t="s">
        <v>147</v>
      </c>
      <c r="D5" s="182">
        <v>4.8499999999999996</v>
      </c>
    </row>
    <row r="6" spans="1:4" ht="12" x14ac:dyDescent="0.2">
      <c r="A6" s="179">
        <v>1</v>
      </c>
      <c r="B6" s="180" t="str">
        <f t="shared" si="0"/>
        <v>Agroecological</v>
      </c>
      <c r="C6" s="181" t="s">
        <v>148</v>
      </c>
      <c r="D6" s="182">
        <v>18.399999999999999</v>
      </c>
    </row>
    <row r="7" spans="1:4" ht="12.75" thickBot="1" x14ac:dyDescent="0.25">
      <c r="A7" s="183">
        <v>1</v>
      </c>
      <c r="B7" s="184" t="str">
        <f t="shared" si="0"/>
        <v>Agroecological</v>
      </c>
      <c r="C7" s="185" t="s">
        <v>149</v>
      </c>
      <c r="D7" s="186">
        <v>7.29</v>
      </c>
    </row>
    <row r="8" spans="1:4" ht="12" x14ac:dyDescent="0.2">
      <c r="A8" s="187">
        <f>2</f>
        <v>2</v>
      </c>
      <c r="B8" s="188" t="s">
        <v>163</v>
      </c>
      <c r="C8" s="181" t="s">
        <v>4</v>
      </c>
      <c r="D8" s="182">
        <v>17.329999999999998</v>
      </c>
    </row>
    <row r="9" spans="1:4" ht="12" x14ac:dyDescent="0.2">
      <c r="A9" s="179">
        <f>$A$8</f>
        <v>2</v>
      </c>
      <c r="B9" s="180" t="str">
        <f t="shared" ref="B9:B13" si="1">$B$8</f>
        <v>Grains/Cattle</v>
      </c>
      <c r="C9" s="181" t="s">
        <v>5</v>
      </c>
      <c r="D9" s="182">
        <v>1.93</v>
      </c>
    </row>
    <row r="10" spans="1:4" ht="12" x14ac:dyDescent="0.2">
      <c r="A10" s="179">
        <v>2</v>
      </c>
      <c r="B10" s="180" t="str">
        <f t="shared" si="1"/>
        <v>Grains/Cattle</v>
      </c>
      <c r="C10" s="181" t="s">
        <v>146</v>
      </c>
      <c r="D10" s="182">
        <v>0.38</v>
      </c>
    </row>
    <row r="11" spans="1:4" ht="12" x14ac:dyDescent="0.2">
      <c r="A11" s="179">
        <v>2</v>
      </c>
      <c r="B11" s="180" t="str">
        <f t="shared" si="1"/>
        <v>Grains/Cattle</v>
      </c>
      <c r="C11" s="181" t="s">
        <v>147</v>
      </c>
      <c r="D11" s="182">
        <v>15.06</v>
      </c>
    </row>
    <row r="12" spans="1:4" ht="12" x14ac:dyDescent="0.2">
      <c r="A12" s="179">
        <v>2</v>
      </c>
      <c r="B12" s="180" t="str">
        <f t="shared" si="1"/>
        <v>Grains/Cattle</v>
      </c>
      <c r="C12" s="181" t="s">
        <v>148</v>
      </c>
      <c r="D12" s="182">
        <v>7.5</v>
      </c>
    </row>
    <row r="13" spans="1:4" ht="12.75" thickBot="1" x14ac:dyDescent="0.25">
      <c r="A13" s="183">
        <v>2</v>
      </c>
      <c r="B13" s="184" t="str">
        <f t="shared" si="1"/>
        <v>Grains/Cattle</v>
      </c>
      <c r="C13" s="185" t="s">
        <v>149</v>
      </c>
      <c r="D13" s="186">
        <v>17.170000000000002</v>
      </c>
    </row>
    <row r="14" spans="1:4" ht="12" x14ac:dyDescent="0.2">
      <c r="A14" s="175">
        <f>3</f>
        <v>3</v>
      </c>
      <c r="B14" s="176" t="s">
        <v>164</v>
      </c>
      <c r="C14" s="177" t="s">
        <v>4</v>
      </c>
      <c r="D14" s="178">
        <v>17.329999999999998</v>
      </c>
    </row>
    <row r="15" spans="1:4" ht="12" x14ac:dyDescent="0.2">
      <c r="A15" s="179">
        <f>$A$14</f>
        <v>3</v>
      </c>
      <c r="B15" s="180" t="str">
        <f t="shared" ref="B15:B19" si="2">$B$14</f>
        <v>Milk/Grains</v>
      </c>
      <c r="C15" s="181" t="s">
        <v>5</v>
      </c>
      <c r="D15" s="182">
        <v>1.7</v>
      </c>
    </row>
    <row r="16" spans="1:4" ht="12" x14ac:dyDescent="0.2">
      <c r="A16" s="179">
        <v>3</v>
      </c>
      <c r="B16" s="180" t="str">
        <f t="shared" si="2"/>
        <v>Milk/Grains</v>
      </c>
      <c r="C16" s="181" t="s">
        <v>146</v>
      </c>
      <c r="D16" s="182">
        <v>0.14000000000000001</v>
      </c>
    </row>
    <row r="17" spans="1:4" ht="12" x14ac:dyDescent="0.2">
      <c r="A17" s="179">
        <v>3</v>
      </c>
      <c r="B17" s="180" t="str">
        <f t="shared" si="2"/>
        <v>Milk/Grains</v>
      </c>
      <c r="C17" s="181" t="s">
        <v>147</v>
      </c>
      <c r="D17" s="182">
        <v>26.09</v>
      </c>
    </row>
    <row r="18" spans="1:4" ht="12" x14ac:dyDescent="0.2">
      <c r="A18" s="179">
        <v>3</v>
      </c>
      <c r="B18" s="180" t="str">
        <f t="shared" si="2"/>
        <v>Milk/Grains</v>
      </c>
      <c r="C18" s="181" t="s">
        <v>148</v>
      </c>
      <c r="D18" s="182">
        <v>9.5</v>
      </c>
    </row>
    <row r="19" spans="1:4" ht="12.75" thickBot="1" x14ac:dyDescent="0.25">
      <c r="A19" s="183">
        <v>3</v>
      </c>
      <c r="B19" s="184" t="str">
        <f t="shared" si="2"/>
        <v>Milk/Grains</v>
      </c>
      <c r="C19" s="185" t="s">
        <v>149</v>
      </c>
      <c r="D19" s="186">
        <v>25.52</v>
      </c>
    </row>
    <row r="20" spans="1:4" ht="12" x14ac:dyDescent="0.2">
      <c r="A20" s="175">
        <f>4</f>
        <v>4</v>
      </c>
      <c r="B20" s="176" t="s">
        <v>165</v>
      </c>
      <c r="C20" s="177" t="s">
        <v>4</v>
      </c>
      <c r="D20" s="178">
        <v>17.329999999999998</v>
      </c>
    </row>
    <row r="21" spans="1:4" ht="12" x14ac:dyDescent="0.2">
      <c r="A21" s="179">
        <f>$A$20</f>
        <v>4</v>
      </c>
      <c r="B21" s="180" t="str">
        <f t="shared" ref="B21:B25" si="3">$B$20</f>
        <v>Grains</v>
      </c>
      <c r="C21" s="181" t="s">
        <v>5</v>
      </c>
      <c r="D21" s="182">
        <v>1.1399999999999999</v>
      </c>
    </row>
    <row r="22" spans="1:4" ht="12" x14ac:dyDescent="0.2">
      <c r="A22" s="179">
        <v>4</v>
      </c>
      <c r="B22" s="180" t="str">
        <f t="shared" si="3"/>
        <v>Grains</v>
      </c>
      <c r="C22" s="181" t="s">
        <v>146</v>
      </c>
      <c r="D22" s="182">
        <v>1.24</v>
      </c>
    </row>
    <row r="23" spans="1:4" ht="12" x14ac:dyDescent="0.2">
      <c r="A23" s="179">
        <v>4</v>
      </c>
      <c r="B23" s="180" t="str">
        <f t="shared" si="3"/>
        <v>Grains</v>
      </c>
      <c r="C23" s="181" t="s">
        <v>147</v>
      </c>
      <c r="D23" s="182">
        <v>21.17</v>
      </c>
    </row>
    <row r="24" spans="1:4" ht="12" x14ac:dyDescent="0.2">
      <c r="A24" s="179">
        <v>4</v>
      </c>
      <c r="B24" s="180" t="str">
        <f t="shared" si="3"/>
        <v>Grains</v>
      </c>
      <c r="C24" s="181" t="s">
        <v>148</v>
      </c>
      <c r="D24" s="182">
        <v>15.25</v>
      </c>
    </row>
    <row r="25" spans="1:4" ht="12.75" thickBot="1" x14ac:dyDescent="0.25">
      <c r="A25" s="183">
        <v>4</v>
      </c>
      <c r="B25" s="184" t="str">
        <f t="shared" si="3"/>
        <v>Grains</v>
      </c>
      <c r="C25" s="185" t="s">
        <v>149</v>
      </c>
      <c r="D25" s="186">
        <v>28.12</v>
      </c>
    </row>
    <row r="26" spans="1:4" ht="12" x14ac:dyDescent="0.2">
      <c r="A26" s="175">
        <v>5</v>
      </c>
      <c r="B26" s="176" t="s">
        <v>166</v>
      </c>
      <c r="C26" s="177" t="s">
        <v>4</v>
      </c>
      <c r="D26" s="178">
        <v>17.329999999999998</v>
      </c>
    </row>
    <row r="27" spans="1:4" ht="12" x14ac:dyDescent="0.2">
      <c r="A27" s="179">
        <f>$A$26</f>
        <v>5</v>
      </c>
      <c r="B27" s="180" t="str">
        <f t="shared" ref="B27:B31" si="4">$B$26</f>
        <v>Diversified</v>
      </c>
      <c r="C27" s="181" t="s">
        <v>5</v>
      </c>
      <c r="D27" s="182">
        <v>8.02</v>
      </c>
    </row>
    <row r="28" spans="1:4" ht="12" x14ac:dyDescent="0.2">
      <c r="A28" s="187">
        <v>5</v>
      </c>
      <c r="B28" s="180" t="str">
        <f t="shared" si="4"/>
        <v>Diversified</v>
      </c>
      <c r="C28" s="181" t="s">
        <v>146</v>
      </c>
      <c r="D28" s="182">
        <v>0.21</v>
      </c>
    </row>
    <row r="29" spans="1:4" ht="12" x14ac:dyDescent="0.2">
      <c r="A29" s="187">
        <v>5</v>
      </c>
      <c r="B29" s="180" t="str">
        <f t="shared" si="4"/>
        <v>Diversified</v>
      </c>
      <c r="C29" s="181" t="s">
        <v>147</v>
      </c>
      <c r="D29" s="182">
        <v>8.1199999999999992</v>
      </c>
    </row>
    <row r="30" spans="1:4" ht="12" x14ac:dyDescent="0.2">
      <c r="A30" s="187">
        <v>5</v>
      </c>
      <c r="B30" s="180" t="str">
        <f t="shared" si="4"/>
        <v>Diversified</v>
      </c>
      <c r="C30" s="181" t="s">
        <v>148</v>
      </c>
      <c r="D30" s="182">
        <v>9.3000000000000007</v>
      </c>
    </row>
    <row r="31" spans="1:4" ht="12.75" thickBot="1" x14ac:dyDescent="0.25">
      <c r="A31" s="189">
        <v>5</v>
      </c>
      <c r="B31" s="184" t="str">
        <f t="shared" si="4"/>
        <v>Diversified</v>
      </c>
      <c r="C31" s="185" t="s">
        <v>149</v>
      </c>
      <c r="D31" s="186">
        <v>11.04</v>
      </c>
    </row>
    <row r="32" spans="1:4" ht="12" x14ac:dyDescent="0.2">
      <c r="A32" s="175">
        <f>6</f>
        <v>6</v>
      </c>
      <c r="B32" s="176" t="s">
        <v>167</v>
      </c>
      <c r="C32" s="177" t="s">
        <v>4</v>
      </c>
      <c r="D32" s="178">
        <v>17.329999999999998</v>
      </c>
    </row>
    <row r="33" spans="1:7" ht="12" x14ac:dyDescent="0.2">
      <c r="A33" s="179">
        <f>$A$32</f>
        <v>6</v>
      </c>
      <c r="B33" s="180" t="str">
        <f t="shared" ref="B33:B37" si="5">$B$32</f>
        <v>Organic</v>
      </c>
      <c r="C33" s="181" t="s">
        <v>5</v>
      </c>
      <c r="D33" s="182">
        <v>3.23</v>
      </c>
    </row>
    <row r="34" spans="1:7" ht="12" x14ac:dyDescent="0.2">
      <c r="A34" s="179">
        <v>6</v>
      </c>
      <c r="B34" s="180" t="str">
        <f t="shared" si="5"/>
        <v>Organic</v>
      </c>
      <c r="C34" s="181" t="s">
        <v>146</v>
      </c>
      <c r="D34" s="182">
        <v>12.29</v>
      </c>
    </row>
    <row r="35" spans="1:7" ht="12" x14ac:dyDescent="0.2">
      <c r="A35" s="179">
        <v>6</v>
      </c>
      <c r="B35" s="180" t="str">
        <f t="shared" si="5"/>
        <v>Organic</v>
      </c>
      <c r="C35" s="181" t="s">
        <v>147</v>
      </c>
      <c r="D35" s="182">
        <v>8.36</v>
      </c>
    </row>
    <row r="36" spans="1:7" ht="12" x14ac:dyDescent="0.2">
      <c r="A36" s="179">
        <v>6</v>
      </c>
      <c r="B36" s="180" t="str">
        <f t="shared" si="5"/>
        <v>Organic</v>
      </c>
      <c r="C36" s="181" t="s">
        <v>148</v>
      </c>
      <c r="D36" s="182">
        <v>58.58</v>
      </c>
      <c r="G36" s="190"/>
    </row>
    <row r="37" spans="1:7" ht="12.75" thickBot="1" x14ac:dyDescent="0.25">
      <c r="A37" s="189">
        <v>6</v>
      </c>
      <c r="B37" s="184" t="str">
        <f t="shared" si="5"/>
        <v>Organic</v>
      </c>
      <c r="C37" s="185" t="s">
        <v>149</v>
      </c>
      <c r="D37" s="186">
        <v>18.489999999999998</v>
      </c>
      <c r="G37" s="190"/>
    </row>
    <row r="38" spans="1:7" ht="12" x14ac:dyDescent="0.2">
      <c r="A38" s="175">
        <f>7</f>
        <v>7</v>
      </c>
      <c r="B38" s="176"/>
      <c r="C38" s="177" t="s">
        <v>4</v>
      </c>
      <c r="D38" s="178"/>
    </row>
    <row r="39" spans="1:7" ht="12" x14ac:dyDescent="0.2">
      <c r="A39" s="179">
        <f>$A$38</f>
        <v>7</v>
      </c>
      <c r="B39" s="180">
        <f t="shared" ref="B39:B43" si="6">$B$38</f>
        <v>0</v>
      </c>
      <c r="C39" s="181" t="s">
        <v>5</v>
      </c>
      <c r="D39" s="182"/>
    </row>
    <row r="40" spans="1:7" ht="12" x14ac:dyDescent="0.2">
      <c r="A40" s="179">
        <v>7</v>
      </c>
      <c r="B40" s="180">
        <f t="shared" si="6"/>
        <v>0</v>
      </c>
      <c r="C40" s="181" t="s">
        <v>146</v>
      </c>
      <c r="D40" s="182"/>
    </row>
    <row r="41" spans="1:7" ht="12" x14ac:dyDescent="0.2">
      <c r="A41" s="179">
        <v>7</v>
      </c>
      <c r="B41" s="180">
        <f t="shared" si="6"/>
        <v>0</v>
      </c>
      <c r="C41" s="181" t="s">
        <v>147</v>
      </c>
      <c r="D41" s="182"/>
    </row>
    <row r="42" spans="1:7" ht="12" x14ac:dyDescent="0.2">
      <c r="A42" s="179">
        <v>7</v>
      </c>
      <c r="B42" s="180">
        <f t="shared" si="6"/>
        <v>0</v>
      </c>
      <c r="C42" s="181" t="s">
        <v>148</v>
      </c>
      <c r="D42" s="182"/>
    </row>
    <row r="43" spans="1:7" ht="12.75" thickBot="1" x14ac:dyDescent="0.25">
      <c r="A43" s="183">
        <v>7</v>
      </c>
      <c r="B43" s="184">
        <f t="shared" si="6"/>
        <v>0</v>
      </c>
      <c r="C43" s="185" t="s">
        <v>149</v>
      </c>
      <c r="D43" s="186"/>
    </row>
    <row r="44" spans="1:7" ht="12" x14ac:dyDescent="0.2">
      <c r="A44" s="175">
        <f>8</f>
        <v>8</v>
      </c>
      <c r="B44" s="176"/>
      <c r="C44" s="177" t="s">
        <v>4</v>
      </c>
      <c r="D44" s="178"/>
    </row>
    <row r="45" spans="1:7" ht="12" x14ac:dyDescent="0.2">
      <c r="A45" s="179">
        <f>$A$44</f>
        <v>8</v>
      </c>
      <c r="B45" s="180">
        <f t="shared" ref="B45:B49" si="7">$B$44</f>
        <v>0</v>
      </c>
      <c r="C45" s="181" t="s">
        <v>5</v>
      </c>
      <c r="D45" s="182"/>
    </row>
    <row r="46" spans="1:7" ht="12" x14ac:dyDescent="0.2">
      <c r="A46" s="179">
        <v>8</v>
      </c>
      <c r="B46" s="180">
        <f t="shared" si="7"/>
        <v>0</v>
      </c>
      <c r="C46" s="181" t="s">
        <v>146</v>
      </c>
      <c r="D46" s="182"/>
    </row>
    <row r="47" spans="1:7" ht="12" x14ac:dyDescent="0.2">
      <c r="A47" s="179">
        <v>8</v>
      </c>
      <c r="B47" s="180">
        <f t="shared" si="7"/>
        <v>0</v>
      </c>
      <c r="C47" s="181" t="s">
        <v>147</v>
      </c>
      <c r="D47" s="182"/>
    </row>
    <row r="48" spans="1:7" ht="12" x14ac:dyDescent="0.2">
      <c r="A48" s="179">
        <v>8</v>
      </c>
      <c r="B48" s="180">
        <f t="shared" si="7"/>
        <v>0</v>
      </c>
      <c r="C48" s="181" t="s">
        <v>148</v>
      </c>
      <c r="D48" s="182"/>
    </row>
    <row r="49" spans="1:9" ht="12.75" thickBot="1" x14ac:dyDescent="0.25">
      <c r="A49" s="183">
        <v>8</v>
      </c>
      <c r="B49" s="184">
        <f t="shared" si="7"/>
        <v>0</v>
      </c>
      <c r="C49" s="185" t="s">
        <v>149</v>
      </c>
      <c r="D49" s="186"/>
    </row>
    <row r="50" spans="1:9" ht="12" x14ac:dyDescent="0.2">
      <c r="A50" s="175">
        <f>9</f>
        <v>9</v>
      </c>
      <c r="B50" s="176"/>
      <c r="C50" s="177" t="s">
        <v>4</v>
      </c>
      <c r="D50" s="178"/>
    </row>
    <row r="51" spans="1:9" ht="12" x14ac:dyDescent="0.2">
      <c r="A51" s="179">
        <f>$A$50</f>
        <v>9</v>
      </c>
      <c r="B51" s="180">
        <f t="shared" ref="B51:B55" si="8">$B$50</f>
        <v>0</v>
      </c>
      <c r="C51" s="181" t="s">
        <v>5</v>
      </c>
      <c r="D51" s="182"/>
    </row>
    <row r="52" spans="1:9" ht="12" x14ac:dyDescent="0.2">
      <c r="A52" s="179">
        <v>9</v>
      </c>
      <c r="B52" s="180">
        <f t="shared" si="8"/>
        <v>0</v>
      </c>
      <c r="C52" s="181" t="s">
        <v>146</v>
      </c>
      <c r="D52" s="182"/>
    </row>
    <row r="53" spans="1:9" ht="12" x14ac:dyDescent="0.2">
      <c r="A53" s="179">
        <v>9</v>
      </c>
      <c r="B53" s="180">
        <f t="shared" si="8"/>
        <v>0</v>
      </c>
      <c r="C53" s="181" t="s">
        <v>147</v>
      </c>
      <c r="D53" s="182"/>
    </row>
    <row r="54" spans="1:9" ht="12" x14ac:dyDescent="0.2">
      <c r="A54" s="179">
        <v>9</v>
      </c>
      <c r="B54" s="180">
        <f t="shared" si="8"/>
        <v>0</v>
      </c>
      <c r="C54" s="181" t="s">
        <v>148</v>
      </c>
      <c r="D54" s="182"/>
    </row>
    <row r="55" spans="1:9" ht="12.75" thickBot="1" x14ac:dyDescent="0.25">
      <c r="A55" s="183">
        <v>9</v>
      </c>
      <c r="B55" s="184">
        <f t="shared" si="8"/>
        <v>0</v>
      </c>
      <c r="C55" s="185" t="s">
        <v>149</v>
      </c>
      <c r="D55" s="186"/>
    </row>
    <row r="56" spans="1:9" ht="12" x14ac:dyDescent="0.2">
      <c r="A56" s="191">
        <v>10</v>
      </c>
      <c r="B56" s="176"/>
      <c r="C56" s="177" t="s">
        <v>4</v>
      </c>
      <c r="D56" s="178"/>
    </row>
    <row r="57" spans="1:9" ht="12" x14ac:dyDescent="0.2">
      <c r="A57" s="179">
        <f>$A$56</f>
        <v>10</v>
      </c>
      <c r="B57" s="180">
        <f t="shared" ref="B57:B61" si="9">$B$56</f>
        <v>0</v>
      </c>
      <c r="C57" s="181" t="s">
        <v>5</v>
      </c>
      <c r="D57" s="182"/>
    </row>
    <row r="58" spans="1:9" ht="12" x14ac:dyDescent="0.2">
      <c r="A58" s="179">
        <v>10</v>
      </c>
      <c r="B58" s="180">
        <f t="shared" si="9"/>
        <v>0</v>
      </c>
      <c r="C58" s="181" t="s">
        <v>146</v>
      </c>
      <c r="D58" s="182"/>
    </row>
    <row r="59" spans="1:9" ht="12" x14ac:dyDescent="0.2">
      <c r="A59" s="179">
        <v>10</v>
      </c>
      <c r="B59" s="180">
        <f t="shared" si="9"/>
        <v>0</v>
      </c>
      <c r="C59" s="181" t="s">
        <v>147</v>
      </c>
      <c r="D59" s="182"/>
    </row>
    <row r="60" spans="1:9" ht="12" x14ac:dyDescent="0.2">
      <c r="A60" s="179">
        <v>10</v>
      </c>
      <c r="B60" s="180">
        <f t="shared" si="9"/>
        <v>0</v>
      </c>
      <c r="C60" s="181" t="s">
        <v>148</v>
      </c>
      <c r="D60" s="182"/>
    </row>
    <row r="61" spans="1:9" ht="12.75" thickBot="1" x14ac:dyDescent="0.25">
      <c r="A61" s="183">
        <v>10</v>
      </c>
      <c r="B61" s="184">
        <f t="shared" si="9"/>
        <v>0</v>
      </c>
      <c r="C61" s="185" t="s">
        <v>149</v>
      </c>
      <c r="D61" s="186"/>
    </row>
    <row r="62" spans="1:9" ht="12" x14ac:dyDescent="0.2">
      <c r="A62" s="175">
        <v>11</v>
      </c>
      <c r="B62" s="176"/>
      <c r="C62" s="177" t="s">
        <v>4</v>
      </c>
      <c r="D62" s="178"/>
      <c r="E62" s="192"/>
      <c r="F62" s="192"/>
      <c r="G62" s="193"/>
      <c r="I62" s="192"/>
    </row>
    <row r="63" spans="1:9" ht="12" x14ac:dyDescent="0.2">
      <c r="A63" s="179">
        <v>11</v>
      </c>
      <c r="B63" s="180">
        <f t="shared" ref="B63:B67" si="10">$B$62</f>
        <v>0</v>
      </c>
      <c r="C63" s="181" t="s">
        <v>5</v>
      </c>
      <c r="D63" s="182"/>
      <c r="E63" s="192"/>
      <c r="F63" s="192"/>
      <c r="G63" s="193"/>
      <c r="I63" s="192"/>
    </row>
    <row r="64" spans="1:9" ht="12" x14ac:dyDescent="0.2">
      <c r="A64" s="179">
        <v>11</v>
      </c>
      <c r="B64" s="180">
        <f t="shared" si="10"/>
        <v>0</v>
      </c>
      <c r="C64" s="181" t="s">
        <v>146</v>
      </c>
      <c r="D64" s="182"/>
      <c r="E64" s="192"/>
      <c r="F64" s="192"/>
      <c r="G64" s="193"/>
      <c r="I64" s="192"/>
    </row>
    <row r="65" spans="1:9" ht="12" x14ac:dyDescent="0.2">
      <c r="A65" s="179">
        <v>11</v>
      </c>
      <c r="B65" s="180">
        <f t="shared" si="10"/>
        <v>0</v>
      </c>
      <c r="C65" s="181" t="s">
        <v>147</v>
      </c>
      <c r="D65" s="182"/>
      <c r="E65" s="192"/>
      <c r="F65" s="192"/>
      <c r="G65" s="193"/>
      <c r="I65" s="192"/>
    </row>
    <row r="66" spans="1:9" ht="12" x14ac:dyDescent="0.2">
      <c r="A66" s="179">
        <v>11</v>
      </c>
      <c r="B66" s="180">
        <f t="shared" si="10"/>
        <v>0</v>
      </c>
      <c r="C66" s="181" t="s">
        <v>148</v>
      </c>
      <c r="D66" s="182"/>
      <c r="E66" s="192"/>
      <c r="F66" s="192"/>
      <c r="G66" s="193"/>
      <c r="I66" s="192"/>
    </row>
    <row r="67" spans="1:9" ht="12.75" thickBot="1" x14ac:dyDescent="0.25">
      <c r="A67" s="183">
        <v>11</v>
      </c>
      <c r="B67" s="184">
        <f t="shared" si="10"/>
        <v>0</v>
      </c>
      <c r="C67" s="185" t="s">
        <v>149</v>
      </c>
      <c r="D67" s="186"/>
      <c r="E67" s="192"/>
      <c r="F67" s="192"/>
      <c r="G67" s="193"/>
    </row>
    <row r="68" spans="1:9" ht="12" x14ac:dyDescent="0.2">
      <c r="A68" s="175">
        <v>12</v>
      </c>
      <c r="B68" s="176"/>
      <c r="C68" s="177" t="s">
        <v>4</v>
      </c>
      <c r="D68" s="178"/>
      <c r="E68" s="192"/>
      <c r="F68" s="192"/>
      <c r="G68" s="193"/>
    </row>
    <row r="69" spans="1:9" ht="12" x14ac:dyDescent="0.2">
      <c r="A69" s="179">
        <v>12</v>
      </c>
      <c r="B69" s="180">
        <f t="shared" ref="B69:B73" si="11">$B$68</f>
        <v>0</v>
      </c>
      <c r="C69" s="181" t="s">
        <v>5</v>
      </c>
      <c r="D69" s="182"/>
      <c r="E69" s="192"/>
      <c r="F69" s="192"/>
      <c r="G69" s="193"/>
    </row>
    <row r="70" spans="1:9" ht="12" x14ac:dyDescent="0.2">
      <c r="A70" s="179">
        <v>12</v>
      </c>
      <c r="B70" s="180">
        <f t="shared" si="11"/>
        <v>0</v>
      </c>
      <c r="C70" s="181" t="s">
        <v>146</v>
      </c>
      <c r="D70" s="182"/>
      <c r="E70" s="192"/>
      <c r="F70" s="192"/>
      <c r="G70" s="193"/>
    </row>
    <row r="71" spans="1:9" ht="12" x14ac:dyDescent="0.2">
      <c r="A71" s="179">
        <v>12</v>
      </c>
      <c r="B71" s="180">
        <f t="shared" si="11"/>
        <v>0</v>
      </c>
      <c r="C71" s="181" t="s">
        <v>147</v>
      </c>
      <c r="D71" s="182"/>
      <c r="E71" s="192"/>
      <c r="F71" s="192"/>
      <c r="G71" s="193"/>
    </row>
    <row r="72" spans="1:9" ht="12" x14ac:dyDescent="0.2">
      <c r="A72" s="179">
        <v>12</v>
      </c>
      <c r="B72" s="180">
        <f t="shared" si="11"/>
        <v>0</v>
      </c>
      <c r="C72" s="181" t="s">
        <v>148</v>
      </c>
      <c r="D72" s="182"/>
      <c r="E72" s="192"/>
      <c r="F72" s="192"/>
      <c r="G72" s="193"/>
    </row>
    <row r="73" spans="1:9" ht="12.75" thickBot="1" x14ac:dyDescent="0.25">
      <c r="A73" s="183">
        <v>12</v>
      </c>
      <c r="B73" s="184">
        <f t="shared" si="11"/>
        <v>0</v>
      </c>
      <c r="C73" s="185" t="s">
        <v>149</v>
      </c>
      <c r="D73" s="186"/>
      <c r="E73" s="192"/>
      <c r="F73" s="192"/>
      <c r="G73" s="193"/>
    </row>
    <row r="74" spans="1:9" ht="12" x14ac:dyDescent="0.2">
      <c r="A74" s="175">
        <v>13</v>
      </c>
      <c r="B74" s="176"/>
      <c r="C74" s="177" t="s">
        <v>4</v>
      </c>
      <c r="D74" s="178"/>
      <c r="E74" s="192"/>
      <c r="F74" s="192"/>
      <c r="G74" s="193"/>
    </row>
    <row r="75" spans="1:9" ht="12" x14ac:dyDescent="0.2">
      <c r="A75" s="179">
        <v>13</v>
      </c>
      <c r="B75" s="180">
        <f t="shared" ref="B75:B79" si="12">$B$74</f>
        <v>0</v>
      </c>
      <c r="C75" s="181" t="s">
        <v>5</v>
      </c>
      <c r="D75" s="182"/>
      <c r="E75" s="192"/>
      <c r="F75" s="192"/>
      <c r="G75" s="193"/>
    </row>
    <row r="76" spans="1:9" ht="12" x14ac:dyDescent="0.2">
      <c r="A76" s="179">
        <v>13</v>
      </c>
      <c r="B76" s="180">
        <f t="shared" si="12"/>
        <v>0</v>
      </c>
      <c r="C76" s="181" t="s">
        <v>146</v>
      </c>
      <c r="D76" s="182"/>
      <c r="E76" s="192"/>
      <c r="F76" s="192"/>
      <c r="G76" s="193"/>
    </row>
    <row r="77" spans="1:9" ht="12" x14ac:dyDescent="0.2">
      <c r="A77" s="179">
        <v>13</v>
      </c>
      <c r="B77" s="180">
        <f t="shared" si="12"/>
        <v>0</v>
      </c>
      <c r="C77" s="181" t="s">
        <v>147</v>
      </c>
      <c r="D77" s="182"/>
      <c r="E77" s="192"/>
      <c r="F77" s="192"/>
      <c r="G77" s="193"/>
    </row>
    <row r="78" spans="1:9" ht="12" x14ac:dyDescent="0.2">
      <c r="A78" s="179">
        <v>13</v>
      </c>
      <c r="B78" s="180">
        <f t="shared" si="12"/>
        <v>0</v>
      </c>
      <c r="C78" s="181" t="s">
        <v>148</v>
      </c>
      <c r="D78" s="182"/>
      <c r="E78" s="192"/>
      <c r="F78" s="192"/>
      <c r="G78" s="193"/>
    </row>
    <row r="79" spans="1:9" ht="12.75" thickBot="1" x14ac:dyDescent="0.25">
      <c r="A79" s="183">
        <v>13</v>
      </c>
      <c r="B79" s="184">
        <f t="shared" si="12"/>
        <v>0</v>
      </c>
      <c r="C79" s="185" t="s">
        <v>149</v>
      </c>
      <c r="D79" s="186"/>
    </row>
    <row r="80" spans="1:9" ht="12" x14ac:dyDescent="0.2">
      <c r="A80" s="175">
        <v>14</v>
      </c>
      <c r="B80" s="176"/>
      <c r="C80" s="177" t="s">
        <v>4</v>
      </c>
      <c r="D80" s="178"/>
    </row>
    <row r="81" spans="1:4" ht="12" x14ac:dyDescent="0.2">
      <c r="A81" s="179">
        <v>14</v>
      </c>
      <c r="B81" s="180">
        <f t="shared" ref="B81:B85" si="13">$B$80</f>
        <v>0</v>
      </c>
      <c r="C81" s="181" t="s">
        <v>5</v>
      </c>
      <c r="D81" s="182"/>
    </row>
    <row r="82" spans="1:4" ht="12" x14ac:dyDescent="0.2">
      <c r="A82" s="179">
        <v>14</v>
      </c>
      <c r="B82" s="180">
        <f t="shared" si="13"/>
        <v>0</v>
      </c>
      <c r="C82" s="181" t="s">
        <v>146</v>
      </c>
      <c r="D82" s="182"/>
    </row>
    <row r="83" spans="1:4" ht="12" x14ac:dyDescent="0.2">
      <c r="A83" s="179">
        <v>14</v>
      </c>
      <c r="B83" s="180">
        <f t="shared" si="13"/>
        <v>0</v>
      </c>
      <c r="C83" s="181" t="s">
        <v>147</v>
      </c>
      <c r="D83" s="182"/>
    </row>
    <row r="84" spans="1:4" ht="12" x14ac:dyDescent="0.2">
      <c r="A84" s="179">
        <v>14</v>
      </c>
      <c r="B84" s="180">
        <f t="shared" si="13"/>
        <v>0</v>
      </c>
      <c r="C84" s="181" t="s">
        <v>148</v>
      </c>
      <c r="D84" s="182"/>
    </row>
    <row r="85" spans="1:4" ht="12.75" thickBot="1" x14ac:dyDescent="0.25">
      <c r="A85" s="183">
        <v>14</v>
      </c>
      <c r="B85" s="184">
        <f t="shared" si="13"/>
        <v>0</v>
      </c>
      <c r="C85" s="185" t="s">
        <v>149</v>
      </c>
      <c r="D85" s="186"/>
    </row>
    <row r="86" spans="1:4" ht="12" x14ac:dyDescent="0.2">
      <c r="A86" s="175">
        <v>15</v>
      </c>
      <c r="B86" s="176"/>
      <c r="C86" s="177" t="s">
        <v>4</v>
      </c>
      <c r="D86" s="178"/>
    </row>
    <row r="87" spans="1:4" ht="12" x14ac:dyDescent="0.2">
      <c r="A87" s="179">
        <v>15</v>
      </c>
      <c r="B87" s="180">
        <f t="shared" ref="B87:B91" si="14">$B$86</f>
        <v>0</v>
      </c>
      <c r="C87" s="181" t="s">
        <v>5</v>
      </c>
      <c r="D87" s="182"/>
    </row>
    <row r="88" spans="1:4" ht="12" x14ac:dyDescent="0.2">
      <c r="A88" s="179">
        <v>15</v>
      </c>
      <c r="B88" s="180">
        <f t="shared" si="14"/>
        <v>0</v>
      </c>
      <c r="C88" s="181" t="s">
        <v>146</v>
      </c>
      <c r="D88" s="182"/>
    </row>
    <row r="89" spans="1:4" ht="12" x14ac:dyDescent="0.2">
      <c r="A89" s="179">
        <v>15</v>
      </c>
      <c r="B89" s="180">
        <f t="shared" si="14"/>
        <v>0</v>
      </c>
      <c r="C89" s="181" t="s">
        <v>147</v>
      </c>
      <c r="D89" s="182"/>
    </row>
    <row r="90" spans="1:4" ht="12" x14ac:dyDescent="0.2">
      <c r="A90" s="179">
        <v>15</v>
      </c>
      <c r="B90" s="180">
        <f t="shared" si="14"/>
        <v>0</v>
      </c>
      <c r="C90" s="181" t="s">
        <v>148</v>
      </c>
      <c r="D90" s="182"/>
    </row>
    <row r="91" spans="1:4" ht="12.75" thickBot="1" x14ac:dyDescent="0.25">
      <c r="A91" s="183">
        <v>15</v>
      </c>
      <c r="B91" s="184">
        <f t="shared" si="14"/>
        <v>0</v>
      </c>
      <c r="C91" s="185" t="s">
        <v>149</v>
      </c>
      <c r="D91" s="186"/>
    </row>
    <row r="92" spans="1:4" ht="12" x14ac:dyDescent="0.2">
      <c r="A92" s="175">
        <v>16</v>
      </c>
      <c r="B92" s="176"/>
      <c r="C92" s="177" t="s">
        <v>4</v>
      </c>
      <c r="D92" s="178"/>
    </row>
    <row r="93" spans="1:4" ht="12" x14ac:dyDescent="0.2">
      <c r="A93" s="179">
        <v>16</v>
      </c>
      <c r="B93" s="180">
        <f t="shared" ref="B93:B97" si="15">$B$92</f>
        <v>0</v>
      </c>
      <c r="C93" s="181" t="s">
        <v>5</v>
      </c>
      <c r="D93" s="182"/>
    </row>
    <row r="94" spans="1:4" ht="12" x14ac:dyDescent="0.2">
      <c r="A94" s="179">
        <v>16</v>
      </c>
      <c r="B94" s="180">
        <f t="shared" si="15"/>
        <v>0</v>
      </c>
      <c r="C94" s="181" t="s">
        <v>146</v>
      </c>
      <c r="D94" s="182"/>
    </row>
    <row r="95" spans="1:4" ht="12" x14ac:dyDescent="0.2">
      <c r="A95" s="179">
        <v>16</v>
      </c>
      <c r="B95" s="180">
        <f t="shared" si="15"/>
        <v>0</v>
      </c>
      <c r="C95" s="181" t="s">
        <v>147</v>
      </c>
      <c r="D95" s="182"/>
    </row>
    <row r="96" spans="1:4" ht="12" x14ac:dyDescent="0.2">
      <c r="A96" s="179">
        <v>16</v>
      </c>
      <c r="B96" s="180">
        <f t="shared" si="15"/>
        <v>0</v>
      </c>
      <c r="C96" s="181" t="s">
        <v>148</v>
      </c>
      <c r="D96" s="182"/>
    </row>
    <row r="97" spans="1:4" ht="12.75" thickBot="1" x14ac:dyDescent="0.25">
      <c r="A97" s="183">
        <v>16</v>
      </c>
      <c r="B97" s="184">
        <f t="shared" si="15"/>
        <v>0</v>
      </c>
      <c r="C97" s="185" t="s">
        <v>149</v>
      </c>
      <c r="D97" s="186"/>
    </row>
    <row r="98" spans="1:4" ht="12" x14ac:dyDescent="0.2">
      <c r="A98" s="175">
        <v>17</v>
      </c>
      <c r="B98" s="176"/>
      <c r="C98" s="177" t="s">
        <v>4</v>
      </c>
      <c r="D98" s="178"/>
    </row>
    <row r="99" spans="1:4" ht="12" x14ac:dyDescent="0.2">
      <c r="A99" s="179">
        <v>17</v>
      </c>
      <c r="B99" s="180">
        <f t="shared" ref="B99:B103" si="16">$B$98</f>
        <v>0</v>
      </c>
      <c r="C99" s="181" t="s">
        <v>5</v>
      </c>
      <c r="D99" s="182"/>
    </row>
    <row r="100" spans="1:4" ht="12" x14ac:dyDescent="0.2">
      <c r="A100" s="179">
        <v>17</v>
      </c>
      <c r="B100" s="180">
        <f t="shared" si="16"/>
        <v>0</v>
      </c>
      <c r="C100" s="181" t="s">
        <v>146</v>
      </c>
      <c r="D100" s="182"/>
    </row>
    <row r="101" spans="1:4" ht="12" x14ac:dyDescent="0.2">
      <c r="A101" s="179">
        <v>17</v>
      </c>
      <c r="B101" s="180">
        <f t="shared" si="16"/>
        <v>0</v>
      </c>
      <c r="C101" s="181" t="s">
        <v>147</v>
      </c>
      <c r="D101" s="182"/>
    </row>
    <row r="102" spans="1:4" ht="12" x14ac:dyDescent="0.2">
      <c r="A102" s="179">
        <v>17</v>
      </c>
      <c r="B102" s="180">
        <f t="shared" si="16"/>
        <v>0</v>
      </c>
      <c r="C102" s="181" t="s">
        <v>148</v>
      </c>
      <c r="D102" s="182"/>
    </row>
    <row r="103" spans="1:4" ht="12.75" thickBot="1" x14ac:dyDescent="0.25">
      <c r="A103" s="183">
        <v>17</v>
      </c>
      <c r="B103" s="184">
        <f t="shared" si="16"/>
        <v>0</v>
      </c>
      <c r="C103" s="185" t="s">
        <v>149</v>
      </c>
      <c r="D103" s="186"/>
    </row>
    <row r="104" spans="1:4" ht="12" x14ac:dyDescent="0.2">
      <c r="A104" s="175">
        <v>18</v>
      </c>
      <c r="B104" s="176"/>
      <c r="C104" s="177" t="s">
        <v>4</v>
      </c>
      <c r="D104" s="178"/>
    </row>
    <row r="105" spans="1:4" ht="12" x14ac:dyDescent="0.2">
      <c r="A105" s="179">
        <v>18</v>
      </c>
      <c r="B105" s="180">
        <f t="shared" ref="B105:B109" si="17">$B$104</f>
        <v>0</v>
      </c>
      <c r="C105" s="181" t="s">
        <v>5</v>
      </c>
      <c r="D105" s="182"/>
    </row>
    <row r="106" spans="1:4" ht="12" x14ac:dyDescent="0.2">
      <c r="A106" s="179">
        <v>18</v>
      </c>
      <c r="B106" s="180">
        <f t="shared" si="17"/>
        <v>0</v>
      </c>
      <c r="C106" s="181" t="s">
        <v>146</v>
      </c>
      <c r="D106" s="182"/>
    </row>
    <row r="107" spans="1:4" ht="12" x14ac:dyDescent="0.2">
      <c r="A107" s="179">
        <v>18</v>
      </c>
      <c r="B107" s="180">
        <f t="shared" si="17"/>
        <v>0</v>
      </c>
      <c r="C107" s="181" t="s">
        <v>147</v>
      </c>
      <c r="D107" s="182"/>
    </row>
    <row r="108" spans="1:4" ht="12" x14ac:dyDescent="0.2">
      <c r="A108" s="179">
        <v>18</v>
      </c>
      <c r="B108" s="180">
        <f t="shared" si="17"/>
        <v>0</v>
      </c>
      <c r="C108" s="181" t="s">
        <v>148</v>
      </c>
      <c r="D108" s="182"/>
    </row>
    <row r="109" spans="1:4" ht="12.75" thickBot="1" x14ac:dyDescent="0.25">
      <c r="A109" s="183">
        <v>18</v>
      </c>
      <c r="B109" s="184">
        <f t="shared" si="17"/>
        <v>0</v>
      </c>
      <c r="C109" s="185" t="s">
        <v>149</v>
      </c>
      <c r="D109" s="186"/>
    </row>
    <row r="110" spans="1:4" ht="12" x14ac:dyDescent="0.2">
      <c r="A110" s="175">
        <v>19</v>
      </c>
      <c r="B110" s="176"/>
      <c r="C110" s="177" t="s">
        <v>4</v>
      </c>
      <c r="D110" s="178"/>
    </row>
    <row r="111" spans="1:4" ht="12" x14ac:dyDescent="0.2">
      <c r="A111" s="179">
        <v>19</v>
      </c>
      <c r="B111" s="180">
        <f t="shared" ref="B111:B115" si="18">$B$110</f>
        <v>0</v>
      </c>
      <c r="C111" s="181" t="s">
        <v>5</v>
      </c>
      <c r="D111" s="182"/>
    </row>
    <row r="112" spans="1:4" ht="12" x14ac:dyDescent="0.2">
      <c r="A112" s="179">
        <v>19</v>
      </c>
      <c r="B112" s="180">
        <f t="shared" si="18"/>
        <v>0</v>
      </c>
      <c r="C112" s="181" t="s">
        <v>146</v>
      </c>
      <c r="D112" s="182"/>
    </row>
    <row r="113" spans="1:4" ht="12" x14ac:dyDescent="0.2">
      <c r="A113" s="179">
        <v>19</v>
      </c>
      <c r="B113" s="180">
        <f t="shared" si="18"/>
        <v>0</v>
      </c>
      <c r="C113" s="181" t="s">
        <v>147</v>
      </c>
      <c r="D113" s="182"/>
    </row>
    <row r="114" spans="1:4" ht="12" x14ac:dyDescent="0.2">
      <c r="A114" s="179">
        <v>19</v>
      </c>
      <c r="B114" s="180">
        <f t="shared" si="18"/>
        <v>0</v>
      </c>
      <c r="C114" s="181" t="s">
        <v>148</v>
      </c>
      <c r="D114" s="182"/>
    </row>
    <row r="115" spans="1:4" ht="12.75" thickBot="1" x14ac:dyDescent="0.25">
      <c r="A115" s="183">
        <v>19</v>
      </c>
      <c r="B115" s="184">
        <f t="shared" si="18"/>
        <v>0</v>
      </c>
      <c r="C115" s="185" t="s">
        <v>149</v>
      </c>
      <c r="D115" s="186"/>
    </row>
    <row r="116" spans="1:4" ht="12" x14ac:dyDescent="0.2">
      <c r="A116" s="175">
        <v>20</v>
      </c>
      <c r="B116" s="176"/>
      <c r="C116" s="177" t="s">
        <v>4</v>
      </c>
      <c r="D116" s="178"/>
    </row>
    <row r="117" spans="1:4" ht="12" x14ac:dyDescent="0.2">
      <c r="A117" s="179">
        <v>20</v>
      </c>
      <c r="B117" s="180">
        <f t="shared" ref="B117:B121" si="19">$B$116</f>
        <v>0</v>
      </c>
      <c r="C117" s="181" t="s">
        <v>5</v>
      </c>
      <c r="D117" s="182"/>
    </row>
    <row r="118" spans="1:4" ht="12" x14ac:dyDescent="0.2">
      <c r="A118" s="179">
        <v>20</v>
      </c>
      <c r="B118" s="180">
        <f t="shared" si="19"/>
        <v>0</v>
      </c>
      <c r="C118" s="181" t="s">
        <v>146</v>
      </c>
      <c r="D118" s="182"/>
    </row>
    <row r="119" spans="1:4" ht="12" x14ac:dyDescent="0.2">
      <c r="A119" s="179">
        <v>20</v>
      </c>
      <c r="B119" s="180">
        <f t="shared" si="19"/>
        <v>0</v>
      </c>
      <c r="C119" s="181" t="s">
        <v>147</v>
      </c>
      <c r="D119" s="182"/>
    </row>
    <row r="120" spans="1:4" ht="12" x14ac:dyDescent="0.2">
      <c r="A120" s="179">
        <v>20</v>
      </c>
      <c r="B120" s="180">
        <f t="shared" si="19"/>
        <v>0</v>
      </c>
      <c r="C120" s="181" t="s">
        <v>148</v>
      </c>
      <c r="D120" s="182"/>
    </row>
    <row r="121" spans="1:4" ht="12.75" thickBot="1" x14ac:dyDescent="0.25">
      <c r="A121" s="183">
        <v>20</v>
      </c>
      <c r="B121" s="184">
        <f t="shared" si="19"/>
        <v>0</v>
      </c>
      <c r="C121" s="185" t="s">
        <v>149</v>
      </c>
      <c r="D121" s="186"/>
    </row>
    <row r="122" spans="1:4" ht="12" x14ac:dyDescent="0.2">
      <c r="A122" s="175">
        <v>21</v>
      </c>
      <c r="B122" s="176"/>
      <c r="C122" s="177" t="s">
        <v>4</v>
      </c>
      <c r="D122" s="178"/>
    </row>
    <row r="123" spans="1:4" ht="12" x14ac:dyDescent="0.2">
      <c r="A123" s="179">
        <v>21</v>
      </c>
      <c r="B123" s="180">
        <f t="shared" ref="B123:B127" si="20">$B$122</f>
        <v>0</v>
      </c>
      <c r="C123" s="181" t="s">
        <v>5</v>
      </c>
      <c r="D123" s="182"/>
    </row>
    <row r="124" spans="1:4" ht="12" x14ac:dyDescent="0.2">
      <c r="A124" s="179">
        <v>21</v>
      </c>
      <c r="B124" s="180">
        <f t="shared" si="20"/>
        <v>0</v>
      </c>
      <c r="C124" s="181" t="s">
        <v>146</v>
      </c>
      <c r="D124" s="182"/>
    </row>
    <row r="125" spans="1:4" ht="12" x14ac:dyDescent="0.2">
      <c r="A125" s="179">
        <v>21</v>
      </c>
      <c r="B125" s="180">
        <f t="shared" si="20"/>
        <v>0</v>
      </c>
      <c r="C125" s="181" t="s">
        <v>147</v>
      </c>
      <c r="D125" s="182"/>
    </row>
    <row r="126" spans="1:4" ht="12" x14ac:dyDescent="0.2">
      <c r="A126" s="179">
        <v>21</v>
      </c>
      <c r="B126" s="180">
        <f t="shared" si="20"/>
        <v>0</v>
      </c>
      <c r="C126" s="181" t="s">
        <v>148</v>
      </c>
      <c r="D126" s="182"/>
    </row>
    <row r="127" spans="1:4" ht="12.75" thickBot="1" x14ac:dyDescent="0.25">
      <c r="A127" s="183">
        <v>21</v>
      </c>
      <c r="B127" s="184">
        <f t="shared" si="20"/>
        <v>0</v>
      </c>
      <c r="C127" s="185" t="s">
        <v>149</v>
      </c>
      <c r="D127" s="186"/>
    </row>
    <row r="128" spans="1:4" ht="12" x14ac:dyDescent="0.2">
      <c r="A128" s="175">
        <v>22</v>
      </c>
      <c r="B128" s="176"/>
      <c r="C128" s="177" t="s">
        <v>4</v>
      </c>
      <c r="D128" s="178"/>
    </row>
    <row r="129" spans="1:4" ht="12" x14ac:dyDescent="0.2">
      <c r="A129" s="179">
        <v>22</v>
      </c>
      <c r="B129" s="180">
        <f t="shared" ref="B129:B133" si="21">$B$128</f>
        <v>0</v>
      </c>
      <c r="C129" s="181" t="s">
        <v>5</v>
      </c>
      <c r="D129" s="182"/>
    </row>
    <row r="130" spans="1:4" ht="12" x14ac:dyDescent="0.2">
      <c r="A130" s="179">
        <v>22</v>
      </c>
      <c r="B130" s="180">
        <f t="shared" si="21"/>
        <v>0</v>
      </c>
      <c r="C130" s="181" t="s">
        <v>146</v>
      </c>
      <c r="D130" s="182"/>
    </row>
    <row r="131" spans="1:4" ht="12" x14ac:dyDescent="0.2">
      <c r="A131" s="179">
        <v>22</v>
      </c>
      <c r="B131" s="180">
        <f t="shared" si="21"/>
        <v>0</v>
      </c>
      <c r="C131" s="181" t="s">
        <v>147</v>
      </c>
      <c r="D131" s="182"/>
    </row>
    <row r="132" spans="1:4" ht="12" x14ac:dyDescent="0.2">
      <c r="A132" s="179">
        <v>22</v>
      </c>
      <c r="B132" s="180">
        <f t="shared" si="21"/>
        <v>0</v>
      </c>
      <c r="C132" s="181" t="s">
        <v>148</v>
      </c>
      <c r="D132" s="182"/>
    </row>
    <row r="133" spans="1:4" ht="12.75" thickBot="1" x14ac:dyDescent="0.25">
      <c r="A133" s="183">
        <v>22</v>
      </c>
      <c r="B133" s="184">
        <f t="shared" si="21"/>
        <v>0</v>
      </c>
      <c r="C133" s="185" t="s">
        <v>149</v>
      </c>
      <c r="D133" s="186"/>
    </row>
    <row r="134" spans="1:4" ht="12" x14ac:dyDescent="0.2">
      <c r="A134" s="175">
        <v>23</v>
      </c>
      <c r="B134" s="176"/>
      <c r="C134" s="177" t="s">
        <v>4</v>
      </c>
      <c r="D134" s="178"/>
    </row>
    <row r="135" spans="1:4" ht="12" x14ac:dyDescent="0.2">
      <c r="A135" s="179">
        <v>23</v>
      </c>
      <c r="B135" s="180">
        <f t="shared" ref="B135:B139" si="22">$B$134</f>
        <v>0</v>
      </c>
      <c r="C135" s="181" t="s">
        <v>5</v>
      </c>
      <c r="D135" s="182"/>
    </row>
    <row r="136" spans="1:4" ht="12" x14ac:dyDescent="0.2">
      <c r="A136" s="179">
        <v>23</v>
      </c>
      <c r="B136" s="180">
        <f t="shared" si="22"/>
        <v>0</v>
      </c>
      <c r="C136" s="181" t="s">
        <v>146</v>
      </c>
      <c r="D136" s="182"/>
    </row>
    <row r="137" spans="1:4" ht="12" x14ac:dyDescent="0.2">
      <c r="A137" s="179">
        <v>23</v>
      </c>
      <c r="B137" s="180">
        <f t="shared" si="22"/>
        <v>0</v>
      </c>
      <c r="C137" s="181" t="s">
        <v>147</v>
      </c>
      <c r="D137" s="182"/>
    </row>
    <row r="138" spans="1:4" ht="12" x14ac:dyDescent="0.2">
      <c r="A138" s="179">
        <v>23</v>
      </c>
      <c r="B138" s="180">
        <f t="shared" si="22"/>
        <v>0</v>
      </c>
      <c r="C138" s="181" t="s">
        <v>148</v>
      </c>
      <c r="D138" s="182"/>
    </row>
    <row r="139" spans="1:4" ht="12.75" thickBot="1" x14ac:dyDescent="0.25">
      <c r="A139" s="183">
        <v>23</v>
      </c>
      <c r="B139" s="184">
        <f t="shared" si="22"/>
        <v>0</v>
      </c>
      <c r="C139" s="185" t="s">
        <v>149</v>
      </c>
      <c r="D139" s="186"/>
    </row>
    <row r="140" spans="1:4" ht="12" x14ac:dyDescent="0.2">
      <c r="A140" s="175">
        <v>24</v>
      </c>
      <c r="B140" s="176"/>
      <c r="C140" s="177" t="s">
        <v>4</v>
      </c>
      <c r="D140" s="178"/>
    </row>
    <row r="141" spans="1:4" ht="12" x14ac:dyDescent="0.2">
      <c r="A141" s="179">
        <v>24</v>
      </c>
      <c r="B141" s="180">
        <f t="shared" ref="B141:B145" si="23">$B$140</f>
        <v>0</v>
      </c>
      <c r="C141" s="181" t="s">
        <v>5</v>
      </c>
      <c r="D141" s="182"/>
    </row>
    <row r="142" spans="1:4" ht="12" x14ac:dyDescent="0.2">
      <c r="A142" s="179">
        <v>24</v>
      </c>
      <c r="B142" s="180">
        <f t="shared" si="23"/>
        <v>0</v>
      </c>
      <c r="C142" s="181" t="s">
        <v>146</v>
      </c>
      <c r="D142" s="182"/>
    </row>
    <row r="143" spans="1:4" ht="12" x14ac:dyDescent="0.2">
      <c r="A143" s="179">
        <v>24</v>
      </c>
      <c r="B143" s="180">
        <f t="shared" si="23"/>
        <v>0</v>
      </c>
      <c r="C143" s="181" t="s">
        <v>147</v>
      </c>
      <c r="D143" s="182"/>
    </row>
    <row r="144" spans="1:4" ht="12" x14ac:dyDescent="0.2">
      <c r="A144" s="179">
        <v>24</v>
      </c>
      <c r="B144" s="180">
        <f t="shared" si="23"/>
        <v>0</v>
      </c>
      <c r="C144" s="181" t="s">
        <v>148</v>
      </c>
      <c r="D144" s="182"/>
    </row>
    <row r="145" spans="1:7" ht="12.75" thickBot="1" x14ac:dyDescent="0.25">
      <c r="A145" s="183">
        <v>24</v>
      </c>
      <c r="B145" s="184">
        <f t="shared" si="23"/>
        <v>0</v>
      </c>
      <c r="C145" s="185" t="s">
        <v>149</v>
      </c>
      <c r="D145" s="186"/>
    </row>
    <row r="146" spans="1:7" ht="12" x14ac:dyDescent="0.2">
      <c r="A146" s="175">
        <v>25</v>
      </c>
      <c r="B146" s="176"/>
      <c r="C146" s="177" t="s">
        <v>4</v>
      </c>
      <c r="D146" s="178"/>
    </row>
    <row r="147" spans="1:7" ht="12" x14ac:dyDescent="0.2">
      <c r="A147" s="179">
        <v>25</v>
      </c>
      <c r="B147" s="180">
        <f t="shared" ref="B147:B151" si="24">$B$146</f>
        <v>0</v>
      </c>
      <c r="C147" s="181" t="s">
        <v>5</v>
      </c>
      <c r="D147" s="182"/>
    </row>
    <row r="148" spans="1:7" ht="12" x14ac:dyDescent="0.2">
      <c r="A148" s="179">
        <v>25</v>
      </c>
      <c r="B148" s="180">
        <f t="shared" si="24"/>
        <v>0</v>
      </c>
      <c r="C148" s="181" t="s">
        <v>146</v>
      </c>
      <c r="D148" s="182"/>
    </row>
    <row r="149" spans="1:7" ht="12" x14ac:dyDescent="0.2">
      <c r="A149" s="179">
        <v>25</v>
      </c>
      <c r="B149" s="180">
        <f t="shared" si="24"/>
        <v>0</v>
      </c>
      <c r="C149" s="181" t="s">
        <v>147</v>
      </c>
      <c r="D149" s="182"/>
    </row>
    <row r="150" spans="1:7" ht="12" x14ac:dyDescent="0.2">
      <c r="A150" s="179">
        <v>25</v>
      </c>
      <c r="B150" s="180">
        <f t="shared" si="24"/>
        <v>0</v>
      </c>
      <c r="C150" s="181" t="s">
        <v>148</v>
      </c>
      <c r="D150" s="182"/>
    </row>
    <row r="151" spans="1:7" ht="12.75" thickBot="1" x14ac:dyDescent="0.25">
      <c r="A151" s="183">
        <v>25</v>
      </c>
      <c r="B151" s="184">
        <f t="shared" si="24"/>
        <v>0</v>
      </c>
      <c r="C151" s="185" t="s">
        <v>149</v>
      </c>
      <c r="D151" s="186"/>
    </row>
    <row r="152" spans="1:7" ht="12" x14ac:dyDescent="0.2">
      <c r="A152" s="175">
        <v>26</v>
      </c>
      <c r="B152" s="176"/>
      <c r="C152" s="177" t="s">
        <v>4</v>
      </c>
      <c r="D152" s="178"/>
    </row>
    <row r="153" spans="1:7" ht="12" x14ac:dyDescent="0.2">
      <c r="A153" s="179">
        <v>26</v>
      </c>
      <c r="B153" s="180">
        <f t="shared" ref="B153:B157" si="25">$B$152</f>
        <v>0</v>
      </c>
      <c r="C153" s="181" t="s">
        <v>5</v>
      </c>
      <c r="D153" s="182"/>
    </row>
    <row r="154" spans="1:7" ht="12" x14ac:dyDescent="0.2">
      <c r="A154" s="179">
        <v>26</v>
      </c>
      <c r="B154" s="180">
        <f t="shared" si="25"/>
        <v>0</v>
      </c>
      <c r="C154" s="181" t="s">
        <v>146</v>
      </c>
      <c r="D154" s="182"/>
    </row>
    <row r="155" spans="1:7" ht="12" x14ac:dyDescent="0.2">
      <c r="A155" s="179">
        <v>26</v>
      </c>
      <c r="B155" s="180">
        <f t="shared" si="25"/>
        <v>0</v>
      </c>
      <c r="C155" s="181" t="s">
        <v>147</v>
      </c>
      <c r="D155" s="182"/>
    </row>
    <row r="156" spans="1:7" ht="12" x14ac:dyDescent="0.2">
      <c r="A156" s="179">
        <v>26</v>
      </c>
      <c r="B156" s="180">
        <f t="shared" si="25"/>
        <v>0</v>
      </c>
      <c r="C156" s="181" t="s">
        <v>148</v>
      </c>
      <c r="D156" s="182"/>
    </row>
    <row r="157" spans="1:7" ht="12.75" thickBot="1" x14ac:dyDescent="0.25">
      <c r="A157" s="183">
        <v>26</v>
      </c>
      <c r="B157" s="184">
        <f t="shared" si="25"/>
        <v>0</v>
      </c>
      <c r="C157" s="185" t="s">
        <v>149</v>
      </c>
      <c r="D157" s="186"/>
    </row>
    <row r="158" spans="1:7" ht="12" x14ac:dyDescent="0.2">
      <c r="A158" s="175">
        <v>27</v>
      </c>
      <c r="B158" s="176"/>
      <c r="C158" s="177" t="s">
        <v>4</v>
      </c>
      <c r="D158" s="178"/>
      <c r="G158" s="190"/>
    </row>
    <row r="159" spans="1:7" ht="12" x14ac:dyDescent="0.2">
      <c r="A159" s="179">
        <v>27</v>
      </c>
      <c r="B159" s="180">
        <f t="shared" ref="B159:B163" si="26">$B$158</f>
        <v>0</v>
      </c>
      <c r="C159" s="181" t="s">
        <v>5</v>
      </c>
      <c r="D159" s="182"/>
    </row>
    <row r="160" spans="1:7" ht="12" x14ac:dyDescent="0.2">
      <c r="A160" s="179">
        <v>27</v>
      </c>
      <c r="B160" s="180">
        <f t="shared" si="26"/>
        <v>0</v>
      </c>
      <c r="C160" s="181" t="s">
        <v>146</v>
      </c>
      <c r="D160" s="182"/>
    </row>
    <row r="161" spans="1:8" ht="12" x14ac:dyDescent="0.2">
      <c r="A161" s="179">
        <v>27</v>
      </c>
      <c r="B161" s="180">
        <f t="shared" si="26"/>
        <v>0</v>
      </c>
      <c r="C161" s="181" t="s">
        <v>147</v>
      </c>
      <c r="D161" s="182"/>
    </row>
    <row r="162" spans="1:8" ht="12" x14ac:dyDescent="0.2">
      <c r="A162" s="179">
        <v>27</v>
      </c>
      <c r="B162" s="180">
        <f t="shared" si="26"/>
        <v>0</v>
      </c>
      <c r="C162" s="181" t="s">
        <v>148</v>
      </c>
      <c r="D162" s="182"/>
    </row>
    <row r="163" spans="1:8" ht="12.75" thickBot="1" x14ac:dyDescent="0.25">
      <c r="A163" s="183">
        <v>27</v>
      </c>
      <c r="B163" s="184">
        <f t="shared" si="26"/>
        <v>0</v>
      </c>
      <c r="C163" s="185" t="s">
        <v>149</v>
      </c>
      <c r="D163" s="186"/>
    </row>
    <row r="164" spans="1:8" ht="12" x14ac:dyDescent="0.2">
      <c r="A164" s="175">
        <v>28</v>
      </c>
      <c r="B164" s="176"/>
      <c r="C164" s="177" t="s">
        <v>4</v>
      </c>
      <c r="D164" s="178"/>
    </row>
    <row r="165" spans="1:8" ht="12" x14ac:dyDescent="0.2">
      <c r="A165" s="179">
        <v>28</v>
      </c>
      <c r="B165" s="180">
        <f t="shared" ref="B165:B169" si="27">$B$164</f>
        <v>0</v>
      </c>
      <c r="C165" s="181" t="s">
        <v>5</v>
      </c>
      <c r="D165" s="182"/>
    </row>
    <row r="166" spans="1:8" ht="12" x14ac:dyDescent="0.2">
      <c r="A166" s="179">
        <v>28</v>
      </c>
      <c r="B166" s="180">
        <f t="shared" si="27"/>
        <v>0</v>
      </c>
      <c r="C166" s="181" t="s">
        <v>146</v>
      </c>
      <c r="D166" s="182"/>
    </row>
    <row r="167" spans="1:8" ht="12" x14ac:dyDescent="0.2">
      <c r="A167" s="179">
        <v>28</v>
      </c>
      <c r="B167" s="180">
        <f t="shared" si="27"/>
        <v>0</v>
      </c>
      <c r="C167" s="181" t="s">
        <v>147</v>
      </c>
      <c r="D167" s="182"/>
    </row>
    <row r="168" spans="1:8" ht="12" x14ac:dyDescent="0.2">
      <c r="A168" s="179">
        <v>28</v>
      </c>
      <c r="B168" s="180">
        <f t="shared" si="27"/>
        <v>0</v>
      </c>
      <c r="C168" s="181" t="s">
        <v>148</v>
      </c>
      <c r="D168" s="182"/>
    </row>
    <row r="169" spans="1:8" ht="12.75" thickBot="1" x14ac:dyDescent="0.25">
      <c r="A169" s="183">
        <v>28</v>
      </c>
      <c r="B169" s="184">
        <f t="shared" si="27"/>
        <v>0</v>
      </c>
      <c r="C169" s="185" t="s">
        <v>149</v>
      </c>
      <c r="D169" s="186"/>
    </row>
    <row r="170" spans="1:8" ht="12" x14ac:dyDescent="0.2">
      <c r="A170" s="175">
        <v>29</v>
      </c>
      <c r="B170" s="176"/>
      <c r="C170" s="177" t="s">
        <v>4</v>
      </c>
      <c r="D170" s="178"/>
    </row>
    <row r="171" spans="1:8" ht="12" x14ac:dyDescent="0.2">
      <c r="A171" s="179">
        <v>29</v>
      </c>
      <c r="B171" s="180">
        <f t="shared" ref="B171:B175" si="28">$B$170</f>
        <v>0</v>
      </c>
      <c r="C171" s="181" t="s">
        <v>5</v>
      </c>
      <c r="D171" s="182"/>
      <c r="H171" s="190"/>
    </row>
    <row r="172" spans="1:8" ht="12" x14ac:dyDescent="0.2">
      <c r="A172" s="179">
        <v>29</v>
      </c>
      <c r="B172" s="180">
        <f t="shared" si="28"/>
        <v>0</v>
      </c>
      <c r="C172" s="181" t="s">
        <v>146</v>
      </c>
      <c r="D172" s="182"/>
      <c r="H172" s="190"/>
    </row>
    <row r="173" spans="1:8" ht="12" x14ac:dyDescent="0.2">
      <c r="A173" s="179">
        <v>29</v>
      </c>
      <c r="B173" s="180">
        <f t="shared" si="28"/>
        <v>0</v>
      </c>
      <c r="C173" s="181" t="s">
        <v>147</v>
      </c>
      <c r="D173" s="182"/>
      <c r="H173" s="190"/>
    </row>
    <row r="174" spans="1:8" ht="12" x14ac:dyDescent="0.2">
      <c r="A174" s="179">
        <v>29</v>
      </c>
      <c r="B174" s="180">
        <f t="shared" si="28"/>
        <v>0</v>
      </c>
      <c r="C174" s="181" t="s">
        <v>148</v>
      </c>
      <c r="D174" s="182"/>
      <c r="H174" s="190"/>
    </row>
    <row r="175" spans="1:8" ht="12.75" thickBot="1" x14ac:dyDescent="0.25">
      <c r="A175" s="183">
        <v>29</v>
      </c>
      <c r="B175" s="184">
        <f t="shared" si="28"/>
        <v>0</v>
      </c>
      <c r="C175" s="185" t="s">
        <v>149</v>
      </c>
      <c r="D175" s="186"/>
    </row>
    <row r="176" spans="1:8" ht="12" x14ac:dyDescent="0.2">
      <c r="A176" s="175">
        <v>30</v>
      </c>
      <c r="B176" s="176"/>
      <c r="C176" s="177" t="s">
        <v>4</v>
      </c>
      <c r="D176" s="178"/>
    </row>
    <row r="177" spans="1:7" ht="12" x14ac:dyDescent="0.2">
      <c r="A177" s="179">
        <v>30</v>
      </c>
      <c r="B177" s="180">
        <f t="shared" ref="B177:B181" si="29">$B$176</f>
        <v>0</v>
      </c>
      <c r="C177" s="181" t="s">
        <v>5</v>
      </c>
      <c r="D177" s="182"/>
    </row>
    <row r="178" spans="1:7" ht="12" x14ac:dyDescent="0.2">
      <c r="A178" s="179">
        <v>30</v>
      </c>
      <c r="B178" s="180">
        <f t="shared" si="29"/>
        <v>0</v>
      </c>
      <c r="C178" s="181" t="s">
        <v>146</v>
      </c>
      <c r="D178" s="182"/>
    </row>
    <row r="179" spans="1:7" ht="12" x14ac:dyDescent="0.2">
      <c r="A179" s="179">
        <v>30</v>
      </c>
      <c r="B179" s="180">
        <f t="shared" si="29"/>
        <v>0</v>
      </c>
      <c r="C179" s="181" t="s">
        <v>147</v>
      </c>
      <c r="D179" s="182"/>
    </row>
    <row r="180" spans="1:7" ht="12" x14ac:dyDescent="0.2">
      <c r="A180" s="179">
        <v>30</v>
      </c>
      <c r="B180" s="180">
        <f t="shared" si="29"/>
        <v>0</v>
      </c>
      <c r="C180" s="181" t="s">
        <v>148</v>
      </c>
      <c r="D180" s="182"/>
    </row>
    <row r="181" spans="1:7" ht="12.75" thickBot="1" x14ac:dyDescent="0.25">
      <c r="A181" s="183">
        <v>30</v>
      </c>
      <c r="B181" s="184">
        <f t="shared" si="29"/>
        <v>0</v>
      </c>
      <c r="C181" s="185" t="s">
        <v>149</v>
      </c>
      <c r="D181" s="186"/>
    </row>
    <row r="182" spans="1:7" ht="12" x14ac:dyDescent="0.2">
      <c r="A182" s="194"/>
      <c r="B182" s="195"/>
      <c r="C182" s="196"/>
      <c r="D182" s="197"/>
      <c r="G182" s="190"/>
    </row>
    <row r="183" spans="1:7" ht="12" x14ac:dyDescent="0.2">
      <c r="A183" s="194"/>
      <c r="B183" s="198"/>
      <c r="C183" s="196"/>
      <c r="D183" s="197"/>
    </row>
    <row r="184" spans="1:7" ht="12" x14ac:dyDescent="0.2">
      <c r="A184" s="194"/>
      <c r="B184" s="198"/>
      <c r="C184" s="196"/>
      <c r="D184" s="197"/>
    </row>
    <row r="185" spans="1:7" ht="12" x14ac:dyDescent="0.2">
      <c r="A185" s="194"/>
      <c r="B185" s="195"/>
      <c r="C185" s="196"/>
      <c r="D185" s="197"/>
    </row>
    <row r="186" spans="1:7" ht="12" x14ac:dyDescent="0.2">
      <c r="A186" s="194"/>
      <c r="B186" s="198"/>
      <c r="C186" s="196"/>
      <c r="D186" s="197"/>
    </row>
    <row r="187" spans="1:7" ht="12" x14ac:dyDescent="0.2">
      <c r="A187" s="194"/>
      <c r="B187" s="198"/>
      <c r="C187" s="196"/>
      <c r="D187" s="197"/>
    </row>
    <row r="188" spans="1:7" ht="12" x14ac:dyDescent="0.2">
      <c r="A188" s="194"/>
      <c r="B188" s="195"/>
      <c r="C188" s="196"/>
      <c r="D188" s="197"/>
    </row>
    <row r="189" spans="1:7" ht="12" x14ac:dyDescent="0.2">
      <c r="A189" s="194"/>
      <c r="B189" s="198"/>
      <c r="C189" s="196"/>
      <c r="D189" s="197"/>
    </row>
    <row r="190" spans="1:7" ht="12" x14ac:dyDescent="0.2">
      <c r="A190" s="194"/>
      <c r="B190" s="198"/>
      <c r="C190" s="196"/>
      <c r="D190" s="197"/>
    </row>
    <row r="191" spans="1:7" ht="12" x14ac:dyDescent="0.2">
      <c r="A191" s="194"/>
      <c r="B191" s="195"/>
      <c r="C191" s="196"/>
      <c r="D191" s="197"/>
    </row>
    <row r="192" spans="1:7" ht="12" x14ac:dyDescent="0.2">
      <c r="A192" s="194"/>
      <c r="B192" s="198"/>
      <c r="C192" s="196"/>
      <c r="D192" s="197"/>
    </row>
    <row r="193" spans="1:4" ht="12" x14ac:dyDescent="0.2">
      <c r="A193" s="194"/>
      <c r="B193" s="198"/>
      <c r="C193" s="196"/>
      <c r="D193" s="197"/>
    </row>
    <row r="194" spans="1:4" ht="12" x14ac:dyDescent="0.2">
      <c r="A194" s="194"/>
      <c r="B194" s="195"/>
      <c r="C194" s="196"/>
      <c r="D194" s="197"/>
    </row>
    <row r="195" spans="1:4" ht="12" x14ac:dyDescent="0.2">
      <c r="A195" s="194"/>
      <c r="B195" s="198"/>
      <c r="C195" s="196"/>
      <c r="D195" s="197"/>
    </row>
    <row r="196" spans="1:4" ht="12" x14ac:dyDescent="0.2">
      <c r="A196" s="194"/>
      <c r="B196" s="198"/>
      <c r="C196" s="196"/>
      <c r="D196" s="197"/>
    </row>
    <row r="197" spans="1:4" ht="12" x14ac:dyDescent="0.2">
      <c r="A197" s="194"/>
      <c r="B197" s="195"/>
      <c r="C197" s="196"/>
      <c r="D197" s="197"/>
    </row>
    <row r="198" spans="1:4" ht="12" x14ac:dyDescent="0.2">
      <c r="A198" s="194"/>
      <c r="B198" s="198"/>
      <c r="C198" s="196"/>
      <c r="D198" s="197"/>
    </row>
    <row r="199" spans="1:4" ht="12" x14ac:dyDescent="0.2">
      <c r="A199" s="194"/>
      <c r="B199" s="198"/>
      <c r="C199" s="196"/>
      <c r="D199" s="197"/>
    </row>
    <row r="200" spans="1:4" ht="12" x14ac:dyDescent="0.2">
      <c r="A200" s="194"/>
      <c r="B200" s="195"/>
      <c r="C200" s="196"/>
      <c r="D200" s="197"/>
    </row>
    <row r="201" spans="1:4" ht="12" x14ac:dyDescent="0.2">
      <c r="A201" s="194"/>
      <c r="B201" s="198"/>
      <c r="C201" s="196"/>
      <c r="D201" s="197"/>
    </row>
    <row r="202" spans="1:4" ht="12" x14ac:dyDescent="0.2">
      <c r="A202" s="194"/>
      <c r="B202" s="198"/>
      <c r="C202" s="196"/>
      <c r="D202" s="197"/>
    </row>
    <row r="203" spans="1:4" ht="12" x14ac:dyDescent="0.2">
      <c r="A203" s="194"/>
      <c r="B203" s="195"/>
      <c r="C203" s="196"/>
      <c r="D203" s="197"/>
    </row>
    <row r="204" spans="1:4" ht="12" x14ac:dyDescent="0.2">
      <c r="A204" s="194"/>
      <c r="B204" s="198"/>
      <c r="C204" s="196"/>
      <c r="D204" s="197"/>
    </row>
    <row r="205" spans="1:4" ht="12" x14ac:dyDescent="0.2">
      <c r="A205" s="194"/>
      <c r="B205" s="198"/>
      <c r="C205" s="196"/>
      <c r="D205" s="197"/>
    </row>
    <row r="206" spans="1:4" ht="12" x14ac:dyDescent="0.2">
      <c r="A206" s="194"/>
      <c r="B206" s="195"/>
      <c r="C206" s="196"/>
      <c r="D206" s="197"/>
    </row>
    <row r="207" spans="1:4" ht="12" x14ac:dyDescent="0.2">
      <c r="A207" s="194"/>
      <c r="B207" s="198"/>
      <c r="C207" s="196"/>
      <c r="D207" s="197"/>
    </row>
    <row r="208" spans="1:4" ht="12" x14ac:dyDescent="0.2">
      <c r="A208" s="194"/>
      <c r="B208" s="198"/>
      <c r="C208" s="196"/>
      <c r="D208" s="197"/>
    </row>
    <row r="209" spans="1:4" ht="12" x14ac:dyDescent="0.2">
      <c r="A209" s="194"/>
      <c r="B209" s="195"/>
      <c r="C209" s="196"/>
      <c r="D209" s="197"/>
    </row>
    <row r="210" spans="1:4" ht="12" x14ac:dyDescent="0.2">
      <c r="A210" s="194"/>
      <c r="B210" s="198"/>
      <c r="C210" s="196"/>
      <c r="D210" s="197"/>
    </row>
    <row r="211" spans="1:4" ht="12" x14ac:dyDescent="0.2">
      <c r="A211" s="194"/>
      <c r="B211" s="198"/>
      <c r="C211" s="196"/>
      <c r="D211" s="197"/>
    </row>
    <row r="212" spans="1:4" ht="12" x14ac:dyDescent="0.2">
      <c r="A212" s="194"/>
      <c r="B212" s="195"/>
      <c r="C212" s="196"/>
      <c r="D212" s="197"/>
    </row>
    <row r="213" spans="1:4" ht="12" x14ac:dyDescent="0.2">
      <c r="A213" s="194"/>
      <c r="B213" s="198"/>
      <c r="C213" s="196"/>
      <c r="D213" s="197"/>
    </row>
    <row r="214" spans="1:4" ht="12" x14ac:dyDescent="0.2">
      <c r="A214" s="194"/>
      <c r="B214" s="198"/>
      <c r="C214" s="196"/>
      <c r="D214" s="197"/>
    </row>
    <row r="215" spans="1:4" ht="12" x14ac:dyDescent="0.2">
      <c r="A215" s="194"/>
      <c r="B215" s="195"/>
      <c r="C215" s="196"/>
      <c r="D215" s="197"/>
    </row>
    <row r="216" spans="1:4" ht="12" x14ac:dyDescent="0.2">
      <c r="A216" s="194"/>
      <c r="B216" s="198"/>
      <c r="C216" s="196"/>
      <c r="D216" s="197"/>
    </row>
    <row r="217" spans="1:4" ht="12" x14ac:dyDescent="0.2">
      <c r="A217" s="194"/>
      <c r="B217" s="198"/>
      <c r="C217" s="196"/>
      <c r="D217" s="197"/>
    </row>
    <row r="218" spans="1:4" ht="12" x14ac:dyDescent="0.2">
      <c r="A218" s="194"/>
      <c r="B218" s="195"/>
      <c r="C218" s="196"/>
      <c r="D218" s="197"/>
    </row>
    <row r="219" spans="1:4" ht="12" x14ac:dyDescent="0.2">
      <c r="A219" s="194"/>
      <c r="B219" s="198"/>
      <c r="C219" s="196"/>
      <c r="D219" s="197"/>
    </row>
    <row r="220" spans="1:4" ht="12" x14ac:dyDescent="0.2">
      <c r="A220" s="194"/>
      <c r="B220" s="198"/>
      <c r="C220" s="196"/>
      <c r="D220" s="197"/>
    </row>
    <row r="221" spans="1:4" ht="12" x14ac:dyDescent="0.2">
      <c r="A221" s="194"/>
      <c r="B221" s="195"/>
      <c r="C221" s="196"/>
      <c r="D221" s="197"/>
    </row>
    <row r="222" spans="1:4" ht="12" x14ac:dyDescent="0.2">
      <c r="A222" s="194"/>
      <c r="B222" s="198"/>
      <c r="C222" s="196"/>
      <c r="D222" s="197"/>
    </row>
    <row r="223" spans="1:4" ht="12" x14ac:dyDescent="0.2">
      <c r="A223" s="194"/>
      <c r="B223" s="198"/>
      <c r="C223" s="196"/>
      <c r="D223" s="197"/>
    </row>
    <row r="224" spans="1:4" ht="12" x14ac:dyDescent="0.2">
      <c r="A224" s="194"/>
      <c r="B224" s="195"/>
      <c r="C224" s="196"/>
      <c r="D224" s="197"/>
    </row>
    <row r="225" spans="1:4" ht="12" x14ac:dyDescent="0.2">
      <c r="A225" s="194"/>
      <c r="B225" s="198"/>
      <c r="C225" s="196"/>
      <c r="D225" s="197"/>
    </row>
    <row r="226" spans="1:4" ht="12" x14ac:dyDescent="0.2">
      <c r="A226" s="194"/>
      <c r="B226" s="198"/>
      <c r="C226" s="196"/>
      <c r="D226" s="197"/>
    </row>
    <row r="227" spans="1:4" ht="12" x14ac:dyDescent="0.2">
      <c r="A227" s="194"/>
      <c r="B227" s="195"/>
      <c r="C227" s="196"/>
      <c r="D227" s="197"/>
    </row>
    <row r="228" spans="1:4" ht="12" x14ac:dyDescent="0.2">
      <c r="A228" s="194"/>
      <c r="B228" s="198"/>
      <c r="C228" s="196"/>
      <c r="D228" s="197"/>
    </row>
    <row r="229" spans="1:4" ht="12" x14ac:dyDescent="0.2">
      <c r="A229" s="194"/>
      <c r="B229" s="198"/>
      <c r="C229" s="196"/>
      <c r="D229" s="197"/>
    </row>
    <row r="230" spans="1:4" ht="12" x14ac:dyDescent="0.2">
      <c r="A230" s="194"/>
      <c r="B230" s="195"/>
      <c r="C230" s="196"/>
      <c r="D230" s="197"/>
    </row>
    <row r="231" spans="1:4" ht="12" x14ac:dyDescent="0.2">
      <c r="A231" s="194"/>
      <c r="B231" s="198"/>
      <c r="C231" s="196"/>
      <c r="D231" s="197"/>
    </row>
    <row r="232" spans="1:4" ht="12" x14ac:dyDescent="0.2">
      <c r="A232" s="194"/>
      <c r="B232" s="198"/>
      <c r="C232" s="196"/>
      <c r="D232" s="197"/>
    </row>
    <row r="233" spans="1:4" ht="12" x14ac:dyDescent="0.2">
      <c r="A233" s="194"/>
      <c r="B233" s="195"/>
      <c r="C233" s="196"/>
      <c r="D233" s="197"/>
    </row>
    <row r="234" spans="1:4" ht="12" x14ac:dyDescent="0.2">
      <c r="A234" s="194"/>
      <c r="B234" s="198"/>
      <c r="C234" s="196"/>
      <c r="D234" s="197"/>
    </row>
    <row r="235" spans="1:4" ht="12" x14ac:dyDescent="0.2">
      <c r="A235" s="194"/>
      <c r="B235" s="198"/>
      <c r="C235" s="196"/>
      <c r="D235" s="197"/>
    </row>
    <row r="236" spans="1:4" ht="12" x14ac:dyDescent="0.2">
      <c r="A236" s="194"/>
      <c r="B236" s="195"/>
      <c r="C236" s="196"/>
      <c r="D236" s="197"/>
    </row>
    <row r="237" spans="1:4" ht="12" x14ac:dyDescent="0.2">
      <c r="A237" s="194"/>
      <c r="B237" s="198"/>
      <c r="C237" s="196"/>
      <c r="D237" s="197"/>
    </row>
    <row r="238" spans="1:4" ht="12" x14ac:dyDescent="0.2">
      <c r="A238" s="194"/>
      <c r="B238" s="198"/>
      <c r="C238" s="196"/>
      <c r="D238" s="197"/>
    </row>
    <row r="239" spans="1:4" ht="12" x14ac:dyDescent="0.2">
      <c r="A239" s="194"/>
      <c r="B239" s="195"/>
      <c r="C239" s="196"/>
      <c r="D239" s="197"/>
    </row>
    <row r="240" spans="1:4" ht="12" x14ac:dyDescent="0.2">
      <c r="A240" s="194"/>
      <c r="B240" s="198"/>
      <c r="C240" s="196"/>
      <c r="D240" s="197"/>
    </row>
    <row r="241" spans="1:4" ht="12" x14ac:dyDescent="0.2">
      <c r="A241" s="194"/>
      <c r="B241" s="198"/>
      <c r="C241" s="196"/>
      <c r="D241" s="197"/>
    </row>
    <row r="242" spans="1:4" ht="12" x14ac:dyDescent="0.2">
      <c r="A242" s="194"/>
      <c r="B242" s="195"/>
      <c r="C242" s="196"/>
      <c r="D242" s="197"/>
    </row>
    <row r="243" spans="1:4" ht="12" x14ac:dyDescent="0.2">
      <c r="A243" s="194"/>
      <c r="B243" s="198"/>
      <c r="C243" s="196"/>
      <c r="D243" s="197"/>
    </row>
    <row r="244" spans="1:4" ht="12" x14ac:dyDescent="0.2">
      <c r="A244" s="194"/>
      <c r="B244" s="198"/>
      <c r="C244" s="196"/>
      <c r="D244" s="197"/>
    </row>
    <row r="245" spans="1:4" ht="12" x14ac:dyDescent="0.2">
      <c r="A245" s="194"/>
      <c r="B245" s="195"/>
      <c r="C245" s="196"/>
      <c r="D245" s="197"/>
    </row>
    <row r="246" spans="1:4" ht="12" x14ac:dyDescent="0.2">
      <c r="A246" s="194"/>
      <c r="B246" s="198"/>
      <c r="C246" s="196"/>
      <c r="D246" s="197"/>
    </row>
    <row r="247" spans="1:4" ht="12" x14ac:dyDescent="0.2">
      <c r="A247" s="194"/>
      <c r="B247" s="198"/>
      <c r="C247" s="196"/>
      <c r="D247" s="197"/>
    </row>
    <row r="248" spans="1:4" ht="12" x14ac:dyDescent="0.2">
      <c r="A248" s="194"/>
      <c r="B248" s="195"/>
      <c r="C248" s="196"/>
      <c r="D248" s="197"/>
    </row>
    <row r="249" spans="1:4" ht="12" x14ac:dyDescent="0.2">
      <c r="A249" s="194"/>
      <c r="B249" s="198"/>
      <c r="C249" s="196"/>
      <c r="D249" s="197"/>
    </row>
    <row r="250" spans="1:4" ht="12" x14ac:dyDescent="0.2">
      <c r="A250" s="194"/>
      <c r="B250" s="198"/>
      <c r="C250" s="196"/>
      <c r="D250" s="197"/>
    </row>
    <row r="251" spans="1:4" ht="12" x14ac:dyDescent="0.2">
      <c r="A251" s="194"/>
      <c r="B251" s="195"/>
      <c r="C251" s="196"/>
      <c r="D251" s="197"/>
    </row>
    <row r="252" spans="1:4" ht="12" x14ac:dyDescent="0.2">
      <c r="A252" s="194"/>
      <c r="B252" s="198"/>
      <c r="C252" s="196"/>
      <c r="D252" s="197"/>
    </row>
    <row r="253" spans="1:4" ht="12" x14ac:dyDescent="0.2">
      <c r="A253" s="194"/>
      <c r="B253" s="198"/>
      <c r="C253" s="196"/>
      <c r="D253" s="197"/>
    </row>
    <row r="254" spans="1:4" ht="12" x14ac:dyDescent="0.2">
      <c r="A254" s="194"/>
      <c r="B254" s="195"/>
      <c r="C254" s="196"/>
      <c r="D254" s="197"/>
    </row>
    <row r="255" spans="1:4" ht="12" x14ac:dyDescent="0.2">
      <c r="A255" s="194"/>
      <c r="B255" s="198"/>
      <c r="C255" s="196"/>
      <c r="D255" s="197"/>
    </row>
    <row r="256" spans="1:4" ht="12" x14ac:dyDescent="0.2">
      <c r="A256" s="194"/>
      <c r="B256" s="198"/>
      <c r="C256" s="196"/>
      <c r="D256" s="197"/>
    </row>
    <row r="257" spans="1:4" ht="12" x14ac:dyDescent="0.2">
      <c r="A257" s="194"/>
      <c r="B257" s="195"/>
      <c r="C257" s="196"/>
      <c r="D257" s="197"/>
    </row>
    <row r="258" spans="1:4" ht="12" x14ac:dyDescent="0.2">
      <c r="A258" s="194"/>
      <c r="B258" s="198"/>
      <c r="C258" s="196"/>
      <c r="D258" s="197"/>
    </row>
    <row r="259" spans="1:4" ht="12" x14ac:dyDescent="0.2">
      <c r="A259" s="194"/>
      <c r="B259" s="198"/>
      <c r="C259" s="196"/>
      <c r="D259" s="197"/>
    </row>
    <row r="260" spans="1:4" ht="12" x14ac:dyDescent="0.2">
      <c r="A260" s="194"/>
      <c r="B260" s="195"/>
      <c r="C260" s="196"/>
      <c r="D260" s="197"/>
    </row>
    <row r="261" spans="1:4" ht="12" x14ac:dyDescent="0.2">
      <c r="A261" s="194"/>
      <c r="B261" s="198"/>
      <c r="C261" s="196"/>
      <c r="D261" s="197"/>
    </row>
    <row r="262" spans="1:4" ht="12" x14ac:dyDescent="0.2">
      <c r="A262" s="194"/>
      <c r="B262" s="198"/>
      <c r="C262" s="196"/>
      <c r="D262" s="197"/>
    </row>
    <row r="263" spans="1:4" ht="12" x14ac:dyDescent="0.2">
      <c r="A263" s="194"/>
      <c r="B263" s="195"/>
      <c r="C263" s="196"/>
      <c r="D263" s="197"/>
    </row>
    <row r="264" spans="1:4" ht="12" x14ac:dyDescent="0.2">
      <c r="A264" s="194"/>
      <c r="B264" s="198"/>
      <c r="C264" s="196"/>
      <c r="D264" s="197"/>
    </row>
    <row r="265" spans="1:4" ht="12" x14ac:dyDescent="0.2">
      <c r="A265" s="194"/>
      <c r="B265" s="198"/>
      <c r="C265" s="196"/>
      <c r="D265" s="197"/>
    </row>
    <row r="266" spans="1:4" ht="12" x14ac:dyDescent="0.2">
      <c r="A266" s="194"/>
      <c r="B266" s="195"/>
      <c r="C266" s="196"/>
      <c r="D266" s="197"/>
    </row>
    <row r="267" spans="1:4" ht="12" x14ac:dyDescent="0.2">
      <c r="A267" s="194"/>
      <c r="B267" s="198"/>
      <c r="C267" s="196"/>
      <c r="D267" s="197"/>
    </row>
    <row r="268" spans="1:4" ht="12" x14ac:dyDescent="0.2">
      <c r="A268" s="194"/>
      <c r="B268" s="198"/>
      <c r="C268" s="196"/>
      <c r="D268" s="197"/>
    </row>
    <row r="269" spans="1:4" ht="12" x14ac:dyDescent="0.2">
      <c r="A269" s="194"/>
      <c r="B269" s="195"/>
      <c r="C269" s="196"/>
      <c r="D269" s="197"/>
    </row>
    <row r="270" spans="1:4" ht="12" x14ac:dyDescent="0.2">
      <c r="A270" s="194"/>
      <c r="B270" s="198"/>
      <c r="C270" s="196"/>
      <c r="D270" s="197"/>
    </row>
    <row r="271" spans="1:4" ht="12" x14ac:dyDescent="0.2">
      <c r="A271" s="194"/>
      <c r="B271" s="198"/>
      <c r="C271" s="196"/>
      <c r="D271" s="197"/>
    </row>
    <row r="272" spans="1:4" ht="12" x14ac:dyDescent="0.2">
      <c r="A272" s="194"/>
      <c r="B272" s="195"/>
      <c r="C272" s="196"/>
      <c r="D272" s="197"/>
    </row>
    <row r="273" spans="1:4" ht="12" x14ac:dyDescent="0.2">
      <c r="A273" s="194"/>
      <c r="B273" s="198"/>
      <c r="C273" s="196"/>
      <c r="D273" s="197"/>
    </row>
    <row r="274" spans="1:4" ht="12" x14ac:dyDescent="0.2">
      <c r="A274" s="194"/>
      <c r="B274" s="198"/>
      <c r="C274" s="196"/>
      <c r="D274" s="197"/>
    </row>
    <row r="275" spans="1:4" ht="12" x14ac:dyDescent="0.2">
      <c r="A275" s="194"/>
      <c r="B275" s="195"/>
      <c r="C275" s="196"/>
      <c r="D275" s="197"/>
    </row>
    <row r="276" spans="1:4" ht="12" x14ac:dyDescent="0.2">
      <c r="A276" s="194"/>
      <c r="B276" s="198"/>
      <c r="C276" s="196"/>
      <c r="D276" s="197"/>
    </row>
    <row r="277" spans="1:4" ht="12" x14ac:dyDescent="0.2">
      <c r="A277" s="194"/>
      <c r="B277" s="198"/>
      <c r="C277" s="196"/>
      <c r="D277" s="197"/>
    </row>
    <row r="278" spans="1:4" ht="12" x14ac:dyDescent="0.2">
      <c r="A278" s="194"/>
      <c r="B278" s="195"/>
      <c r="C278" s="196"/>
      <c r="D278" s="197"/>
    </row>
    <row r="279" spans="1:4" ht="12" x14ac:dyDescent="0.2">
      <c r="A279" s="194"/>
      <c r="B279" s="198"/>
      <c r="C279" s="196"/>
      <c r="D279" s="197"/>
    </row>
    <row r="280" spans="1:4" ht="12" x14ac:dyDescent="0.2">
      <c r="A280" s="194"/>
      <c r="B280" s="198"/>
      <c r="C280" s="196"/>
      <c r="D280" s="197"/>
    </row>
    <row r="281" spans="1:4" ht="12" x14ac:dyDescent="0.2">
      <c r="A281" s="194"/>
      <c r="B281" s="195"/>
      <c r="C281" s="196"/>
      <c r="D281" s="197"/>
    </row>
    <row r="282" spans="1:4" ht="12" x14ac:dyDescent="0.2">
      <c r="A282" s="194"/>
      <c r="B282" s="198"/>
      <c r="C282" s="196"/>
      <c r="D282" s="197"/>
    </row>
    <row r="283" spans="1:4" ht="12" x14ac:dyDescent="0.2">
      <c r="A283" s="194"/>
      <c r="B283" s="198"/>
      <c r="C283" s="196"/>
      <c r="D283" s="197"/>
    </row>
    <row r="284" spans="1:4" ht="12" x14ac:dyDescent="0.2">
      <c r="A284" s="194"/>
      <c r="B284" s="195"/>
      <c r="C284" s="196"/>
      <c r="D284" s="197"/>
    </row>
    <row r="285" spans="1:4" ht="12" x14ac:dyDescent="0.2">
      <c r="A285" s="194"/>
      <c r="B285" s="198"/>
      <c r="C285" s="196"/>
      <c r="D285" s="197"/>
    </row>
    <row r="286" spans="1:4" ht="12" x14ac:dyDescent="0.2">
      <c r="A286" s="194"/>
      <c r="B286" s="198"/>
      <c r="C286" s="196"/>
      <c r="D286" s="197"/>
    </row>
    <row r="287" spans="1:4" ht="12" x14ac:dyDescent="0.2">
      <c r="A287" s="194"/>
      <c r="B287" s="195"/>
      <c r="C287" s="196"/>
      <c r="D287" s="197"/>
    </row>
    <row r="288" spans="1:4" ht="12" x14ac:dyDescent="0.2">
      <c r="A288" s="194"/>
      <c r="B288" s="198"/>
      <c r="C288" s="196"/>
      <c r="D288" s="197"/>
    </row>
    <row r="289" spans="1:4" ht="12" x14ac:dyDescent="0.2">
      <c r="A289" s="194"/>
      <c r="B289" s="198"/>
      <c r="C289" s="196"/>
      <c r="D289" s="197"/>
    </row>
    <row r="290" spans="1:4" ht="12" x14ac:dyDescent="0.2">
      <c r="A290" s="194"/>
      <c r="B290" s="195"/>
      <c r="C290" s="196"/>
      <c r="D290" s="197"/>
    </row>
    <row r="291" spans="1:4" ht="12" x14ac:dyDescent="0.2">
      <c r="A291" s="194"/>
      <c r="B291" s="198"/>
      <c r="C291" s="196"/>
      <c r="D291" s="197"/>
    </row>
    <row r="292" spans="1:4" ht="12" x14ac:dyDescent="0.2">
      <c r="A292" s="194"/>
      <c r="B292" s="198"/>
      <c r="C292" s="196"/>
      <c r="D292" s="197"/>
    </row>
    <row r="293" spans="1:4" ht="12" x14ac:dyDescent="0.2">
      <c r="A293" s="194"/>
      <c r="B293" s="195"/>
      <c r="C293" s="196"/>
      <c r="D293" s="197"/>
    </row>
    <row r="294" spans="1:4" ht="12" x14ac:dyDescent="0.2">
      <c r="A294" s="194"/>
      <c r="B294" s="198"/>
      <c r="C294" s="196"/>
      <c r="D294" s="197"/>
    </row>
    <row r="295" spans="1:4" ht="12" x14ac:dyDescent="0.2">
      <c r="A295" s="194"/>
      <c r="B295" s="198"/>
      <c r="C295" s="196"/>
      <c r="D295" s="197"/>
    </row>
    <row r="296" spans="1:4" ht="12" x14ac:dyDescent="0.2">
      <c r="A296" s="194"/>
      <c r="B296" s="195"/>
      <c r="C296" s="196"/>
      <c r="D296" s="197"/>
    </row>
    <row r="297" spans="1:4" ht="12" x14ac:dyDescent="0.2">
      <c r="A297" s="194"/>
      <c r="B297" s="198"/>
      <c r="C297" s="196"/>
      <c r="D297" s="197"/>
    </row>
    <row r="298" spans="1:4" ht="12" x14ac:dyDescent="0.2">
      <c r="A298" s="194"/>
      <c r="B298" s="198"/>
      <c r="C298" s="196"/>
      <c r="D298" s="197"/>
    </row>
    <row r="299" spans="1:4" ht="12" x14ac:dyDescent="0.2">
      <c r="A299" s="194"/>
      <c r="B299" s="195"/>
      <c r="C299" s="196"/>
      <c r="D299" s="197"/>
    </row>
    <row r="300" spans="1:4" ht="12" x14ac:dyDescent="0.2">
      <c r="A300" s="194"/>
      <c r="B300" s="198"/>
      <c r="C300" s="196"/>
      <c r="D300" s="197"/>
    </row>
    <row r="301" spans="1:4" ht="12" x14ac:dyDescent="0.2">
      <c r="A301" s="194"/>
      <c r="B301" s="198"/>
      <c r="C301" s="196"/>
      <c r="D301" s="197"/>
    </row>
    <row r="302" spans="1:4" ht="12" x14ac:dyDescent="0.2">
      <c r="A302" s="194"/>
      <c r="B302" s="195"/>
      <c r="C302" s="196"/>
      <c r="D302" s="197"/>
    </row>
    <row r="303" spans="1:4" ht="12" x14ac:dyDescent="0.2">
      <c r="A303" s="194"/>
      <c r="B303" s="198"/>
      <c r="C303" s="196"/>
      <c r="D303" s="197"/>
    </row>
    <row r="304" spans="1:4" ht="12" x14ac:dyDescent="0.2">
      <c r="A304" s="194"/>
      <c r="B304" s="198"/>
      <c r="C304" s="196"/>
      <c r="D304" s="197"/>
    </row>
    <row r="305" spans="1:4" ht="12" x14ac:dyDescent="0.2">
      <c r="A305" s="194"/>
      <c r="B305" s="195"/>
      <c r="C305" s="196"/>
      <c r="D305" s="197"/>
    </row>
    <row r="306" spans="1:4" ht="12" x14ac:dyDescent="0.2">
      <c r="A306" s="194"/>
      <c r="B306" s="198"/>
      <c r="C306" s="196"/>
      <c r="D306" s="197"/>
    </row>
    <row r="307" spans="1:4" ht="12" x14ac:dyDescent="0.2">
      <c r="A307" s="194"/>
      <c r="B307" s="198"/>
      <c r="C307" s="196"/>
      <c r="D307" s="197"/>
    </row>
    <row r="308" spans="1:4" ht="12" x14ac:dyDescent="0.2">
      <c r="A308" s="194"/>
      <c r="B308" s="195"/>
      <c r="C308" s="196"/>
      <c r="D308" s="197"/>
    </row>
    <row r="309" spans="1:4" ht="12" x14ac:dyDescent="0.2">
      <c r="A309" s="194"/>
      <c r="B309" s="198"/>
      <c r="C309" s="196"/>
      <c r="D309" s="197"/>
    </row>
    <row r="310" spans="1:4" ht="12" x14ac:dyDescent="0.2">
      <c r="A310" s="194"/>
      <c r="B310" s="198"/>
      <c r="C310" s="196"/>
      <c r="D310" s="197"/>
    </row>
    <row r="311" spans="1:4" ht="12" x14ac:dyDescent="0.2">
      <c r="A311" s="194"/>
      <c r="B311" s="195"/>
      <c r="C311" s="196"/>
      <c r="D311" s="197"/>
    </row>
    <row r="312" spans="1:4" ht="12" x14ac:dyDescent="0.2">
      <c r="A312" s="194"/>
      <c r="B312" s="198"/>
      <c r="C312" s="196"/>
      <c r="D312" s="197"/>
    </row>
    <row r="313" spans="1:4" ht="12" x14ac:dyDescent="0.2">
      <c r="A313" s="194"/>
      <c r="B313" s="198"/>
      <c r="C313" s="196"/>
      <c r="D313" s="197"/>
    </row>
    <row r="314" spans="1:4" ht="12" x14ac:dyDescent="0.2">
      <c r="A314" s="194"/>
      <c r="B314" s="195"/>
      <c r="C314" s="196"/>
      <c r="D314" s="197"/>
    </row>
    <row r="315" spans="1:4" ht="12" x14ac:dyDescent="0.2">
      <c r="A315" s="194"/>
      <c r="B315" s="198"/>
      <c r="C315" s="196"/>
      <c r="D315" s="197"/>
    </row>
    <row r="316" spans="1:4" ht="12" x14ac:dyDescent="0.2">
      <c r="A316" s="194"/>
      <c r="B316" s="198"/>
      <c r="C316" s="196"/>
      <c r="D316" s="197"/>
    </row>
    <row r="317" spans="1:4" ht="12" x14ac:dyDescent="0.2">
      <c r="A317" s="194"/>
      <c r="B317" s="195"/>
      <c r="C317" s="196"/>
      <c r="D317" s="197"/>
    </row>
    <row r="318" spans="1:4" ht="12" x14ac:dyDescent="0.2">
      <c r="A318" s="194"/>
      <c r="B318" s="198"/>
      <c r="C318" s="196"/>
      <c r="D318" s="197"/>
    </row>
    <row r="319" spans="1:4" ht="12" x14ac:dyDescent="0.2">
      <c r="A319" s="194"/>
      <c r="B319" s="198"/>
      <c r="C319" s="196"/>
      <c r="D319" s="197"/>
    </row>
    <row r="320" spans="1:4" ht="12" x14ac:dyDescent="0.2">
      <c r="A320" s="194"/>
      <c r="B320" s="195"/>
      <c r="C320" s="196"/>
      <c r="D320" s="197"/>
    </row>
    <row r="321" spans="1:4" ht="12" x14ac:dyDescent="0.2">
      <c r="A321" s="194"/>
      <c r="B321" s="198"/>
      <c r="C321" s="196"/>
      <c r="D321" s="197"/>
    </row>
    <row r="322" spans="1:4" ht="12" x14ac:dyDescent="0.2">
      <c r="A322" s="194"/>
      <c r="B322" s="198"/>
      <c r="C322" s="196"/>
      <c r="D322" s="197"/>
    </row>
    <row r="323" spans="1:4" ht="12" x14ac:dyDescent="0.2">
      <c r="A323" s="194"/>
      <c r="B323" s="195"/>
      <c r="C323" s="196"/>
      <c r="D323" s="197"/>
    </row>
    <row r="324" spans="1:4" ht="12" x14ac:dyDescent="0.2">
      <c r="A324" s="194"/>
      <c r="B324" s="198"/>
      <c r="C324" s="196"/>
      <c r="D324" s="197"/>
    </row>
    <row r="325" spans="1:4" ht="12" x14ac:dyDescent="0.2">
      <c r="A325" s="194"/>
      <c r="B325" s="198"/>
      <c r="C325" s="196"/>
      <c r="D325" s="197"/>
    </row>
    <row r="326" spans="1:4" ht="12" x14ac:dyDescent="0.2">
      <c r="A326" s="194"/>
      <c r="B326" s="195"/>
      <c r="C326" s="196"/>
      <c r="D326" s="197"/>
    </row>
    <row r="327" spans="1:4" ht="12" x14ac:dyDescent="0.2">
      <c r="A327" s="194"/>
      <c r="B327" s="198"/>
      <c r="C327" s="196"/>
      <c r="D327" s="197"/>
    </row>
    <row r="328" spans="1:4" ht="12" x14ac:dyDescent="0.2">
      <c r="A328" s="194"/>
      <c r="B328" s="198"/>
      <c r="C328" s="196"/>
      <c r="D328" s="197"/>
    </row>
    <row r="329" spans="1:4" ht="12" x14ac:dyDescent="0.2">
      <c r="A329" s="194"/>
      <c r="B329" s="195"/>
      <c r="C329" s="196"/>
      <c r="D329" s="197"/>
    </row>
    <row r="330" spans="1:4" ht="12" x14ac:dyDescent="0.2">
      <c r="A330" s="194"/>
      <c r="B330" s="198"/>
      <c r="C330" s="196"/>
      <c r="D330" s="197"/>
    </row>
    <row r="331" spans="1:4" ht="12" x14ac:dyDescent="0.2">
      <c r="A331" s="194"/>
      <c r="B331" s="198"/>
      <c r="C331" s="196"/>
      <c r="D331" s="197"/>
    </row>
    <row r="332" spans="1:4" ht="12" x14ac:dyDescent="0.2">
      <c r="A332" s="194"/>
      <c r="B332" s="195"/>
      <c r="C332" s="196"/>
      <c r="D332" s="197"/>
    </row>
    <row r="333" spans="1:4" ht="12" x14ac:dyDescent="0.2">
      <c r="A333" s="194"/>
      <c r="B333" s="198"/>
      <c r="C333" s="196"/>
      <c r="D333" s="197"/>
    </row>
    <row r="334" spans="1:4" ht="12" x14ac:dyDescent="0.2">
      <c r="A334" s="194"/>
      <c r="B334" s="198"/>
      <c r="C334" s="196"/>
      <c r="D334" s="197"/>
    </row>
    <row r="335" spans="1:4" ht="12" x14ac:dyDescent="0.2">
      <c r="A335" s="194"/>
      <c r="B335" s="195"/>
      <c r="C335" s="196"/>
      <c r="D335" s="197"/>
    </row>
    <row r="336" spans="1:4" ht="12" x14ac:dyDescent="0.2">
      <c r="A336" s="194"/>
      <c r="B336" s="198"/>
      <c r="C336" s="196"/>
      <c r="D336" s="197"/>
    </row>
    <row r="337" spans="1:4" ht="12" x14ac:dyDescent="0.2">
      <c r="A337" s="194"/>
      <c r="B337" s="198"/>
      <c r="C337" s="196"/>
      <c r="D337" s="197"/>
    </row>
    <row r="338" spans="1:4" ht="12" x14ac:dyDescent="0.2">
      <c r="A338" s="194"/>
      <c r="B338" s="195"/>
      <c r="C338" s="196"/>
      <c r="D338" s="197"/>
    </row>
    <row r="339" spans="1:4" ht="12" x14ac:dyDescent="0.2">
      <c r="A339" s="194"/>
      <c r="B339" s="198"/>
      <c r="C339" s="196"/>
      <c r="D339" s="197"/>
    </row>
    <row r="340" spans="1:4" ht="12" x14ac:dyDescent="0.2">
      <c r="A340" s="194"/>
      <c r="B340" s="198"/>
      <c r="C340" s="196"/>
      <c r="D340" s="197"/>
    </row>
    <row r="341" spans="1:4" ht="12" x14ac:dyDescent="0.2">
      <c r="A341" s="194"/>
      <c r="B341" s="195"/>
      <c r="C341" s="196"/>
      <c r="D341" s="197"/>
    </row>
    <row r="342" spans="1:4" ht="12" x14ac:dyDescent="0.2">
      <c r="A342" s="194"/>
      <c r="B342" s="198"/>
      <c r="C342" s="196"/>
      <c r="D342" s="197"/>
    </row>
    <row r="343" spans="1:4" ht="12" x14ac:dyDescent="0.2">
      <c r="A343" s="194"/>
      <c r="B343" s="198"/>
      <c r="C343" s="196"/>
      <c r="D343" s="197"/>
    </row>
    <row r="344" spans="1:4" ht="12" x14ac:dyDescent="0.2">
      <c r="A344" s="194"/>
      <c r="B344" s="195"/>
      <c r="C344" s="196"/>
      <c r="D344" s="197"/>
    </row>
    <row r="345" spans="1:4" ht="12" x14ac:dyDescent="0.2">
      <c r="A345" s="194"/>
      <c r="B345" s="198"/>
      <c r="C345" s="196"/>
      <c r="D345" s="197"/>
    </row>
    <row r="346" spans="1:4" ht="12" x14ac:dyDescent="0.2">
      <c r="A346" s="194"/>
      <c r="B346" s="198"/>
      <c r="C346" s="196"/>
      <c r="D346" s="197"/>
    </row>
    <row r="347" spans="1:4" ht="12" x14ac:dyDescent="0.2">
      <c r="A347" s="194"/>
      <c r="B347" s="195"/>
      <c r="C347" s="196"/>
      <c r="D347" s="197"/>
    </row>
    <row r="348" spans="1:4" ht="12" x14ac:dyDescent="0.2">
      <c r="A348" s="194"/>
      <c r="B348" s="198"/>
      <c r="C348" s="196"/>
      <c r="D348" s="197"/>
    </row>
    <row r="349" spans="1:4" ht="12" x14ac:dyDescent="0.2">
      <c r="A349" s="194"/>
      <c r="B349" s="198"/>
      <c r="C349" s="196"/>
      <c r="D349" s="197"/>
    </row>
    <row r="350" spans="1:4" ht="12" x14ac:dyDescent="0.2">
      <c r="A350" s="194"/>
      <c r="B350" s="195"/>
      <c r="C350" s="196"/>
      <c r="D350" s="197"/>
    </row>
    <row r="351" spans="1:4" ht="12" x14ac:dyDescent="0.2">
      <c r="A351" s="194"/>
      <c r="B351" s="198"/>
      <c r="C351" s="196"/>
      <c r="D351" s="197"/>
    </row>
    <row r="352" spans="1:4" ht="12" x14ac:dyDescent="0.2">
      <c r="A352" s="194"/>
      <c r="B352" s="198"/>
      <c r="C352" s="196"/>
      <c r="D352" s="197"/>
    </row>
    <row r="353" spans="1:4" ht="12" x14ac:dyDescent="0.2">
      <c r="A353" s="194"/>
      <c r="B353" s="195"/>
      <c r="C353" s="196"/>
      <c r="D353" s="197"/>
    </row>
    <row r="354" spans="1:4" ht="12" x14ac:dyDescent="0.2">
      <c r="A354" s="194"/>
      <c r="B354" s="198"/>
      <c r="C354" s="196"/>
      <c r="D354" s="197"/>
    </row>
    <row r="355" spans="1:4" ht="12" x14ac:dyDescent="0.2">
      <c r="A355" s="194"/>
      <c r="B355" s="198"/>
      <c r="C355" s="196"/>
      <c r="D355" s="197"/>
    </row>
    <row r="356" spans="1:4" ht="12" x14ac:dyDescent="0.2">
      <c r="A356" s="194"/>
      <c r="B356" s="195"/>
      <c r="C356" s="196"/>
      <c r="D356" s="197"/>
    </row>
    <row r="357" spans="1:4" ht="12" x14ac:dyDescent="0.2">
      <c r="A357" s="194"/>
      <c r="B357" s="198"/>
      <c r="C357" s="196"/>
      <c r="D357" s="197"/>
    </row>
    <row r="358" spans="1:4" ht="12" x14ac:dyDescent="0.2">
      <c r="A358" s="194"/>
      <c r="B358" s="198"/>
      <c r="C358" s="196"/>
      <c r="D358" s="197"/>
    </row>
    <row r="359" spans="1:4" ht="12" x14ac:dyDescent="0.2">
      <c r="A359" s="194"/>
      <c r="B359" s="195"/>
      <c r="C359" s="196"/>
      <c r="D359" s="197"/>
    </row>
    <row r="360" spans="1:4" ht="12" x14ac:dyDescent="0.2">
      <c r="A360" s="194"/>
      <c r="B360" s="198"/>
      <c r="C360" s="196"/>
      <c r="D360" s="197"/>
    </row>
    <row r="361" spans="1:4" ht="12" x14ac:dyDescent="0.2">
      <c r="A361" s="194"/>
      <c r="B361" s="198"/>
      <c r="C361" s="196"/>
      <c r="D361" s="197"/>
    </row>
    <row r="362" spans="1:4" ht="12" x14ac:dyDescent="0.2">
      <c r="A362" s="194"/>
      <c r="B362" s="195"/>
      <c r="C362" s="196"/>
      <c r="D362" s="197"/>
    </row>
    <row r="363" spans="1:4" ht="12" x14ac:dyDescent="0.2">
      <c r="A363" s="194"/>
      <c r="B363" s="198"/>
      <c r="C363" s="196"/>
      <c r="D363" s="197"/>
    </row>
    <row r="364" spans="1:4" ht="12" x14ac:dyDescent="0.2">
      <c r="A364" s="194"/>
      <c r="B364" s="198"/>
      <c r="C364" s="196"/>
      <c r="D364" s="197"/>
    </row>
    <row r="365" spans="1:4" ht="12" x14ac:dyDescent="0.2">
      <c r="A365" s="194"/>
      <c r="B365" s="195"/>
      <c r="C365" s="196"/>
      <c r="D365" s="197"/>
    </row>
    <row r="366" spans="1:4" ht="12" x14ac:dyDescent="0.2">
      <c r="A366" s="194"/>
      <c r="B366" s="198"/>
      <c r="C366" s="196"/>
      <c r="D366" s="197"/>
    </row>
    <row r="367" spans="1:4" ht="12" x14ac:dyDescent="0.2">
      <c r="A367" s="194"/>
      <c r="B367" s="198"/>
      <c r="C367" s="196"/>
      <c r="D367" s="197"/>
    </row>
    <row r="368" spans="1:4" ht="12" x14ac:dyDescent="0.2">
      <c r="A368" s="194"/>
      <c r="B368" s="195"/>
      <c r="C368" s="196"/>
      <c r="D368" s="197"/>
    </row>
    <row r="369" spans="1:4" ht="12" x14ac:dyDescent="0.2">
      <c r="A369" s="194"/>
      <c r="B369" s="198"/>
      <c r="C369" s="196"/>
      <c r="D369" s="197"/>
    </row>
    <row r="370" spans="1:4" ht="12" x14ac:dyDescent="0.2">
      <c r="A370" s="194"/>
      <c r="B370" s="198"/>
      <c r="C370" s="196"/>
      <c r="D370" s="197"/>
    </row>
    <row r="371" spans="1:4" ht="12" x14ac:dyDescent="0.2">
      <c r="A371" s="194"/>
      <c r="B371" s="195"/>
      <c r="C371" s="196"/>
      <c r="D371" s="197"/>
    </row>
    <row r="372" spans="1:4" ht="12" x14ac:dyDescent="0.2">
      <c r="A372" s="194"/>
      <c r="B372" s="198"/>
      <c r="C372" s="196"/>
      <c r="D372" s="197"/>
    </row>
    <row r="373" spans="1:4" ht="12" x14ac:dyDescent="0.2">
      <c r="A373" s="194"/>
      <c r="B373" s="198"/>
      <c r="C373" s="196"/>
      <c r="D373" s="197"/>
    </row>
    <row r="374" spans="1:4" ht="12" x14ac:dyDescent="0.2">
      <c r="A374" s="194"/>
      <c r="B374" s="195"/>
      <c r="C374" s="196"/>
      <c r="D374" s="197"/>
    </row>
    <row r="375" spans="1:4" ht="12" x14ac:dyDescent="0.2">
      <c r="A375" s="194"/>
      <c r="B375" s="198"/>
      <c r="C375" s="196"/>
      <c r="D375" s="197"/>
    </row>
    <row r="376" spans="1:4" ht="12" x14ac:dyDescent="0.2">
      <c r="A376" s="194"/>
      <c r="B376" s="198"/>
      <c r="C376" s="196"/>
      <c r="D376" s="197"/>
    </row>
    <row r="377" spans="1:4" ht="12" x14ac:dyDescent="0.2">
      <c r="A377" s="194"/>
      <c r="B377" s="195"/>
      <c r="C377" s="196"/>
      <c r="D377" s="197"/>
    </row>
    <row r="378" spans="1:4" ht="12" x14ac:dyDescent="0.2">
      <c r="A378" s="194"/>
      <c r="B378" s="198"/>
      <c r="C378" s="196"/>
      <c r="D378" s="197"/>
    </row>
    <row r="379" spans="1:4" ht="12" x14ac:dyDescent="0.2">
      <c r="A379" s="194"/>
      <c r="B379" s="198"/>
      <c r="C379" s="196"/>
      <c r="D379" s="197"/>
    </row>
    <row r="380" spans="1:4" ht="12" x14ac:dyDescent="0.2">
      <c r="A380" s="194"/>
      <c r="B380" s="195"/>
      <c r="C380" s="196"/>
      <c r="D380" s="197"/>
    </row>
    <row r="381" spans="1:4" ht="12" x14ac:dyDescent="0.2">
      <c r="A381" s="194"/>
      <c r="B381" s="198"/>
      <c r="C381" s="196"/>
      <c r="D381" s="197"/>
    </row>
    <row r="382" spans="1:4" ht="12" x14ac:dyDescent="0.2">
      <c r="A382" s="194"/>
      <c r="B382" s="198"/>
      <c r="C382" s="196"/>
      <c r="D382" s="197"/>
    </row>
    <row r="383" spans="1:4" ht="12" x14ac:dyDescent="0.2">
      <c r="A383" s="194"/>
      <c r="B383" s="195"/>
      <c r="C383" s="196"/>
      <c r="D383" s="197"/>
    </row>
    <row r="384" spans="1:4" ht="12" x14ac:dyDescent="0.2">
      <c r="A384" s="194"/>
      <c r="B384" s="198"/>
      <c r="C384" s="196"/>
      <c r="D384" s="197"/>
    </row>
    <row r="385" spans="1:4" ht="12" x14ac:dyDescent="0.2">
      <c r="A385" s="194"/>
      <c r="B385" s="198"/>
      <c r="C385" s="196"/>
      <c r="D385" s="197"/>
    </row>
    <row r="386" spans="1:4" ht="12" x14ac:dyDescent="0.2">
      <c r="A386" s="194"/>
      <c r="B386" s="195"/>
      <c r="C386" s="196"/>
      <c r="D386" s="197"/>
    </row>
    <row r="387" spans="1:4" ht="12" x14ac:dyDescent="0.2">
      <c r="A387" s="194"/>
      <c r="B387" s="198"/>
      <c r="C387" s="196"/>
      <c r="D387" s="197"/>
    </row>
    <row r="388" spans="1:4" ht="12" x14ac:dyDescent="0.2">
      <c r="A388" s="194"/>
      <c r="B388" s="198"/>
      <c r="C388" s="196"/>
      <c r="D388" s="197"/>
    </row>
    <row r="389" spans="1:4" ht="12" x14ac:dyDescent="0.2">
      <c r="A389" s="194"/>
      <c r="B389" s="195"/>
      <c r="C389" s="196"/>
      <c r="D389" s="197"/>
    </row>
    <row r="390" spans="1:4" ht="12" x14ac:dyDescent="0.2">
      <c r="A390" s="194"/>
      <c r="B390" s="198"/>
      <c r="C390" s="196"/>
      <c r="D390" s="197"/>
    </row>
    <row r="391" spans="1:4" ht="12" x14ac:dyDescent="0.2">
      <c r="A391" s="194"/>
      <c r="B391" s="198"/>
      <c r="C391" s="196"/>
      <c r="D391" s="197"/>
    </row>
    <row r="392" spans="1:4" x14ac:dyDescent="0.2">
      <c r="A392" s="174"/>
      <c r="C392" s="174"/>
    </row>
    <row r="393" spans="1:4" x14ac:dyDescent="0.2">
      <c r="A393" s="174"/>
      <c r="C393" s="174"/>
    </row>
    <row r="394" spans="1:4" x14ac:dyDescent="0.2">
      <c r="A394" s="174"/>
      <c r="C394" s="174"/>
    </row>
    <row r="395" spans="1:4" x14ac:dyDescent="0.2">
      <c r="A395" s="174"/>
      <c r="C395" s="174"/>
    </row>
    <row r="396" spans="1:4" x14ac:dyDescent="0.2">
      <c r="A396" s="174"/>
      <c r="C396" s="174"/>
    </row>
    <row r="397" spans="1:4" x14ac:dyDescent="0.2">
      <c r="A397" s="174"/>
      <c r="C397" s="174"/>
    </row>
    <row r="398" spans="1:4" x14ac:dyDescent="0.2">
      <c r="A398" s="174"/>
      <c r="C398" s="174"/>
    </row>
    <row r="399" spans="1:4" x14ac:dyDescent="0.2">
      <c r="A399" s="174"/>
      <c r="C399" s="174"/>
    </row>
    <row r="400" spans="1:4" x14ac:dyDescent="0.2">
      <c r="A400" s="174"/>
      <c r="B400" s="192"/>
      <c r="C400" s="174"/>
    </row>
    <row r="401" spans="2:2" s="174" customFormat="1" x14ac:dyDescent="0.2">
      <c r="B401" s="192"/>
    </row>
    <row r="402" spans="2:2" s="174" customFormat="1" x14ac:dyDescent="0.2">
      <c r="B402" s="192"/>
    </row>
    <row r="403" spans="2:2" s="174" customFormat="1" x14ac:dyDescent="0.2">
      <c r="B403" s="192"/>
    </row>
    <row r="404" spans="2:2" s="174" customFormat="1" x14ac:dyDescent="0.2">
      <c r="B404" s="192"/>
    </row>
    <row r="405" spans="2:2" s="174" customFormat="1" x14ac:dyDescent="0.2">
      <c r="B405" s="192"/>
    </row>
    <row r="406" spans="2:2" s="174" customFormat="1" x14ac:dyDescent="0.2">
      <c r="B406" s="192"/>
    </row>
    <row r="407" spans="2:2" s="174" customFormat="1" x14ac:dyDescent="0.2">
      <c r="B407" s="192"/>
    </row>
    <row r="408" spans="2:2" s="174" customFormat="1" x14ac:dyDescent="0.2">
      <c r="B408" s="192"/>
    </row>
    <row r="409" spans="2:2" s="174" customFormat="1" x14ac:dyDescent="0.2">
      <c r="B409" s="192"/>
    </row>
    <row r="410" spans="2:2" s="174" customFormat="1" x14ac:dyDescent="0.2">
      <c r="B410" s="192"/>
    </row>
    <row r="411" spans="2:2" s="174" customFormat="1" x14ac:dyDescent="0.2">
      <c r="B411" s="192"/>
    </row>
    <row r="412" spans="2:2" s="174" customFormat="1" x14ac:dyDescent="0.2"/>
    <row r="413" spans="2:2" s="174" customFormat="1" x14ac:dyDescent="0.2"/>
    <row r="414" spans="2:2" s="174" customFormat="1" x14ac:dyDescent="0.2"/>
    <row r="415" spans="2:2" s="174" customFormat="1" x14ac:dyDescent="0.2"/>
    <row r="416" spans="2:2" s="174" customFormat="1" x14ac:dyDescent="0.2"/>
    <row r="417" s="174" customFormat="1" x14ac:dyDescent="0.2"/>
    <row r="418" s="174" customFormat="1" x14ac:dyDescent="0.2"/>
    <row r="419" s="174" customFormat="1" x14ac:dyDescent="0.2"/>
    <row r="420" s="174" customFormat="1" x14ac:dyDescent="0.2"/>
    <row r="421" s="174" customFormat="1" x14ac:dyDescent="0.2"/>
    <row r="422" s="174" customFormat="1" x14ac:dyDescent="0.2"/>
    <row r="423" s="174" customFormat="1" x14ac:dyDescent="0.2"/>
    <row r="424" s="174" customFormat="1" x14ac:dyDescent="0.2"/>
    <row r="425" s="174" customFormat="1" x14ac:dyDescent="0.2"/>
    <row r="426" s="174" customFormat="1" x14ac:dyDescent="0.2"/>
    <row r="427" s="174" customFormat="1" x14ac:dyDescent="0.2"/>
    <row r="428" s="174" customFormat="1" x14ac:dyDescent="0.2"/>
    <row r="429" s="174" customFormat="1" x14ac:dyDescent="0.2"/>
    <row r="430" s="174" customFormat="1" x14ac:dyDescent="0.2"/>
    <row r="431" s="174" customFormat="1" x14ac:dyDescent="0.2"/>
    <row r="432" s="174" customFormat="1" x14ac:dyDescent="0.2"/>
    <row r="433" s="174" customFormat="1" x14ac:dyDescent="0.2"/>
    <row r="434" s="174" customFormat="1" x14ac:dyDescent="0.2"/>
    <row r="435" s="174" customFormat="1" x14ac:dyDescent="0.2"/>
    <row r="436" s="174" customFormat="1" x14ac:dyDescent="0.2"/>
    <row r="437" s="174" customFormat="1" x14ac:dyDescent="0.2"/>
    <row r="438" s="174" customFormat="1" x14ac:dyDescent="0.2"/>
    <row r="439" s="174" customFormat="1" x14ac:dyDescent="0.2"/>
    <row r="440" s="174" customFormat="1" x14ac:dyDescent="0.2"/>
    <row r="441" s="174" customFormat="1" x14ac:dyDescent="0.2"/>
    <row r="442" s="174" customFormat="1" x14ac:dyDescent="0.2"/>
    <row r="443" s="174" customFormat="1" x14ac:dyDescent="0.2"/>
    <row r="444" s="174" customFormat="1" x14ac:dyDescent="0.2"/>
    <row r="445" s="174" customFormat="1" x14ac:dyDescent="0.2"/>
    <row r="446" s="174" customFormat="1" x14ac:dyDescent="0.2"/>
    <row r="447" s="174" customFormat="1" x14ac:dyDescent="0.2"/>
    <row r="448" s="174" customFormat="1" x14ac:dyDescent="0.2"/>
    <row r="449" s="174" customFormat="1" x14ac:dyDescent="0.2"/>
    <row r="450" s="174" customFormat="1" x14ac:dyDescent="0.2"/>
    <row r="451" s="174" customFormat="1" x14ac:dyDescent="0.2"/>
    <row r="452" s="174" customFormat="1" x14ac:dyDescent="0.2"/>
    <row r="453" s="174" customFormat="1" x14ac:dyDescent="0.2"/>
    <row r="454" s="174" customFormat="1" x14ac:dyDescent="0.2"/>
    <row r="455" s="174" customFormat="1" x14ac:dyDescent="0.2"/>
    <row r="456" s="174" customFormat="1" x14ac:dyDescent="0.2"/>
    <row r="457" s="174" customFormat="1" x14ac:dyDescent="0.2"/>
    <row r="458" s="174" customFormat="1" x14ac:dyDescent="0.2"/>
    <row r="459" s="174" customFormat="1" x14ac:dyDescent="0.2"/>
    <row r="460" s="174" customFormat="1" x14ac:dyDescent="0.2"/>
    <row r="461" s="174" customFormat="1" x14ac:dyDescent="0.2"/>
    <row r="462" s="174" customFormat="1" x14ac:dyDescent="0.2"/>
    <row r="463" s="174" customFormat="1" x14ac:dyDescent="0.2"/>
    <row r="464" s="174" customFormat="1" x14ac:dyDescent="0.2"/>
    <row r="465" s="174" customFormat="1" x14ac:dyDescent="0.2"/>
    <row r="466" s="174" customFormat="1" x14ac:dyDescent="0.2"/>
    <row r="467" s="174" customFormat="1" x14ac:dyDescent="0.2"/>
    <row r="468" s="174" customFormat="1" x14ac:dyDescent="0.2"/>
    <row r="469" s="174" customFormat="1" x14ac:dyDescent="0.2"/>
    <row r="470" s="174" customFormat="1" x14ac:dyDescent="0.2"/>
    <row r="471" s="174" customFormat="1" x14ac:dyDescent="0.2"/>
    <row r="472" s="174" customFormat="1" x14ac:dyDescent="0.2"/>
    <row r="473" s="174" customFormat="1" x14ac:dyDescent="0.2"/>
    <row r="474" s="174" customFormat="1" x14ac:dyDescent="0.2"/>
    <row r="475" s="174" customFormat="1" x14ac:dyDescent="0.2"/>
    <row r="476" s="174" customFormat="1" x14ac:dyDescent="0.2"/>
    <row r="477" s="174" customFormat="1" x14ac:dyDescent="0.2"/>
    <row r="478" s="174" customFormat="1" x14ac:dyDescent="0.2"/>
    <row r="479" s="174" customFormat="1" x14ac:dyDescent="0.2"/>
    <row r="480" s="174" customFormat="1" x14ac:dyDescent="0.2"/>
    <row r="481" s="174" customFormat="1" x14ac:dyDescent="0.2"/>
    <row r="482" s="174" customFormat="1" x14ac:dyDescent="0.2"/>
    <row r="483" s="174" customFormat="1" x14ac:dyDescent="0.2"/>
    <row r="484" s="174" customFormat="1" x14ac:dyDescent="0.2"/>
    <row r="485" s="174" customFormat="1" x14ac:dyDescent="0.2"/>
    <row r="486" s="174" customFormat="1" x14ac:dyDescent="0.2"/>
    <row r="487" s="174" customFormat="1" x14ac:dyDescent="0.2"/>
    <row r="488" s="174" customFormat="1" x14ac:dyDescent="0.2"/>
    <row r="489" s="174" customFormat="1" x14ac:dyDescent="0.2"/>
    <row r="490" s="174" customFormat="1" x14ac:dyDescent="0.2"/>
    <row r="491" s="174" customFormat="1" x14ac:dyDescent="0.2"/>
    <row r="492" s="174" customFormat="1" x14ac:dyDescent="0.2"/>
    <row r="493" s="174" customFormat="1" x14ac:dyDescent="0.2"/>
    <row r="494" s="174" customFormat="1" x14ac:dyDescent="0.2"/>
    <row r="495" s="174" customFormat="1" x14ac:dyDescent="0.2"/>
    <row r="496" s="174" customFormat="1" x14ac:dyDescent="0.2"/>
    <row r="497" s="174" customFormat="1" x14ac:dyDescent="0.2"/>
    <row r="498" s="174" customFormat="1" x14ac:dyDescent="0.2"/>
    <row r="499" s="174" customFormat="1" x14ac:dyDescent="0.2"/>
    <row r="500" s="174" customFormat="1" x14ac:dyDescent="0.2"/>
    <row r="501" s="174" customFormat="1" x14ac:dyDescent="0.2"/>
    <row r="502" s="174" customFormat="1" x14ac:dyDescent="0.2"/>
    <row r="503" s="174" customFormat="1" x14ac:dyDescent="0.2"/>
    <row r="504" s="174" customFormat="1" x14ac:dyDescent="0.2"/>
    <row r="505" s="174" customFormat="1" x14ac:dyDescent="0.2"/>
    <row r="506" s="174" customFormat="1" x14ac:dyDescent="0.2"/>
    <row r="507" s="174" customFormat="1" x14ac:dyDescent="0.2"/>
    <row r="508" s="174" customFormat="1" x14ac:dyDescent="0.2"/>
    <row r="509" s="174" customFormat="1" x14ac:dyDescent="0.2"/>
    <row r="510" s="174" customFormat="1" x14ac:dyDescent="0.2"/>
    <row r="511" s="174" customFormat="1" x14ac:dyDescent="0.2"/>
    <row r="512" s="174" customFormat="1" x14ac:dyDescent="0.2"/>
    <row r="513" s="174" customFormat="1" x14ac:dyDescent="0.2"/>
    <row r="514" s="174" customFormat="1" x14ac:dyDescent="0.2"/>
    <row r="515" s="174" customFormat="1" x14ac:dyDescent="0.2"/>
    <row r="516" s="174" customFormat="1" x14ac:dyDescent="0.2"/>
    <row r="517" s="174" customFormat="1" x14ac:dyDescent="0.2"/>
    <row r="518" s="174" customFormat="1" x14ac:dyDescent="0.2"/>
    <row r="519" s="174" customFormat="1" x14ac:dyDescent="0.2"/>
    <row r="520" s="174" customFormat="1" x14ac:dyDescent="0.2"/>
    <row r="521" s="174" customFormat="1" x14ac:dyDescent="0.2"/>
    <row r="522" s="174" customFormat="1" x14ac:dyDescent="0.2"/>
    <row r="523" s="174" customFormat="1" x14ac:dyDescent="0.2"/>
    <row r="524" s="174" customFormat="1" x14ac:dyDescent="0.2"/>
    <row r="525" s="174" customFormat="1" x14ac:dyDescent="0.2"/>
    <row r="526" s="174" customFormat="1" x14ac:dyDescent="0.2"/>
    <row r="527" s="174" customFormat="1" x14ac:dyDescent="0.2"/>
    <row r="528" s="174" customFormat="1" x14ac:dyDescent="0.2"/>
    <row r="529" s="174" customFormat="1" x14ac:dyDescent="0.2"/>
    <row r="530" s="174" customFormat="1" x14ac:dyDescent="0.2"/>
    <row r="531" s="174" customFormat="1" x14ac:dyDescent="0.2"/>
    <row r="532" s="174" customFormat="1" x14ac:dyDescent="0.2"/>
    <row r="533" s="174" customFormat="1" x14ac:dyDescent="0.2"/>
    <row r="534" s="174" customFormat="1" x14ac:dyDescent="0.2"/>
    <row r="535" s="174" customFormat="1" x14ac:dyDescent="0.2"/>
    <row r="536" s="174" customFormat="1" x14ac:dyDescent="0.2"/>
    <row r="537" s="174" customFormat="1" x14ac:dyDescent="0.2"/>
    <row r="538" s="174" customFormat="1" x14ac:dyDescent="0.2"/>
    <row r="539" s="174" customFormat="1" x14ac:dyDescent="0.2"/>
    <row r="540" s="174" customFormat="1" x14ac:dyDescent="0.2"/>
    <row r="541" s="174" customFormat="1" x14ac:dyDescent="0.2"/>
    <row r="542" s="174" customFormat="1" x14ac:dyDescent="0.2"/>
    <row r="543" s="174" customFormat="1" x14ac:dyDescent="0.2"/>
    <row r="544" s="174" customFormat="1" x14ac:dyDescent="0.2"/>
    <row r="545" s="174" customFormat="1" x14ac:dyDescent="0.2"/>
    <row r="546" s="174" customFormat="1" x14ac:dyDescent="0.2"/>
    <row r="547" s="174" customFormat="1" x14ac:dyDescent="0.2"/>
    <row r="548" s="174" customFormat="1" x14ac:dyDescent="0.2"/>
    <row r="549" s="174" customFormat="1" x14ac:dyDescent="0.2"/>
    <row r="550" s="174" customFormat="1" x14ac:dyDescent="0.2"/>
    <row r="551" s="174" customFormat="1" x14ac:dyDescent="0.2"/>
    <row r="552" s="174" customFormat="1" x14ac:dyDescent="0.2"/>
    <row r="553" s="174" customFormat="1" x14ac:dyDescent="0.2"/>
    <row r="554" s="174" customFormat="1" x14ac:dyDescent="0.2"/>
    <row r="555" s="174" customFormat="1" x14ac:dyDescent="0.2"/>
    <row r="556" s="174" customFormat="1" x14ac:dyDescent="0.2"/>
    <row r="557" s="174" customFormat="1" x14ac:dyDescent="0.2"/>
    <row r="558" s="174" customFormat="1" x14ac:dyDescent="0.2"/>
    <row r="559" s="174" customFormat="1" x14ac:dyDescent="0.2"/>
    <row r="560" s="174" customFormat="1" x14ac:dyDescent="0.2"/>
    <row r="561" s="174" customFormat="1" x14ac:dyDescent="0.2"/>
    <row r="562" s="174" customFormat="1" x14ac:dyDescent="0.2"/>
    <row r="563" s="174" customFormat="1" x14ac:dyDescent="0.2"/>
    <row r="564" s="174" customFormat="1" x14ac:dyDescent="0.2"/>
    <row r="565" s="174" customFormat="1" x14ac:dyDescent="0.2"/>
    <row r="566" s="174" customFormat="1" x14ac:dyDescent="0.2"/>
    <row r="567" s="174" customFormat="1" x14ac:dyDescent="0.2"/>
    <row r="568" s="174" customFormat="1" x14ac:dyDescent="0.2"/>
    <row r="569" s="174" customFormat="1" x14ac:dyDescent="0.2"/>
    <row r="570" s="174" customFormat="1" x14ac:dyDescent="0.2"/>
    <row r="571" s="174" customFormat="1" x14ac:dyDescent="0.2"/>
    <row r="572" s="174" customFormat="1" x14ac:dyDescent="0.2"/>
    <row r="573" s="174" customFormat="1" x14ac:dyDescent="0.2"/>
    <row r="574" s="174" customFormat="1" x14ac:dyDescent="0.2"/>
    <row r="575" s="174" customFormat="1" x14ac:dyDescent="0.2"/>
    <row r="576" s="174" customFormat="1" x14ac:dyDescent="0.2"/>
    <row r="577" s="174" customFormat="1" x14ac:dyDescent="0.2"/>
    <row r="578" s="174" customFormat="1" x14ac:dyDescent="0.2"/>
    <row r="579" s="174" customFormat="1" x14ac:dyDescent="0.2"/>
    <row r="580" s="174" customFormat="1" x14ac:dyDescent="0.2"/>
    <row r="581" s="174" customFormat="1" x14ac:dyDescent="0.2"/>
    <row r="582" s="174" customFormat="1" x14ac:dyDescent="0.2"/>
    <row r="583" s="174" customFormat="1" x14ac:dyDescent="0.2"/>
    <row r="584" s="174" customFormat="1" x14ac:dyDescent="0.2"/>
    <row r="585" s="174" customFormat="1" x14ac:dyDescent="0.2"/>
    <row r="586" s="174" customFormat="1" x14ac:dyDescent="0.2"/>
    <row r="587" s="174" customFormat="1" x14ac:dyDescent="0.2"/>
    <row r="588" s="174" customFormat="1" x14ac:dyDescent="0.2"/>
    <row r="589" s="174" customFormat="1" x14ac:dyDescent="0.2"/>
    <row r="590" s="174" customFormat="1" x14ac:dyDescent="0.2"/>
    <row r="591" s="174" customFormat="1" x14ac:dyDescent="0.2"/>
    <row r="592" s="174" customFormat="1" x14ac:dyDescent="0.2"/>
    <row r="593" s="174" customFormat="1" x14ac:dyDescent="0.2"/>
    <row r="594" s="174" customFormat="1" x14ac:dyDescent="0.2"/>
    <row r="595" s="174" customFormat="1" x14ac:dyDescent="0.2"/>
    <row r="596" s="174" customFormat="1" x14ac:dyDescent="0.2"/>
    <row r="597" s="174" customFormat="1" x14ac:dyDescent="0.2"/>
    <row r="598" s="174" customFormat="1" x14ac:dyDescent="0.2"/>
    <row r="599" s="174" customFormat="1" x14ac:dyDescent="0.2"/>
    <row r="600" s="174" customFormat="1" x14ac:dyDescent="0.2"/>
    <row r="601" s="174" customFormat="1" x14ac:dyDescent="0.2"/>
    <row r="602" s="174" customFormat="1" x14ac:dyDescent="0.2"/>
    <row r="603" s="174" customFormat="1" x14ac:dyDescent="0.2"/>
    <row r="604" s="174" customFormat="1" x14ac:dyDescent="0.2"/>
    <row r="605" s="174" customFormat="1" x14ac:dyDescent="0.2"/>
    <row r="606" s="174" customFormat="1" x14ac:dyDescent="0.2"/>
    <row r="607" s="174" customFormat="1" x14ac:dyDescent="0.2"/>
    <row r="608" s="174" customFormat="1" x14ac:dyDescent="0.2"/>
    <row r="609" s="174" customFormat="1" x14ac:dyDescent="0.2"/>
    <row r="610" s="174" customFormat="1" x14ac:dyDescent="0.2"/>
    <row r="611" s="174" customFormat="1" x14ac:dyDescent="0.2"/>
    <row r="612" s="174" customFormat="1" x14ac:dyDescent="0.2"/>
    <row r="613" s="174" customFormat="1" x14ac:dyDescent="0.2"/>
    <row r="614" s="174" customFormat="1" x14ac:dyDescent="0.2"/>
    <row r="615" s="174" customFormat="1" x14ac:dyDescent="0.2"/>
    <row r="616" s="174" customFormat="1" x14ac:dyDescent="0.2"/>
    <row r="617" s="174" customFormat="1" x14ac:dyDescent="0.2"/>
    <row r="618" s="174" customFormat="1" x14ac:dyDescent="0.2"/>
    <row r="619" s="174" customFormat="1" x14ac:dyDescent="0.2"/>
    <row r="620" s="174" customFormat="1" x14ac:dyDescent="0.2"/>
    <row r="621" s="174" customFormat="1" x14ac:dyDescent="0.2"/>
    <row r="622" s="174" customFormat="1" x14ac:dyDescent="0.2"/>
    <row r="623" s="174" customFormat="1" x14ac:dyDescent="0.2"/>
    <row r="624" s="174" customFormat="1" x14ac:dyDescent="0.2"/>
    <row r="625" s="174" customFormat="1" x14ac:dyDescent="0.2"/>
    <row r="626" s="174" customFormat="1" x14ac:dyDescent="0.2"/>
    <row r="627" s="174" customFormat="1" x14ac:dyDescent="0.2"/>
    <row r="628" s="174" customFormat="1" x14ac:dyDescent="0.2"/>
    <row r="629" s="174" customFormat="1" x14ac:dyDescent="0.2"/>
    <row r="630" s="174" customFormat="1" x14ac:dyDescent="0.2"/>
    <row r="631" s="174" customFormat="1" x14ac:dyDescent="0.2"/>
    <row r="632" s="174" customFormat="1" x14ac:dyDescent="0.2"/>
    <row r="633" s="174" customFormat="1" x14ac:dyDescent="0.2"/>
    <row r="634" s="174" customFormat="1" x14ac:dyDescent="0.2"/>
    <row r="635" s="174" customFormat="1" x14ac:dyDescent="0.2"/>
    <row r="636" s="174" customFormat="1" x14ac:dyDescent="0.2"/>
    <row r="637" s="174" customFormat="1" x14ac:dyDescent="0.2"/>
    <row r="638" s="174" customFormat="1" x14ac:dyDescent="0.2"/>
    <row r="639" s="174" customFormat="1" x14ac:dyDescent="0.2"/>
    <row r="640" s="174" customFormat="1" x14ac:dyDescent="0.2"/>
    <row r="641" s="174" customFormat="1" x14ac:dyDescent="0.2"/>
    <row r="642" s="174" customFormat="1" x14ac:dyDescent="0.2"/>
    <row r="643" s="174" customFormat="1" x14ac:dyDescent="0.2"/>
    <row r="644" s="174" customFormat="1" x14ac:dyDescent="0.2"/>
    <row r="645" s="174" customFormat="1" x14ac:dyDescent="0.2"/>
    <row r="646" s="174" customFormat="1" x14ac:dyDescent="0.2"/>
    <row r="647" s="174" customFormat="1" x14ac:dyDescent="0.2"/>
    <row r="648" s="174" customFormat="1" x14ac:dyDescent="0.2"/>
    <row r="649" s="174" customFormat="1" x14ac:dyDescent="0.2"/>
    <row r="650" s="174" customFormat="1" x14ac:dyDescent="0.2"/>
    <row r="651" s="174" customFormat="1" x14ac:dyDescent="0.2"/>
    <row r="652" s="174" customFormat="1" x14ac:dyDescent="0.2"/>
    <row r="653" s="174" customFormat="1" x14ac:dyDescent="0.2"/>
    <row r="654" s="174" customFormat="1" x14ac:dyDescent="0.2"/>
    <row r="655" s="174" customFormat="1" x14ac:dyDescent="0.2"/>
    <row r="656" s="174" customFormat="1" x14ac:dyDescent="0.2"/>
    <row r="657" s="174" customFormat="1" x14ac:dyDescent="0.2"/>
    <row r="658" s="174" customFormat="1" x14ac:dyDescent="0.2"/>
    <row r="659" s="174" customFormat="1" x14ac:dyDescent="0.2"/>
    <row r="660" s="174" customFormat="1" x14ac:dyDescent="0.2"/>
    <row r="661" s="174" customFormat="1" x14ac:dyDescent="0.2"/>
    <row r="662" s="174" customFormat="1" x14ac:dyDescent="0.2"/>
    <row r="663" s="174" customFormat="1" x14ac:dyDescent="0.2"/>
    <row r="664" s="174" customFormat="1" x14ac:dyDescent="0.2"/>
    <row r="665" s="174" customFormat="1" x14ac:dyDescent="0.2"/>
    <row r="666" s="174" customFormat="1" x14ac:dyDescent="0.2"/>
    <row r="667" s="174" customFormat="1" x14ac:dyDescent="0.2"/>
    <row r="668" s="174" customFormat="1" x14ac:dyDescent="0.2"/>
    <row r="669" s="174" customFormat="1" x14ac:dyDescent="0.2"/>
    <row r="670" s="174" customFormat="1" x14ac:dyDescent="0.2"/>
    <row r="671" s="174" customFormat="1" x14ac:dyDescent="0.2"/>
    <row r="672" s="174" customFormat="1" x14ac:dyDescent="0.2"/>
    <row r="673" s="174" customFormat="1" x14ac:dyDescent="0.2"/>
    <row r="674" s="174" customFormat="1" x14ac:dyDescent="0.2"/>
    <row r="675" s="174" customFormat="1" x14ac:dyDescent="0.2"/>
    <row r="676" s="174" customFormat="1" x14ac:dyDescent="0.2"/>
    <row r="677" s="174" customFormat="1" x14ac:dyDescent="0.2"/>
    <row r="678" s="174" customFormat="1" x14ac:dyDescent="0.2"/>
    <row r="679" s="174" customFormat="1" x14ac:dyDescent="0.2"/>
    <row r="680" s="174" customFormat="1" x14ac:dyDescent="0.2"/>
    <row r="681" s="174" customFormat="1" x14ac:dyDescent="0.2"/>
    <row r="682" s="174" customFormat="1" x14ac:dyDescent="0.2"/>
    <row r="683" s="174" customFormat="1" x14ac:dyDescent="0.2"/>
    <row r="684" s="174" customFormat="1" x14ac:dyDescent="0.2"/>
    <row r="685" s="174" customFormat="1" x14ac:dyDescent="0.2"/>
    <row r="686" s="174" customFormat="1" x14ac:dyDescent="0.2"/>
    <row r="687" s="174" customFormat="1" x14ac:dyDescent="0.2"/>
    <row r="688" s="174" customFormat="1" x14ac:dyDescent="0.2"/>
    <row r="689" spans="1:3" x14ac:dyDescent="0.2">
      <c r="A689" s="174"/>
      <c r="C689" s="174"/>
    </row>
    <row r="690" spans="1:3" x14ac:dyDescent="0.2">
      <c r="A690" s="174"/>
      <c r="C690" s="174"/>
    </row>
    <row r="691" spans="1:3" x14ac:dyDescent="0.2">
      <c r="A691" s="174"/>
      <c r="C691" s="174"/>
    </row>
    <row r="692" spans="1:3" x14ac:dyDescent="0.2">
      <c r="A692" s="174"/>
      <c r="C692" s="174"/>
    </row>
    <row r="693" spans="1:3" x14ac:dyDescent="0.2">
      <c r="A693" s="174"/>
      <c r="C693" s="174"/>
    </row>
    <row r="694" spans="1:3" x14ac:dyDescent="0.2">
      <c r="A694" s="174"/>
      <c r="C694" s="174"/>
    </row>
    <row r="695" spans="1:3" x14ac:dyDescent="0.2">
      <c r="A695" s="174"/>
      <c r="C695" s="174"/>
    </row>
    <row r="696" spans="1:3" x14ac:dyDescent="0.2">
      <c r="A696" s="174"/>
      <c r="C696" s="174"/>
    </row>
    <row r="697" spans="1:3" x14ac:dyDescent="0.2">
      <c r="A697" s="174"/>
      <c r="C697" s="174"/>
    </row>
    <row r="698" spans="1:3" x14ac:dyDescent="0.2">
      <c r="C698" s="174"/>
    </row>
    <row r="699" spans="1:3" x14ac:dyDescent="0.2">
      <c r="C699" s="174"/>
    </row>
    <row r="700" spans="1:3" x14ac:dyDescent="0.2">
      <c r="C700" s="174"/>
    </row>
    <row r="701" spans="1:3" x14ac:dyDescent="0.2">
      <c r="C701" s="174"/>
    </row>
    <row r="702" spans="1:3" x14ac:dyDescent="0.2">
      <c r="C702" s="174"/>
    </row>
    <row r="703" spans="1:3" x14ac:dyDescent="0.2">
      <c r="C703" s="174"/>
    </row>
  </sheetData>
  <sheetProtection selectLockedCells="1"/>
  <phoneticPr fontId="2" type="noConversion"/>
  <dataValidations disablePrompts="1" count="1">
    <dataValidation type="list" allowBlank="1" showInputMessage="1" showErrorMessage="1" sqref="F62:F78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indexed="17"/>
    <pageSetUpPr fitToPage="1"/>
  </sheetPr>
  <dimension ref="A1:IU420"/>
  <sheetViews>
    <sheetView windowProtection="1" showGridLines="0" tabSelected="1" topLeftCell="H52" zoomScaleNormal="100" workbookViewId="0">
      <selection activeCell="I58" sqref="I58"/>
    </sheetView>
  </sheetViews>
  <sheetFormatPr defaultColWidth="9" defaultRowHeight="12.75" x14ac:dyDescent="0.2"/>
  <cols>
    <col min="1" max="1" width="7.875" style="6" customWidth="1"/>
    <col min="2" max="2" width="18.25" style="6" customWidth="1"/>
    <col min="3" max="3" width="10.875" style="6" customWidth="1"/>
    <col min="4" max="4" width="14.375" style="6" customWidth="1"/>
    <col min="5" max="5" width="10.375" style="6" customWidth="1"/>
    <col min="6" max="6" width="9" style="6" bestFit="1" customWidth="1"/>
    <col min="7" max="7" width="14.5" style="7" bestFit="1" customWidth="1"/>
    <col min="8" max="8" width="10.5" style="7" customWidth="1"/>
    <col min="9" max="9" width="11.125" style="7" bestFit="1" customWidth="1"/>
    <col min="10" max="10" width="9.5" style="7" customWidth="1"/>
    <col min="11" max="11" width="10.625" style="7" customWidth="1"/>
    <col min="12" max="12" width="12" style="6" customWidth="1"/>
    <col min="13" max="13" width="11.5" style="6" customWidth="1"/>
    <col min="14" max="14" width="22.375" style="6" customWidth="1"/>
    <col min="15" max="15" width="13.875" style="6" customWidth="1"/>
    <col min="16" max="16" width="16.625" style="6" customWidth="1"/>
    <col min="17" max="17" width="14.875" style="6" customWidth="1"/>
    <col min="18" max="18" width="11" style="6" bestFit="1" customWidth="1"/>
    <col min="19" max="19" width="14.75" style="6" bestFit="1" customWidth="1"/>
    <col min="20" max="20" width="11" style="6" bestFit="1" customWidth="1"/>
    <col min="21" max="21" width="17.875" style="6" customWidth="1"/>
    <col min="22" max="24" width="11" style="6" bestFit="1" customWidth="1"/>
    <col min="25" max="25" width="11.5" style="6" bestFit="1" customWidth="1"/>
    <col min="26" max="26" width="13" style="6" bestFit="1" customWidth="1"/>
    <col min="27" max="27" width="13.25" style="6" customWidth="1"/>
    <col min="28" max="33" width="11" style="6" bestFit="1" customWidth="1"/>
    <col min="34" max="34" width="9" style="6" customWidth="1"/>
    <col min="35" max="35" width="13.375" style="6" customWidth="1"/>
    <col min="36" max="36" width="9.5" style="6" customWidth="1"/>
    <col min="37" max="37" width="8.375" style="6" customWidth="1"/>
    <col min="38" max="38" width="8" style="6" customWidth="1"/>
    <col min="39" max="39" width="8.25" style="6" bestFit="1" customWidth="1"/>
    <col min="40" max="40" width="9.75" style="6" customWidth="1"/>
    <col min="41" max="59" width="11" style="6" bestFit="1" customWidth="1"/>
    <col min="60" max="60" width="7.875" style="6" customWidth="1"/>
    <col min="61" max="61" width="8.5" style="6" customWidth="1"/>
    <col min="62" max="62" width="9.5" style="6" customWidth="1"/>
    <col min="63" max="63" width="13" style="6" customWidth="1"/>
    <col min="64" max="64" width="10.375" style="6" customWidth="1"/>
    <col min="65" max="65" width="13.75" style="6" customWidth="1"/>
    <col min="66" max="66" width="8.875" style="6" customWidth="1"/>
    <col min="67" max="67" width="9.75" style="6" customWidth="1"/>
    <col min="68" max="68" width="11" style="6" customWidth="1"/>
    <col min="69" max="69" width="11.125" style="6" customWidth="1"/>
    <col min="70" max="70" width="9.625" style="6" customWidth="1"/>
    <col min="71" max="71" width="10.625" style="6" customWidth="1"/>
    <col min="72" max="72" width="10" style="6" customWidth="1"/>
    <col min="73" max="100" width="9" style="6"/>
    <col min="101" max="101" width="11.5" style="6" customWidth="1"/>
    <col min="102" max="193" width="9" style="6"/>
    <col min="194" max="194" width="14.75" style="6" customWidth="1"/>
    <col min="195" max="16384" width="9" style="6"/>
  </cols>
  <sheetData>
    <row r="1" spans="1:34" x14ac:dyDescent="0.2">
      <c r="A1" s="6">
        <v>6</v>
      </c>
      <c r="B1" s="246"/>
      <c r="C1" s="246"/>
      <c r="D1" s="7"/>
      <c r="E1" s="246"/>
      <c r="F1" s="246"/>
      <c r="AF1" s="159"/>
      <c r="AH1" s="159"/>
    </row>
    <row r="14" spans="1:34" s="161" customFormat="1" x14ac:dyDescent="0.2"/>
    <row r="24" spans="1:255" s="161" customFormat="1" x14ac:dyDescent="0.2"/>
    <row r="28" spans="1:255" x14ac:dyDescent="0.2">
      <c r="A28" s="243" t="s">
        <v>31</v>
      </c>
      <c r="B28" s="244"/>
      <c r="C28" s="245"/>
      <c r="D28" s="10" t="s">
        <v>33</v>
      </c>
      <c r="E28" s="10" t="s">
        <v>34</v>
      </c>
      <c r="F28" s="10" t="s">
        <v>35</v>
      </c>
      <c r="G28" s="56"/>
      <c r="H28" s="56"/>
      <c r="I28" s="56"/>
      <c r="J28" s="56"/>
      <c r="K28" s="56"/>
      <c r="L28" s="57"/>
      <c r="M28" s="58"/>
      <c r="N28" s="30" t="s">
        <v>23</v>
      </c>
      <c r="O28" s="31"/>
      <c r="BD28" s="7">
        <v>1</v>
      </c>
      <c r="BE28" s="7">
        <v>2</v>
      </c>
      <c r="BF28" s="7">
        <v>3</v>
      </c>
      <c r="BG28" s="7">
        <v>4</v>
      </c>
      <c r="BH28" s="7">
        <v>5</v>
      </c>
      <c r="BI28" s="7">
        <v>6</v>
      </c>
      <c r="BJ28" s="7">
        <v>7</v>
      </c>
      <c r="BK28" s="7">
        <v>8</v>
      </c>
      <c r="BL28" s="7">
        <v>9</v>
      </c>
      <c r="BM28" s="7">
        <v>10</v>
      </c>
      <c r="BN28" s="7">
        <v>11</v>
      </c>
      <c r="BO28" s="7">
        <v>12</v>
      </c>
      <c r="BP28" s="7">
        <v>13</v>
      </c>
      <c r="BQ28" s="7">
        <v>14</v>
      </c>
      <c r="BR28" s="7">
        <v>15</v>
      </c>
      <c r="BS28" s="7">
        <v>16</v>
      </c>
      <c r="BT28" s="7">
        <v>17</v>
      </c>
      <c r="BU28" s="7">
        <v>18</v>
      </c>
      <c r="BV28" s="7">
        <v>19</v>
      </c>
      <c r="BW28" s="7">
        <v>20</v>
      </c>
      <c r="BX28" s="7">
        <v>21</v>
      </c>
      <c r="BY28" s="7">
        <v>22</v>
      </c>
      <c r="BZ28" s="7">
        <v>23</v>
      </c>
      <c r="CA28" s="7">
        <v>24</v>
      </c>
      <c r="CB28" s="7">
        <v>25</v>
      </c>
      <c r="CC28" s="7">
        <v>26</v>
      </c>
      <c r="CD28" s="7">
        <v>27</v>
      </c>
      <c r="CE28" s="7">
        <v>28</v>
      </c>
      <c r="CF28" s="7">
        <v>29</v>
      </c>
      <c r="CG28" s="7">
        <v>30</v>
      </c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O28" s="7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  <c r="EC28" s="7"/>
      <c r="ED28" s="7"/>
      <c r="EE28" s="7"/>
      <c r="EF28" s="7"/>
      <c r="EG28" s="7"/>
      <c r="EH28" s="7"/>
      <c r="EI28" s="7"/>
      <c r="EJ28" s="7"/>
      <c r="EK28" s="7"/>
      <c r="EL28" s="7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  <c r="FH28" s="7"/>
      <c r="FI28" s="7"/>
      <c r="FJ28" s="7"/>
      <c r="FK28" s="7"/>
      <c r="FL28" s="7"/>
      <c r="FM28" s="7"/>
      <c r="FN28" s="7"/>
      <c r="FO28" s="7"/>
      <c r="FP28" s="7"/>
      <c r="FQ28" s="7"/>
      <c r="FR28" s="7"/>
      <c r="FS28" s="7"/>
      <c r="FT28" s="7"/>
      <c r="FU28" s="7"/>
      <c r="FV28" s="7"/>
      <c r="FW28" s="7"/>
      <c r="FX28" s="7"/>
      <c r="FY28" s="7"/>
      <c r="FZ28" s="7"/>
      <c r="GA28" s="7"/>
      <c r="GB28" s="7"/>
      <c r="GC28" s="7"/>
      <c r="GD28" s="7"/>
      <c r="GE28" s="7"/>
      <c r="GF28" s="7"/>
      <c r="GG28" s="7"/>
      <c r="GH28" s="7"/>
      <c r="GI28" s="7"/>
      <c r="GJ28" s="7"/>
      <c r="GK28" s="7"/>
      <c r="GL28" s="7"/>
      <c r="GM28" s="7"/>
      <c r="GN28" s="7"/>
      <c r="GO28" s="7"/>
      <c r="GP28" s="7"/>
      <c r="GQ28" s="7"/>
      <c r="GR28" s="7"/>
      <c r="GS28" s="7"/>
      <c r="GT28" s="7"/>
      <c r="GU28" s="7"/>
      <c r="GV28" s="7"/>
      <c r="GW28" s="7"/>
      <c r="GX28" s="7"/>
      <c r="GY28" s="7"/>
      <c r="GZ28" s="7"/>
      <c r="HA28" s="7"/>
      <c r="HB28" s="7"/>
      <c r="HC28" s="7"/>
      <c r="HD28" s="7"/>
      <c r="HE28" s="7"/>
      <c r="HF28" s="7"/>
      <c r="HG28" s="7"/>
      <c r="HH28" s="7"/>
      <c r="HI28" s="7"/>
      <c r="HJ28" s="7"/>
      <c r="HK28" s="7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  <c r="IG28" s="7"/>
      <c r="IH28" s="7"/>
      <c r="II28" s="7"/>
      <c r="IJ28" s="7"/>
      <c r="IK28" s="7"/>
      <c r="IL28" s="7"/>
      <c r="IM28" s="7"/>
      <c r="IN28" s="7"/>
      <c r="IO28" s="7"/>
      <c r="IP28" s="7"/>
      <c r="IQ28" s="7"/>
      <c r="IR28" s="7"/>
      <c r="IS28" s="7"/>
      <c r="IT28" s="7"/>
      <c r="IU28" s="7"/>
    </row>
    <row r="29" spans="1:255" x14ac:dyDescent="0.2">
      <c r="A29" s="59"/>
      <c r="B29" s="60" t="str">
        <f>VLOOKUP(A28,A235:G235,A83,0)</f>
        <v xml:space="preserve"> 1-Agroecological</v>
      </c>
      <c r="C29" s="61"/>
      <c r="D29" s="62">
        <f ca="1">IFERROR(D103,0)</f>
        <v>0.59474106866173582</v>
      </c>
      <c r="E29" s="62">
        <f ca="1">IFERROR(D100,0)</f>
        <v>0.24404323527322544</v>
      </c>
      <c r="F29" s="62">
        <f ca="1">IFERROR(E103,0)</f>
        <v>0.16121569606503869</v>
      </c>
      <c r="G29" s="63" t="s">
        <v>36</v>
      </c>
      <c r="H29" s="64"/>
      <c r="I29" s="64"/>
      <c r="J29" s="64"/>
      <c r="K29" s="64"/>
      <c r="L29" s="64"/>
      <c r="M29" s="65"/>
      <c r="N29" s="32" t="s">
        <v>25</v>
      </c>
      <c r="O29" s="32" t="s">
        <v>26</v>
      </c>
      <c r="AN29" s="6" t="s">
        <v>32</v>
      </c>
      <c r="AP29" s="48">
        <f>IF(DIAG!H239,$B$265,-1)</f>
        <v>-1</v>
      </c>
      <c r="AQ29" s="49">
        <f>AP29+(AY29-AP29)/9</f>
        <v>-1</v>
      </c>
      <c r="AR29" s="49">
        <f>AQ29+(AY29-AQ29)/8</f>
        <v>-1</v>
      </c>
      <c r="AS29" s="49">
        <f>AR29+(AY29-AR29)/7</f>
        <v>-1</v>
      </c>
      <c r="AT29" s="49">
        <f>AS29+(AY29-AS29)/6</f>
        <v>-1</v>
      </c>
      <c r="AU29" s="49">
        <f>AT29+(AY29-AT29)/5</f>
        <v>-1</v>
      </c>
      <c r="AV29" s="49">
        <f>AU29+(AY29-AU29)/4</f>
        <v>-1</v>
      </c>
      <c r="AW29" s="49">
        <f>AV29+(AY29-AV29)/3</f>
        <v>-1</v>
      </c>
      <c r="AX29" s="49">
        <f>AW29+(AY29-AW29)/2</f>
        <v>-1</v>
      </c>
      <c r="AY29" s="50">
        <f>IF(DIAG!H239,$B$236,-1)</f>
        <v>-1</v>
      </c>
      <c r="BA29" s="8" t="s">
        <v>80</v>
      </c>
      <c r="BB29" s="6">
        <f>DIAG!W1</f>
        <v>6</v>
      </c>
    </row>
    <row r="30" spans="1:255" x14ac:dyDescent="0.2">
      <c r="A30" s="66"/>
      <c r="B30" s="67"/>
      <c r="C30" s="68"/>
      <c r="D30" s="62">
        <f ca="1">IFERROR(N103,0)</f>
        <v>0.8980280668118219</v>
      </c>
      <c r="E30" s="62">
        <f ca="1">IFERROR(M100,0)</f>
        <v>5.382249436335769E-2</v>
      </c>
      <c r="F30" s="62">
        <f ca="1">IFERROR(M103,0)</f>
        <v>0.92251900361162864</v>
      </c>
      <c r="G30" s="63" t="s">
        <v>38</v>
      </c>
      <c r="H30" s="64"/>
      <c r="I30" s="64"/>
      <c r="J30" s="64"/>
      <c r="K30" s="64"/>
      <c r="L30" s="64"/>
      <c r="M30" s="65"/>
      <c r="N30" s="35">
        <v>5</v>
      </c>
      <c r="O30" s="36">
        <v>2</v>
      </c>
      <c r="AP30" s="53">
        <f>IF(DIAG!H239,$B$266,-1)</f>
        <v>-1</v>
      </c>
      <c r="AQ30" s="54">
        <f>AP30+(AY30-AP30)/9</f>
        <v>-1</v>
      </c>
      <c r="AR30" s="54">
        <f>AQ30+(AY30-AQ30)/8</f>
        <v>-1</v>
      </c>
      <c r="AS30" s="54">
        <f>AR30+(AY30-AR30)/7</f>
        <v>-1</v>
      </c>
      <c r="AT30" s="54">
        <f>AS30+(AY30-AS30)/6</f>
        <v>-1</v>
      </c>
      <c r="AU30" s="54">
        <f>AT30+(AY30-AT30)/5</f>
        <v>-1</v>
      </c>
      <c r="AV30" s="54">
        <f>AU30+(AY30-AU30)/4</f>
        <v>-1</v>
      </c>
      <c r="AW30" s="54">
        <f>AV30+(AY30-AV30)/3</f>
        <v>-1</v>
      </c>
      <c r="AX30" s="54">
        <f>AW30+(AY30-AW30)/2</f>
        <v>-1</v>
      </c>
      <c r="AY30" s="55">
        <f>IF(DIAG!H239,$B$237,-1)</f>
        <v>-1</v>
      </c>
      <c r="BA30" s="8" t="s">
        <v>78</v>
      </c>
      <c r="BB30" s="11">
        <f ca="1">IF(BB29=0,0,MAX(OFFSET(BC29,1,1,1,BB29)))</f>
        <v>118.28</v>
      </c>
      <c r="BD30" s="11">
        <f t="shared" ref="BD30:CG30" si="0">B219</f>
        <v>53.709999999999994</v>
      </c>
      <c r="BE30" s="11">
        <f t="shared" si="0"/>
        <v>59.370000000000005</v>
      </c>
      <c r="BF30" s="11">
        <f t="shared" si="0"/>
        <v>80.28</v>
      </c>
      <c r="BG30" s="11">
        <f t="shared" si="0"/>
        <v>84.25</v>
      </c>
      <c r="BH30" s="11">
        <f t="shared" si="0"/>
        <v>54.019999999999996</v>
      </c>
      <c r="BI30" s="11">
        <f t="shared" si="0"/>
        <v>118.28</v>
      </c>
      <c r="BJ30" s="11">
        <f t="shared" si="0"/>
        <v>0</v>
      </c>
      <c r="BK30" s="11">
        <f t="shared" si="0"/>
        <v>0</v>
      </c>
      <c r="BL30" s="11">
        <f t="shared" si="0"/>
        <v>0</v>
      </c>
      <c r="BM30" s="11">
        <f t="shared" si="0"/>
        <v>0</v>
      </c>
      <c r="BN30" s="11">
        <f t="shared" si="0"/>
        <v>0</v>
      </c>
      <c r="BO30" s="11">
        <f t="shared" si="0"/>
        <v>0</v>
      </c>
      <c r="BP30" s="11">
        <f t="shared" si="0"/>
        <v>0</v>
      </c>
      <c r="BQ30" s="11">
        <f t="shared" si="0"/>
        <v>0</v>
      </c>
      <c r="BR30" s="11">
        <f t="shared" si="0"/>
        <v>0</v>
      </c>
      <c r="BS30" s="11">
        <f t="shared" si="0"/>
        <v>0</v>
      </c>
      <c r="BT30" s="11">
        <f t="shared" si="0"/>
        <v>0</v>
      </c>
      <c r="BU30" s="11">
        <f t="shared" si="0"/>
        <v>0</v>
      </c>
      <c r="BV30" s="11">
        <f t="shared" si="0"/>
        <v>0</v>
      </c>
      <c r="BW30" s="11">
        <f t="shared" si="0"/>
        <v>0</v>
      </c>
      <c r="BX30" s="11">
        <f t="shared" si="0"/>
        <v>0</v>
      </c>
      <c r="BY30" s="11">
        <f t="shared" si="0"/>
        <v>0</v>
      </c>
      <c r="BZ30" s="11">
        <f t="shared" si="0"/>
        <v>0</v>
      </c>
      <c r="CA30" s="11">
        <f t="shared" si="0"/>
        <v>0</v>
      </c>
      <c r="CB30" s="11">
        <f t="shared" si="0"/>
        <v>0</v>
      </c>
      <c r="CC30" s="11">
        <f t="shared" si="0"/>
        <v>0</v>
      </c>
      <c r="CD30" s="11">
        <f t="shared" si="0"/>
        <v>0</v>
      </c>
      <c r="CE30" s="11">
        <f t="shared" si="0"/>
        <v>0</v>
      </c>
      <c r="CF30" s="11">
        <f t="shared" si="0"/>
        <v>0</v>
      </c>
      <c r="CG30" s="11">
        <f t="shared" si="0"/>
        <v>0</v>
      </c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V30" s="11"/>
      <c r="DW30" s="11"/>
      <c r="DX30" s="11"/>
      <c r="DY30" s="11"/>
      <c r="DZ30" s="11"/>
      <c r="EA30" s="11"/>
      <c r="EB30" s="11"/>
      <c r="EC30" s="11"/>
      <c r="ED30" s="11"/>
      <c r="EE30" s="11"/>
      <c r="EF30" s="11"/>
      <c r="EG30" s="11"/>
      <c r="EH30" s="11"/>
      <c r="EI30" s="11"/>
      <c r="EJ30" s="11"/>
      <c r="EK30" s="11"/>
      <c r="EL30" s="11"/>
      <c r="EM30" s="11"/>
      <c r="EN30" s="11"/>
      <c r="EO30" s="11"/>
      <c r="EP30" s="11"/>
      <c r="EQ30" s="11"/>
      <c r="ER30" s="11"/>
      <c r="ES30" s="11"/>
      <c r="ET30" s="11"/>
      <c r="EU30" s="11"/>
      <c r="EV30" s="11"/>
      <c r="EW30" s="11"/>
      <c r="EX30" s="11"/>
      <c r="EY30" s="11"/>
      <c r="EZ30" s="11"/>
      <c r="FA30" s="11"/>
      <c r="FB30" s="11"/>
      <c r="FC30" s="11"/>
      <c r="FD30" s="11"/>
      <c r="FE30" s="11"/>
      <c r="FF30" s="11"/>
      <c r="FG30" s="11"/>
      <c r="FH30" s="11"/>
      <c r="FI30" s="11"/>
      <c r="FJ30" s="11"/>
      <c r="FK30" s="11"/>
      <c r="FL30" s="11"/>
      <c r="FM30" s="11"/>
      <c r="FN30" s="11"/>
      <c r="FO30" s="11"/>
      <c r="FP30" s="11"/>
      <c r="FQ30" s="11"/>
      <c r="FR30" s="11"/>
      <c r="FS30" s="11"/>
      <c r="FT30" s="11"/>
      <c r="FU30" s="11"/>
      <c r="FV30" s="11"/>
      <c r="FW30" s="11"/>
      <c r="FX30" s="11"/>
      <c r="FY30" s="11"/>
      <c r="FZ30" s="11"/>
      <c r="GA30" s="11"/>
      <c r="GB30" s="11"/>
      <c r="GC30" s="11"/>
      <c r="GD30" s="11"/>
      <c r="GE30" s="11"/>
      <c r="GF30" s="11"/>
      <c r="GG30" s="11"/>
      <c r="GH30" s="11"/>
      <c r="GI30" s="11"/>
      <c r="GJ30" s="11"/>
      <c r="GK30" s="11"/>
      <c r="GL30" s="11"/>
      <c r="GM30" s="11"/>
      <c r="GN30" s="11"/>
      <c r="GO30" s="11"/>
      <c r="GP30" s="11"/>
      <c r="GQ30" s="11"/>
      <c r="GR30" s="11"/>
      <c r="GS30" s="11"/>
      <c r="GT30" s="11"/>
      <c r="GU30" s="11"/>
      <c r="GV30" s="11"/>
      <c r="GW30" s="11"/>
      <c r="GX30" s="11"/>
      <c r="GY30" s="11"/>
      <c r="GZ30" s="11"/>
      <c r="HA30" s="11"/>
      <c r="HB30" s="11"/>
      <c r="HC30" s="11"/>
      <c r="HD30" s="11"/>
      <c r="HE30" s="11"/>
      <c r="HF30" s="11"/>
      <c r="HG30" s="11"/>
      <c r="HH30" s="11"/>
      <c r="HI30" s="11"/>
      <c r="HJ30" s="11"/>
      <c r="HK30" s="11"/>
      <c r="HL30" s="11"/>
      <c r="HM30" s="11"/>
      <c r="HN30" s="11"/>
      <c r="HO30" s="11"/>
      <c r="HP30" s="11"/>
      <c r="HQ30" s="11"/>
      <c r="HR30" s="11"/>
      <c r="HS30" s="11"/>
      <c r="HT30" s="11"/>
      <c r="HU30" s="11"/>
      <c r="HV30" s="11"/>
      <c r="HW30" s="11"/>
      <c r="HX30" s="11"/>
      <c r="HY30" s="11"/>
      <c r="HZ30" s="11"/>
      <c r="IA30" s="11"/>
      <c r="IB30" s="11"/>
      <c r="IC30" s="11"/>
      <c r="ID30" s="11"/>
      <c r="IE30" s="11"/>
      <c r="IF30" s="11"/>
      <c r="IG30" s="11"/>
      <c r="IH30" s="11"/>
      <c r="II30" s="11"/>
      <c r="IJ30" s="11"/>
      <c r="IK30" s="11"/>
      <c r="IL30" s="11"/>
      <c r="IM30" s="11"/>
      <c r="IN30" s="11"/>
      <c r="IO30" s="11"/>
      <c r="IP30" s="11"/>
      <c r="IQ30" s="11"/>
      <c r="IR30" s="11"/>
      <c r="IS30" s="11"/>
      <c r="IT30" s="11"/>
      <c r="IU30" s="11"/>
    </row>
    <row r="31" spans="1:255" x14ac:dyDescent="0.2">
      <c r="A31" s="69"/>
      <c r="B31" s="70"/>
      <c r="D31" s="71"/>
      <c r="E31" s="71"/>
      <c r="F31" s="71"/>
      <c r="G31" s="72"/>
      <c r="H31" s="72"/>
      <c r="I31" s="72"/>
      <c r="J31" s="72"/>
      <c r="K31" s="72"/>
      <c r="N31" s="39">
        <v>0.25</v>
      </c>
      <c r="O31" s="40">
        <v>1</v>
      </c>
      <c r="S31" s="26"/>
      <c r="T31" s="26"/>
      <c r="U31" s="26"/>
      <c r="V31" s="26"/>
      <c r="W31" s="26"/>
      <c r="X31" s="26"/>
      <c r="Y31" s="26"/>
      <c r="Z31" s="26"/>
      <c r="AA31" s="26"/>
      <c r="AB31" s="26"/>
      <c r="AO31" s="26"/>
      <c r="AP31" s="26"/>
      <c r="AQ31" s="26"/>
      <c r="AR31" s="26"/>
      <c r="AS31" s="26"/>
      <c r="AT31" s="26"/>
      <c r="AU31" s="26"/>
      <c r="BA31" s="8" t="s">
        <v>79</v>
      </c>
      <c r="BB31" s="11">
        <f ca="1">IF(BB29=0,0,MIN(OFFSET(BC29,1,1,1,BB29)))</f>
        <v>53.709999999999994</v>
      </c>
      <c r="BD31" s="6">
        <f ca="1">IF(BD30=0,0,LOG(BD30/$BB$31,10))</f>
        <v>0</v>
      </c>
      <c r="BE31" s="6">
        <f t="shared" ref="BE31:CG31" ca="1" si="1">IF(BE30=0,0,LOG(BE30/$BB$31,10))</f>
        <v>4.3511896550559065E-2</v>
      </c>
      <c r="BF31" s="6">
        <f t="shared" ca="1" si="1"/>
        <v>0.1745522114399482</v>
      </c>
      <c r="BG31" s="6">
        <f t="shared" ca="1" si="1"/>
        <v>0.1955147571678765</v>
      </c>
      <c r="BH31" s="6">
        <f t="shared" ca="1" si="1"/>
        <v>2.4994274759323641E-3</v>
      </c>
      <c r="BI31" s="6">
        <f t="shared" ca="1" si="1"/>
        <v>0.34285616347858028</v>
      </c>
      <c r="BJ31" s="6">
        <f t="shared" si="1"/>
        <v>0</v>
      </c>
      <c r="BK31" s="6">
        <f t="shared" si="1"/>
        <v>0</v>
      </c>
      <c r="BL31" s="6">
        <f t="shared" si="1"/>
        <v>0</v>
      </c>
      <c r="BM31" s="6">
        <f t="shared" si="1"/>
        <v>0</v>
      </c>
      <c r="BN31" s="6">
        <f t="shared" si="1"/>
        <v>0</v>
      </c>
      <c r="BO31" s="6">
        <f t="shared" si="1"/>
        <v>0</v>
      </c>
      <c r="BP31" s="6">
        <f t="shared" si="1"/>
        <v>0</v>
      </c>
      <c r="BQ31" s="6">
        <f t="shared" si="1"/>
        <v>0</v>
      </c>
      <c r="BR31" s="6">
        <f t="shared" si="1"/>
        <v>0</v>
      </c>
      <c r="BS31" s="6">
        <f t="shared" si="1"/>
        <v>0</v>
      </c>
      <c r="BT31" s="6">
        <f t="shared" si="1"/>
        <v>0</v>
      </c>
      <c r="BU31" s="6">
        <f t="shared" si="1"/>
        <v>0</v>
      </c>
      <c r="BV31" s="6">
        <f t="shared" si="1"/>
        <v>0</v>
      </c>
      <c r="BW31" s="6">
        <f t="shared" si="1"/>
        <v>0</v>
      </c>
      <c r="BX31" s="6">
        <f t="shared" si="1"/>
        <v>0</v>
      </c>
      <c r="BY31" s="6">
        <f t="shared" si="1"/>
        <v>0</v>
      </c>
      <c r="BZ31" s="6">
        <f t="shared" si="1"/>
        <v>0</v>
      </c>
      <c r="CA31" s="6">
        <f t="shared" si="1"/>
        <v>0</v>
      </c>
      <c r="CB31" s="6">
        <f t="shared" si="1"/>
        <v>0</v>
      </c>
      <c r="CC31" s="6">
        <f t="shared" si="1"/>
        <v>0</v>
      </c>
      <c r="CD31" s="6">
        <f t="shared" si="1"/>
        <v>0</v>
      </c>
      <c r="CE31" s="6">
        <f t="shared" si="1"/>
        <v>0</v>
      </c>
      <c r="CF31" s="6">
        <f t="shared" si="1"/>
        <v>0</v>
      </c>
      <c r="CG31" s="6">
        <f t="shared" si="1"/>
        <v>0</v>
      </c>
    </row>
    <row r="32" spans="1:255" x14ac:dyDescent="0.2">
      <c r="A32" s="69"/>
      <c r="B32" s="70"/>
      <c r="D32" s="71"/>
      <c r="E32" s="71"/>
      <c r="F32" s="71"/>
      <c r="G32" s="72"/>
      <c r="H32" s="72"/>
      <c r="I32" s="72"/>
      <c r="J32" s="72"/>
      <c r="K32" s="72"/>
      <c r="N32" s="39">
        <v>2</v>
      </c>
      <c r="O32" s="40">
        <v>10</v>
      </c>
      <c r="S32" s="26"/>
      <c r="T32" s="26"/>
      <c r="U32" s="26"/>
      <c r="V32" s="26"/>
      <c r="W32" s="26"/>
      <c r="X32" s="26"/>
      <c r="Y32" s="26"/>
      <c r="Z32" s="26"/>
      <c r="AA32" s="26"/>
      <c r="AB32" s="26"/>
      <c r="AN32" s="6" t="s">
        <v>37</v>
      </c>
      <c r="AO32" s="26"/>
      <c r="AP32" s="48">
        <f>IF(DIAG!H240,$B$265,-1)</f>
        <v>-1</v>
      </c>
      <c r="AQ32" s="49">
        <f>AP32+(AY32-AP32)/9</f>
        <v>-1</v>
      </c>
      <c r="AR32" s="49">
        <f>AQ32+(AY32-AQ32)/8</f>
        <v>-1</v>
      </c>
      <c r="AS32" s="49">
        <f>AR32+(AY32-AR32)/7</f>
        <v>-1</v>
      </c>
      <c r="AT32" s="49">
        <f>AS32+(AY32-AS32)/6</f>
        <v>-1</v>
      </c>
      <c r="AU32" s="49">
        <f>AT32+(AY32-AT32)/5</f>
        <v>-1</v>
      </c>
      <c r="AV32" s="49">
        <f>AU32+(AY32-AU32)/4</f>
        <v>-1</v>
      </c>
      <c r="AW32" s="49">
        <f>AV32+(AY32-AV32)/3</f>
        <v>-1</v>
      </c>
      <c r="AX32" s="49">
        <f>AW32+(AY32-AW32)/2</f>
        <v>-1</v>
      </c>
      <c r="AY32" s="50">
        <f>IF(DIAG!H240,$C$236,-1)</f>
        <v>-1</v>
      </c>
      <c r="BB32" s="14"/>
    </row>
    <row r="33" spans="1:248" x14ac:dyDescent="0.2">
      <c r="B33" s="70"/>
      <c r="D33" s="71"/>
      <c r="E33" s="71"/>
      <c r="F33" s="71"/>
      <c r="G33" s="72"/>
      <c r="H33" s="72"/>
      <c r="I33" s="72"/>
      <c r="J33" s="72"/>
      <c r="K33" s="72"/>
      <c r="N33" s="42">
        <v>5</v>
      </c>
      <c r="O33" s="43">
        <v>1</v>
      </c>
      <c r="S33" s="26"/>
      <c r="T33" s="26"/>
      <c r="U33" s="26"/>
      <c r="V33" s="26"/>
      <c r="W33" s="26"/>
      <c r="X33" s="26"/>
      <c r="Y33" s="26"/>
      <c r="Z33" s="26"/>
      <c r="AA33" s="26"/>
      <c r="AB33" s="26"/>
      <c r="AO33" s="26"/>
      <c r="AP33" s="53">
        <f>IF(DIAG!H240,$B$266,-1)</f>
        <v>-1</v>
      </c>
      <c r="AQ33" s="54">
        <f>AP33+(AY33-AP33)/9</f>
        <v>-1</v>
      </c>
      <c r="AR33" s="54">
        <f>AQ33+(AY33-AQ33)/8</f>
        <v>-1</v>
      </c>
      <c r="AS33" s="54">
        <f>AR33+(AY33-AR33)/7</f>
        <v>-1</v>
      </c>
      <c r="AT33" s="54">
        <f>AS33+(AY33-AS33)/6</f>
        <v>-1</v>
      </c>
      <c r="AU33" s="54">
        <f>AT33+(AY33-AT33)/5</f>
        <v>-1</v>
      </c>
      <c r="AV33" s="54">
        <f>AU33+(AY33-AU33)/4</f>
        <v>-1</v>
      </c>
      <c r="AW33" s="54">
        <f>AV33+(AY33-AV33)/3</f>
        <v>-1</v>
      </c>
      <c r="AX33" s="54">
        <f>AW33+(AY33-AW33)/2</f>
        <v>-1</v>
      </c>
      <c r="AY33" s="55">
        <f>IF(DIAG!H240,$C$237,-1)</f>
        <v>-1</v>
      </c>
      <c r="BA33" s="6" t="s">
        <v>81</v>
      </c>
      <c r="BB33" s="11">
        <f ca="1">IF(OR(BB29=0,BB30=BB31),1,LOG(BB30/BB31,10))</f>
        <v>0.34285616347858028</v>
      </c>
      <c r="BD33" s="11">
        <f t="shared" ref="BD33:CG33" ca="1" si="2">BD31/$BB$33</f>
        <v>0</v>
      </c>
      <c r="BE33" s="6">
        <f t="shared" ca="1" si="2"/>
        <v>0.12691006079369327</v>
      </c>
      <c r="BF33" s="11">
        <f t="shared" ca="1" si="2"/>
        <v>0.50911207098907307</v>
      </c>
      <c r="BG33" s="6">
        <f t="shared" ca="1" si="2"/>
        <v>0.57025300401254464</v>
      </c>
      <c r="BH33" s="6">
        <f t="shared" ca="1" si="2"/>
        <v>7.2900176288897729E-3</v>
      </c>
      <c r="BI33" s="6">
        <f t="shared" ca="1" si="2"/>
        <v>1</v>
      </c>
      <c r="BJ33" s="6">
        <f t="shared" ca="1" si="2"/>
        <v>0</v>
      </c>
      <c r="BK33" s="6">
        <f t="shared" ca="1" si="2"/>
        <v>0</v>
      </c>
      <c r="BL33" s="6">
        <f t="shared" ca="1" si="2"/>
        <v>0</v>
      </c>
      <c r="BM33" s="6">
        <f t="shared" ca="1" si="2"/>
        <v>0</v>
      </c>
      <c r="BN33" s="11">
        <f t="shared" ca="1" si="2"/>
        <v>0</v>
      </c>
      <c r="BO33" s="6">
        <f t="shared" ca="1" si="2"/>
        <v>0</v>
      </c>
      <c r="BP33" s="11">
        <f t="shared" ca="1" si="2"/>
        <v>0</v>
      </c>
      <c r="BQ33" s="6">
        <f t="shared" ca="1" si="2"/>
        <v>0</v>
      </c>
      <c r="BR33" s="6">
        <f t="shared" ca="1" si="2"/>
        <v>0</v>
      </c>
      <c r="BS33" s="6">
        <f t="shared" ca="1" si="2"/>
        <v>0</v>
      </c>
      <c r="BT33" s="6">
        <f t="shared" ca="1" si="2"/>
        <v>0</v>
      </c>
      <c r="BU33" s="6">
        <f t="shared" ca="1" si="2"/>
        <v>0</v>
      </c>
      <c r="BV33" s="6">
        <f t="shared" ca="1" si="2"/>
        <v>0</v>
      </c>
      <c r="BW33" s="6">
        <f t="shared" ca="1" si="2"/>
        <v>0</v>
      </c>
      <c r="BX33" s="11">
        <f t="shared" ca="1" si="2"/>
        <v>0</v>
      </c>
      <c r="BY33" s="6">
        <f t="shared" ca="1" si="2"/>
        <v>0</v>
      </c>
      <c r="BZ33" s="11">
        <f t="shared" ca="1" si="2"/>
        <v>0</v>
      </c>
      <c r="CA33" s="6">
        <f t="shared" ca="1" si="2"/>
        <v>0</v>
      </c>
      <c r="CB33" s="6">
        <f t="shared" ca="1" si="2"/>
        <v>0</v>
      </c>
      <c r="CC33" s="6">
        <f t="shared" ca="1" si="2"/>
        <v>0</v>
      </c>
      <c r="CD33" s="6">
        <f t="shared" ca="1" si="2"/>
        <v>0</v>
      </c>
      <c r="CE33" s="6">
        <f t="shared" ca="1" si="2"/>
        <v>0</v>
      </c>
      <c r="CF33" s="6">
        <f t="shared" ca="1" si="2"/>
        <v>0</v>
      </c>
      <c r="CG33" s="6">
        <f t="shared" ca="1" si="2"/>
        <v>0</v>
      </c>
      <c r="CH33" s="11"/>
      <c r="CJ33" s="11"/>
      <c r="CR33" s="11"/>
      <c r="CT33" s="11"/>
      <c r="DB33" s="11"/>
      <c r="DD33" s="11"/>
      <c r="DL33" s="11"/>
      <c r="DN33" s="11"/>
      <c r="DV33" s="11"/>
      <c r="DX33" s="11"/>
      <c r="EF33" s="11"/>
      <c r="EH33" s="11"/>
      <c r="EP33" s="11"/>
      <c r="ER33" s="11"/>
      <c r="EZ33" s="11"/>
      <c r="FB33" s="11"/>
      <c r="FJ33" s="11"/>
      <c r="FL33" s="11"/>
      <c r="FT33" s="11"/>
      <c r="FV33" s="11"/>
      <c r="GD33" s="11"/>
      <c r="GF33" s="11"/>
      <c r="GN33" s="11"/>
      <c r="GP33" s="11"/>
      <c r="GX33" s="11"/>
      <c r="GZ33" s="11"/>
      <c r="HH33" s="11"/>
      <c r="HJ33" s="11"/>
      <c r="HR33" s="11"/>
      <c r="HT33" s="11"/>
      <c r="IB33" s="11"/>
      <c r="ID33" s="11"/>
      <c r="IL33" s="11"/>
      <c r="IN33" s="11"/>
    </row>
    <row r="34" spans="1:248" x14ac:dyDescent="0.2">
      <c r="A34" s="73" t="s">
        <v>40</v>
      </c>
      <c r="B34" s="74"/>
      <c r="C34" s="74"/>
      <c r="D34" s="74"/>
      <c r="E34" s="74"/>
      <c r="F34" s="75"/>
      <c r="G34" s="76"/>
      <c r="H34" s="76"/>
      <c r="I34" s="76"/>
      <c r="J34" s="76"/>
      <c r="K34" s="76"/>
      <c r="L34" s="77"/>
      <c r="M34" s="77"/>
      <c r="N34" s="77"/>
      <c r="O34" s="77">
        <v>0</v>
      </c>
      <c r="P34" s="2">
        <v>1</v>
      </c>
      <c r="Q34" s="2">
        <v>2</v>
      </c>
      <c r="R34" s="2">
        <v>3</v>
      </c>
      <c r="S34" s="2">
        <v>4</v>
      </c>
      <c r="T34" s="2">
        <v>5</v>
      </c>
      <c r="U34" s="2">
        <v>6</v>
      </c>
      <c r="V34" s="2">
        <v>7</v>
      </c>
      <c r="W34" s="2">
        <v>8</v>
      </c>
      <c r="X34" s="2">
        <v>9</v>
      </c>
      <c r="Y34" s="77">
        <v>10</v>
      </c>
      <c r="Z34" s="2">
        <v>9</v>
      </c>
      <c r="AA34" s="2">
        <v>8</v>
      </c>
      <c r="AB34" s="2">
        <v>7</v>
      </c>
      <c r="AC34" s="2">
        <v>6</v>
      </c>
      <c r="AD34" s="2">
        <v>5</v>
      </c>
      <c r="AE34" s="2">
        <v>4</v>
      </c>
      <c r="AF34" s="2">
        <v>3</v>
      </c>
      <c r="AG34" s="2">
        <v>2</v>
      </c>
      <c r="AH34" s="2">
        <v>1</v>
      </c>
      <c r="AI34" s="78">
        <v>0</v>
      </c>
      <c r="AO34" s="26"/>
      <c r="AS34" s="26"/>
      <c r="AT34" s="26"/>
      <c r="AU34" s="26"/>
    </row>
    <row r="35" spans="1:248" x14ac:dyDescent="0.2">
      <c r="A35" s="79" t="s">
        <v>41</v>
      </c>
      <c r="B35" s="80"/>
      <c r="C35" s="80"/>
      <c r="D35" s="80" t="s">
        <v>42</v>
      </c>
      <c r="E35" s="81">
        <f>-1/SQRT(3)</f>
        <v>-0.57735026918962584</v>
      </c>
      <c r="F35" s="81">
        <v>0</v>
      </c>
      <c r="G35" s="82">
        <f>1/SQRT(3)</f>
        <v>0.57735026918962584</v>
      </c>
      <c r="H35" s="82"/>
      <c r="I35" s="82"/>
      <c r="J35" s="82"/>
      <c r="K35" s="82"/>
      <c r="O35" s="26">
        <f>-1/SQRT(3)</f>
        <v>-0.57735026918962584</v>
      </c>
      <c r="P35" s="83">
        <f t="shared" ref="P35:X35" si="3">-1/SQRT(3)+P34*(1/SQRT(3)/10)</f>
        <v>-0.51961524227066325</v>
      </c>
      <c r="Q35" s="83">
        <f t="shared" si="3"/>
        <v>-0.46188021535170065</v>
      </c>
      <c r="R35" s="83">
        <f t="shared" si="3"/>
        <v>-0.40414518843273811</v>
      </c>
      <c r="S35" s="83">
        <f t="shared" si="3"/>
        <v>-0.34641016151377552</v>
      </c>
      <c r="T35" s="83">
        <f t="shared" si="3"/>
        <v>-0.28867513459481292</v>
      </c>
      <c r="U35" s="83">
        <f t="shared" si="3"/>
        <v>-0.23094010767585038</v>
      </c>
      <c r="V35" s="83">
        <f t="shared" si="3"/>
        <v>-0.17320508075688779</v>
      </c>
      <c r="W35" s="83">
        <f t="shared" si="3"/>
        <v>-0.11547005383792519</v>
      </c>
      <c r="X35" s="83">
        <f t="shared" si="3"/>
        <v>-5.7735026918962595E-2</v>
      </c>
      <c r="Y35" s="26">
        <f>-1/SQRT(3)+Y34*(1/SQRT(3)/10)</f>
        <v>0</v>
      </c>
      <c r="Z35" s="83">
        <f t="shared" ref="Z35:AH35" si="4">1/SQRT(3)-Z34*1/SQRT(3)/10</f>
        <v>5.7735026918962595E-2</v>
      </c>
      <c r="AA35" s="83">
        <f t="shared" si="4"/>
        <v>0.11547005383792519</v>
      </c>
      <c r="AB35" s="83">
        <f t="shared" si="4"/>
        <v>0.17320508075688779</v>
      </c>
      <c r="AC35" s="83">
        <f t="shared" si="4"/>
        <v>0.23094010767585038</v>
      </c>
      <c r="AD35" s="83">
        <f t="shared" si="4"/>
        <v>0.28867513459481292</v>
      </c>
      <c r="AE35" s="83">
        <f t="shared" si="4"/>
        <v>0.34641016151377552</v>
      </c>
      <c r="AF35" s="83">
        <f t="shared" si="4"/>
        <v>0.40414518843273811</v>
      </c>
      <c r="AG35" s="83">
        <f t="shared" si="4"/>
        <v>0.46188021535170065</v>
      </c>
      <c r="AH35" s="83">
        <f t="shared" si="4"/>
        <v>0.51961524227066325</v>
      </c>
      <c r="AI35" s="84">
        <f>1/SQRT(3)</f>
        <v>0.57735026918962584</v>
      </c>
      <c r="AN35" s="6" t="s">
        <v>39</v>
      </c>
      <c r="AO35" s="26"/>
      <c r="AP35" s="48">
        <f>IF(DIAG!H241,$B$265,-1)</f>
        <v>-1</v>
      </c>
      <c r="AQ35" s="49">
        <f>AP35+(AY35-AP35)/9</f>
        <v>-1</v>
      </c>
      <c r="AR35" s="49">
        <f>AQ35+(AY35-AQ35)/8</f>
        <v>-1</v>
      </c>
      <c r="AS35" s="49">
        <f>AR35+(AY35-AR35)/7</f>
        <v>-1</v>
      </c>
      <c r="AT35" s="49">
        <f>AS35+(AY35-AS35)/6</f>
        <v>-1</v>
      </c>
      <c r="AU35" s="49">
        <f>AT35+(AY35-AT35)/5</f>
        <v>-1</v>
      </c>
      <c r="AV35" s="49">
        <f>AU35+(AY35-AU35)/4</f>
        <v>-1</v>
      </c>
      <c r="AW35" s="49">
        <f>AV35+(AY35-AV35)/3</f>
        <v>-1</v>
      </c>
      <c r="AX35" s="49">
        <f>AW35+(AY35-AW35)/2</f>
        <v>-1</v>
      </c>
      <c r="AY35" s="50">
        <f>IF(DIAG!H241,$D$236,-1)</f>
        <v>-1</v>
      </c>
      <c r="BA35" s="6" t="s">
        <v>9</v>
      </c>
      <c r="BD35" s="6">
        <f ca="1">ROUND(10*BD33,0)</f>
        <v>0</v>
      </c>
      <c r="BE35" s="6">
        <f t="shared" ref="BE35:CG35" ca="1" si="5">ROUND(10*BE33,0)</f>
        <v>1</v>
      </c>
      <c r="BF35" s="6">
        <f ca="1">ROUND(10*BF33,0)</f>
        <v>5</v>
      </c>
      <c r="BG35" s="6">
        <f t="shared" ref="BG35" ca="1" si="6">ROUND(10*BG33,0)</f>
        <v>6</v>
      </c>
      <c r="BH35" s="6">
        <f t="shared" ca="1" si="5"/>
        <v>0</v>
      </c>
      <c r="BI35" s="6">
        <f t="shared" ca="1" si="5"/>
        <v>10</v>
      </c>
      <c r="BJ35" s="6">
        <f t="shared" ca="1" si="5"/>
        <v>0</v>
      </c>
      <c r="BK35" s="6">
        <f t="shared" ca="1" si="5"/>
        <v>0</v>
      </c>
      <c r="BL35" s="6">
        <f t="shared" ca="1" si="5"/>
        <v>0</v>
      </c>
      <c r="BM35" s="6">
        <f t="shared" ca="1" si="5"/>
        <v>0</v>
      </c>
      <c r="BN35" s="6">
        <f t="shared" ca="1" si="5"/>
        <v>0</v>
      </c>
      <c r="BO35" s="6">
        <f t="shared" ca="1" si="5"/>
        <v>0</v>
      </c>
      <c r="BP35" s="6">
        <f t="shared" ca="1" si="5"/>
        <v>0</v>
      </c>
      <c r="BQ35" s="6">
        <f t="shared" ca="1" si="5"/>
        <v>0</v>
      </c>
      <c r="BR35" s="6">
        <f t="shared" ca="1" si="5"/>
        <v>0</v>
      </c>
      <c r="BS35" s="6">
        <f t="shared" ca="1" si="5"/>
        <v>0</v>
      </c>
      <c r="BT35" s="6">
        <f t="shared" ca="1" si="5"/>
        <v>0</v>
      </c>
      <c r="BU35" s="6">
        <f t="shared" ca="1" si="5"/>
        <v>0</v>
      </c>
      <c r="BV35" s="6">
        <f t="shared" ca="1" si="5"/>
        <v>0</v>
      </c>
      <c r="BW35" s="6">
        <f t="shared" ca="1" si="5"/>
        <v>0</v>
      </c>
      <c r="BX35" s="6">
        <f t="shared" ca="1" si="5"/>
        <v>0</v>
      </c>
      <c r="BY35" s="6">
        <f t="shared" ca="1" si="5"/>
        <v>0</v>
      </c>
      <c r="BZ35" s="6">
        <f t="shared" ca="1" si="5"/>
        <v>0</v>
      </c>
      <c r="CA35" s="6">
        <f t="shared" ca="1" si="5"/>
        <v>0</v>
      </c>
      <c r="CB35" s="6">
        <f t="shared" ca="1" si="5"/>
        <v>0</v>
      </c>
      <c r="CC35" s="6">
        <f t="shared" ca="1" si="5"/>
        <v>0</v>
      </c>
      <c r="CD35" s="6">
        <f t="shared" ca="1" si="5"/>
        <v>0</v>
      </c>
      <c r="CE35" s="6">
        <f t="shared" ca="1" si="5"/>
        <v>0</v>
      </c>
      <c r="CF35" s="6">
        <f t="shared" ca="1" si="5"/>
        <v>0</v>
      </c>
      <c r="CG35" s="6">
        <f t="shared" ca="1" si="5"/>
        <v>0</v>
      </c>
    </row>
    <row r="36" spans="1:248" x14ac:dyDescent="0.2">
      <c r="A36" s="79" t="s">
        <v>44</v>
      </c>
      <c r="B36" s="80"/>
      <c r="C36" s="80"/>
      <c r="D36" s="80"/>
      <c r="E36" s="81">
        <v>0</v>
      </c>
      <c r="F36" s="81">
        <v>0</v>
      </c>
      <c r="G36" s="82">
        <v>0</v>
      </c>
      <c r="H36" s="82"/>
      <c r="I36" s="82"/>
      <c r="J36" s="82"/>
      <c r="K36" s="82"/>
      <c r="O36" s="26">
        <v>0</v>
      </c>
      <c r="P36" s="83">
        <v>0</v>
      </c>
      <c r="Q36" s="83">
        <v>0</v>
      </c>
      <c r="R36" s="83">
        <v>0</v>
      </c>
      <c r="S36" s="83">
        <v>0</v>
      </c>
      <c r="T36" s="83">
        <v>0</v>
      </c>
      <c r="U36" s="83">
        <v>0</v>
      </c>
      <c r="V36" s="83">
        <v>0</v>
      </c>
      <c r="W36" s="83">
        <v>0</v>
      </c>
      <c r="X36" s="83">
        <v>0</v>
      </c>
      <c r="Y36" s="26">
        <v>0</v>
      </c>
      <c r="Z36" s="83">
        <v>0</v>
      </c>
      <c r="AA36" s="83">
        <v>0</v>
      </c>
      <c r="AB36" s="83">
        <v>0</v>
      </c>
      <c r="AC36" s="83">
        <v>0</v>
      </c>
      <c r="AD36" s="83">
        <v>0</v>
      </c>
      <c r="AE36" s="83">
        <v>0</v>
      </c>
      <c r="AF36" s="83">
        <v>0</v>
      </c>
      <c r="AG36" s="83">
        <v>0</v>
      </c>
      <c r="AH36" s="83">
        <v>0</v>
      </c>
      <c r="AI36" s="84">
        <v>0</v>
      </c>
      <c r="AJ36" s="26"/>
      <c r="AK36" s="7"/>
      <c r="AL36" s="7"/>
      <c r="AM36" s="7"/>
      <c r="AO36" s="26"/>
      <c r="AP36" s="53">
        <f>IF(DIAG!H241,$B$266,-1)</f>
        <v>-1</v>
      </c>
      <c r="AQ36" s="54">
        <f>AP36+(AY36-AP36)/9</f>
        <v>-1</v>
      </c>
      <c r="AR36" s="54">
        <f>AQ36+(AY36-AQ36)/8</f>
        <v>-1</v>
      </c>
      <c r="AS36" s="54">
        <f>AR36+(AY36-AR36)/7</f>
        <v>-1</v>
      </c>
      <c r="AT36" s="54">
        <f>AS36+(AY36-AS36)/6</f>
        <v>-1</v>
      </c>
      <c r="AU36" s="54">
        <f>AT36+(AY36-AT36)/5</f>
        <v>-1</v>
      </c>
      <c r="AV36" s="54">
        <f>AU36+(AY36-AU36)/4</f>
        <v>-1</v>
      </c>
      <c r="AW36" s="54">
        <f>AV36+(AY36-AV36)/3</f>
        <v>-1</v>
      </c>
      <c r="AX36" s="54">
        <f>AW36+(AY36-AW36)/2</f>
        <v>-1</v>
      </c>
      <c r="AY36" s="55">
        <f>IF(DIAG!H241,$D$237,-1)</f>
        <v>-1</v>
      </c>
      <c r="CW36" s="13"/>
    </row>
    <row r="37" spans="1:248" x14ac:dyDescent="0.2">
      <c r="A37" s="85" t="s">
        <v>45</v>
      </c>
      <c r="B37" s="86"/>
      <c r="C37" s="86"/>
      <c r="D37" s="86"/>
      <c r="E37" s="87">
        <v>0</v>
      </c>
      <c r="F37" s="87">
        <v>1</v>
      </c>
      <c r="G37" s="88">
        <v>0</v>
      </c>
      <c r="H37" s="88"/>
      <c r="I37" s="88"/>
      <c r="J37" s="88"/>
      <c r="K37" s="88"/>
      <c r="L37" s="25"/>
      <c r="M37" s="25"/>
      <c r="N37" s="25"/>
      <c r="O37" s="25">
        <f>SQRT(3)*O35+1</f>
        <v>0</v>
      </c>
      <c r="P37" s="3">
        <f t="shared" ref="P37:X37" si="7">SQRT(3)*P35+1</f>
        <v>9.9999999999999978E-2</v>
      </c>
      <c r="Q37" s="3">
        <f t="shared" si="7"/>
        <v>0.19999999999999996</v>
      </c>
      <c r="R37" s="3">
        <f t="shared" si="7"/>
        <v>0.29999999999999993</v>
      </c>
      <c r="S37" s="3">
        <f t="shared" si="7"/>
        <v>0.39999999999999991</v>
      </c>
      <c r="T37" s="3">
        <f t="shared" si="7"/>
        <v>0.5</v>
      </c>
      <c r="U37" s="3">
        <f t="shared" si="7"/>
        <v>0.59999999999999987</v>
      </c>
      <c r="V37" s="3">
        <f t="shared" si="7"/>
        <v>0.7</v>
      </c>
      <c r="W37" s="3">
        <f t="shared" si="7"/>
        <v>0.79999999999999993</v>
      </c>
      <c r="X37" s="3">
        <f t="shared" si="7"/>
        <v>0.89999999999999991</v>
      </c>
      <c r="Y37" s="25">
        <f>SQRT(3)*Y35+1</f>
        <v>1</v>
      </c>
      <c r="Z37" s="3">
        <f t="shared" ref="Z37:AH37" si="8">1-SQRT(3)*Z35</f>
        <v>0.89999999999999991</v>
      </c>
      <c r="AA37" s="3">
        <f t="shared" si="8"/>
        <v>0.79999999999999993</v>
      </c>
      <c r="AB37" s="3">
        <f t="shared" si="8"/>
        <v>0.7</v>
      </c>
      <c r="AC37" s="3">
        <f t="shared" si="8"/>
        <v>0.59999999999999987</v>
      </c>
      <c r="AD37" s="3">
        <f t="shared" si="8"/>
        <v>0.5</v>
      </c>
      <c r="AE37" s="3">
        <f t="shared" si="8"/>
        <v>0.39999999999999991</v>
      </c>
      <c r="AF37" s="3">
        <f t="shared" si="8"/>
        <v>0.29999999999999993</v>
      </c>
      <c r="AG37" s="3">
        <f t="shared" si="8"/>
        <v>0.19999999999999996</v>
      </c>
      <c r="AH37" s="3">
        <f t="shared" si="8"/>
        <v>9.9999999999999978E-2</v>
      </c>
      <c r="AI37" s="89">
        <f>1-SQRT(3)*AI35</f>
        <v>0</v>
      </c>
      <c r="AK37" s="7"/>
      <c r="AL37" s="7"/>
      <c r="AM37" s="7"/>
      <c r="CW37" s="13"/>
    </row>
    <row r="38" spans="1:248" x14ac:dyDescent="0.2">
      <c r="A38" s="69"/>
      <c r="B38" s="70"/>
      <c r="D38" s="71"/>
      <c r="E38" s="71"/>
      <c r="F38" s="71"/>
      <c r="G38" s="72"/>
      <c r="H38" s="72"/>
      <c r="I38" s="72"/>
      <c r="J38" s="72"/>
      <c r="K38" s="72"/>
      <c r="S38" s="26"/>
      <c r="T38" s="26"/>
      <c r="U38" s="26"/>
      <c r="V38" s="26"/>
      <c r="W38" s="26"/>
      <c r="X38" s="26"/>
      <c r="Y38" s="26"/>
      <c r="Z38" s="26"/>
      <c r="AA38" s="26"/>
      <c r="AB38" s="26"/>
      <c r="AK38" s="7"/>
      <c r="AL38" s="7"/>
      <c r="AM38" s="7"/>
      <c r="AN38" s="6" t="s">
        <v>43</v>
      </c>
      <c r="AP38" s="48">
        <f>IF(DIAG!H242,$B$265,-1)</f>
        <v>-1</v>
      </c>
      <c r="AQ38" s="49">
        <f>AP38+(AY38-AP38)/9</f>
        <v>-1</v>
      </c>
      <c r="AR38" s="49">
        <f>AQ38+(AY38-AQ38)/8</f>
        <v>-1</v>
      </c>
      <c r="AS38" s="49">
        <f>AR38+(AY38-AR38)/7</f>
        <v>-1</v>
      </c>
      <c r="AT38" s="49">
        <f>AS38+(AY38-AS38)/6</f>
        <v>-1</v>
      </c>
      <c r="AU38" s="49">
        <f>AT38+(AY38-AT38)/5</f>
        <v>-1</v>
      </c>
      <c r="AV38" s="49">
        <f>AU38+(AY38-AU38)/4</f>
        <v>-1</v>
      </c>
      <c r="AW38" s="49">
        <f>AV38+(AY38-AV38)/3</f>
        <v>-1</v>
      </c>
      <c r="AX38" s="49">
        <f>AW38+(AY38-AW38)/2</f>
        <v>-1</v>
      </c>
      <c r="AY38" s="50">
        <f>IF(DIAG!H242,$E$236,-1)</f>
        <v>-1</v>
      </c>
      <c r="CW38" s="13"/>
    </row>
    <row r="39" spans="1:248" x14ac:dyDescent="0.2">
      <c r="A39" s="90" t="s">
        <v>47</v>
      </c>
      <c r="B39" s="91"/>
      <c r="C39" s="91"/>
      <c r="D39" s="92"/>
      <c r="E39" s="92"/>
      <c r="F39" s="92"/>
      <c r="G39" s="93"/>
      <c r="H39" s="93"/>
      <c r="I39" s="93"/>
      <c r="J39" s="93"/>
      <c r="K39" s="93"/>
      <c r="L39" s="77"/>
      <c r="M39" s="77"/>
      <c r="N39" s="75" t="s">
        <v>42</v>
      </c>
      <c r="O39" s="76">
        <v>0</v>
      </c>
      <c r="P39" s="94">
        <f>AI35</f>
        <v>0.57735026918962584</v>
      </c>
      <c r="Q39" s="95">
        <f>O35</f>
        <v>-0.57735026918962584</v>
      </c>
      <c r="S39" s="26"/>
      <c r="T39" s="26"/>
      <c r="U39" s="26"/>
      <c r="V39" s="26"/>
      <c r="W39" s="26"/>
      <c r="X39" s="26"/>
      <c r="Y39" s="26"/>
      <c r="Z39" s="26"/>
      <c r="AA39" s="26"/>
      <c r="AB39" s="26"/>
      <c r="AK39" s="7"/>
      <c r="AL39" s="7"/>
      <c r="AM39" s="7"/>
      <c r="AP39" s="53">
        <f>IF(DIAG!H242,$B$266,-1)</f>
        <v>-1</v>
      </c>
      <c r="AQ39" s="54">
        <f>AP39+(AY39-AP39)/9</f>
        <v>-1</v>
      </c>
      <c r="AR39" s="54">
        <f>AQ39+(AY39-AQ39)/8</f>
        <v>-1</v>
      </c>
      <c r="AS39" s="54">
        <f>AR39+(AY39-AR39)/7</f>
        <v>-1</v>
      </c>
      <c r="AT39" s="54">
        <f>AS39+(AY39-AS39)/6</f>
        <v>-1</v>
      </c>
      <c r="AU39" s="54">
        <f>AT39+(AY39-AT39)/5</f>
        <v>-1</v>
      </c>
      <c r="AV39" s="54">
        <f>AU39+(AY39-AU39)/4</f>
        <v>-1</v>
      </c>
      <c r="AW39" s="54">
        <f>AV39+(AY39-AV39)/3</f>
        <v>-1</v>
      </c>
      <c r="AX39" s="54">
        <f>AW39+(AY39-AW39)/2</f>
        <v>-1</v>
      </c>
      <c r="AY39" s="55">
        <f>IF(DIAG!H242,$E$237,-1)</f>
        <v>-1</v>
      </c>
      <c r="BF39" s="6" t="s">
        <v>89</v>
      </c>
      <c r="BG39" s="6" t="s">
        <v>89</v>
      </c>
      <c r="BH39" s="6" t="s">
        <v>89</v>
      </c>
      <c r="BK39" s="7" t="s">
        <v>97</v>
      </c>
      <c r="BL39" s="7" t="s">
        <v>98</v>
      </c>
      <c r="BM39" s="7" t="s">
        <v>99</v>
      </c>
      <c r="CW39" s="16"/>
    </row>
    <row r="40" spans="1:248" x14ac:dyDescent="0.2">
      <c r="A40" s="96"/>
      <c r="N40" s="80" t="s">
        <v>151</v>
      </c>
      <c r="O40" s="97">
        <v>1</v>
      </c>
      <c r="P40" s="97"/>
      <c r="Q40" s="98"/>
      <c r="BE40" s="6" t="s">
        <v>42</v>
      </c>
      <c r="BF40" s="22">
        <f t="shared" ref="BF40:BJ41" si="9">BF43*$BK$40+BF45*$BL$40+BF47*$BM$40</f>
        <v>-0.57999999999999996</v>
      </c>
      <c r="BG40" s="22">
        <f t="shared" si="9"/>
        <v>0.57999999999999996</v>
      </c>
      <c r="BH40" s="22">
        <f t="shared" si="9"/>
        <v>0.57999999999999996</v>
      </c>
      <c r="BI40" s="22">
        <f t="shared" si="9"/>
        <v>-0.57999999999999996</v>
      </c>
      <c r="BJ40" s="22">
        <f t="shared" si="9"/>
        <v>-0.57999999999999996</v>
      </c>
      <c r="BK40" s="23" t="b">
        <v>1</v>
      </c>
      <c r="BL40" s="23" t="b">
        <v>0</v>
      </c>
      <c r="BM40" s="23" t="b">
        <v>0</v>
      </c>
      <c r="CW40" s="19"/>
    </row>
    <row r="41" spans="1:248" x14ac:dyDescent="0.2">
      <c r="A41" s="96"/>
      <c r="N41" s="80" t="s">
        <v>152</v>
      </c>
      <c r="O41" s="97"/>
      <c r="P41" s="97">
        <v>0</v>
      </c>
      <c r="Q41" s="98"/>
      <c r="S41" s="6" t="s">
        <v>87</v>
      </c>
      <c r="Z41" s="6" t="s">
        <v>88</v>
      </c>
      <c r="AN41" s="6" t="s">
        <v>46</v>
      </c>
      <c r="AP41" s="48">
        <f>IF(DIAG!H243,$B$265,-1)</f>
        <v>-1</v>
      </c>
      <c r="AQ41" s="49">
        <f>AP41+(AY41-AP41)/9</f>
        <v>-1</v>
      </c>
      <c r="AR41" s="49">
        <f>AQ41+(AY41-AQ41)/8</f>
        <v>-1</v>
      </c>
      <c r="AS41" s="49">
        <f>AR41+(AY41-AR41)/7</f>
        <v>-1</v>
      </c>
      <c r="AT41" s="49">
        <f>AS41+(AY41-AS41)/6</f>
        <v>-1</v>
      </c>
      <c r="AU41" s="49">
        <f>AT41+(AY41-AT41)/5</f>
        <v>-1</v>
      </c>
      <c r="AV41" s="49">
        <f>AU41+(AY41-AU41)/4</f>
        <v>-1</v>
      </c>
      <c r="AW41" s="49">
        <f>AV41+(AY41-AV41)/3</f>
        <v>-1</v>
      </c>
      <c r="AX41" s="49">
        <f>AW41+(AY41-AW41)/2</f>
        <v>-1</v>
      </c>
      <c r="AY41" s="50">
        <f>IF(DIAG!H243,$F$236,-1)</f>
        <v>-1</v>
      </c>
      <c r="BE41" s="6" t="s">
        <v>51</v>
      </c>
      <c r="BF41" s="22">
        <f t="shared" si="9"/>
        <v>-0.1</v>
      </c>
      <c r="BG41" s="22">
        <f t="shared" si="9"/>
        <v>-0.1</v>
      </c>
      <c r="BH41" s="22">
        <f t="shared" si="9"/>
        <v>1.1000000000000001</v>
      </c>
      <c r="BI41" s="22">
        <f t="shared" si="9"/>
        <v>1.1000000000000001</v>
      </c>
      <c r="BJ41" s="22">
        <f t="shared" si="9"/>
        <v>-0.1</v>
      </c>
      <c r="CW41" s="20"/>
    </row>
    <row r="42" spans="1:248" x14ac:dyDescent="0.2">
      <c r="A42" s="99"/>
      <c r="B42" s="25"/>
      <c r="C42" s="25"/>
      <c r="D42" s="25"/>
      <c r="E42" s="25"/>
      <c r="F42" s="25"/>
      <c r="G42" s="100"/>
      <c r="H42" s="100"/>
      <c r="I42" s="100"/>
      <c r="J42" s="100"/>
      <c r="K42" s="100"/>
      <c r="L42" s="25"/>
      <c r="M42" s="25"/>
      <c r="N42" s="86" t="s">
        <v>5</v>
      </c>
      <c r="O42" s="101"/>
      <c r="P42" s="101"/>
      <c r="Q42" s="102">
        <v>0</v>
      </c>
      <c r="S42" s="103">
        <v>-0.57999999999999996</v>
      </c>
      <c r="T42" s="103">
        <v>0.57999999999999996</v>
      </c>
      <c r="Z42" s="6">
        <v>0</v>
      </c>
      <c r="AA42" s="6">
        <v>0</v>
      </c>
      <c r="AP42" s="53">
        <f>IF(DIAG!H243,$B$266,-1)</f>
        <v>-1</v>
      </c>
      <c r="AQ42" s="54">
        <f>AP42+(AY42-AP42)/9</f>
        <v>-1</v>
      </c>
      <c r="AR42" s="54">
        <f>AQ42+(AY42-AQ42)/8</f>
        <v>-1</v>
      </c>
      <c r="AS42" s="54">
        <f>AR42+(AY42-AR42)/7</f>
        <v>-1</v>
      </c>
      <c r="AT42" s="54">
        <f>AS42+(AY42-AS42)/6</f>
        <v>-1</v>
      </c>
      <c r="AU42" s="54">
        <f>AT42+(AY42-AT42)/5</f>
        <v>-1</v>
      </c>
      <c r="AV42" s="54">
        <f>AU42+(AY42-AU42)/4</f>
        <v>-1</v>
      </c>
      <c r="AW42" s="54">
        <f>AV42+(AY42-AV42)/3</f>
        <v>-1</v>
      </c>
      <c r="AX42" s="54">
        <f>AW42+(AY42-AW42)/2</f>
        <v>-1</v>
      </c>
      <c r="AY42" s="55">
        <f>IF(DIAG!H243,$F$237,-1)</f>
        <v>-1</v>
      </c>
      <c r="BK42" s="25"/>
      <c r="BL42" s="25" t="s">
        <v>96</v>
      </c>
      <c r="BM42" s="25"/>
      <c r="BN42" s="25"/>
      <c r="BO42" s="25"/>
      <c r="BU42" s="7"/>
      <c r="CW42" s="20"/>
    </row>
    <row r="43" spans="1:248" x14ac:dyDescent="0.2">
      <c r="A43" s="69"/>
      <c r="B43" s="70"/>
      <c r="D43" s="71"/>
      <c r="E43" s="71"/>
      <c r="F43" s="71"/>
      <c r="G43" s="72"/>
      <c r="H43" s="72"/>
      <c r="I43" s="72"/>
      <c r="J43" s="72"/>
      <c r="K43" s="72"/>
      <c r="S43" s="26">
        <f>IF(DIAG!$X$42,0.5,-1)</f>
        <v>-1</v>
      </c>
      <c r="T43" s="103">
        <f>S43</f>
        <v>-1</v>
      </c>
      <c r="U43" s="26"/>
      <c r="V43" s="26"/>
      <c r="W43" s="26"/>
      <c r="X43" s="26"/>
      <c r="Y43" s="26"/>
      <c r="Z43" s="103">
        <f>IF(DIAG!$X$42,-0.027,-1)</f>
        <v>-1</v>
      </c>
      <c r="AA43" s="103">
        <f>IF(DIAG!$X$42,1.02,-1)</f>
        <v>-1</v>
      </c>
      <c r="AB43" s="26"/>
      <c r="AC43" s="26"/>
      <c r="AD43" s="26"/>
      <c r="AE43" s="26"/>
      <c r="BE43" s="6" t="s">
        <v>91</v>
      </c>
      <c r="BF43" s="22">
        <v>-0.57999999999999996</v>
      </c>
      <c r="BG43" s="22">
        <v>0.57999999999999996</v>
      </c>
      <c r="BH43" s="22">
        <v>0.57999999999999996</v>
      </c>
      <c r="BI43" s="22">
        <v>-0.57999999999999996</v>
      </c>
      <c r="BJ43" s="22">
        <v>-0.57999999999999996</v>
      </c>
      <c r="BK43" s="22">
        <v>-0.57999999999999996</v>
      </c>
      <c r="BL43" s="22">
        <v>0.57999999999999996</v>
      </c>
      <c r="BM43" s="22">
        <v>0.57999999999999996</v>
      </c>
      <c r="BN43" s="22">
        <v>-0.57999999999999996</v>
      </c>
      <c r="BO43" s="22">
        <v>-0.57999999999999996</v>
      </c>
      <c r="CW43" s="20"/>
    </row>
    <row r="44" spans="1:248" x14ac:dyDescent="0.2">
      <c r="A44" s="69"/>
      <c r="B44" s="70"/>
      <c r="D44" s="71"/>
      <c r="E44" s="71"/>
      <c r="F44" s="71"/>
      <c r="G44" s="154"/>
      <c r="H44" s="154"/>
      <c r="I44" s="72" t="str">
        <f>CONCATENATE("texto1",CHAR(10),"texto2")</f>
        <v>texto1
texto2</v>
      </c>
      <c r="J44" s="72"/>
      <c r="K44" s="72"/>
      <c r="N44" s="25"/>
      <c r="S44" s="26"/>
      <c r="T44" s="26"/>
      <c r="U44" s="26"/>
      <c r="V44" s="26"/>
      <c r="W44" s="26"/>
      <c r="X44" s="26"/>
      <c r="Y44" s="26"/>
      <c r="Z44" s="26"/>
      <c r="AA44" s="26"/>
      <c r="AB44" s="26"/>
      <c r="AN44" s="6" t="s">
        <v>48</v>
      </c>
      <c r="AP44" s="48">
        <f>IF(DIAG!H244,$B$265,-1)</f>
        <v>-1</v>
      </c>
      <c r="AQ44" s="49">
        <f>AP44+(AY44-AP44)/9</f>
        <v>-1</v>
      </c>
      <c r="AR44" s="49">
        <f>AQ44+(AY44-AQ44)/8</f>
        <v>-1</v>
      </c>
      <c r="AS44" s="49">
        <f>AR44+(AY44-AR44)/7</f>
        <v>-1</v>
      </c>
      <c r="AT44" s="49">
        <f>AS44+(AY44-AS44)/6</f>
        <v>-1</v>
      </c>
      <c r="AU44" s="49">
        <f>AT44+(AY44-AT44)/5</f>
        <v>-1</v>
      </c>
      <c r="AV44" s="49">
        <f>AU44+(AY44-AU44)/4</f>
        <v>-1</v>
      </c>
      <c r="AW44" s="49">
        <f>AV44+(AY44-AV44)/3</f>
        <v>-1</v>
      </c>
      <c r="AX44" s="49">
        <f>AW44+(AY44-AW44)/2</f>
        <v>-1</v>
      </c>
      <c r="AY44" s="50">
        <f>IF(DIAG!H244,$G$236,-1)</f>
        <v>-1</v>
      </c>
      <c r="BE44" s="6" t="s">
        <v>92</v>
      </c>
      <c r="BF44" s="22">
        <v>-0.1</v>
      </c>
      <c r="BG44" s="22">
        <v>-0.1</v>
      </c>
      <c r="BH44" s="22">
        <v>1.1000000000000001</v>
      </c>
      <c r="BI44" s="22">
        <v>1.1000000000000001</v>
      </c>
      <c r="BJ44" s="22">
        <v>-0.1</v>
      </c>
      <c r="BK44" s="22">
        <v>-0.1</v>
      </c>
      <c r="BL44" s="22">
        <v>-0.1</v>
      </c>
      <c r="BM44" s="22">
        <v>1.1000000000000001</v>
      </c>
      <c r="BN44" s="22">
        <v>1.1000000000000001</v>
      </c>
      <c r="BO44" s="22">
        <v>-0.1</v>
      </c>
    </row>
    <row r="45" spans="1:248" x14ac:dyDescent="0.2">
      <c r="A45" s="104" t="s">
        <v>49</v>
      </c>
      <c r="B45" s="105"/>
      <c r="C45" s="105"/>
      <c r="D45" s="105"/>
      <c r="E45" s="105"/>
      <c r="F45" s="77" t="s">
        <v>5</v>
      </c>
      <c r="G45" s="106"/>
      <c r="H45" s="106"/>
      <c r="I45" s="106"/>
      <c r="J45" s="106"/>
      <c r="K45" s="106"/>
      <c r="L45" s="107">
        <f>DIAG!$T$46*2/100</f>
        <v>0.22</v>
      </c>
      <c r="M45" s="75"/>
      <c r="N45" s="80" t="str">
        <f>IFERROR((IF(DIAG!$T$43,CONCATENATE("N = ",TRUNC(L45/2,2)),"")),"N = 0")</f>
        <v/>
      </c>
      <c r="O45" s="75">
        <f>IF(DIAG!$T$43,IF(1-$L$45-SQRT(3)*(O35)&gt;1,1,1-$L$45-SQRT(3)*(O35)),-1)</f>
        <v>-1</v>
      </c>
      <c r="P45" s="75">
        <f>IF(DIAG!$T$43,IF(1-$L$45-SQRT(3)*(P35)&gt;1,1,1-$L$45-SQRT(3)*(P35)),-1)</f>
        <v>-1</v>
      </c>
      <c r="Q45" s="75">
        <f>IF(DIAG!$T$43,IF(1-$L$45-SQRT(3)*(Q35)&gt;1,1,1-$L$45-SQRT(3)*(Q35)),-1)</f>
        <v>-1</v>
      </c>
      <c r="R45" s="75">
        <f>IF(DIAG!$T$43,IF(1-$L$45-SQRT(3)*(R35)&gt;1,1,1-$L$45-SQRT(3)*(R35)),-1)</f>
        <v>-1</v>
      </c>
      <c r="S45" s="75">
        <f>IF(DIAG!$T$43,IF(1-$L$45-SQRT(3)*(S35)&gt;1,1,1-$L$45-SQRT(3)*(S35)),-1)</f>
        <v>-1</v>
      </c>
      <c r="T45" s="75">
        <f>IF(DIAG!$T$43,IF(1-$L$45-SQRT(3)*(T35)&gt;1,1,1-$L$45-SQRT(3)*(T35)),-1)</f>
        <v>-1</v>
      </c>
      <c r="U45" s="75">
        <f>IF(DIAG!$T$43,IF(1-$L$45-SQRT(3)*(U35)&gt;1,1,1-$L$45-SQRT(3)*(U35)),-1)</f>
        <v>-1</v>
      </c>
      <c r="V45" s="75">
        <f>IF(DIAG!$T$43,IF(1-$L$45-SQRT(3)*(V35)&gt;1,1,1-$L$45-SQRT(3)*(V35)),-1)</f>
        <v>-1</v>
      </c>
      <c r="W45" s="75">
        <f>IF(DIAG!$T$43,IF(1-$L$45-SQRT(3)*(W35)&gt;1,1,1-$L$45-SQRT(3)*(W35)),-1)</f>
        <v>-1</v>
      </c>
      <c r="X45" s="75">
        <f>IF(DIAG!$T$43,IF(1-$L$45-SQRT(3)*(X35)&gt;1,1,1-$L$45-SQRT(3)*(X35)),-1)</f>
        <v>-1</v>
      </c>
      <c r="Y45" s="75">
        <f>IF(DIAG!$T$43,IF(1-$L$45-SQRT(3)*(Y35)&gt;1,1,1-$L$45-SQRT(3)*(Y35)),-1)</f>
        <v>-1</v>
      </c>
      <c r="Z45" s="75">
        <f>IF(DIAG!$T$43,IF(1-$L$45-SQRT(3)*(Z35)&gt;1,1,1-$L$45-SQRT(3)*(Z35)),-1)</f>
        <v>-1</v>
      </c>
      <c r="AA45" s="75">
        <f>IF(DIAG!$T$43,IF(1-$L$45-SQRT(3)*(AA35)&gt;1,1,1-$L$45-SQRT(3)*(AA35)),-1)</f>
        <v>-1</v>
      </c>
      <c r="AB45" s="75">
        <f>IF(DIAG!$T$43,IF(1-$L$45-SQRT(3)*(AB35)&gt;1,1,1-$L$45-SQRT(3)*(AB35)),-1)</f>
        <v>-1</v>
      </c>
      <c r="AC45" s="75">
        <f>IF(DIAG!$T$43,IF(1-$L$45-SQRT(3)*(AC35)&gt;1,1,1-$L$45-SQRT(3)*(AC35)),-1)</f>
        <v>-1</v>
      </c>
      <c r="AD45" s="75">
        <f>IF(DIAG!$T$43,IF(1-$L$45-SQRT(3)*(AD35)&gt;1,1,1-$L$45-SQRT(3)*(AD35)),-1)</f>
        <v>-1</v>
      </c>
      <c r="AE45" s="75">
        <f>IF(DIAG!$T$43,IF(1-$L$45-SQRT(3)*(AE35)&gt;1,1,1-$L$45-SQRT(3)*(AE35)),-1)</f>
        <v>-1</v>
      </c>
      <c r="AF45" s="75">
        <f>IF(DIAG!$T$43,IF(1-$L$45-SQRT(3)*(AF35)&gt;1,1,1-$L$45-SQRT(3)*(AF35)),-1)</f>
        <v>-1</v>
      </c>
      <c r="AG45" s="75">
        <f>IF(DIAG!$T$43,IF(1-$L$45-SQRT(3)*(AG35)&gt;1,1,1-$L$45-SQRT(3)*(AG35)),-1)</f>
        <v>-1</v>
      </c>
      <c r="AH45" s="75">
        <f>IF(DIAG!$T$43,IF(1-$L$45-SQRT(3)*(AH35)&gt;1,1,1-$L$45-SQRT(3)*(AH35)),-1)</f>
        <v>-1</v>
      </c>
      <c r="AI45" s="75">
        <f>IF(DIAG!$T$43,IF(1-$L$45-SQRT(3)*(AI35)&gt;1,1,1-$L$45-SQRT(3)*(AI35)),-1)</f>
        <v>-1</v>
      </c>
      <c r="AP45" s="53">
        <f>IF(DIAG!H244,$B$266,-1)</f>
        <v>-1</v>
      </c>
      <c r="AQ45" s="54">
        <f>AP45+(AY45-AP45)/9</f>
        <v>-1</v>
      </c>
      <c r="AR45" s="54">
        <f>AQ45+(AY45-AQ45)/8</f>
        <v>-1</v>
      </c>
      <c r="AS45" s="54">
        <f>AR45+(AY45-AR45)/7</f>
        <v>-1</v>
      </c>
      <c r="AT45" s="54">
        <f>AS45+(AY45-AS45)/6</f>
        <v>-1</v>
      </c>
      <c r="AU45" s="54">
        <f>AT45+(AY45-AT45)/5</f>
        <v>-1</v>
      </c>
      <c r="AV45" s="54">
        <f>AU45+(AY45-AU45)/4</f>
        <v>-1</v>
      </c>
      <c r="AW45" s="54">
        <f>AV45+(AY45-AV45)/3</f>
        <v>-1</v>
      </c>
      <c r="AX45" s="54">
        <f>AW45+(AY45-AW45)/2</f>
        <v>-1</v>
      </c>
      <c r="AY45" s="55">
        <f>IF(DIAG!H244,$G$237,-1)</f>
        <v>-1</v>
      </c>
      <c r="BE45" s="6" t="s">
        <v>90</v>
      </c>
      <c r="BF45" s="22">
        <v>-7.2499999999999912E-2</v>
      </c>
      <c r="BG45" s="22">
        <v>0.50749999999999995</v>
      </c>
      <c r="BH45" s="22">
        <v>0.50749999999999995</v>
      </c>
      <c r="BI45" s="22">
        <v>-7.2499999999999912E-2</v>
      </c>
      <c r="BJ45" s="22">
        <v>-7.2499999999999912E-2</v>
      </c>
      <c r="BK45" s="22">
        <v>-0.57999999999999996</v>
      </c>
      <c r="BL45" s="22">
        <v>0</v>
      </c>
      <c r="BM45" s="22">
        <v>0</v>
      </c>
      <c r="BN45" s="22">
        <v>-0.57999999999999996</v>
      </c>
      <c r="BO45" s="22">
        <v>-0.57999999999999996</v>
      </c>
      <c r="CW45" s="29"/>
      <c r="GH45" s="159"/>
    </row>
    <row r="46" spans="1:248" x14ac:dyDescent="0.2">
      <c r="A46" s="96"/>
      <c r="F46" s="6" t="s">
        <v>6</v>
      </c>
      <c r="L46" s="108">
        <f>DIAG!$T$47*2/100</f>
        <v>0.18</v>
      </c>
      <c r="M46" s="80"/>
      <c r="N46" s="80" t="b">
        <f>IFERROR((IF(DIAG!$T$44,CONCATENATE("Mn+Sn = ",TRUNC(L46/2,2),CHAR(10),))),CONCATENATE("Mn+Sn = 0",CHAR(10),))</f>
        <v>0</v>
      </c>
      <c r="O46" s="80">
        <f>IF(DIAG!$T$44,IF(1-$L$46+SQRT(3)*(O35)&gt;1,1,1-$L$46+SQRT(3)*(O35)),-1)</f>
        <v>-1</v>
      </c>
      <c r="P46" s="80">
        <f>IF(DIAG!$T$44,IF(1-$L$46+SQRT(3)*(P35)&gt;1,1,1-$L$46+SQRT(3)*(P35)),-1)</f>
        <v>-1</v>
      </c>
      <c r="Q46" s="80">
        <f>IF(DIAG!$T$44,IF(1-$L$46+SQRT(3)*(Q35)&gt;1,1,1-$L$46+SQRT(3)*(Q35)),-1)</f>
        <v>-1</v>
      </c>
      <c r="R46" s="80">
        <f>IF(DIAG!$T$44,IF(1-$L$46+SQRT(3)*(R35)&gt;1,1,1-$L$46+SQRT(3)*(R35)),-1)</f>
        <v>-1</v>
      </c>
      <c r="S46" s="80">
        <f>IF(DIAG!$T$44,IF(1-$L$46+SQRT(3)*(S35)&gt;1,1,1-$L$46+SQRT(3)*(S35)),-1)</f>
        <v>-1</v>
      </c>
      <c r="T46" s="80">
        <f>IF(DIAG!$T$44,IF(1-$L$46+SQRT(3)*(T35)&gt;1,1,1-$L$46+SQRT(3)*(T35)),-1)</f>
        <v>-1</v>
      </c>
      <c r="U46" s="80">
        <f>IF(DIAG!$T$44,IF(1-$L$46+SQRT(3)*(U35)&gt;1,1,1-$L$46+SQRT(3)*(U35)),-1)</f>
        <v>-1</v>
      </c>
      <c r="V46" s="80">
        <f>IF(DIAG!$T$44,IF(1-$L$46+SQRT(3)*(V35)&gt;1,1,1-$L$46+SQRT(3)*(V35)),-1)</f>
        <v>-1</v>
      </c>
      <c r="W46" s="80">
        <f>IF(DIAG!$T$44,IF(1-$L$46+SQRT(3)*(W35)&gt;1,1,1-$L$46+SQRT(3)*(W35)),-1)</f>
        <v>-1</v>
      </c>
      <c r="X46" s="80">
        <f>IF(DIAG!$T$44,IF(1-$L$46+SQRT(3)*(X35)&gt;1,1,1-$L$46+SQRT(3)*(X35)),-1)</f>
        <v>-1</v>
      </c>
      <c r="Y46" s="80">
        <f>IF(DIAG!$T$44,IF(1-$L$46+SQRT(3)*(Y35)&gt;1,1,1-$L$46+SQRT(3)*(Y35)),-1)</f>
        <v>-1</v>
      </c>
      <c r="Z46" s="80">
        <f>IF(DIAG!$T$44,IF(1-$L$46+SQRT(3)*(Z35)&gt;1,1,1-$L$46+SQRT(3)*(Z35)),-1)</f>
        <v>-1</v>
      </c>
      <c r="AA46" s="80">
        <f>IF(DIAG!$T$44,IF(1-$L$46+SQRT(3)*(AA35)&gt;1,1,1-$L$46+SQRT(3)*(AA35)),-1)</f>
        <v>-1</v>
      </c>
      <c r="AB46" s="80">
        <f>IF(DIAG!$T$44,IF(1-$L$46+SQRT(3)*(AB35)&gt;1,1,1-$L$46+SQRT(3)*(AB35)),-1)</f>
        <v>-1</v>
      </c>
      <c r="AC46" s="80">
        <f>IF(DIAG!$T$44,IF(1-$L$46+SQRT(3)*(AC35)&gt;1,1,1-$L$46+SQRT(3)*(AC35)),-1)</f>
        <v>-1</v>
      </c>
      <c r="AD46" s="80">
        <f>IF(DIAG!$T$44,IF(1-$L$46+SQRT(3)*(AD35)&gt;1,1,1-$L$46+SQRT(3)*(AD35)),-1)</f>
        <v>-1</v>
      </c>
      <c r="AE46" s="80">
        <f>IF(DIAG!$T$44,IF(1-$L$46+SQRT(3)*(AE35)&gt;1,1,1-$L$46+SQRT(3)*(AE35)),-1)</f>
        <v>-1</v>
      </c>
      <c r="AF46" s="80">
        <f>IF(DIAG!$T$44,IF(1-$L$46+SQRT(3)*(AF35)&gt;1,1,1-$L$46+SQRT(3)*(AF35)),-1)</f>
        <v>-1</v>
      </c>
      <c r="AG46" s="80">
        <f>IF(DIAG!$T$44,IF(1-$L$46+SQRT(3)*(AG35)&gt;1,1,1-$L$46+SQRT(3)*(AG35)),-1)</f>
        <v>-1</v>
      </c>
      <c r="AH46" s="80">
        <f>IF(DIAG!$T$44,IF(1-$L$46+SQRT(3)*(AH35)&gt;1,1,1-$L$46+SQRT(3)*(AH35)),-1)</f>
        <v>-1</v>
      </c>
      <c r="AI46" s="80">
        <f>IF(DIAG!$T$44,IF(1-$L$46+SQRT(3)*(AI35)&gt;1,1,1-$L$46+SQRT(3)*(AI35)),-1)</f>
        <v>-1</v>
      </c>
      <c r="BE46" s="6" t="s">
        <v>93</v>
      </c>
      <c r="BF46" s="22">
        <v>0</v>
      </c>
      <c r="BG46" s="22">
        <v>0</v>
      </c>
      <c r="BH46" s="22">
        <v>0.5</v>
      </c>
      <c r="BI46" s="22">
        <v>0.5</v>
      </c>
      <c r="BJ46" s="22">
        <v>0</v>
      </c>
      <c r="BK46" s="22">
        <v>0</v>
      </c>
      <c r="BL46" s="22">
        <v>0</v>
      </c>
      <c r="BM46" s="22">
        <v>0.5</v>
      </c>
      <c r="BN46" s="22">
        <v>0.5</v>
      </c>
      <c r="BO46" s="22">
        <v>0</v>
      </c>
      <c r="CW46" s="29"/>
    </row>
    <row r="47" spans="1:248" x14ac:dyDescent="0.2">
      <c r="A47" s="99"/>
      <c r="B47" s="25"/>
      <c r="C47" s="25"/>
      <c r="D47" s="25"/>
      <c r="E47" s="25"/>
      <c r="F47" s="25" t="s">
        <v>4</v>
      </c>
      <c r="G47" s="100"/>
      <c r="H47" s="100"/>
      <c r="I47" s="100"/>
      <c r="J47" s="100"/>
      <c r="K47" s="100"/>
      <c r="L47" s="109">
        <f>DIAG!$T$45/100</f>
        <v>0.76</v>
      </c>
      <c r="M47" s="86"/>
      <c r="N47" s="86" t="b">
        <f>IFERROR(IF(DIAG!$T$42,CONCATENATE("R+Mr+Sr=",L47,CHAR(10),"")),CONCATENATE("R+Mr+Sr= 0",CHAR(10)))</f>
        <v>0</v>
      </c>
      <c r="O47" s="86">
        <f>IF(DIAG!$T$42,$L$47,-1)</f>
        <v>-1</v>
      </c>
      <c r="P47" s="86">
        <f>IF(DIAG!$T$42,$L$47,-1)</f>
        <v>-1</v>
      </c>
      <c r="Q47" s="86">
        <f>IF(DIAG!$T$42,$L$47,-1)</f>
        <v>-1</v>
      </c>
      <c r="R47" s="86">
        <f>IF(DIAG!$T$42,$L$47,-1)</f>
        <v>-1</v>
      </c>
      <c r="S47" s="86">
        <f>IF(DIAG!$T$42,$L$47,-1)</f>
        <v>-1</v>
      </c>
      <c r="T47" s="86">
        <f>IF(DIAG!$T$42,$L$47,-1)</f>
        <v>-1</v>
      </c>
      <c r="U47" s="86">
        <f>IF(DIAG!$T$42,$L$47,-1)</f>
        <v>-1</v>
      </c>
      <c r="V47" s="86">
        <f>IF(DIAG!$T$42,$L$47,-1)</f>
        <v>-1</v>
      </c>
      <c r="W47" s="86">
        <f>IF(DIAG!$T$42,$L$47,-1)</f>
        <v>-1</v>
      </c>
      <c r="X47" s="86">
        <f>IF(DIAG!$T$42,$L$47,-1)</f>
        <v>-1</v>
      </c>
      <c r="Y47" s="86">
        <f>IF(DIAG!$T$42,$L$47,-1)</f>
        <v>-1</v>
      </c>
      <c r="Z47" s="86">
        <f>IF(DIAG!$T$42,$L$47,-1)</f>
        <v>-1</v>
      </c>
      <c r="AA47" s="86">
        <f>IF(DIAG!$T$42,$L$47,-1)</f>
        <v>-1</v>
      </c>
      <c r="AB47" s="86">
        <f>IF(DIAG!$T$42,$L$47,-1)</f>
        <v>-1</v>
      </c>
      <c r="AC47" s="86">
        <f>IF(DIAG!$T$42,$L$47,-1)</f>
        <v>-1</v>
      </c>
      <c r="AD47" s="86">
        <f>IF(DIAG!$T$42,$L$47,-1)</f>
        <v>-1</v>
      </c>
      <c r="AE47" s="86">
        <f>IF(DIAG!$T$42,$L$47,-1)</f>
        <v>-1</v>
      </c>
      <c r="AF47" s="86">
        <f>IF(DIAG!$T$42,$L$47,-1)</f>
        <v>-1</v>
      </c>
      <c r="AG47" s="86">
        <f>IF(DIAG!$T$42,$L$47,-1)</f>
        <v>-1</v>
      </c>
      <c r="AH47" s="86">
        <f>IF(DIAG!$T$42,$L$47,-1)</f>
        <v>-1</v>
      </c>
      <c r="AI47" s="86">
        <f>IF(DIAG!$T$42,$L$47,-1)</f>
        <v>-1</v>
      </c>
      <c r="AN47" s="6" t="s">
        <v>72</v>
      </c>
      <c r="AP47" s="48">
        <f>IF(DIAG!H245,$B$265,-1)</f>
        <v>-1</v>
      </c>
      <c r="AQ47" s="49">
        <f>AP47+(AY47-AP47)/9</f>
        <v>-1</v>
      </c>
      <c r="AR47" s="49">
        <f>AQ47+(AY47-AQ47)/8</f>
        <v>-1</v>
      </c>
      <c r="AS47" s="49">
        <f>AR47+(AY47-AR47)/7</f>
        <v>-1</v>
      </c>
      <c r="AT47" s="49">
        <f>AS47+(AY47-AS47)/6</f>
        <v>-1</v>
      </c>
      <c r="AU47" s="49">
        <f>AT47+(AY47-AT47)/5</f>
        <v>-1</v>
      </c>
      <c r="AV47" s="49">
        <f>AU47+(AY47-AU47)/4</f>
        <v>-1</v>
      </c>
      <c r="AW47" s="49">
        <f>AV47+(AY47-AV47)/3</f>
        <v>-1</v>
      </c>
      <c r="AX47" s="49">
        <f>AW47+(AY47-AW47)/2</f>
        <v>-1</v>
      </c>
      <c r="AY47" s="50">
        <f>IF(DIAG!H245,$H$236,-1)</f>
        <v>-1</v>
      </c>
      <c r="BE47" s="6" t="s">
        <v>94</v>
      </c>
      <c r="BF47" s="22">
        <v>-7.2499999999999912E-2</v>
      </c>
      <c r="BG47" s="22">
        <v>0.21750000000000003</v>
      </c>
      <c r="BH47" s="22">
        <v>0.21750000000000003</v>
      </c>
      <c r="BI47" s="22">
        <v>-7.2499999999999912E-2</v>
      </c>
      <c r="BJ47" s="22">
        <v>-7.2499999999999912E-2</v>
      </c>
      <c r="BK47" s="22">
        <v>-0.57999999999999996</v>
      </c>
      <c r="BL47" s="22">
        <v>-0.28999999999999998</v>
      </c>
      <c r="BM47" s="22">
        <v>-0.28999999999999998</v>
      </c>
      <c r="BN47" s="22">
        <v>-0.57999999999999996</v>
      </c>
      <c r="BO47" s="22">
        <v>-0.57999999999999996</v>
      </c>
    </row>
    <row r="48" spans="1:248" x14ac:dyDescent="0.2">
      <c r="A48" s="69"/>
      <c r="B48" s="70"/>
      <c r="D48" s="71"/>
      <c r="E48" s="71"/>
      <c r="F48" s="71"/>
      <c r="G48" s="72"/>
      <c r="H48" s="72"/>
      <c r="I48" s="72"/>
      <c r="J48" s="72"/>
      <c r="K48" s="72"/>
      <c r="S48" s="26"/>
      <c r="T48" s="26"/>
      <c r="U48" s="26"/>
      <c r="V48" s="26"/>
      <c r="W48" s="26"/>
      <c r="X48" s="26"/>
      <c r="Y48" s="26"/>
      <c r="Z48" s="26"/>
      <c r="AA48" s="26"/>
      <c r="AB48" s="26"/>
      <c r="AP48" s="53">
        <f>IF(DIAG!H245,$B$266,-1)</f>
        <v>-1</v>
      </c>
      <c r="AQ48" s="54">
        <f>AP48+(AY48-AP48)/9</f>
        <v>-1</v>
      </c>
      <c r="AR48" s="54">
        <f>AQ48+(AY48-AQ48)/8</f>
        <v>-1</v>
      </c>
      <c r="AS48" s="54">
        <f>AR48+(AY48-AR48)/7</f>
        <v>-1</v>
      </c>
      <c r="AT48" s="54">
        <f>AS48+(AY48-AS48)/6</f>
        <v>-1</v>
      </c>
      <c r="AU48" s="54">
        <f>AT48+(AY48-AT48)/5</f>
        <v>-1</v>
      </c>
      <c r="AV48" s="54">
        <f>AU48+(AY48-AU48)/4</f>
        <v>-1</v>
      </c>
      <c r="AW48" s="54">
        <f>AV48+(AY48-AV48)/3</f>
        <v>-1</v>
      </c>
      <c r="AX48" s="54">
        <f>AW48+(AY48-AW48)/2</f>
        <v>-1</v>
      </c>
      <c r="AY48" s="55">
        <f>IF(DIAG!H245,$H$237,-1)</f>
        <v>-1</v>
      </c>
      <c r="BE48" s="6" t="s">
        <v>95</v>
      </c>
      <c r="BF48" s="22">
        <v>0.125</v>
      </c>
      <c r="BG48" s="22">
        <v>0.125</v>
      </c>
      <c r="BH48" s="22">
        <v>0.375</v>
      </c>
      <c r="BI48" s="22">
        <v>0.375</v>
      </c>
      <c r="BJ48" s="22">
        <v>0.125</v>
      </c>
      <c r="BK48" s="22">
        <v>0</v>
      </c>
      <c r="BL48" s="22">
        <v>0</v>
      </c>
      <c r="BM48" s="22">
        <v>0.25</v>
      </c>
      <c r="BN48" s="22">
        <v>0.25</v>
      </c>
      <c r="BO48" s="22">
        <v>0</v>
      </c>
    </row>
    <row r="49" spans="1:196" x14ac:dyDescent="0.2">
      <c r="A49" s="69"/>
      <c r="B49" s="70"/>
      <c r="D49" s="71"/>
      <c r="E49" s="71"/>
      <c r="F49" s="71"/>
      <c r="G49" s="72"/>
      <c r="H49" s="72"/>
      <c r="I49" s="72"/>
      <c r="J49" s="72"/>
      <c r="K49" s="72"/>
      <c r="S49" s="26"/>
      <c r="T49" s="26"/>
      <c r="U49" s="26"/>
      <c r="V49" s="26"/>
      <c r="W49" s="26"/>
      <c r="X49" s="26"/>
      <c r="Y49" s="26"/>
      <c r="Z49" s="26"/>
      <c r="AA49" s="26"/>
      <c r="AB49" s="26"/>
    </row>
    <row r="50" spans="1:196" x14ac:dyDescent="0.2">
      <c r="A50" s="157"/>
      <c r="B50" s="157"/>
      <c r="C50" s="157"/>
      <c r="D50" s="157"/>
      <c r="E50" s="158"/>
      <c r="F50" s="158"/>
      <c r="G50" s="72"/>
      <c r="H50" s="72"/>
      <c r="I50" s="72"/>
      <c r="J50" s="72"/>
      <c r="K50" s="72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N50" s="6" t="s">
        <v>73</v>
      </c>
      <c r="AP50" s="48">
        <f>IF(DIAG!H246,$B$265,-1)</f>
        <v>-1</v>
      </c>
      <c r="AQ50" s="49">
        <f>AP50+(AY50-AP50)/9</f>
        <v>-1</v>
      </c>
      <c r="AR50" s="49">
        <f>AQ50+(AY50-AQ50)/8</f>
        <v>-1</v>
      </c>
      <c r="AS50" s="49">
        <f>AR50+(AY50-AR50)/7</f>
        <v>-1</v>
      </c>
      <c r="AT50" s="49">
        <f>AS50+(AY50-AS50)/6</f>
        <v>-1</v>
      </c>
      <c r="AU50" s="49">
        <f>AT50+(AY50-AT50)/5</f>
        <v>-1</v>
      </c>
      <c r="AV50" s="49">
        <f>AU50+(AY50-AU50)/4</f>
        <v>-1</v>
      </c>
      <c r="AW50" s="49">
        <f>AV50+(AY50-AV50)/3</f>
        <v>-1</v>
      </c>
      <c r="AX50" s="49">
        <f>AW50+(AY50-AW50)/2</f>
        <v>-1</v>
      </c>
      <c r="AY50" s="50">
        <f>IF(DIAG!H246,$I$236,-1)</f>
        <v>-1</v>
      </c>
    </row>
    <row r="51" spans="1:196" x14ac:dyDescent="0.2">
      <c r="P51" s="26"/>
      <c r="U51" s="6">
        <v>0.05</v>
      </c>
      <c r="AP51" s="53">
        <f>IF(DIAG!H246,$B$266,-1)</f>
        <v>-1</v>
      </c>
      <c r="AQ51" s="54">
        <f>AP51+(AY51-AP51)/9</f>
        <v>-1</v>
      </c>
      <c r="AR51" s="54">
        <f>AQ51+(AY51-AQ51)/8</f>
        <v>-1</v>
      </c>
      <c r="AS51" s="54">
        <f>AR51+(AY51-AR51)/7</f>
        <v>-1</v>
      </c>
      <c r="AT51" s="54">
        <f>AS51+(AY51-AS51)/6</f>
        <v>-1</v>
      </c>
      <c r="AU51" s="54">
        <f>AT51+(AY51-AT51)/5</f>
        <v>-1</v>
      </c>
      <c r="AV51" s="54">
        <f>AU51+(AY51-AU51)/4</f>
        <v>-1</v>
      </c>
      <c r="AW51" s="54">
        <f>AV51+(AY51-AV51)/3</f>
        <v>-1</v>
      </c>
      <c r="AX51" s="54">
        <f>AW51+(AY51-AW51)/2</f>
        <v>-1</v>
      </c>
      <c r="AY51" s="55">
        <f>IF(DIAG!H246,$I$237,-1)</f>
        <v>-1</v>
      </c>
    </row>
    <row r="52" spans="1:196" x14ac:dyDescent="0.2">
      <c r="Q52" s="26"/>
    </row>
    <row r="53" spans="1:196" x14ac:dyDescent="0.2">
      <c r="R53" s="26"/>
      <c r="AN53" s="6" t="s">
        <v>74</v>
      </c>
      <c r="AP53" s="48">
        <f>IF(DIAG!H247,$B$265,-1)</f>
        <v>-1</v>
      </c>
      <c r="AQ53" s="49">
        <f>AP53+(AY53-AP53)/9</f>
        <v>-1</v>
      </c>
      <c r="AR53" s="49">
        <f>AQ53+(AY53-AQ53)/8</f>
        <v>-1</v>
      </c>
      <c r="AS53" s="49">
        <f>AR53+(AY53-AR53)/7</f>
        <v>-1</v>
      </c>
      <c r="AT53" s="49">
        <f>AS53+(AY53-AS53)/6</f>
        <v>-1</v>
      </c>
      <c r="AU53" s="49">
        <f>AT53+(AY53-AT53)/5</f>
        <v>-1</v>
      </c>
      <c r="AV53" s="49">
        <f>AU53+(AY53-AU53)/4</f>
        <v>-1</v>
      </c>
      <c r="AW53" s="49">
        <f>AV53+(AY53-AV53)/3</f>
        <v>-1</v>
      </c>
      <c r="AX53" s="49">
        <f>AW53+(AY53-AW53)/2</f>
        <v>-1</v>
      </c>
      <c r="AY53" s="50">
        <f>IF(DIAG!H247,$J$236,-1)</f>
        <v>-1</v>
      </c>
      <c r="GM53" s="156"/>
      <c r="GN53" s="156"/>
    </row>
    <row r="54" spans="1:196" x14ac:dyDescent="0.2">
      <c r="S54" s="26"/>
      <c r="AP54" s="53">
        <f>IF(DIAG!H247,$B$266,-1)</f>
        <v>-1</v>
      </c>
      <c r="AQ54" s="54">
        <f>AP54+(AY54-AP54)/9</f>
        <v>-1</v>
      </c>
      <c r="AR54" s="54">
        <f>AQ54+(AY54-AQ54)/8</f>
        <v>-1</v>
      </c>
      <c r="AS54" s="54">
        <f>AR54+(AY54-AR54)/7</f>
        <v>-1</v>
      </c>
      <c r="AT54" s="54">
        <f>AS54+(AY54-AS54)/6</f>
        <v>-1</v>
      </c>
      <c r="AU54" s="54">
        <f>AT54+(AY54-AT54)/5</f>
        <v>-1</v>
      </c>
      <c r="AV54" s="54">
        <f>AU54+(AY54-AU54)/4</f>
        <v>-1</v>
      </c>
      <c r="AW54" s="54">
        <f>AV54+(AY54-AV54)/3</f>
        <v>-1</v>
      </c>
      <c r="AX54" s="54">
        <f>AW54+(AY54-AW54)/2</f>
        <v>-1</v>
      </c>
      <c r="AY54" s="55">
        <f>IF(DIAG!H247,$J$237,-1)</f>
        <v>-1</v>
      </c>
    </row>
    <row r="55" spans="1:196" x14ac:dyDescent="0.2">
      <c r="R55" s="6" t="s">
        <v>170</v>
      </c>
      <c r="T55" s="26"/>
    </row>
    <row r="56" spans="1:196" ht="15" x14ac:dyDescent="0.3">
      <c r="B56" s="7"/>
      <c r="C56" s="7"/>
      <c r="D56" s="7"/>
      <c r="E56" s="7"/>
      <c r="F56" s="7"/>
      <c r="O56"/>
      <c r="R56" s="6" t="s">
        <v>169</v>
      </c>
      <c r="U56" s="26"/>
      <c r="AN56" s="6" t="s">
        <v>75</v>
      </c>
      <c r="AP56" s="48">
        <f>IF(DIAG!H248,$B$265,-1)</f>
        <v>-1</v>
      </c>
      <c r="AQ56" s="49">
        <f>AP56+(AY56-AP56)/9</f>
        <v>-1</v>
      </c>
      <c r="AR56" s="49">
        <f>AQ56+(AY56-AQ56)/8</f>
        <v>-1</v>
      </c>
      <c r="AS56" s="49">
        <v>-0.5</v>
      </c>
      <c r="AT56" s="49">
        <v>-1</v>
      </c>
      <c r="AU56" s="49"/>
      <c r="AV56" s="49"/>
      <c r="AW56" s="49"/>
      <c r="AX56" s="49">
        <f>AW56+(AY56-AW56)/2</f>
        <v>-0.5</v>
      </c>
      <c r="AY56" s="50">
        <f>IF(DIAG!H248,$K$236,-1)</f>
        <v>-1</v>
      </c>
    </row>
    <row r="57" spans="1:196" x14ac:dyDescent="0.2">
      <c r="B57" s="7"/>
      <c r="C57" s="7"/>
      <c r="D57" s="7"/>
      <c r="E57" s="7"/>
      <c r="F57" s="7"/>
      <c r="R57" s="6" t="s">
        <v>171</v>
      </c>
      <c r="T57" s="26"/>
      <c r="U57" s="26"/>
      <c r="V57" s="26"/>
      <c r="AP57" s="53">
        <f>IF(DIAG!H248,$B$266,-1)</f>
        <v>-1</v>
      </c>
      <c r="AQ57" s="54">
        <f>AP57+(AY57-AP57)/9</f>
        <v>-1</v>
      </c>
      <c r="AR57" s="54">
        <f>AQ57+(AY57-AQ57)/8</f>
        <v>-1</v>
      </c>
      <c r="AS57" s="54">
        <v>-0.5</v>
      </c>
      <c r="AT57" s="54">
        <v>-1</v>
      </c>
      <c r="AU57" s="54"/>
      <c r="AV57" s="54"/>
      <c r="AW57" s="54"/>
      <c r="AX57" s="54">
        <f>AW57+(AY57-AW57)/2</f>
        <v>-0.5</v>
      </c>
      <c r="AY57" s="55">
        <f>IF(DIAG!H248,$K$237,-1)</f>
        <v>-1</v>
      </c>
    </row>
    <row r="58" spans="1:196" x14ac:dyDescent="0.2">
      <c r="B58" s="7"/>
      <c r="C58" s="7"/>
      <c r="D58" s="7"/>
      <c r="E58" s="7"/>
      <c r="F58" s="7"/>
      <c r="U58" s="26"/>
      <c r="W58" s="26"/>
    </row>
    <row r="59" spans="1:196" x14ac:dyDescent="0.2">
      <c r="B59" s="7"/>
      <c r="C59" s="7"/>
      <c r="D59" s="7"/>
      <c r="E59" s="7"/>
      <c r="F59" s="7"/>
      <c r="U59" s="26"/>
      <c r="X59" s="26"/>
    </row>
    <row r="60" spans="1:196" x14ac:dyDescent="0.2">
      <c r="B60" s="7"/>
      <c r="C60" s="7"/>
      <c r="D60" s="7"/>
      <c r="E60" s="7"/>
      <c r="F60" s="7"/>
      <c r="U60" s="26"/>
      <c r="Y60" s="26"/>
    </row>
    <row r="61" spans="1:196" x14ac:dyDescent="0.2">
      <c r="A61" s="69"/>
      <c r="B61" s="70"/>
      <c r="D61" s="71"/>
      <c r="E61" s="71"/>
      <c r="F61" s="71"/>
      <c r="G61" s="72"/>
      <c r="H61" s="72"/>
      <c r="I61" s="72"/>
      <c r="J61" s="72"/>
      <c r="K61" s="72"/>
      <c r="S61" s="26"/>
      <c r="T61" s="26"/>
      <c r="U61" s="26"/>
      <c r="V61" s="26"/>
      <c r="W61" s="26"/>
      <c r="X61" s="26"/>
      <c r="Y61" s="26"/>
      <c r="Z61" s="26"/>
      <c r="AA61" s="26"/>
      <c r="AB61" s="26"/>
      <c r="AM61" s="6" t="s">
        <v>102</v>
      </c>
    </row>
    <row r="62" spans="1:196" x14ac:dyDescent="0.2">
      <c r="A62" s="69"/>
      <c r="B62" s="70"/>
      <c r="D62" s="71"/>
      <c r="E62" s="71"/>
      <c r="F62" s="71"/>
      <c r="G62" s="72"/>
      <c r="H62" s="72"/>
      <c r="I62" s="72"/>
      <c r="J62" s="72"/>
      <c r="K62" s="72"/>
      <c r="S62" s="26"/>
      <c r="T62" s="26"/>
      <c r="U62" s="26"/>
      <c r="V62" s="26"/>
      <c r="W62" s="26"/>
      <c r="X62" s="26"/>
      <c r="Y62" s="26"/>
      <c r="Z62" s="26"/>
      <c r="AA62" s="26"/>
      <c r="AB62" s="26"/>
    </row>
    <row r="63" spans="1:196" x14ac:dyDescent="0.2">
      <c r="A63" s="69"/>
      <c r="B63" s="70"/>
      <c r="D63" s="71"/>
      <c r="E63" s="71"/>
      <c r="F63" s="71"/>
      <c r="G63" s="72"/>
      <c r="H63" s="72"/>
      <c r="I63" s="72"/>
      <c r="J63" s="72"/>
      <c r="K63" s="72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</row>
    <row r="64" spans="1:196" x14ac:dyDescent="0.2">
      <c r="A64" s="90" t="s">
        <v>3</v>
      </c>
      <c r="B64" s="91"/>
      <c r="C64" s="91"/>
      <c r="D64" s="92"/>
      <c r="E64" s="92"/>
      <c r="F64" s="71"/>
      <c r="G64" s="72"/>
      <c r="H64" s="72"/>
      <c r="I64" s="72"/>
      <c r="J64" s="72"/>
      <c r="K64" s="72"/>
      <c r="M64" s="80"/>
      <c r="N64" s="80" t="s">
        <v>153</v>
      </c>
      <c r="O64" s="97" t="str">
        <f>DIAG!$T$51</f>
        <v>0,59</v>
      </c>
      <c r="P64" s="80"/>
      <c r="Q64" s="80"/>
      <c r="R64" s="80"/>
      <c r="S64" s="80"/>
      <c r="T64" s="80"/>
      <c r="U64" s="80"/>
      <c r="V64" s="80"/>
      <c r="W64" s="80"/>
      <c r="X64" s="80"/>
      <c r="Y64" s="80"/>
      <c r="Z64" s="81"/>
      <c r="AA64" s="81"/>
      <c r="AB64" s="81"/>
      <c r="AC64" s="80"/>
      <c r="AD64" s="80"/>
      <c r="AE64" s="80"/>
      <c r="AF64" s="80"/>
      <c r="AG64" s="80"/>
      <c r="AM64" s="80"/>
      <c r="AN64" s="80" t="s">
        <v>76</v>
      </c>
      <c r="AO64" s="97">
        <v>1</v>
      </c>
      <c r="AP64" s="80"/>
      <c r="AQ64" s="80"/>
      <c r="AR64" s="80"/>
      <c r="AS64" s="80"/>
      <c r="AT64" s="80"/>
      <c r="AU64" s="80"/>
      <c r="AV64" s="80"/>
      <c r="AW64" s="80"/>
      <c r="AX64" s="80"/>
      <c r="AY64" s="80"/>
      <c r="AZ64" s="81"/>
      <c r="BA64" s="81"/>
      <c r="BB64" s="81"/>
      <c r="BC64" s="80"/>
      <c r="BD64" s="80"/>
      <c r="BE64" s="80"/>
      <c r="BF64" s="80"/>
      <c r="BG64" s="80"/>
    </row>
    <row r="65" spans="1:59" x14ac:dyDescent="0.2">
      <c r="A65" s="69"/>
      <c r="B65" s="70"/>
      <c r="D65" s="71"/>
      <c r="E65" s="71"/>
      <c r="F65" s="71"/>
      <c r="G65" s="72"/>
      <c r="H65" s="72"/>
      <c r="I65" s="72"/>
      <c r="J65" s="72"/>
      <c r="K65" s="72"/>
      <c r="L65" s="256" t="str">
        <f>O64</f>
        <v>0,59</v>
      </c>
      <c r="M65" s="252" t="s">
        <v>173</v>
      </c>
      <c r="N65" s="75" t="s">
        <v>50</v>
      </c>
      <c r="O65" s="76">
        <f>(1/SQRT(3))*(((2*O66)/($O$64*(1-O66)))+(O66)-1)</f>
        <v>-0.57735026918962584</v>
      </c>
      <c r="P65" s="76">
        <f t="shared" ref="P65:AG65" si="10">(1/SQRT(3))*(((2*P66)/($O$64*(1-P66)))+(P66)-1)</f>
        <v>-0.53541705668048634</v>
      </c>
      <c r="Q65" s="76">
        <f t="shared" si="10"/>
        <v>-0.49238610158894791</v>
      </c>
      <c r="R65" s="76">
        <f t="shared" si="10"/>
        <v>-0.44820083452159692</v>
      </c>
      <c r="S65" s="76">
        <f t="shared" si="10"/>
        <v>-0.40280073126999572</v>
      </c>
      <c r="T65" s="76">
        <f t="shared" si="10"/>
        <v>-0.35612096105717866</v>
      </c>
      <c r="U65" s="76">
        <f t="shared" si="10"/>
        <v>-0.30809199656095443</v>
      </c>
      <c r="V65" s="76">
        <f t="shared" si="10"/>
        <v>-0.2586391807788701</v>
      </c>
      <c r="W65" s="76">
        <f t="shared" si="10"/>
        <v>-0.20768224505778632</v>
      </c>
      <c r="X65" s="76">
        <f t="shared" si="10"/>
        <v>-0.15513477174122708</v>
      </c>
      <c r="Y65" s="76">
        <f t="shared" si="10"/>
        <v>-0.1009035938650389</v>
      </c>
      <c r="Z65" s="76">
        <f t="shared" si="10"/>
        <v>-4.4888123125983358E-2</v>
      </c>
      <c r="AA65" s="76">
        <f t="shared" si="10"/>
        <v>1.3020404078549605E-2</v>
      </c>
      <c r="AB65" s="76">
        <f t="shared" si="10"/>
        <v>7.2939774434214594E-2</v>
      </c>
      <c r="AC65" s="76">
        <f t="shared" si="10"/>
        <v>0.13499775322662091</v>
      </c>
      <c r="AD65" s="76">
        <f t="shared" si="10"/>
        <v>0.19933316390915132</v>
      </c>
      <c r="AE65" s="76">
        <f t="shared" si="10"/>
        <v>0.26609711092643173</v>
      </c>
      <c r="AF65" s="76">
        <f t="shared" si="10"/>
        <v>0.3354543684729353</v>
      </c>
      <c r="AG65" s="76">
        <f t="shared" si="10"/>
        <v>0.40758496206458406</v>
      </c>
      <c r="AM65" s="46">
        <f>AO64</f>
        <v>1</v>
      </c>
      <c r="AN65" s="75" t="s">
        <v>50</v>
      </c>
      <c r="AO65" s="76">
        <f t="shared" ref="AO65:BG65" si="11">(2*AO66*($M65+1)-$M65-$M65*AO66^2)/(SQRT(3)*$M65*(1-AO66))</f>
        <v>-1.9455913180910678</v>
      </c>
      <c r="AP65" s="76">
        <f t="shared" si="11"/>
        <v>-1.9455913180910678</v>
      </c>
      <c r="AQ65" s="76">
        <f t="shared" si="11"/>
        <v>-1.9455913180910678</v>
      </c>
      <c r="AR65" s="76">
        <f t="shared" si="11"/>
        <v>-1.9455913180910678</v>
      </c>
      <c r="AS65" s="76">
        <f t="shared" si="11"/>
        <v>-1.9455913180910678</v>
      </c>
      <c r="AT65" s="76">
        <f t="shared" si="11"/>
        <v>-1.9455913180910678</v>
      </c>
      <c r="AU65" s="76">
        <f t="shared" si="11"/>
        <v>-1.9455913180910678</v>
      </c>
      <c r="AV65" s="76">
        <f t="shared" si="11"/>
        <v>-1.9455913180910678</v>
      </c>
      <c r="AW65" s="76">
        <f t="shared" si="11"/>
        <v>-1.9455913180910678</v>
      </c>
      <c r="AX65" s="76">
        <f t="shared" si="11"/>
        <v>-1.9455913180910678</v>
      </c>
      <c r="AY65" s="76">
        <f t="shared" si="11"/>
        <v>-1.9455913180910678</v>
      </c>
      <c r="AZ65" s="76">
        <f t="shared" si="11"/>
        <v>-1.9455913180910678</v>
      </c>
      <c r="BA65" s="76">
        <f t="shared" si="11"/>
        <v>-1.9455913180910678</v>
      </c>
      <c r="BB65" s="76">
        <f t="shared" si="11"/>
        <v>-1.9455913180910678</v>
      </c>
      <c r="BC65" s="76">
        <f t="shared" si="11"/>
        <v>-1.9455913180910678</v>
      </c>
      <c r="BD65" s="76">
        <f t="shared" si="11"/>
        <v>-1.9455913180910678</v>
      </c>
      <c r="BE65" s="76">
        <f t="shared" si="11"/>
        <v>-1.9455913180910678</v>
      </c>
      <c r="BF65" s="76">
        <f t="shared" si="11"/>
        <v>-1.9455913180910678</v>
      </c>
      <c r="BG65" s="110">
        <f t="shared" si="11"/>
        <v>-1.9455913180910678</v>
      </c>
    </row>
    <row r="66" spans="1:59" x14ac:dyDescent="0.2">
      <c r="A66" s="69"/>
      <c r="B66" s="70"/>
      <c r="D66" s="71"/>
      <c r="E66" s="71"/>
      <c r="F66" s="71"/>
      <c r="G66" s="72"/>
      <c r="H66" s="72"/>
      <c r="I66" s="72"/>
      <c r="J66" s="72"/>
      <c r="K66" s="72"/>
      <c r="L66" s="256" t="str">
        <f>CONCATENATE("SI=",O64)</f>
        <v>SI=0,59</v>
      </c>
      <c r="M66" s="253" t="s">
        <v>172</v>
      </c>
      <c r="N66" s="86" t="s">
        <v>51</v>
      </c>
      <c r="O66" s="101">
        <f>IF(DIAG!T48,0,-1)</f>
        <v>0</v>
      </c>
      <c r="P66" s="101">
        <f>IF(DIAG!$T$48,$AG$67*P75,-1)</f>
        <v>1.6335674294616936E-2</v>
      </c>
      <c r="Q66" s="101">
        <f>IF(DIAG!$T$48,$AG$67*Q75,-1)</f>
        <v>3.2671348589233873E-2</v>
      </c>
      <c r="R66" s="101">
        <f>IF(DIAG!$T$48,$AG$67*R75,-1)</f>
        <v>4.9007022883850809E-2</v>
      </c>
      <c r="S66" s="101">
        <f>IF(DIAG!$T$48,$AG$67*S75,-1)</f>
        <v>6.5342697178467746E-2</v>
      </c>
      <c r="T66" s="101">
        <f>IF(DIAG!$T$48,$AG$67*T75,-1)</f>
        <v>8.1678371473084682E-2</v>
      </c>
      <c r="U66" s="101">
        <f>IF(DIAG!$T$48,$AG$67*U75,-1)</f>
        <v>9.8014045767701619E-2</v>
      </c>
      <c r="V66" s="101">
        <f>IF(DIAG!$T$48,$AG$67*V75,-1)</f>
        <v>0.11434972006231856</v>
      </c>
      <c r="W66" s="101">
        <f>IF(DIAG!$T$48,$AG$67*W75,-1)</f>
        <v>0.13068539435693549</v>
      </c>
      <c r="X66" s="101">
        <f>IF(DIAG!$T$48,$AG$67*X75,-1)</f>
        <v>0.14702106865155243</v>
      </c>
      <c r="Y66" s="101">
        <f>IF(DIAG!$T$48,$AG$67*Y75,-1)</f>
        <v>0.16335674294616936</v>
      </c>
      <c r="Z66" s="101">
        <f>IF(DIAG!$T$48,$AG$67*Z75,-1)</f>
        <v>0.1796924172407863</v>
      </c>
      <c r="AA66" s="101">
        <f>IF(DIAG!$T$48,$AG$67*AA75,-1)</f>
        <v>0.19602809153540324</v>
      </c>
      <c r="AB66" s="101">
        <f>IF(DIAG!$T$48,$AG$67*AB75,-1)</f>
        <v>0.21236376583002017</v>
      </c>
      <c r="AC66" s="101">
        <f>IF(DIAG!$T$48,$AG$67*AC75,-1)</f>
        <v>0.22869944012463711</v>
      </c>
      <c r="AD66" s="101">
        <f>IF(DIAG!$T$48,$AG$67*AD75,-1)</f>
        <v>0.24503511441925405</v>
      </c>
      <c r="AE66" s="101">
        <f>IF(DIAG!$T$48,$AG$67*AE75,-1)</f>
        <v>0.26137078871387098</v>
      </c>
      <c r="AF66" s="101">
        <f>IF(DIAG!$T$48,$AG$67*AF75,-1)</f>
        <v>0.27770646300848789</v>
      </c>
      <c r="AG66" s="111">
        <f>IF(DIAG!T48,((2*$O$64+1-SQRT(4*$O$64+1))/($O$64*2))*DIAG!$T$48,-1)</f>
        <v>0.29404213730310486</v>
      </c>
      <c r="AM66" s="85" t="str">
        <f>CONCATENATE("SI=",AO64)</f>
        <v>SI=1</v>
      </c>
      <c r="AN66" s="86" t="s">
        <v>51</v>
      </c>
      <c r="AO66" s="88">
        <f>IF(DIAG!X44,0,-1)</f>
        <v>-1</v>
      </c>
      <c r="AP66" s="88">
        <f>IF(DIAG!$X44,$BG$67*AP73,-1)</f>
        <v>-1</v>
      </c>
      <c r="AQ66" s="88">
        <f>IF(DIAG!$X44,$BG$67*AQ73,-1)</f>
        <v>-1</v>
      </c>
      <c r="AR66" s="88">
        <f>IF(DIAG!$X44,$BG$67*AR73,-1)</f>
        <v>-1</v>
      </c>
      <c r="AS66" s="88">
        <f>IF(DIAG!$X44,$BG$67*AS73,-1)</f>
        <v>-1</v>
      </c>
      <c r="AT66" s="88">
        <f>IF(DIAG!$X44,$BG$67*AT73,-1)</f>
        <v>-1</v>
      </c>
      <c r="AU66" s="88">
        <f>IF(DIAG!$X44,$BG$67*AU73,-1)</f>
        <v>-1</v>
      </c>
      <c r="AV66" s="88">
        <f>IF(DIAG!$X44,$BG$67*AV73,-1)</f>
        <v>-1</v>
      </c>
      <c r="AW66" s="88">
        <f>IF(DIAG!$X44,$BG$67*AW73,-1)</f>
        <v>-1</v>
      </c>
      <c r="AX66" s="88">
        <f>IF(DIAG!$X44,$BG$67*AX73,-1)</f>
        <v>-1</v>
      </c>
      <c r="AY66" s="88">
        <f>IF(DIAG!$X44,$BG$67*AY73,-1)</f>
        <v>-1</v>
      </c>
      <c r="AZ66" s="88">
        <f>IF(DIAG!$X44,$BG$67*AZ73,-1)</f>
        <v>-1</v>
      </c>
      <c r="BA66" s="88">
        <f>IF(DIAG!$X44,$BG$67*BA73,-1)</f>
        <v>-1</v>
      </c>
      <c r="BB66" s="88">
        <f>IF(DIAG!$X44,$BG$67*BB73,-1)</f>
        <v>-1</v>
      </c>
      <c r="BC66" s="88">
        <f>IF(DIAG!$X44,$BG$67*BC73,-1)</f>
        <v>-1</v>
      </c>
      <c r="BD66" s="88">
        <f>IF(DIAG!$X44,$BG$67*BD73,-1)</f>
        <v>-1</v>
      </c>
      <c r="BE66" s="88">
        <f>IF(DIAG!$X44,$BG$67*BE73,-1)</f>
        <v>-1</v>
      </c>
      <c r="BF66" s="88">
        <f>IF(DIAG!$X44,$BG$67*BF73,-1)</f>
        <v>-1</v>
      </c>
      <c r="BG66" s="112">
        <f>IF(DIAG!X44,((2*$M$65+1-SQRT(4*$M$65+1))/($M$65*2))*DIAG!$X44,-1)</f>
        <v>-1</v>
      </c>
    </row>
    <row r="67" spans="1:59" x14ac:dyDescent="0.2">
      <c r="A67" s="69"/>
      <c r="B67" s="70"/>
      <c r="D67" s="71"/>
      <c r="E67" s="71"/>
      <c r="F67" s="71"/>
      <c r="G67" s="72"/>
      <c r="H67" s="72"/>
      <c r="I67" s="72"/>
      <c r="J67" s="72"/>
      <c r="K67" s="72"/>
      <c r="L67" s="256"/>
      <c r="M67" s="254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242">
        <f>(AG66-O66)/18</f>
        <v>1.6335674294616936E-2</v>
      </c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113">
        <f>(BG66-AO66)/18</f>
        <v>0</v>
      </c>
    </row>
    <row r="68" spans="1:59" x14ac:dyDescent="0.2">
      <c r="A68" s="69"/>
      <c r="B68" s="70"/>
      <c r="D68" s="71"/>
      <c r="E68" s="71"/>
      <c r="F68" s="71"/>
      <c r="G68" s="72"/>
      <c r="H68" s="72"/>
      <c r="I68" s="72"/>
      <c r="J68" s="72"/>
      <c r="K68" s="72"/>
      <c r="L68" s="256" t="str">
        <f>O68</f>
        <v>3,9</v>
      </c>
      <c r="M68" s="255"/>
      <c r="N68" s="80" t="s">
        <v>154</v>
      </c>
      <c r="O68" s="97" t="str">
        <f>DIAG!$T$52</f>
        <v>3,9</v>
      </c>
      <c r="P68" s="80"/>
      <c r="Q68" s="80"/>
      <c r="R68" s="80"/>
      <c r="S68" s="80"/>
      <c r="T68" s="80"/>
      <c r="U68" s="80"/>
      <c r="V68" s="80"/>
      <c r="W68" s="80"/>
      <c r="X68" s="80"/>
      <c r="Y68" s="80"/>
      <c r="Z68" s="81"/>
      <c r="AA68" s="81"/>
      <c r="AB68" s="81"/>
      <c r="AC68" s="80"/>
      <c r="AD68" s="80"/>
      <c r="AE68" s="80"/>
      <c r="AF68" s="80"/>
      <c r="AG68" s="80"/>
      <c r="AM68" s="80"/>
      <c r="AN68" s="80" t="s">
        <v>77</v>
      </c>
      <c r="AO68" s="97">
        <v>5</v>
      </c>
      <c r="AP68" s="80"/>
      <c r="AQ68" s="80"/>
      <c r="AR68" s="80"/>
      <c r="AS68" s="80"/>
      <c r="AT68" s="80"/>
      <c r="AU68" s="80"/>
      <c r="AV68" s="80"/>
      <c r="AW68" s="80"/>
      <c r="AX68" s="80"/>
      <c r="AY68" s="80"/>
      <c r="AZ68" s="81"/>
      <c r="BA68" s="81"/>
      <c r="BB68" s="81"/>
      <c r="BC68" s="80"/>
      <c r="BD68" s="80"/>
      <c r="BE68" s="80"/>
      <c r="BF68" s="80"/>
      <c r="BG68" s="80"/>
    </row>
    <row r="69" spans="1:59" x14ac:dyDescent="0.2">
      <c r="A69" s="69"/>
      <c r="B69" s="70"/>
      <c r="D69" s="71"/>
      <c r="E69" s="71"/>
      <c r="F69" s="71"/>
      <c r="G69" s="72"/>
      <c r="H69" s="72"/>
      <c r="I69" s="72"/>
      <c r="J69" s="72"/>
      <c r="K69" s="72"/>
      <c r="L69" s="256" t="str">
        <f>CONCATENATE("SI=",O68)</f>
        <v>SI=3,9</v>
      </c>
      <c r="M69" s="252" t="s">
        <v>174</v>
      </c>
      <c r="N69" s="75" t="s">
        <v>50</v>
      </c>
      <c r="O69" s="76">
        <f>(1/SQRT(3))*(((2*O70)/($O$68*(1-O70)))+(O70)-1)</f>
        <v>-0.57735026918962584</v>
      </c>
      <c r="P69" s="76">
        <f t="shared" ref="P69:AG69" si="12">(1/SQRT(3))*(((2*P70)/($O$68*(1-P70)))+(P70)-1)</f>
        <v>-0.54760467347013997</v>
      </c>
      <c r="Q69" s="76">
        <f t="shared" si="12"/>
        <v>-0.51711474570959481</v>
      </c>
      <c r="R69" s="76">
        <f t="shared" si="12"/>
        <v>-0.48579688423552314</v>
      </c>
      <c r="S69" s="76">
        <f t="shared" si="12"/>
        <v>-0.45355448047551578</v>
      </c>
      <c r="T69" s="76">
        <f t="shared" si="12"/>
        <v>-0.42027528704127987</v>
      </c>
      <c r="U69" s="76">
        <f t="shared" si="12"/>
        <v>-0.38582811978436071</v>
      </c>
      <c r="V69" s="76">
        <f t="shared" si="12"/>
        <v>-0.35005868853028321</v>
      </c>
      <c r="W69" s="76">
        <f t="shared" si="12"/>
        <v>-0.31278427554839899</v>
      </c>
      <c r="X69" s="76">
        <f t="shared" si="12"/>
        <v>-0.27378687228997084</v>
      </c>
      <c r="Y69" s="76">
        <f t="shared" si="12"/>
        <v>-0.23280422684745677</v>
      </c>
      <c r="Z69" s="76">
        <f t="shared" si="12"/>
        <v>-0.18951802046774952</v>
      </c>
      <c r="AA69" s="76">
        <f t="shared" si="12"/>
        <v>-0.14353803835460258</v>
      </c>
      <c r="AB69" s="76">
        <f t="shared" si="12"/>
        <v>-9.4380656719132011E-2</v>
      </c>
      <c r="AC69" s="76">
        <f t="shared" si="12"/>
        <v>-4.1439113525797662E-2</v>
      </c>
      <c r="AD69" s="76">
        <f t="shared" si="12"/>
        <v>1.6058346946785283E-2</v>
      </c>
      <c r="AE69" s="76">
        <f t="shared" si="12"/>
        <v>7.91086470965809E-2</v>
      </c>
      <c r="AF69" s="76">
        <f t="shared" si="12"/>
        <v>0.14902245492827573</v>
      </c>
      <c r="AG69" s="76">
        <f t="shared" si="12"/>
        <v>0.22755814949496025</v>
      </c>
      <c r="AM69" s="46">
        <f>AO68</f>
        <v>5</v>
      </c>
      <c r="AN69" s="75" t="s">
        <v>50</v>
      </c>
      <c r="AO69" s="76">
        <f t="shared" ref="AO69:BG69" si="13">(2*AO70*($M69+1)-$M69-$M69*AO70^2)/(SQRT(3)*$M69*(1-AO70))</f>
        <v>-1.2830005981991686</v>
      </c>
      <c r="AP69" s="76">
        <f t="shared" si="13"/>
        <v>-1.2830005981991686</v>
      </c>
      <c r="AQ69" s="76">
        <f t="shared" si="13"/>
        <v>-1.2830005981991686</v>
      </c>
      <c r="AR69" s="76">
        <f t="shared" si="13"/>
        <v>-1.2830005981991686</v>
      </c>
      <c r="AS69" s="76">
        <f t="shared" si="13"/>
        <v>-1.2830005981991686</v>
      </c>
      <c r="AT69" s="76">
        <f t="shared" si="13"/>
        <v>-1.2830005981991686</v>
      </c>
      <c r="AU69" s="76">
        <f t="shared" si="13"/>
        <v>-1.2830005981991686</v>
      </c>
      <c r="AV69" s="76">
        <f t="shared" si="13"/>
        <v>-1.2830005981991686</v>
      </c>
      <c r="AW69" s="76">
        <f t="shared" si="13"/>
        <v>-1.2830005981991686</v>
      </c>
      <c r="AX69" s="76">
        <f t="shared" si="13"/>
        <v>-1.2830005981991686</v>
      </c>
      <c r="AY69" s="76">
        <f t="shared" si="13"/>
        <v>-1.2830005981991686</v>
      </c>
      <c r="AZ69" s="76">
        <f t="shared" si="13"/>
        <v>-1.2830005981991686</v>
      </c>
      <c r="BA69" s="76">
        <f t="shared" si="13"/>
        <v>-1.2830005981991686</v>
      </c>
      <c r="BB69" s="76">
        <f t="shared" si="13"/>
        <v>-1.2830005981991686</v>
      </c>
      <c r="BC69" s="76">
        <f t="shared" si="13"/>
        <v>-1.2830005981991686</v>
      </c>
      <c r="BD69" s="76">
        <f t="shared" si="13"/>
        <v>-1.2830005981991686</v>
      </c>
      <c r="BE69" s="76">
        <f t="shared" si="13"/>
        <v>-1.2830005981991686</v>
      </c>
      <c r="BF69" s="76">
        <f t="shared" si="13"/>
        <v>-1.2830005981991686</v>
      </c>
      <c r="BG69" s="110">
        <f t="shared" si="13"/>
        <v>-1.2830005981991686</v>
      </c>
    </row>
    <row r="70" spans="1:59" x14ac:dyDescent="0.2">
      <c r="A70" s="69"/>
      <c r="B70" s="70"/>
      <c r="D70" s="71"/>
      <c r="E70" s="71"/>
      <c r="F70" s="71"/>
      <c r="G70" s="72"/>
      <c r="H70" s="72"/>
      <c r="I70" s="72"/>
      <c r="J70" s="72"/>
      <c r="K70" s="72"/>
      <c r="L70" s="256"/>
      <c r="M70" s="253" t="s">
        <v>177</v>
      </c>
      <c r="N70" s="86" t="s">
        <v>51</v>
      </c>
      <c r="O70" s="101">
        <f>IF(DIAG!T49,0,-1)</f>
        <v>0</v>
      </c>
      <c r="P70" s="101">
        <f>IF(DIAG!$T$49,$AG$71*P75,-1)</f>
        <v>3.3658762411020858E-2</v>
      </c>
      <c r="Q70" s="101">
        <f>IF(DIAG!$T$49,$AG$71*Q75,-1)</f>
        <v>6.7317524822041716E-2</v>
      </c>
      <c r="R70" s="101">
        <f>IF(DIAG!$T$49,$AG$71*R75,-1)</f>
        <v>0.10097628723306257</v>
      </c>
      <c r="S70" s="101">
        <f>IF(DIAG!$T$49,$AG$71*S75,-1)</f>
        <v>0.13463504964408343</v>
      </c>
      <c r="T70" s="101">
        <f>IF(DIAG!$T$49,$AG$71*T75,-1)</f>
        <v>0.1682938120551043</v>
      </c>
      <c r="U70" s="101">
        <f>IF(DIAG!$T$49,$AG$71*U75,-1)</f>
        <v>0.20195257446612513</v>
      </c>
      <c r="V70" s="101">
        <f>IF(DIAG!$T$49,$AG$71*V75,-1)</f>
        <v>0.235611336877146</v>
      </c>
      <c r="W70" s="101">
        <f>IF(DIAG!$T$49,$AG$71*W75,-1)</f>
        <v>0.26927009928816686</v>
      </c>
      <c r="X70" s="101">
        <f>IF(DIAG!$T$49,$AG$71*X75,-1)</f>
        <v>0.3029288616991877</v>
      </c>
      <c r="Y70" s="101">
        <f>IF(DIAG!$T$49,$AG$71*Y75,-1)</f>
        <v>0.33658762411020859</v>
      </c>
      <c r="Z70" s="101">
        <f>IF(DIAG!$T$49,$AG$71*Z75,-1)</f>
        <v>0.37024638652122943</v>
      </c>
      <c r="AA70" s="101">
        <f>IF(DIAG!$T$49,$AG$71*AA75,-1)</f>
        <v>0.40390514893225027</v>
      </c>
      <c r="AB70" s="101">
        <f>IF(DIAG!$T$49,$AG$71*AB75,-1)</f>
        <v>0.43756391134327116</v>
      </c>
      <c r="AC70" s="101">
        <f>IF(DIAG!$T$49,$AG$71*AC75,-1)</f>
        <v>0.471222673754292</v>
      </c>
      <c r="AD70" s="101">
        <f>IF(DIAG!$T$49,$AG$71*AD75,-1)</f>
        <v>0.50488143616531289</v>
      </c>
      <c r="AE70" s="101">
        <f>IF(DIAG!$T$49,$AG$71*AE75,-1)</f>
        <v>0.53854019857633373</v>
      </c>
      <c r="AF70" s="101">
        <f>IF(DIAG!$T$49,$AG$71*AF75,-1)</f>
        <v>0.57219896098735457</v>
      </c>
      <c r="AG70" s="111">
        <f>IF(DIAG!T49,((2*$O$68+1-SQRT(4*$O$68+1))/($O$68*2))*DIAG!$T$49,-1)</f>
        <v>0.6058577233983754</v>
      </c>
      <c r="AM70" s="85" t="str">
        <f>CONCATENATE("SI=",AO68)</f>
        <v>SI=5</v>
      </c>
      <c r="AN70" s="86" t="s">
        <v>51</v>
      </c>
      <c r="AO70" s="88">
        <f>IF(DIAG!X44,0,-1)</f>
        <v>-1</v>
      </c>
      <c r="AP70" s="88">
        <f>IF(DIAG!$X44,$BG$71*AP73,-1)</f>
        <v>-1</v>
      </c>
      <c r="AQ70" s="88">
        <f>IF(DIAG!$X44,$BG$71*AQ73,-1)</f>
        <v>-1</v>
      </c>
      <c r="AR70" s="88">
        <f>IF(DIAG!$X44,$BG$71*AR73,-1)</f>
        <v>-1</v>
      </c>
      <c r="AS70" s="88">
        <f>IF(DIAG!$X44,$BG$71*AS73,-1)</f>
        <v>-1</v>
      </c>
      <c r="AT70" s="88">
        <f>IF(DIAG!$X44,$BG$71*AT73,-1)</f>
        <v>-1</v>
      </c>
      <c r="AU70" s="88">
        <f>IF(DIAG!$X44,$BG$71*AU73,-1)</f>
        <v>-1</v>
      </c>
      <c r="AV70" s="88">
        <f>IF(DIAG!$X44,$BG$71*AV73,-1)</f>
        <v>-1</v>
      </c>
      <c r="AW70" s="88">
        <f>IF(DIAG!$X44,$BG$71*AW73,-1)</f>
        <v>-1</v>
      </c>
      <c r="AX70" s="88">
        <f>IF(DIAG!$X44,$BG$71*AX73,-1)</f>
        <v>-1</v>
      </c>
      <c r="AY70" s="88">
        <f>IF(DIAG!$X44,$BG$71*AY73,-1)</f>
        <v>-1</v>
      </c>
      <c r="AZ70" s="88">
        <f>IF(DIAG!$X44,$BG$71*AZ73,-1)</f>
        <v>-1</v>
      </c>
      <c r="BA70" s="88">
        <f>IF(DIAG!$X44,$BG$71*BA73,-1)</f>
        <v>-1</v>
      </c>
      <c r="BB70" s="88">
        <f>IF(DIAG!$X44,$BG$71*BB73,-1)</f>
        <v>-1</v>
      </c>
      <c r="BC70" s="88">
        <f>IF(DIAG!$X44,$BG$71*BC73,-1)</f>
        <v>-1</v>
      </c>
      <c r="BD70" s="88">
        <f>IF(DIAG!$X44,$BG$71*BD73,-1)</f>
        <v>-1</v>
      </c>
      <c r="BE70" s="88">
        <f>IF(DIAG!$X44,$BG$71*BE73,-1)</f>
        <v>-1</v>
      </c>
      <c r="BF70" s="88">
        <f>IF(DIAG!$X44,$BG$71*BF73,-1)</f>
        <v>-1</v>
      </c>
      <c r="BG70" s="112">
        <f>IF(DIAG!X44,((2*$M$69+1-SQRT(4*$M$69+1))/($M$69*2))*DIAG!$X44,-1)</f>
        <v>-1</v>
      </c>
    </row>
    <row r="71" spans="1:59" x14ac:dyDescent="0.2">
      <c r="A71" s="69"/>
      <c r="B71" s="70"/>
      <c r="D71" s="71"/>
      <c r="E71" s="71"/>
      <c r="F71" s="71"/>
      <c r="G71" s="72"/>
      <c r="H71" s="72"/>
      <c r="I71" s="72"/>
      <c r="J71" s="72"/>
      <c r="K71" s="72"/>
      <c r="L71" s="256"/>
      <c r="M71" s="254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242">
        <f>(AG70-O70)/18</f>
        <v>3.3658762411020858E-2</v>
      </c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  <c r="BE71" s="7"/>
      <c r="BF71" s="7"/>
      <c r="BG71" s="113">
        <f>(BG70-AO70)/18</f>
        <v>0</v>
      </c>
    </row>
    <row r="72" spans="1:59" x14ac:dyDescent="0.2">
      <c r="A72" s="69"/>
      <c r="B72" s="70"/>
      <c r="D72" s="71"/>
      <c r="E72" s="71"/>
      <c r="F72" s="71"/>
      <c r="G72" s="72"/>
      <c r="H72" s="72"/>
      <c r="I72" s="72"/>
      <c r="J72" s="72"/>
      <c r="K72" s="72"/>
      <c r="L72" s="256"/>
      <c r="M72" s="255"/>
      <c r="N72" s="251" t="s">
        <v>155</v>
      </c>
      <c r="O72" s="97">
        <f>DIAG!$T$53</f>
        <v>14</v>
      </c>
      <c r="P72" s="80"/>
      <c r="Q72" s="80"/>
      <c r="R72" s="80"/>
      <c r="S72" s="80"/>
      <c r="T72" s="80"/>
      <c r="U72" s="80"/>
      <c r="V72" s="80"/>
      <c r="W72" s="80"/>
      <c r="X72" s="80"/>
      <c r="Y72" s="80"/>
      <c r="Z72" s="81"/>
      <c r="AA72" s="81"/>
      <c r="AB72" s="81"/>
      <c r="AC72" s="80"/>
      <c r="AD72" s="80"/>
      <c r="AE72" s="80"/>
      <c r="AF72" s="80"/>
      <c r="AG72" s="80"/>
    </row>
    <row r="73" spans="1:59" x14ac:dyDescent="0.2">
      <c r="A73" s="69"/>
      <c r="B73" s="70"/>
      <c r="D73" s="71"/>
      <c r="E73" s="71"/>
      <c r="F73" s="71"/>
      <c r="G73" s="72"/>
      <c r="H73" s="72"/>
      <c r="I73" s="72"/>
      <c r="J73" s="72"/>
      <c r="K73" s="72"/>
      <c r="L73" s="256">
        <f>O72</f>
        <v>14</v>
      </c>
      <c r="M73" s="252" t="s">
        <v>175</v>
      </c>
      <c r="N73" s="75" t="s">
        <v>50</v>
      </c>
      <c r="O73" s="76">
        <f>(1/SQRT(3))*(((2*O74)/($O$72*(1-O74)))+(O74)-1)</f>
        <v>-0.57735026918962584</v>
      </c>
      <c r="P73" s="76">
        <f t="shared" ref="P73:AG73" si="14">(1/SQRT(3))*(((2*P74)/($O$72*(1-P74)))+(P74)-1)</f>
        <v>-0.54911201170833879</v>
      </c>
      <c r="Q73" s="76">
        <f t="shared" si="14"/>
        <v>-0.52053264329007209</v>
      </c>
      <c r="R73" s="76">
        <f t="shared" si="14"/>
        <v>-0.49156223630370721</v>
      </c>
      <c r="S73" s="76">
        <f t="shared" si="14"/>
        <v>-0.46214061962075892</v>
      </c>
      <c r="T73" s="76">
        <f t="shared" si="14"/>
        <v>-0.432194609552074</v>
      </c>
      <c r="U73" s="76">
        <f t="shared" si="14"/>
        <v>-0.40163429119182836</v>
      </c>
      <c r="V73" s="76">
        <f t="shared" si="14"/>
        <v>-0.37034794722149605</v>
      </c>
      <c r="W73" s="76">
        <f t="shared" si="14"/>
        <v>-0.33819502320428824</v>
      </c>
      <c r="X73" s="76">
        <f t="shared" si="14"/>
        <v>-0.30499618122841843</v>
      </c>
      <c r="Y73" s="76">
        <f t="shared" si="14"/>
        <v>-0.27051893174272257</v>
      </c>
      <c r="Z73" s="76">
        <f t="shared" si="14"/>
        <v>-0.23445636664356478</v>
      </c>
      <c r="AA73" s="76">
        <f t="shared" si="14"/>
        <v>-0.19639479303127452</v>
      </c>
      <c r="AB73" s="76">
        <f t="shared" si="14"/>
        <v>-0.15576286548970059</v>
      </c>
      <c r="AC73" s="76">
        <f t="shared" si="14"/>
        <v>-0.11174857894186273</v>
      </c>
      <c r="AD73" s="76">
        <f t="shared" si="14"/>
        <v>-6.3157642863552979E-2</v>
      </c>
      <c r="AE73" s="76">
        <f t="shared" si="14"/>
        <v>-8.158499279998158E-3</v>
      </c>
      <c r="AF73" s="76">
        <f t="shared" si="14"/>
        <v>5.6208160493073978E-2</v>
      </c>
      <c r="AG73" s="76">
        <f t="shared" si="14"/>
        <v>0.13505530979825167</v>
      </c>
      <c r="AH73" s="26"/>
      <c r="AI73" s="26"/>
      <c r="AJ73" s="26"/>
      <c r="AP73" s="101">
        <v>1</v>
      </c>
      <c r="AQ73" s="101">
        <v>2</v>
      </c>
      <c r="AR73" s="101">
        <v>3</v>
      </c>
      <c r="AS73" s="101">
        <v>4</v>
      </c>
      <c r="AT73" s="101">
        <v>5</v>
      </c>
      <c r="AU73" s="101">
        <v>6</v>
      </c>
      <c r="AV73" s="101">
        <v>7</v>
      </c>
      <c r="AW73" s="101">
        <v>8</v>
      </c>
      <c r="AX73" s="101">
        <v>9</v>
      </c>
      <c r="AY73" s="101">
        <v>10</v>
      </c>
      <c r="AZ73" s="101">
        <v>11</v>
      </c>
      <c r="BA73" s="101">
        <v>12</v>
      </c>
      <c r="BB73" s="101">
        <v>13</v>
      </c>
      <c r="BC73" s="101">
        <v>14</v>
      </c>
      <c r="BD73" s="101">
        <v>15</v>
      </c>
      <c r="BE73" s="101">
        <v>16</v>
      </c>
      <c r="BF73" s="101">
        <v>17</v>
      </c>
      <c r="BG73" s="113">
        <f>(BG74-AO74)/18</f>
        <v>0</v>
      </c>
    </row>
    <row r="74" spans="1:59" x14ac:dyDescent="0.2">
      <c r="A74" s="114"/>
      <c r="B74" s="115"/>
      <c r="C74" s="25"/>
      <c r="D74" s="116"/>
      <c r="E74" s="116"/>
      <c r="F74" s="71"/>
      <c r="G74" s="72"/>
      <c r="H74" s="72"/>
      <c r="I74" s="72"/>
      <c r="J74" s="72"/>
      <c r="K74" s="72"/>
      <c r="L74" s="256" t="str">
        <f>CONCATENATE("SI=",O72)</f>
        <v>SI=14</v>
      </c>
      <c r="M74" s="253" t="s">
        <v>176</v>
      </c>
      <c r="N74" s="80" t="s">
        <v>51</v>
      </c>
      <c r="O74" s="97">
        <f>IF(DIAG!T50,0,-1)</f>
        <v>0</v>
      </c>
      <c r="P74" s="97">
        <f>IF(DIAG!$T$50,$AG$75*P75,-1)</f>
        <v>4.2559852310970731E-2</v>
      </c>
      <c r="Q74" s="97">
        <f>IF(DIAG!$T$50,$AG$75*Q75,-1)</f>
        <v>8.5119704621941461E-2</v>
      </c>
      <c r="R74" s="97">
        <f>IF(DIAG!$T$50,$AG$75*R75,-1)</f>
        <v>0.12767955693291219</v>
      </c>
      <c r="S74" s="97">
        <f>IF(DIAG!$T$50,$AG$75*S75,-1)</f>
        <v>0.17023940924388292</v>
      </c>
      <c r="T74" s="97">
        <f>IF(DIAG!$T$50,$AG$75*T75,-1)</f>
        <v>0.21279926155485365</v>
      </c>
      <c r="U74" s="97">
        <f>IF(DIAG!$T$50,$AG$75*U75,-1)</f>
        <v>0.25535911386582438</v>
      </c>
      <c r="V74" s="97">
        <f>IF(DIAG!$T$50,$AG$75*V75,-1)</f>
        <v>0.29791896617679514</v>
      </c>
      <c r="W74" s="97">
        <f>IF(DIAG!$T$50,$AG$75*W75,-1)</f>
        <v>0.34047881848776584</v>
      </c>
      <c r="X74" s="97">
        <f>IF(DIAG!$T$50,$AG$75*X75,-1)</f>
        <v>0.38303867079873655</v>
      </c>
      <c r="Y74" s="97">
        <f>IF(DIAG!$T$50,$AG$75*Y75,-1)</f>
        <v>0.42559852310970731</v>
      </c>
      <c r="Z74" s="97">
        <f>IF(DIAG!$T$50,$AG$75*Z75,-1)</f>
        <v>0.46815837542067806</v>
      </c>
      <c r="AA74" s="97">
        <f>IF(DIAG!$T$50,$AG$75*AA75,-1)</f>
        <v>0.51071822773164877</v>
      </c>
      <c r="AB74" s="97">
        <f>IF(DIAG!$T$50,$AG$75*AB75,-1)</f>
        <v>0.55327808004261947</v>
      </c>
      <c r="AC74" s="97">
        <f>IF(DIAG!$T$50,$AG$75*AC75,-1)</f>
        <v>0.59583793235359028</v>
      </c>
      <c r="AD74" s="97">
        <f>IF(DIAG!$T$50,$AG$75*AD75,-1)</f>
        <v>0.63839778466456099</v>
      </c>
      <c r="AE74" s="97">
        <f>IF(DIAG!$T$50,$AG$75*AE75,-1)</f>
        <v>0.68095763697553169</v>
      </c>
      <c r="AF74" s="97">
        <f>IF(DIAG!$T$50,$AG$75*AF75,-1)</f>
        <v>0.72351748928650239</v>
      </c>
      <c r="AG74" s="111">
        <f>IF(DIAG!T50,((2*$O$72+1-SQRT(4*$O$72+1))/($O$72*2))*DIAG!$T$50,-1)</f>
        <v>0.7660773415974732</v>
      </c>
      <c r="AH74" s="26"/>
      <c r="AI74" s="26"/>
      <c r="AJ74" s="26"/>
    </row>
    <row r="75" spans="1:59" x14ac:dyDescent="0.2">
      <c r="A75" s="69"/>
      <c r="B75" s="70"/>
      <c r="D75" s="71"/>
      <c r="E75" s="71"/>
      <c r="F75" s="71"/>
      <c r="G75" s="72"/>
      <c r="H75" s="72"/>
      <c r="I75" s="72"/>
      <c r="J75" s="72"/>
      <c r="K75" s="72"/>
      <c r="M75" s="250"/>
      <c r="N75" s="86"/>
      <c r="O75" s="101"/>
      <c r="P75" s="101">
        <v>1</v>
      </c>
      <c r="Q75" s="101">
        <v>2</v>
      </c>
      <c r="R75" s="101">
        <v>3</v>
      </c>
      <c r="S75" s="101">
        <v>4</v>
      </c>
      <c r="T75" s="101">
        <v>5</v>
      </c>
      <c r="U75" s="101">
        <v>6</v>
      </c>
      <c r="V75" s="101">
        <v>7</v>
      </c>
      <c r="W75" s="101">
        <v>8</v>
      </c>
      <c r="X75" s="101">
        <v>9</v>
      </c>
      <c r="Y75" s="101">
        <v>10</v>
      </c>
      <c r="Z75" s="101">
        <v>11</v>
      </c>
      <c r="AA75" s="101">
        <v>12</v>
      </c>
      <c r="AB75" s="101">
        <v>13</v>
      </c>
      <c r="AC75" s="101">
        <v>14</v>
      </c>
      <c r="AD75" s="101">
        <v>15</v>
      </c>
      <c r="AE75" s="101">
        <v>16</v>
      </c>
      <c r="AF75" s="101">
        <v>17</v>
      </c>
      <c r="AG75" s="242">
        <f>(AG74-O74)/18</f>
        <v>4.2559852310970731E-2</v>
      </c>
    </row>
    <row r="76" spans="1:59" x14ac:dyDescent="0.2">
      <c r="A76" s="69" t="s">
        <v>4</v>
      </c>
      <c r="B76" s="70"/>
      <c r="D76" s="71"/>
      <c r="E76" s="71"/>
      <c r="F76" s="71" t="s">
        <v>5</v>
      </c>
      <c r="G76" s="72"/>
      <c r="H76" s="117" t="s">
        <v>6</v>
      </c>
      <c r="I76" s="72"/>
      <c r="J76" s="72"/>
      <c r="K76" s="72"/>
      <c r="Z76" s="26"/>
      <c r="AA76" s="26"/>
      <c r="AB76" s="26"/>
      <c r="AO76" s="6" t="s">
        <v>42</v>
      </c>
      <c r="AP76" s="118">
        <v>-0.52500000000000002</v>
      </c>
      <c r="AQ76" s="118">
        <v>0.52500000000000002</v>
      </c>
      <c r="AR76" s="83">
        <v>-0.38700000000000001</v>
      </c>
      <c r="AS76" s="83">
        <v>0.38700000000000001</v>
      </c>
      <c r="AT76" s="83">
        <v>0</v>
      </c>
      <c r="AU76" s="83">
        <v>0.28999999999999998</v>
      </c>
      <c r="AV76" s="83">
        <v>-0.34639999999999999</v>
      </c>
      <c r="AW76" s="83">
        <v>0.11700000000000001</v>
      </c>
    </row>
    <row r="77" spans="1:59" x14ac:dyDescent="0.2">
      <c r="A77" s="90" t="s">
        <v>52</v>
      </c>
      <c r="B77" s="91"/>
      <c r="C77" s="91"/>
      <c r="D77" s="91"/>
      <c r="E77" s="91"/>
      <c r="F77" s="92"/>
      <c r="G77" s="93"/>
      <c r="H77" s="93"/>
      <c r="I77" s="93"/>
      <c r="J77" s="93"/>
      <c r="K77" s="93"/>
      <c r="L77" s="77"/>
      <c r="M77" s="77"/>
      <c r="N77" s="77"/>
      <c r="O77" s="77"/>
      <c r="P77" s="77"/>
      <c r="Q77" s="77"/>
      <c r="R77" s="77"/>
      <c r="S77" s="119"/>
      <c r="T77" s="119"/>
      <c r="U77" s="119"/>
      <c r="V77" s="119"/>
      <c r="W77" s="119"/>
      <c r="X77" s="119"/>
      <c r="Y77" s="119"/>
      <c r="Z77" s="119"/>
      <c r="AA77" s="119"/>
      <c r="AB77" s="119"/>
      <c r="AC77" s="77"/>
      <c r="AD77" s="77"/>
      <c r="AE77" s="77"/>
      <c r="AF77" s="77"/>
      <c r="AG77" s="77"/>
      <c r="AH77" s="77"/>
      <c r="AI77" s="78"/>
      <c r="AM77" s="108">
        <v>1</v>
      </c>
      <c r="AN77" s="80"/>
      <c r="AO77" s="80" t="s">
        <v>156</v>
      </c>
      <c r="AP77" s="80"/>
      <c r="AQ77" s="80"/>
      <c r="AR77" s="80"/>
      <c r="AS77" s="80"/>
      <c r="AT77" s="80">
        <f>IF(DIAG!X44,IF(1-$AM$77+SQRT(3)*(AT76)&gt;1,1,1-$AM$77+SQRT(3)*(AT76)),-1)</f>
        <v>-1</v>
      </c>
      <c r="AU77" s="80">
        <f>IF(DIAG!X44,IF(1-$AM$77+SQRT(3)*(AU76)&gt;1,1,1-$AM$77+SQRT(3)*(AU76)),-1)</f>
        <v>-1</v>
      </c>
      <c r="AV77" s="80"/>
      <c r="AW77" s="80"/>
    </row>
    <row r="78" spans="1:59" ht="15.75" x14ac:dyDescent="0.3">
      <c r="A78" s="27" t="s">
        <v>103</v>
      </c>
      <c r="B78" s="120" t="s">
        <v>104</v>
      </c>
      <c r="C78" s="7" t="s">
        <v>53</v>
      </c>
      <c r="D78" s="7" t="s">
        <v>54</v>
      </c>
      <c r="E78" s="27" t="s">
        <v>103</v>
      </c>
      <c r="F78" s="120" t="s">
        <v>104</v>
      </c>
      <c r="G78" s="27" t="s">
        <v>103</v>
      </c>
      <c r="H78" s="120" t="s">
        <v>104</v>
      </c>
      <c r="N78" s="216" t="s">
        <v>42</v>
      </c>
      <c r="O78" s="210">
        <f>O35</f>
        <v>-0.57735026918962584</v>
      </c>
      <c r="P78" s="210">
        <f>P35</f>
        <v>-0.51961524227066325</v>
      </c>
      <c r="Q78" s="210">
        <f t="shared" ref="Q78:AI78" si="15">Q35</f>
        <v>-0.46188021535170065</v>
      </c>
      <c r="R78" s="210">
        <f t="shared" si="15"/>
        <v>-0.40414518843273811</v>
      </c>
      <c r="S78" s="210">
        <f t="shared" si="15"/>
        <v>-0.34641016151377552</v>
      </c>
      <c r="T78" s="210">
        <f t="shared" si="15"/>
        <v>-0.28867513459481292</v>
      </c>
      <c r="U78" s="210">
        <f t="shared" si="15"/>
        <v>-0.23094010767585038</v>
      </c>
      <c r="V78" s="210">
        <f t="shared" si="15"/>
        <v>-0.17320508075688779</v>
      </c>
      <c r="W78" s="210">
        <f t="shared" si="15"/>
        <v>-0.11547005383792519</v>
      </c>
      <c r="X78" s="210">
        <f t="shared" si="15"/>
        <v>-5.7735026918962595E-2</v>
      </c>
      <c r="Y78" s="210">
        <f t="shared" si="15"/>
        <v>0</v>
      </c>
      <c r="Z78" s="210">
        <f t="shared" si="15"/>
        <v>5.7735026918962595E-2</v>
      </c>
      <c r="AA78" s="210">
        <f t="shared" si="15"/>
        <v>0.11547005383792519</v>
      </c>
      <c r="AB78" s="210">
        <f t="shared" si="15"/>
        <v>0.17320508075688779</v>
      </c>
      <c r="AC78" s="210">
        <f t="shared" si="15"/>
        <v>0.23094010767585038</v>
      </c>
      <c r="AD78" s="210">
        <f t="shared" si="15"/>
        <v>0.28867513459481292</v>
      </c>
      <c r="AE78" s="210">
        <f t="shared" si="15"/>
        <v>0.34641016151377552</v>
      </c>
      <c r="AF78" s="210">
        <f t="shared" si="15"/>
        <v>0.40414518843273811</v>
      </c>
      <c r="AG78" s="210">
        <f t="shared" si="15"/>
        <v>0.46188021535170065</v>
      </c>
      <c r="AH78" s="210">
        <f t="shared" si="15"/>
        <v>0.51961524227066325</v>
      </c>
      <c r="AI78" s="211">
        <f t="shared" si="15"/>
        <v>0.57735026918962584</v>
      </c>
      <c r="AM78" s="108">
        <v>0.4</v>
      </c>
      <c r="AN78" s="80"/>
      <c r="AO78" s="80" t="s">
        <v>156</v>
      </c>
      <c r="AP78" s="80"/>
      <c r="AQ78" s="80"/>
      <c r="AR78" s="80"/>
      <c r="AS78" s="80"/>
      <c r="AT78" s="80"/>
      <c r="AU78" s="80"/>
      <c r="AV78" s="80">
        <f>IF(DIAG!X44,IF(1-$AM$78+SQRT(3)*(AV76)&gt;1,1,1-$AM$78+SQRT(3)*(AV76)),-1)</f>
        <v>-1</v>
      </c>
      <c r="AW78" s="80">
        <f>IF(DIAG!X44,IF(1-$AM$78+SQRT(3)*(AW67)&gt;1,1,1-$AM$78+SQRT(3)*(AW76)),-1)</f>
        <v>-1</v>
      </c>
    </row>
    <row r="79" spans="1:59" x14ac:dyDescent="0.2">
      <c r="A79" s="121">
        <f>VLOOKUP(A78,A236:AE236,DIAG!$T$58+1,0)</f>
        <v>0.12265065297809784</v>
      </c>
      <c r="B79" s="122">
        <f>VLOOKUP(B78,A237:AE237,DIAG!$T$58+1,0)</f>
        <v>0.76037981753863337</v>
      </c>
      <c r="E79" s="121">
        <f>VLOOKUP(E78,A236:AE236,DIAG!$W$56+1,0)</f>
        <v>0.12265065297809784</v>
      </c>
      <c r="F79" s="122">
        <f>VLOOKUP(F78,A237:AE237,DIAG!$W$56+1,0)</f>
        <v>0.76037981753863337</v>
      </c>
      <c r="G79" s="121">
        <f>VLOOKUP(G78,A236:AE236,DIAG!$W$58+1,0)</f>
        <v>0.29465577154195161</v>
      </c>
      <c r="H79" s="122">
        <f>VLOOKUP(H78,A237:AE237,DIAG!$W$58+1,0)</f>
        <v>0.42462523159845034</v>
      </c>
      <c r="N79" s="217" t="s">
        <v>111</v>
      </c>
      <c r="O79" s="212" t="b">
        <f>IF(O83=0,IF($A79&lt;&gt;0,O35,0))</f>
        <v>0</v>
      </c>
      <c r="P79" s="212" t="b">
        <f t="shared" ref="P79:AI79" si="16">IF(P83=0,IF($A79&lt;&gt;0,P35,0))</f>
        <v>0</v>
      </c>
      <c r="Q79" s="212" t="b">
        <f t="shared" si="16"/>
        <v>0</v>
      </c>
      <c r="R79" s="212" t="b">
        <f t="shared" si="16"/>
        <v>0</v>
      </c>
      <c r="S79" s="212" t="b">
        <f t="shared" si="16"/>
        <v>0</v>
      </c>
      <c r="T79" s="212" t="b">
        <f t="shared" si="16"/>
        <v>0</v>
      </c>
      <c r="U79" s="212" t="b">
        <f t="shared" si="16"/>
        <v>0</v>
      </c>
      <c r="V79" s="212" t="b">
        <f t="shared" si="16"/>
        <v>0</v>
      </c>
      <c r="W79" s="212" t="b">
        <f t="shared" si="16"/>
        <v>0</v>
      </c>
      <c r="X79" s="212" t="b">
        <f t="shared" si="16"/>
        <v>0</v>
      </c>
      <c r="Y79" s="212">
        <f t="shared" si="16"/>
        <v>0</v>
      </c>
      <c r="Z79" s="212">
        <f t="shared" si="16"/>
        <v>5.7735026918962595E-2</v>
      </c>
      <c r="AA79" s="212">
        <f t="shared" si="16"/>
        <v>0.11547005383792519</v>
      </c>
      <c r="AB79" s="212">
        <f t="shared" si="16"/>
        <v>0.17320508075688779</v>
      </c>
      <c r="AC79" s="212">
        <f t="shared" si="16"/>
        <v>0.23094010767585038</v>
      </c>
      <c r="AD79" s="212">
        <f t="shared" si="16"/>
        <v>0.28867513459481292</v>
      </c>
      <c r="AE79" s="212">
        <f t="shared" si="16"/>
        <v>0.34641016151377552</v>
      </c>
      <c r="AF79" s="212">
        <f t="shared" si="16"/>
        <v>0.40414518843273811</v>
      </c>
      <c r="AG79" s="212">
        <f t="shared" si="16"/>
        <v>0.46188021535170065</v>
      </c>
      <c r="AH79" s="212">
        <f t="shared" si="16"/>
        <v>0.51961524227066325</v>
      </c>
      <c r="AI79" s="213">
        <f t="shared" si="16"/>
        <v>0.57735026918962584</v>
      </c>
      <c r="AM79" s="109">
        <v>9.0909000000000004E-2</v>
      </c>
      <c r="AN79" s="86"/>
      <c r="AO79" s="86" t="s">
        <v>156</v>
      </c>
      <c r="AP79" s="86">
        <f>IF(DIAG!X44,$AM$79,-1)</f>
        <v>-1</v>
      </c>
      <c r="AQ79" s="86">
        <f>IF(DIAG!X44,$AM$79,-1)</f>
        <v>-1</v>
      </c>
      <c r="AR79" s="86"/>
      <c r="AS79" s="86"/>
      <c r="AT79" s="86"/>
      <c r="AU79" s="86"/>
      <c r="AV79" s="86"/>
      <c r="AW79" s="86"/>
    </row>
    <row r="80" spans="1:59" ht="15.75" x14ac:dyDescent="0.3">
      <c r="A80" s="124">
        <f>-1/SQRT(3)</f>
        <v>-0.57735026918962584</v>
      </c>
      <c r="B80" s="112">
        <v>0</v>
      </c>
      <c r="C80" s="22">
        <f>IFERROR((B80-$F$79)/(A80-$E$79),0)</f>
        <v>1.0862554511841667</v>
      </c>
      <c r="D80" s="22">
        <f>IFERROR((B80*(A80-$E$79)-A80*(B80-$F$79))/(A80-$E$79),0)</f>
        <v>0.62714987714987713</v>
      </c>
      <c r="E80" s="22" t="s">
        <v>5</v>
      </c>
      <c r="F80" s="22"/>
      <c r="N80" s="217" t="s">
        <v>105</v>
      </c>
      <c r="O80" s="212">
        <f>IF(DIAG!$T$55,($C$80*O35+$D$80),-1)</f>
        <v>-1</v>
      </c>
      <c r="P80" s="212">
        <f>IF(DIAG!$T$55,($C$80*P35+$D$80),-1)</f>
        <v>-1</v>
      </c>
      <c r="Q80" s="212">
        <f>IF(DIAG!$T$55,($C$80*Q35+$D$80),-1)</f>
        <v>-1</v>
      </c>
      <c r="R80" s="212">
        <f>IF(DIAG!$T$55,($C$80*R35+$D$80),-1)</f>
        <v>-1</v>
      </c>
      <c r="S80" s="212">
        <f>IF(DIAG!$T$55,($C$80*S35+$D$80),-1)</f>
        <v>-1</v>
      </c>
      <c r="T80" s="212">
        <f>IF(DIAG!$T$55,($C$80*T35+$D$80),-1)</f>
        <v>-1</v>
      </c>
      <c r="U80" s="212">
        <f>IF(DIAG!$T$55,($C$80*U35+$D$80),-1)</f>
        <v>-1</v>
      </c>
      <c r="V80" s="212">
        <f>IF(DIAG!$T$55,($C$80*V35+$D$80),-1)</f>
        <v>-1</v>
      </c>
      <c r="W80" s="212">
        <f>IF(DIAG!$T$55,($C$80*W35+$D$80),-1)</f>
        <v>-1</v>
      </c>
      <c r="X80" s="212">
        <f>IF(DIAG!$T$55,($C$80*X35+$D$80),-1)</f>
        <v>-1</v>
      </c>
      <c r="Y80" s="212">
        <f>IF(DIAG!$T$55,($C$80*Y35+$D$80),-1)</f>
        <v>-1</v>
      </c>
      <c r="Z80" s="212">
        <f>IF(DIAG!$T$55,($C$80*Z35+$D$80),-1)</f>
        <v>-1</v>
      </c>
      <c r="AA80" s="212">
        <f>IF(DIAG!$T$55,($C$80*AA35+$D$80),-1)</f>
        <v>-1</v>
      </c>
      <c r="AB80" s="212">
        <f>IF(DIAG!$T$55,($C$80*AB35+$D$80),-1)</f>
        <v>-1</v>
      </c>
      <c r="AC80" s="212">
        <f>IF(DIAG!$T$55,($C$80*AC35+$D$80),-1)</f>
        <v>-1</v>
      </c>
      <c r="AD80" s="212">
        <f>IF(DIAG!$T$55,($C$80*AD35+$D$80),-1)</f>
        <v>-1</v>
      </c>
      <c r="AE80" s="212">
        <f>IF(DIAG!$T$55,($C$80*AE35+$D$80),-1)</f>
        <v>-1</v>
      </c>
      <c r="AF80" s="212">
        <f>IF(DIAG!$T$55,($C$80*AF35+$D$80),-1)</f>
        <v>-1</v>
      </c>
      <c r="AG80" s="212">
        <f>IF(DIAG!$T$55,($C$80*AG35+$D$80),-1)</f>
        <v>-1</v>
      </c>
      <c r="AH80" s="212">
        <f>IF(DIAG!$T$55,($C$80*AH35+$D$80),-1)</f>
        <v>-1</v>
      </c>
      <c r="AI80" s="213">
        <f>IF(DIAG!$T$55,($C$80*AI35+$D$80),-1)</f>
        <v>-1</v>
      </c>
      <c r="AM80" s="109">
        <v>0.33333000000000002</v>
      </c>
      <c r="AN80" s="86"/>
      <c r="AO80" s="86" t="s">
        <v>156</v>
      </c>
      <c r="AP80" s="86"/>
      <c r="AQ80" s="86"/>
      <c r="AR80" s="86">
        <f>IF(DIAG!X44,$AM$80,-1)</f>
        <v>-1</v>
      </c>
      <c r="AS80" s="86">
        <f>IF(DIAG!X44,$AM$80,-1)</f>
        <v>-1</v>
      </c>
      <c r="AT80" s="86"/>
      <c r="AU80" s="86"/>
      <c r="AV80" s="86"/>
      <c r="AW80" s="86"/>
    </row>
    <row r="81" spans="1:35" ht="15.75" x14ac:dyDescent="0.3">
      <c r="A81" s="124">
        <f>1/SQRT(3)</f>
        <v>0.57735026918962584</v>
      </c>
      <c r="B81" s="112">
        <v>0</v>
      </c>
      <c r="C81" s="22">
        <f>(B81-$H$79)/(A81-$G$79)</f>
        <v>-1.5020640130310077</v>
      </c>
      <c r="D81" s="22">
        <f>(B81*(A81-$G$79)-A81*(B81-$H$79))/(A81-$G$79)</f>
        <v>0.86721706226350204</v>
      </c>
      <c r="E81" s="22" t="s">
        <v>6</v>
      </c>
      <c r="N81" s="217" t="s">
        <v>106</v>
      </c>
      <c r="O81" s="212">
        <f>IF(DIAG!$T$56,($C$81*O35+$D$81),-1)</f>
        <v>-1</v>
      </c>
      <c r="P81" s="212">
        <f>IF(DIAG!$T$56,($C$81*P35+$D$81),-1)</f>
        <v>-1</v>
      </c>
      <c r="Q81" s="212">
        <f>IF(DIAG!$T$56,($C$81*Q35+$D$81),-1)</f>
        <v>-1</v>
      </c>
      <c r="R81" s="212">
        <f>IF(DIAG!$T$56,($C$81*R35+$D$81),-1)</f>
        <v>-1</v>
      </c>
      <c r="S81" s="212">
        <f>IF(DIAG!$T$56,($C$81*S35+$D$81),-1)</f>
        <v>-1</v>
      </c>
      <c r="T81" s="212">
        <f>IF(DIAG!$T$56,($C$81*T35+$D$81),-1)</f>
        <v>-1</v>
      </c>
      <c r="U81" s="212">
        <f>IF(DIAG!$T$56,($C$81*U35+$D$81),-1)</f>
        <v>-1</v>
      </c>
      <c r="V81" s="212">
        <f>IF(DIAG!$T$56,($C$81*V35+$D$81),-1)</f>
        <v>-1</v>
      </c>
      <c r="W81" s="212">
        <f>IF(DIAG!$T$56,($C$81*W35+$D$81),-1)</f>
        <v>-1</v>
      </c>
      <c r="X81" s="212">
        <f>IF(DIAG!$T$56,($C$81*X35+$D$81),-1)</f>
        <v>-1</v>
      </c>
      <c r="Y81" s="212">
        <f>IF(DIAG!$T$56,($C$81*Y35+$D$81),-1)</f>
        <v>-1</v>
      </c>
      <c r="Z81" s="212">
        <f>IF(DIAG!$T$56,($C$81*Z35+$D$81),-1)</f>
        <v>-1</v>
      </c>
      <c r="AA81" s="212">
        <f>IF(DIAG!$T$56,($C$81*AA35+$D$81),-1)</f>
        <v>-1</v>
      </c>
      <c r="AB81" s="212">
        <f>IF(DIAG!$T$56,($C$81*AB35+$D$81),-1)</f>
        <v>-1</v>
      </c>
      <c r="AC81" s="212">
        <f>IF(DIAG!$T$56,($C$81*AC35+$D$81),-1)</f>
        <v>-1</v>
      </c>
      <c r="AD81" s="212">
        <f>IF(DIAG!$T$56,($C$81*AD35+$D$81),-1)</f>
        <v>-1</v>
      </c>
      <c r="AE81" s="212">
        <f>IF(DIAG!$T$56,($C$81*AE35+$D$81),-1)</f>
        <v>-1</v>
      </c>
      <c r="AF81" s="212">
        <f>IF(DIAG!$T$56,($C$81*AF35+$D$81),-1)</f>
        <v>-1</v>
      </c>
      <c r="AG81" s="212">
        <f>IF(DIAG!$T$56,($C$81*AG35+$D$81),-1)</f>
        <v>-1</v>
      </c>
      <c r="AH81" s="212">
        <f>IF(DIAG!$T$56,($C$81*AH35+$D$81),-1)</f>
        <v>-1</v>
      </c>
      <c r="AI81" s="213">
        <f>IF(DIAG!$T$56,($C$81*AI35+$D$81),-1)</f>
        <v>-1</v>
      </c>
    </row>
    <row r="82" spans="1:35" ht="15.75" x14ac:dyDescent="0.3">
      <c r="A82" s="125">
        <v>0</v>
      </c>
      <c r="B82" s="126">
        <v>1</v>
      </c>
      <c r="C82" s="22">
        <f>(B82-$B$79)/(A82-$A$79)</f>
        <v>-1.953680446398899</v>
      </c>
      <c r="D82" s="22">
        <f>(B82*(A82-$A$79)-A82*(B82-$B$79))/(A82-$A$79)</f>
        <v>1</v>
      </c>
      <c r="E82" s="22" t="s">
        <v>4</v>
      </c>
      <c r="N82" s="217" t="s">
        <v>107</v>
      </c>
      <c r="O82" s="212">
        <f>IFERROR(IF(DIAG!$T$54,IF(($C$82*O35+$D$82)&gt;1,1,($C$82*O35+$D$82)),-1),-3)</f>
        <v>-1</v>
      </c>
      <c r="P82" s="212">
        <f>IFERROR(IF(DIAG!$T$54,IF(($C$82*P35+$D$82)&gt;1,1,($C$82*P35+$D$82)),-1),-3)</f>
        <v>-1</v>
      </c>
      <c r="Q82" s="212">
        <f>IFERROR(IF(DIAG!$T$54,IF(($C$82*Q35+$D$82)&gt;1,1,($C$82*Q35+$D$82)),-1),-3)</f>
        <v>-1</v>
      </c>
      <c r="R82" s="212">
        <f>IFERROR(IF(DIAG!$T$54,IF(($C$82*R35+$D$82)&gt;1,1,($C$82*R35+$D$82)),-1),-3)</f>
        <v>-1</v>
      </c>
      <c r="S82" s="212">
        <f>IFERROR(IF(DIAG!$T$54,IF(($C$82*S35+$D$82)&gt;1,1,($C$82*S35+$D$82)),-1),-3)</f>
        <v>-1</v>
      </c>
      <c r="T82" s="212">
        <f>IFERROR(IF(DIAG!$T$54,IF(($C$82*T35+$D$82)&gt;1,1,($C$82*T35+$D$82)),-1),-3)</f>
        <v>-1</v>
      </c>
      <c r="U82" s="212">
        <f>IFERROR(IF(DIAG!$T$54,IF(($C$82*U35+$D$82)&gt;1,1,($C$82*U35+$D$82)),-1),-3)</f>
        <v>-1</v>
      </c>
      <c r="V82" s="212">
        <f>IFERROR(IF(DIAG!$T$54,IF(($C$82*V35+$D$82)&gt;1,1,($C$82*V35+$D$82)),-1),-3)</f>
        <v>-1</v>
      </c>
      <c r="W82" s="212">
        <f>IFERROR(IF(DIAG!$T$54,IF(($C$82*W35+$D$82)&gt;1,1,($C$82*W35+$D$82)),-1),-3)</f>
        <v>-1</v>
      </c>
      <c r="X82" s="212">
        <f>IFERROR(IF(DIAG!$T$54,IF(($C$82*X35+$D$82)&gt;1,1,($C$82*X35+$D$82)),-1),-3)</f>
        <v>-1</v>
      </c>
      <c r="Y82" s="212">
        <f>IFERROR(IF(DIAG!$T$54,IF(($C$82*Y35+$D$82)&gt;1,1,($C$82*Y35+$D$82)),-1),-3)</f>
        <v>-1</v>
      </c>
      <c r="Z82" s="212">
        <f>IFERROR(IF(DIAG!$T$54,IF(($C$82*Z35+$D$82)&gt;1,1,($C$82*Z35+$D$82)),-1),-3)</f>
        <v>-1</v>
      </c>
      <c r="AA82" s="212">
        <f>IFERROR(IF(DIAG!$T$54,IF(($C$82*AA35+$D$82)&gt;1,1,($C$82*AA35+$D$82)),-1),-3)</f>
        <v>-1</v>
      </c>
      <c r="AB82" s="212">
        <f>IFERROR(IF(DIAG!$T$54,IF(($C$82*AB35+$D$82)&gt;1,1,($C$82*AB35+$D$82)),-1),-3)</f>
        <v>-1</v>
      </c>
      <c r="AC82" s="212">
        <f>IFERROR(IF(DIAG!$T$54,IF(($C$82*AC35+$D$82)&gt;1,1,($C$82*AC35+$D$82)),-1),-3)</f>
        <v>-1</v>
      </c>
      <c r="AD82" s="212">
        <f>IFERROR(IF(DIAG!$T$54,IF(($C$82*AD35+$D$82)&gt;1,1,($C$82*AD35+$D$82)),-1),-3)</f>
        <v>-1</v>
      </c>
      <c r="AE82" s="212">
        <f>IFERROR(IF(DIAG!$T$54,IF(($C$82*AE35+$D$82)&gt;1,1,($C$82*AE35+$D$82)),-1),-3)</f>
        <v>-1</v>
      </c>
      <c r="AF82" s="212">
        <f>IFERROR(IF(DIAG!$T$54,IF(($C$82*AF35+$D$82)&gt;1,1,($C$82*AF35+$D$82)),-1),-3)</f>
        <v>-1</v>
      </c>
      <c r="AG82" s="212">
        <f>IFERROR(IF(DIAG!$T$54,IF(($C$82*AG35+$D$82)&gt;1,1,($C$82*AG35+$D$82)),-1),-3)</f>
        <v>-1</v>
      </c>
      <c r="AH82" s="212">
        <f>IFERROR(IF(DIAG!$T$54,IF(($C$82*AH35+$D$82)&gt;1,1,($C$82*AH35+$D$82)),-1),-3)</f>
        <v>-1</v>
      </c>
      <c r="AI82" s="213">
        <f>IFERROR(IF(DIAG!$T$54,IF(($C$82*AI35+$D$82)&gt;1,1,($C$82*AI35+$D$82)),-1),-3)</f>
        <v>-1</v>
      </c>
    </row>
    <row r="83" spans="1:35" x14ac:dyDescent="0.2">
      <c r="A83" s="127">
        <f>B83+1</f>
        <v>2</v>
      </c>
      <c r="B83" s="7">
        <v>1</v>
      </c>
      <c r="E83" s="22"/>
      <c r="N83" s="218" t="s">
        <v>158</v>
      </c>
      <c r="O83" s="214">
        <f>IF(($C$82*O35+$D$82)&gt;1,1,0)</f>
        <v>1</v>
      </c>
      <c r="P83" s="214">
        <f t="shared" ref="P83:AI83" si="17">IF(($C$82*P35+$D$82)&gt;1,1,0)</f>
        <v>1</v>
      </c>
      <c r="Q83" s="214">
        <f t="shared" si="17"/>
        <v>1</v>
      </c>
      <c r="R83" s="214">
        <f t="shared" si="17"/>
        <v>1</v>
      </c>
      <c r="S83" s="214">
        <f t="shared" si="17"/>
        <v>1</v>
      </c>
      <c r="T83" s="214">
        <f t="shared" si="17"/>
        <v>1</v>
      </c>
      <c r="U83" s="214">
        <f t="shared" si="17"/>
        <v>1</v>
      </c>
      <c r="V83" s="214">
        <f t="shared" si="17"/>
        <v>1</v>
      </c>
      <c r="W83" s="214">
        <f t="shared" si="17"/>
        <v>1</v>
      </c>
      <c r="X83" s="214">
        <f t="shared" si="17"/>
        <v>1</v>
      </c>
      <c r="Y83" s="214">
        <f t="shared" si="17"/>
        <v>0</v>
      </c>
      <c r="Z83" s="214">
        <f t="shared" si="17"/>
        <v>0</v>
      </c>
      <c r="AA83" s="214">
        <f t="shared" si="17"/>
        <v>0</v>
      </c>
      <c r="AB83" s="214">
        <f t="shared" si="17"/>
        <v>0</v>
      </c>
      <c r="AC83" s="214">
        <f t="shared" si="17"/>
        <v>0</v>
      </c>
      <c r="AD83" s="214">
        <f t="shared" si="17"/>
        <v>0</v>
      </c>
      <c r="AE83" s="214">
        <f t="shared" si="17"/>
        <v>0</v>
      </c>
      <c r="AF83" s="214">
        <f t="shared" si="17"/>
        <v>0</v>
      </c>
      <c r="AG83" s="214">
        <f t="shared" si="17"/>
        <v>0</v>
      </c>
      <c r="AH83" s="214">
        <f t="shared" si="17"/>
        <v>0</v>
      </c>
      <c r="AI83" s="215">
        <f t="shared" si="17"/>
        <v>0</v>
      </c>
    </row>
    <row r="84" spans="1:35" x14ac:dyDescent="0.2">
      <c r="A84" s="96"/>
      <c r="B84" s="7">
        <v>2</v>
      </c>
      <c r="C84" s="7">
        <v>3</v>
      </c>
      <c r="D84" s="7">
        <v>4</v>
      </c>
      <c r="E84" s="7">
        <v>5</v>
      </c>
      <c r="F84" s="7">
        <v>6</v>
      </c>
      <c r="G84" s="7">
        <v>7</v>
      </c>
      <c r="L84" s="7"/>
      <c r="AI84" s="123"/>
    </row>
    <row r="85" spans="1:35" x14ac:dyDescent="0.2">
      <c r="A85" s="96"/>
      <c r="L85" s="6">
        <v>8</v>
      </c>
      <c r="AI85" s="123"/>
    </row>
    <row r="86" spans="1:35" x14ac:dyDescent="0.2">
      <c r="A86" s="96"/>
      <c r="D86" s="6">
        <v>1</v>
      </c>
      <c r="E86" s="6">
        <v>2</v>
      </c>
      <c r="AI86" s="123"/>
    </row>
    <row r="87" spans="1:35" x14ac:dyDescent="0.2">
      <c r="A87" s="96"/>
      <c r="B87" s="128" t="s">
        <v>4</v>
      </c>
      <c r="C87" s="129" t="s">
        <v>50</v>
      </c>
      <c r="D87" s="130">
        <f ca="1">IF(D90=0,0,D90)</f>
        <v>1.7889727407536055E-2</v>
      </c>
      <c r="E87" s="131">
        <f ca="1">IFERROR(E91,0)</f>
        <v>-0.15529459882761326</v>
      </c>
      <c r="G87" s="128" t="s">
        <v>6</v>
      </c>
      <c r="H87" s="129"/>
      <c r="I87" s="129"/>
      <c r="J87" s="129"/>
      <c r="K87" s="129"/>
      <c r="L87" s="129" t="s">
        <v>50</v>
      </c>
      <c r="M87" s="130">
        <f ca="1">IF(M90=0,0,M90)</f>
        <v>2.6995039665823179E-3</v>
      </c>
      <c r="N87" s="131">
        <f ca="1">IFERROR(N91,0)</f>
        <v>-3.1741666321024653E-2</v>
      </c>
      <c r="P87" s="132" t="s">
        <v>5</v>
      </c>
      <c r="Q87" s="77" t="s">
        <v>50</v>
      </c>
      <c r="R87" s="130">
        <f ca="1">IF(R90=0,0,R90)</f>
        <v>0</v>
      </c>
      <c r="S87" s="131">
        <f ca="1">IFERROR(S91,0)</f>
        <v>0</v>
      </c>
      <c r="AI87" s="123"/>
    </row>
    <row r="88" spans="1:35" x14ac:dyDescent="0.2">
      <c r="A88" s="96"/>
      <c r="B88" s="133"/>
      <c r="C88" s="134" t="s">
        <v>51</v>
      </c>
      <c r="D88" s="135">
        <f ca="1">IFERROR((C80*D87+D80),0)</f>
        <v>0.64658269106651201</v>
      </c>
      <c r="E88" s="136">
        <f ca="1">IFERROR((C80*E87+D80),0)</f>
        <v>0.45846027263392397</v>
      </c>
      <c r="G88" s="133"/>
      <c r="H88" s="134"/>
      <c r="I88" s="134"/>
      <c r="J88" s="134"/>
      <c r="K88" s="134"/>
      <c r="L88" s="134" t="s">
        <v>51</v>
      </c>
      <c r="M88" s="135">
        <f ca="1">IFERROR((C81*M87+D81),0)</f>
        <v>0.86316223450226426</v>
      </c>
      <c r="N88" s="136">
        <f ca="1">IFERROR((C81*N87+D81),0)</f>
        <v>0.91489507695795147</v>
      </c>
      <c r="P88" s="96"/>
      <c r="Q88" s="6" t="s">
        <v>51</v>
      </c>
      <c r="R88" s="26">
        <f ca="1">IFERROR((C82*R87+D82),0)</f>
        <v>1</v>
      </c>
      <c r="S88" s="84">
        <f ca="1">IFERROR((C82*S87+D82),0)</f>
        <v>1</v>
      </c>
      <c r="AI88" s="123"/>
    </row>
    <row r="89" spans="1:35" x14ac:dyDescent="0.2">
      <c r="A89" s="96"/>
      <c r="B89" s="133"/>
      <c r="C89" s="134"/>
      <c r="D89" s="135"/>
      <c r="E89" s="136"/>
      <c r="G89" s="133"/>
      <c r="H89" s="134"/>
      <c r="I89" s="134"/>
      <c r="J89" s="134"/>
      <c r="K89" s="134"/>
      <c r="L89" s="134"/>
      <c r="M89" s="135"/>
      <c r="N89" s="136"/>
      <c r="P89" s="96"/>
      <c r="R89" s="135"/>
      <c r="S89" s="136"/>
      <c r="AI89" s="123"/>
    </row>
    <row r="90" spans="1:35" x14ac:dyDescent="0.2">
      <c r="A90" s="96"/>
      <c r="B90" s="133" t="s">
        <v>7</v>
      </c>
      <c r="C90" s="134" t="s">
        <v>55</v>
      </c>
      <c r="D90" s="135">
        <f ca="1">IF(((SQRT(D88^2-2*D88+5)-2)/SQRT(3))=0,0,((SQRT(D88^2-2*D88+5)-2)/SQRT(3)))</f>
        <v>1.7889727407536308E-2</v>
      </c>
      <c r="E90" s="136"/>
      <c r="G90" s="133" t="s">
        <v>7</v>
      </c>
      <c r="H90" s="134"/>
      <c r="I90" s="134"/>
      <c r="J90" s="134"/>
      <c r="K90" s="134"/>
      <c r="L90" s="134" t="s">
        <v>55</v>
      </c>
      <c r="M90" s="135">
        <f ca="1">IF(((SQRT(M88^2-2*M88+5)-2)/SQRT(3))=0,0,((SQRT(M88^2-2*M88+5)-2)/SQRT(3)))</f>
        <v>2.6995039665823179E-3</v>
      </c>
      <c r="N90" s="136"/>
      <c r="P90" s="96" t="s">
        <v>7</v>
      </c>
      <c r="Q90" s="6" t="s">
        <v>55</v>
      </c>
      <c r="R90" s="135">
        <f ca="1">IF(((SQRT(R88^2-2*R88+5)-2)/SQRT(3))=0,0,((SQRT(R88^2-2*R88+5)-2)/SQRT(3)))</f>
        <v>0</v>
      </c>
      <c r="S90" s="136"/>
      <c r="AI90" s="123"/>
    </row>
    <row r="91" spans="1:35" x14ac:dyDescent="0.2">
      <c r="A91" s="96"/>
      <c r="B91" s="133" t="s">
        <v>8</v>
      </c>
      <c r="C91" s="134" t="s">
        <v>56</v>
      </c>
      <c r="D91" s="135"/>
      <c r="E91" s="136">
        <f ca="1">IFERROR((SQRT(25*E88^2-10*E88+21)-6)/(5*SQRT(3)),0)</f>
        <v>-0.15529459882761326</v>
      </c>
      <c r="G91" s="133" t="s">
        <v>8</v>
      </c>
      <c r="H91" s="134"/>
      <c r="I91" s="134"/>
      <c r="J91" s="134"/>
      <c r="K91" s="134"/>
      <c r="L91" s="134" t="s">
        <v>56</v>
      </c>
      <c r="M91" s="135"/>
      <c r="N91" s="136">
        <f ca="1">IFERROR((SQRT(25*N88^2-10*N88+21)-6)/(5*SQRT(3)),0)</f>
        <v>-3.1741666321024653E-2</v>
      </c>
      <c r="P91" s="96" t="s">
        <v>8</v>
      </c>
      <c r="Q91" s="6" t="s">
        <v>56</v>
      </c>
      <c r="R91" s="135"/>
      <c r="S91" s="136">
        <f ca="1">IFERROR((SQRT(25*S88^2-10*S88+21)-6)/(5*SQRT(3)),0)</f>
        <v>0</v>
      </c>
      <c r="AI91" s="123"/>
    </row>
    <row r="92" spans="1:35" x14ac:dyDescent="0.2">
      <c r="A92" s="96"/>
      <c r="B92" s="137" t="s">
        <v>57</v>
      </c>
      <c r="C92" s="138"/>
      <c r="D92" s="141">
        <f ca="1">IFERROR(SQRT((D87-E87)^2+(D88-E88)^2),0)</f>
        <v>0.25570071405932437</v>
      </c>
      <c r="E92" s="140"/>
      <c r="G92" s="137" t="s">
        <v>57</v>
      </c>
      <c r="H92" s="138"/>
      <c r="I92" s="138"/>
      <c r="J92" s="138"/>
      <c r="K92" s="138"/>
      <c r="L92" s="138"/>
      <c r="M92" s="141">
        <f ca="1">IFERROR(SQRT((M87-N87)^2+(M88-N88)^2),0)</f>
        <v>6.2148863218283362E-2</v>
      </c>
      <c r="N92" s="140"/>
      <c r="P92" s="99" t="s">
        <v>57</v>
      </c>
      <c r="Q92" s="25"/>
      <c r="R92" s="141">
        <f ca="1">IFERROR(SQRT((R87-S87)^2+(R88-S88)^2),0)</f>
        <v>0</v>
      </c>
      <c r="S92" s="140"/>
      <c r="AI92" s="123"/>
    </row>
    <row r="93" spans="1:35" x14ac:dyDescent="0.2">
      <c r="A93" s="96"/>
      <c r="D93" s="6">
        <v>3</v>
      </c>
      <c r="E93" s="6">
        <v>0</v>
      </c>
      <c r="M93" s="6">
        <v>3</v>
      </c>
      <c r="N93" s="6">
        <v>0</v>
      </c>
      <c r="R93" s="6">
        <v>3</v>
      </c>
      <c r="S93" s="6">
        <v>0</v>
      </c>
      <c r="AI93" s="123"/>
    </row>
    <row r="94" spans="1:35" x14ac:dyDescent="0.2">
      <c r="A94" s="96"/>
      <c r="B94" s="128" t="s">
        <v>4</v>
      </c>
      <c r="C94" s="129" t="s">
        <v>50</v>
      </c>
      <c r="D94" s="130">
        <f ca="1">IFERROR(D97,0)</f>
        <v>0.13229581479732086</v>
      </c>
      <c r="E94" s="131">
        <f>-1/SQRT(3)</f>
        <v>-0.57735026918962584</v>
      </c>
      <c r="G94" s="128" t="s">
        <v>6</v>
      </c>
      <c r="H94" s="129"/>
      <c r="I94" s="129"/>
      <c r="J94" s="129"/>
      <c r="K94" s="129"/>
      <c r="L94" s="129" t="s">
        <v>50</v>
      </c>
      <c r="M94" s="130">
        <f ca="1">IFERROR(M97,0)</f>
        <v>0.57735026918962584</v>
      </c>
      <c r="N94" s="131">
        <f>-1/SQRT(3)</f>
        <v>-0.57735026918962584</v>
      </c>
      <c r="P94" s="132" t="s">
        <v>5</v>
      </c>
      <c r="Q94" s="77" t="s">
        <v>50</v>
      </c>
      <c r="R94" s="130">
        <f ca="1">IFERROR(R97,0)</f>
        <v>2.7320508075688772</v>
      </c>
      <c r="S94" s="131">
        <f>-1/SQRT(3)</f>
        <v>-0.57735026918962584</v>
      </c>
      <c r="AI94" s="123"/>
    </row>
    <row r="95" spans="1:35" x14ac:dyDescent="0.2">
      <c r="A95" s="96"/>
      <c r="B95" s="133"/>
      <c r="C95" s="134" t="s">
        <v>51</v>
      </c>
      <c r="D95" s="135">
        <f ca="1">IFERROR((C80*D94+D80),0)</f>
        <v>0.77085692714231779</v>
      </c>
      <c r="E95" s="136">
        <v>0</v>
      </c>
      <c r="G95" s="133"/>
      <c r="H95" s="134"/>
      <c r="I95" s="134"/>
      <c r="J95" s="134"/>
      <c r="K95" s="134"/>
      <c r="L95" s="134" t="s">
        <v>51</v>
      </c>
      <c r="M95" s="135">
        <f ca="1">IFERROR((L80*M94+M80),0)</f>
        <v>0</v>
      </c>
      <c r="N95" s="136">
        <v>0</v>
      </c>
      <c r="P95" s="96"/>
      <c r="Q95" s="6" t="s">
        <v>51</v>
      </c>
      <c r="R95" s="135">
        <f ca="1">IFERROR((Q80*R94+R80),0)</f>
        <v>-3.7320508075688772</v>
      </c>
      <c r="S95" s="136">
        <v>0</v>
      </c>
      <c r="AI95" s="123"/>
    </row>
    <row r="96" spans="1:35" x14ac:dyDescent="0.2">
      <c r="A96" s="96"/>
      <c r="B96" s="133"/>
      <c r="C96" s="134"/>
      <c r="D96" s="135"/>
      <c r="E96" s="136"/>
      <c r="G96" s="133"/>
      <c r="H96" s="134"/>
      <c r="I96" s="134"/>
      <c r="J96" s="134"/>
      <c r="K96" s="134"/>
      <c r="L96" s="134"/>
      <c r="M96" s="135"/>
      <c r="N96" s="136"/>
      <c r="P96" s="96"/>
      <c r="R96" s="135"/>
      <c r="S96" s="136"/>
      <c r="AI96" s="123"/>
    </row>
    <row r="97" spans="1:35" x14ac:dyDescent="0.2">
      <c r="A97" s="96"/>
      <c r="B97" s="133" t="s">
        <v>4</v>
      </c>
      <c r="C97" s="134" t="s">
        <v>55</v>
      </c>
      <c r="D97" s="135">
        <f ca="1">IFERROR(((1-D95)/SQRT(3)),0)</f>
        <v>0.13229581479732086</v>
      </c>
      <c r="E97" s="136"/>
      <c r="G97" s="133" t="s">
        <v>6</v>
      </c>
      <c r="H97" s="134"/>
      <c r="I97" s="134"/>
      <c r="J97" s="134"/>
      <c r="K97" s="134"/>
      <c r="L97" s="134" t="s">
        <v>55</v>
      </c>
      <c r="M97" s="135">
        <f ca="1">IFERROR(((1-M95)/SQRT(3)),0)</f>
        <v>0.57735026918962584</v>
      </c>
      <c r="N97" s="136"/>
      <c r="P97" s="96" t="s">
        <v>5</v>
      </c>
      <c r="Q97" s="6" t="s">
        <v>58</v>
      </c>
      <c r="R97" s="135">
        <f ca="1">IFERROR(((1-R95)/SQRT(3)),0)</f>
        <v>2.7320508075688772</v>
      </c>
      <c r="S97" s="136"/>
      <c r="AI97" s="123"/>
    </row>
    <row r="98" spans="1:35" x14ac:dyDescent="0.2">
      <c r="A98" s="96"/>
      <c r="B98" s="137" t="s">
        <v>57</v>
      </c>
      <c r="C98" s="138"/>
      <c r="D98" s="139">
        <f ca="1">IFERROR((SQRT((D94-E94)^2+(D95-E95)^2)),0)</f>
        <v>1.0477680881957159</v>
      </c>
      <c r="E98" s="140"/>
      <c r="G98" s="137" t="s">
        <v>57</v>
      </c>
      <c r="H98" s="138"/>
      <c r="I98" s="138"/>
      <c r="J98" s="138"/>
      <c r="K98" s="138"/>
      <c r="L98" s="138"/>
      <c r="M98" s="139">
        <f ca="1">IFERROR((SQRT((M94-N94)^2+(M95-N95)^2)),0)</f>
        <v>1.1547005383792517</v>
      </c>
      <c r="N98" s="140"/>
      <c r="P98" s="99" t="s">
        <v>57</v>
      </c>
      <c r="Q98" s="25"/>
      <c r="R98" s="139">
        <f ca="1">IFERROR((SQRT((R94-S94)^2+(R95-S95)^2)),0)</f>
        <v>4.9880195185189331</v>
      </c>
      <c r="S98" s="140"/>
      <c r="W98" s="6">
        <f ca="1">IFERROR((SQRT(25*E88^2-10*E88+21)-6)/(5*SQRT(3)),0)</f>
        <v>-0.15529459882761326</v>
      </c>
      <c r="AI98" s="123"/>
    </row>
    <row r="99" spans="1:35" x14ac:dyDescent="0.2">
      <c r="A99" s="96"/>
      <c r="G99" s="6"/>
      <c r="H99" s="6"/>
      <c r="I99" s="6"/>
      <c r="J99" s="6"/>
      <c r="K99" s="6"/>
      <c r="AI99" s="123"/>
    </row>
    <row r="100" spans="1:35" x14ac:dyDescent="0.2">
      <c r="A100" s="96"/>
      <c r="B100" s="128" t="s">
        <v>59</v>
      </c>
      <c r="C100" s="129"/>
      <c r="D100" s="142">
        <f ca="1">IFERROR(D92/D98,0)</f>
        <v>0.24404323527322511</v>
      </c>
      <c r="E100" s="143"/>
      <c r="G100" s="128" t="s">
        <v>114</v>
      </c>
      <c r="H100" s="129"/>
      <c r="I100" s="129"/>
      <c r="J100" s="129"/>
      <c r="K100" s="129"/>
      <c r="L100" s="129"/>
      <c r="M100" s="142">
        <f ca="1">IFERROR(M92/M98,0)</f>
        <v>5.382249436335769E-2</v>
      </c>
      <c r="N100" s="143"/>
      <c r="P100" s="6" t="s">
        <v>60</v>
      </c>
      <c r="R100" s="142">
        <f ca="1">IFERROR(R92/R98,0)</f>
        <v>0</v>
      </c>
      <c r="S100" s="143"/>
      <c r="AI100" s="123"/>
    </row>
    <row r="101" spans="1:35" x14ac:dyDescent="0.2">
      <c r="A101" s="96"/>
      <c r="B101" s="133"/>
      <c r="C101" s="134"/>
      <c r="D101" s="144" t="s">
        <v>33</v>
      </c>
      <c r="E101" s="145" t="s">
        <v>35</v>
      </c>
      <c r="G101" s="146"/>
      <c r="H101" s="144"/>
      <c r="I101" s="144"/>
      <c r="J101" s="144"/>
      <c r="K101" s="144"/>
      <c r="L101" s="134"/>
      <c r="M101" s="144" t="s">
        <v>33</v>
      </c>
      <c r="N101" s="145" t="s">
        <v>35</v>
      </c>
      <c r="R101" s="144" t="s">
        <v>33</v>
      </c>
      <c r="S101" s="145" t="s">
        <v>35</v>
      </c>
      <c r="AI101" s="123"/>
    </row>
    <row r="102" spans="1:35" x14ac:dyDescent="0.2">
      <c r="A102" s="96"/>
      <c r="B102" s="133"/>
      <c r="C102" s="134"/>
      <c r="D102" s="134">
        <f ca="1">IFERROR((SQRT((E87-E94)^2+(E88-E95)^2)),0)</f>
        <v>0.62315071248318388</v>
      </c>
      <c r="E102" s="147">
        <f ca="1">IFERROR(SQRT((D87-D94)^2+(D88-D95)^2),0)</f>
        <v>0.16891666165320751</v>
      </c>
      <c r="G102" s="146"/>
      <c r="H102" s="144"/>
      <c r="I102" s="144"/>
      <c r="J102" s="144"/>
      <c r="K102" s="144"/>
      <c r="L102" s="134"/>
      <c r="M102" s="134">
        <f ca="1">IFERROR((SQRT((N87-N94)^2+(N88-N95)^2)),0)</f>
        <v>1.0652331901354384</v>
      </c>
      <c r="N102" s="147">
        <f ca="1">IFERROR(SQRT((M87-M94)^2+(M88-M95)^2),0)</f>
        <v>1.0369534922272894</v>
      </c>
      <c r="R102" s="134">
        <f ca="1">IFERROR((SQRT((S87-S94)^2+(S88-S95)^2)),0)</f>
        <v>1.1547005383792517</v>
      </c>
      <c r="S102" s="147">
        <f ca="1">IFERROR(SQRT((R87-R94)^2+(R88-R95)^2),0)</f>
        <v>5.4641016151377535</v>
      </c>
      <c r="AI102" s="123"/>
    </row>
    <row r="103" spans="1:35" x14ac:dyDescent="0.2">
      <c r="A103" s="96"/>
      <c r="B103" s="137"/>
      <c r="C103" s="138"/>
      <c r="D103" s="148">
        <f ca="1">IFERROR(D102/D98,0)</f>
        <v>0.59474106866173582</v>
      </c>
      <c r="E103" s="149">
        <f ca="1">IFERROR(E102/D98,0)</f>
        <v>0.16121569606503899</v>
      </c>
      <c r="G103" s="150"/>
      <c r="H103" s="151"/>
      <c r="I103" s="151"/>
      <c r="J103" s="151"/>
      <c r="K103" s="151"/>
      <c r="L103" s="138"/>
      <c r="M103" s="148">
        <f ca="1">IFERROR(M102/M98,0)</f>
        <v>0.92251900361162864</v>
      </c>
      <c r="N103" s="149">
        <f ca="1">IFERROR(N102/M98,0)</f>
        <v>0.8980280668118219</v>
      </c>
      <c r="R103" s="148">
        <f ca="1">IFERROR(R102/R98,0)</f>
        <v>0.23149479148832822</v>
      </c>
      <c r="S103" s="149">
        <f ca="1">IFERROR(S102/R98,0)</f>
        <v>1.0954451150103319</v>
      </c>
      <c r="AI103" s="123"/>
    </row>
    <row r="104" spans="1:35" x14ac:dyDescent="0.2">
      <c r="A104" s="96"/>
      <c r="AI104" s="123"/>
    </row>
    <row r="105" spans="1:35" x14ac:dyDescent="0.2">
      <c r="A105" s="96"/>
      <c r="D105" s="152">
        <f ca="1">IFERROR((D100+D103+E103),0)</f>
        <v>1</v>
      </c>
      <c r="M105" s="152">
        <f ca="1">IFERROR((M100+M103+N103),0)</f>
        <v>1.8743695647868082</v>
      </c>
      <c r="R105" s="152">
        <f ca="1">IFERROR((R100+R103+S103),0)</f>
        <v>1.3269399064986602</v>
      </c>
      <c r="AI105" s="123"/>
    </row>
    <row r="106" spans="1:35" x14ac:dyDescent="0.2">
      <c r="A106" s="96"/>
      <c r="AI106" s="123"/>
    </row>
    <row r="107" spans="1:35" x14ac:dyDescent="0.2">
      <c r="A107" s="96"/>
      <c r="AI107" s="123"/>
    </row>
    <row r="108" spans="1:35" x14ac:dyDescent="0.2">
      <c r="A108" s="96"/>
      <c r="D108" s="103">
        <f ca="1">IFERROR(LOG(100*E103),0)</f>
        <v>1.2074073227208297</v>
      </c>
      <c r="M108" s="103">
        <f ca="1">IFERROR(LOG(100*N103),0)</f>
        <v>1.9532899102430463</v>
      </c>
      <c r="R108" s="103">
        <f ca="1">IFERROR(LOG(100*S103),0)</f>
        <v>2.0395906230238121</v>
      </c>
      <c r="AI108" s="123"/>
    </row>
    <row r="109" spans="1:35" x14ac:dyDescent="0.2">
      <c r="A109" s="96"/>
      <c r="D109" s="103">
        <f ca="1">IFERROR(LOG(100*D100),0)</f>
        <v>1.3874667737863213</v>
      </c>
      <c r="M109" s="103">
        <f ca="1">IFERROR(LOG(100*M100),0)</f>
        <v>0.73096382094798151</v>
      </c>
      <c r="R109" s="103">
        <f ca="1">IFERROR(LOG(100*R100),0)</f>
        <v>0</v>
      </c>
      <c r="AI109" s="123"/>
    </row>
    <row r="110" spans="1:35" x14ac:dyDescent="0.2">
      <c r="A110" s="99"/>
      <c r="B110" s="25"/>
      <c r="C110" s="25"/>
      <c r="D110" s="153">
        <f ca="1">IFERROR(LOG(100*D103),0)</f>
        <v>1.7743279288765195</v>
      </c>
      <c r="E110" s="25"/>
      <c r="F110" s="25"/>
      <c r="G110" s="100"/>
      <c r="H110" s="100"/>
      <c r="I110" s="100"/>
      <c r="J110" s="100"/>
      <c r="K110" s="100"/>
      <c r="L110" s="25"/>
      <c r="M110" s="153">
        <f ca="1">IFERROR(LOG(100*M103),0)</f>
        <v>1.9649753212578294</v>
      </c>
      <c r="N110" s="25"/>
      <c r="O110" s="25"/>
      <c r="P110" s="25"/>
      <c r="Q110" s="25"/>
      <c r="R110" s="153">
        <f ca="1">IFERROR(LOG(100*R103),0)</f>
        <v>1.364541224065311</v>
      </c>
      <c r="S110" s="25"/>
      <c r="T110" s="25"/>
      <c r="U110" s="25"/>
      <c r="V110" s="25"/>
      <c r="W110" s="25"/>
      <c r="X110" s="25"/>
      <c r="Y110" s="25"/>
      <c r="Z110" s="25"/>
      <c r="AA110" s="25"/>
      <c r="AB110" s="25"/>
      <c r="AC110" s="25"/>
      <c r="AD110" s="25"/>
      <c r="AE110" s="25"/>
      <c r="AF110" s="25"/>
      <c r="AG110" s="25"/>
      <c r="AH110" s="25"/>
      <c r="AI110" s="89"/>
    </row>
    <row r="111" spans="1:35" x14ac:dyDescent="0.2">
      <c r="G111" s="6"/>
      <c r="H111" s="6"/>
      <c r="I111" s="6"/>
      <c r="J111" s="6"/>
      <c r="K111" s="6"/>
    </row>
    <row r="112" spans="1:35" x14ac:dyDescent="0.2">
      <c r="G112" s="6"/>
      <c r="H112" s="6"/>
      <c r="I112" s="6"/>
      <c r="J112" s="6"/>
      <c r="K112" s="6"/>
    </row>
    <row r="113" spans="3:14" x14ac:dyDescent="0.2">
      <c r="C113" s="6" t="s">
        <v>116</v>
      </c>
      <c r="E113" s="48">
        <f>IF(DIAG!H239,$B$265,-1)</f>
        <v>-1</v>
      </c>
      <c r="F113" s="49">
        <f>E113+(N113-E113)/9</f>
        <v>-1</v>
      </c>
      <c r="G113" s="49">
        <f>F113+(N113-F113)/8</f>
        <v>-1</v>
      </c>
      <c r="H113" s="49">
        <f>G113+(N113-G113)/7</f>
        <v>-1</v>
      </c>
      <c r="I113" s="49">
        <f>H113+(N113-H113)/6</f>
        <v>-1</v>
      </c>
      <c r="J113" s="49">
        <f>I113+(N113-I113)/5</f>
        <v>-1</v>
      </c>
      <c r="K113" s="49">
        <f>J113+(N113-J113)/4</f>
        <v>-1</v>
      </c>
      <c r="L113" s="49">
        <f>K113+(N113-K113)/3</f>
        <v>-1</v>
      </c>
      <c r="M113" s="49">
        <f>L113+(N113-L113)/2</f>
        <v>-1</v>
      </c>
      <c r="N113" s="50">
        <f>IF(DIAG!H239,$B$236,-1)</f>
        <v>-1</v>
      </c>
    </row>
    <row r="114" spans="3:14" x14ac:dyDescent="0.2">
      <c r="E114" s="53">
        <f>IF(DIAG!H239,$B$266,-1)</f>
        <v>-1</v>
      </c>
      <c r="F114" s="54">
        <f>E114+(N114-E114)/9</f>
        <v>-1</v>
      </c>
      <c r="G114" s="54">
        <f>F114+(N114-F114)/8</f>
        <v>-1</v>
      </c>
      <c r="H114" s="54">
        <f>G114+(N114-G114)/7</f>
        <v>-1</v>
      </c>
      <c r="I114" s="54">
        <f>H114+(N114-H114)/6</f>
        <v>-1</v>
      </c>
      <c r="J114" s="54">
        <f>I114+(N114-I114)/5</f>
        <v>-1</v>
      </c>
      <c r="K114" s="54">
        <f>J114+(N114-J114)/4</f>
        <v>-1</v>
      </c>
      <c r="L114" s="54">
        <f>K114+(N114-K114)/3</f>
        <v>-1</v>
      </c>
      <c r="M114" s="54">
        <f>L114+(N114-L114)/2</f>
        <v>-1</v>
      </c>
      <c r="N114" s="55">
        <f>IF(DIAG!H239,$B$237,-1)</f>
        <v>-1</v>
      </c>
    </row>
    <row r="115" spans="3:14" x14ac:dyDescent="0.2">
      <c r="D115" s="26"/>
      <c r="E115" s="26"/>
      <c r="F115" s="26"/>
      <c r="G115" s="26"/>
      <c r="H115" s="26"/>
      <c r="I115" s="26"/>
      <c r="J115" s="26"/>
      <c r="K115" s="6"/>
    </row>
    <row r="116" spans="3:14" x14ac:dyDescent="0.2">
      <c r="C116" s="6" t="s">
        <v>117</v>
      </c>
      <c r="D116" s="26"/>
      <c r="E116" s="48">
        <f>IF(DIAG!H240,$B$265,-1)</f>
        <v>-1</v>
      </c>
      <c r="F116" s="49">
        <f>E116+(N116-E116)/9</f>
        <v>-1</v>
      </c>
      <c r="G116" s="49">
        <f>F116+(N116-F116)/8</f>
        <v>-1</v>
      </c>
      <c r="H116" s="49">
        <f>G116+(N116-G116)/7</f>
        <v>-1</v>
      </c>
      <c r="I116" s="49">
        <f>H116+(N116-H116)/6</f>
        <v>-1</v>
      </c>
      <c r="J116" s="49">
        <f>I116+(N116-I116)/5</f>
        <v>-1</v>
      </c>
      <c r="K116" s="49">
        <f>J116+(N116-J116)/4</f>
        <v>-1</v>
      </c>
      <c r="L116" s="49">
        <f>K116+(N116-K116)/3</f>
        <v>-1</v>
      </c>
      <c r="M116" s="49">
        <f>L116+(N116-L116)/2</f>
        <v>-1</v>
      </c>
      <c r="N116" s="50">
        <f>IF(DIAG!H240,$C$236,-1)</f>
        <v>-1</v>
      </c>
    </row>
    <row r="117" spans="3:14" x14ac:dyDescent="0.2">
      <c r="D117" s="26"/>
      <c r="E117" s="53">
        <f>IF(DIAG!H240,$B$266,-1)</f>
        <v>-1</v>
      </c>
      <c r="F117" s="54">
        <f>E117+(N117-E117)/9</f>
        <v>-1</v>
      </c>
      <c r="G117" s="54">
        <f>F117+(N117-F117)/8</f>
        <v>-1</v>
      </c>
      <c r="H117" s="54">
        <f>G117+(N117-G117)/7</f>
        <v>-1</v>
      </c>
      <c r="I117" s="54">
        <f>H117+(N117-H117)/6</f>
        <v>-1</v>
      </c>
      <c r="J117" s="54">
        <f>I117+(N117-I117)/5</f>
        <v>-1</v>
      </c>
      <c r="K117" s="54">
        <f>J117+(N117-J117)/4</f>
        <v>-1</v>
      </c>
      <c r="L117" s="54">
        <f>K117+(N117-K117)/3</f>
        <v>-1</v>
      </c>
      <c r="M117" s="54">
        <f>L117+(N117-L117)/2</f>
        <v>-1</v>
      </c>
      <c r="N117" s="55">
        <f>IF(DIAG!H240,$C$237,-1)</f>
        <v>-1</v>
      </c>
    </row>
    <row r="118" spans="3:14" x14ac:dyDescent="0.2">
      <c r="D118" s="26"/>
      <c r="E118" s="26"/>
      <c r="F118" s="26"/>
      <c r="G118" s="26"/>
      <c r="H118" s="26"/>
      <c r="I118" s="26"/>
      <c r="J118" s="26"/>
      <c r="K118" s="6"/>
    </row>
    <row r="119" spans="3:14" x14ac:dyDescent="0.2">
      <c r="C119" s="6" t="s">
        <v>118</v>
      </c>
      <c r="D119" s="26"/>
      <c r="E119" s="48">
        <f>IF(DIAG!H241,$B$265,-1)</f>
        <v>-1</v>
      </c>
      <c r="F119" s="49">
        <f>E119+(N119-E119)/9</f>
        <v>-1</v>
      </c>
      <c r="G119" s="49">
        <f>F119+(N119-F119)/8</f>
        <v>-1</v>
      </c>
      <c r="H119" s="49">
        <f>G119+(N119-G119)/7</f>
        <v>-1</v>
      </c>
      <c r="I119" s="49">
        <f>H119+(N119-H119)/6</f>
        <v>-1</v>
      </c>
      <c r="J119" s="49">
        <f>I119+(N119-I119)/5</f>
        <v>-1</v>
      </c>
      <c r="K119" s="49">
        <f>J119+(N119-J119)/4</f>
        <v>-1</v>
      </c>
      <c r="L119" s="49">
        <f>K119+(N119-K119)/3</f>
        <v>-1</v>
      </c>
      <c r="M119" s="49">
        <f>L119+(N119-L119)/2</f>
        <v>-1</v>
      </c>
      <c r="N119" s="50">
        <f>IF(DIAG!H241,$D$236,-1)</f>
        <v>-1</v>
      </c>
    </row>
    <row r="120" spans="3:14" x14ac:dyDescent="0.2">
      <c r="D120" s="26"/>
      <c r="E120" s="53">
        <f>IF(DIAG!H241,$B$266,-1)</f>
        <v>-1</v>
      </c>
      <c r="F120" s="54">
        <f>E120+(N120-E120)/9</f>
        <v>-1</v>
      </c>
      <c r="G120" s="54">
        <f>F120+(N120-F120)/8</f>
        <v>-1</v>
      </c>
      <c r="H120" s="54">
        <f>G120+(N120-G120)/7</f>
        <v>-1</v>
      </c>
      <c r="I120" s="54">
        <f>H120+(N120-H120)/6</f>
        <v>-1</v>
      </c>
      <c r="J120" s="54">
        <f>I120+(N120-I120)/5</f>
        <v>-1</v>
      </c>
      <c r="K120" s="54">
        <f>J120+(N120-J120)/4</f>
        <v>-1</v>
      </c>
      <c r="L120" s="54">
        <f>K120+(N120-K120)/3</f>
        <v>-1</v>
      </c>
      <c r="M120" s="54">
        <f>L120+(N120-L120)/2</f>
        <v>-1</v>
      </c>
      <c r="N120" s="55">
        <f>IF(DIAG!H241,$D$237,-1)</f>
        <v>-1</v>
      </c>
    </row>
    <row r="121" spans="3:14" x14ac:dyDescent="0.2">
      <c r="G121" s="6"/>
      <c r="H121" s="6"/>
      <c r="I121" s="6"/>
      <c r="J121" s="6"/>
      <c r="K121" s="6"/>
    </row>
    <row r="122" spans="3:14" x14ac:dyDescent="0.2">
      <c r="C122" s="6" t="s">
        <v>119</v>
      </c>
      <c r="E122" s="48">
        <f>IF(DIAG!H242,$B$265,-1)</f>
        <v>-1</v>
      </c>
      <c r="F122" s="49">
        <f>E122+(N122-E122)/9</f>
        <v>-1</v>
      </c>
      <c r="G122" s="49">
        <f>F122+(N122-F122)/8</f>
        <v>-1</v>
      </c>
      <c r="H122" s="49">
        <f>G122+(N122-G122)/7</f>
        <v>-1</v>
      </c>
      <c r="I122" s="49">
        <f>H122+(N122-H122)/6</f>
        <v>-1</v>
      </c>
      <c r="J122" s="49">
        <f>I122+(N122-I122)/5</f>
        <v>-1</v>
      </c>
      <c r="K122" s="49">
        <f>J122+(N122-J122)/4</f>
        <v>-1</v>
      </c>
      <c r="L122" s="49">
        <f>K122+(N122-K122)/3</f>
        <v>-1</v>
      </c>
      <c r="M122" s="49">
        <f>L122+(N122-L122)/2</f>
        <v>-1</v>
      </c>
      <c r="N122" s="50">
        <f>IF(DIAG!H242,$E$236,-1)</f>
        <v>-1</v>
      </c>
    </row>
    <row r="123" spans="3:14" x14ac:dyDescent="0.2">
      <c r="E123" s="53">
        <f>IF(DIAG!H242,$B$266,-1)</f>
        <v>-1</v>
      </c>
      <c r="F123" s="54">
        <f>E123+(N123-E123)/9</f>
        <v>-1</v>
      </c>
      <c r="G123" s="54">
        <f>F123+(N123-F123)/8</f>
        <v>-1</v>
      </c>
      <c r="H123" s="54">
        <f>G123+(N123-G123)/7</f>
        <v>-1</v>
      </c>
      <c r="I123" s="54">
        <f>H123+(N123-H123)/6</f>
        <v>-1</v>
      </c>
      <c r="J123" s="54">
        <f>I123+(N123-I123)/5</f>
        <v>-1</v>
      </c>
      <c r="K123" s="54">
        <f>J123+(N123-J123)/4</f>
        <v>-1</v>
      </c>
      <c r="L123" s="54">
        <f>K123+(N123-K123)/3</f>
        <v>-1</v>
      </c>
      <c r="M123" s="54">
        <f>L123+(N123-L123)/2</f>
        <v>-1</v>
      </c>
      <c r="N123" s="55">
        <f>IF(DIAG!H242,$E$237,-1)</f>
        <v>-1</v>
      </c>
    </row>
    <row r="124" spans="3:14" x14ac:dyDescent="0.2">
      <c r="G124" s="6"/>
      <c r="H124" s="6"/>
      <c r="I124" s="6"/>
      <c r="J124" s="6"/>
      <c r="K124" s="6"/>
    </row>
    <row r="125" spans="3:14" x14ac:dyDescent="0.2">
      <c r="C125" s="6" t="s">
        <v>120</v>
      </c>
      <c r="E125" s="48">
        <f>IF(DIAG!H243,$B$265,-1)</f>
        <v>-1</v>
      </c>
      <c r="F125" s="49">
        <f>E125+(N125-E125)/9</f>
        <v>-1</v>
      </c>
      <c r="G125" s="49">
        <f>F125+(N125-F125)/8</f>
        <v>-1</v>
      </c>
      <c r="H125" s="49">
        <f>G125+(N125-G125)/7</f>
        <v>-1</v>
      </c>
      <c r="I125" s="49">
        <f>H125+(N125-H125)/6</f>
        <v>-1</v>
      </c>
      <c r="J125" s="49">
        <f>I125+(N125-I125)/5</f>
        <v>-1</v>
      </c>
      <c r="K125" s="49">
        <f>J125+(N125-J125)/4</f>
        <v>-1</v>
      </c>
      <c r="L125" s="49">
        <f>K125+(N125-K125)/3</f>
        <v>-1</v>
      </c>
      <c r="M125" s="49">
        <f>L125+(N125-L125)/2</f>
        <v>-1</v>
      </c>
      <c r="N125" s="50">
        <f>IF(DIAG!H243,$F$236,-1)</f>
        <v>-1</v>
      </c>
    </row>
    <row r="126" spans="3:14" x14ac:dyDescent="0.2">
      <c r="E126" s="53">
        <f>IF(DIAG!H243,$B$266,-1)</f>
        <v>-1</v>
      </c>
      <c r="F126" s="54">
        <f>E126+(N126-E126)/9</f>
        <v>-1</v>
      </c>
      <c r="G126" s="54">
        <f>F126+(N126-F126)/8</f>
        <v>-1</v>
      </c>
      <c r="H126" s="54">
        <f>G126+(N126-G126)/7</f>
        <v>-1</v>
      </c>
      <c r="I126" s="54">
        <f>H126+(N126-H126)/6</f>
        <v>-1</v>
      </c>
      <c r="J126" s="54">
        <f>I126+(N126-I126)/5</f>
        <v>-1</v>
      </c>
      <c r="K126" s="54">
        <f>J126+(N126-J126)/4</f>
        <v>-1</v>
      </c>
      <c r="L126" s="54">
        <f>K126+(N126-K126)/3</f>
        <v>-1</v>
      </c>
      <c r="M126" s="54">
        <f>L126+(N126-L126)/2</f>
        <v>-1</v>
      </c>
      <c r="N126" s="55">
        <f>IF(DIAG!H243,$F$237,-1)</f>
        <v>-1</v>
      </c>
    </row>
    <row r="127" spans="3:14" x14ac:dyDescent="0.2">
      <c r="G127" s="6"/>
      <c r="H127" s="6"/>
      <c r="I127" s="6"/>
      <c r="J127" s="6"/>
      <c r="K127" s="6"/>
    </row>
    <row r="128" spans="3:14" x14ac:dyDescent="0.2">
      <c r="C128" s="6" t="s">
        <v>121</v>
      </c>
      <c r="E128" s="48">
        <f>IF(DIAG!H244,$B$265,-1)</f>
        <v>-1</v>
      </c>
      <c r="F128" s="49">
        <f>E128+(N128-E128)/9</f>
        <v>-1</v>
      </c>
      <c r="G128" s="49">
        <f>F128+(N128-F128)/8</f>
        <v>-1</v>
      </c>
      <c r="H128" s="49">
        <f>G128+(N128-G128)/7</f>
        <v>-1</v>
      </c>
      <c r="I128" s="49">
        <f>H128+(N128-H128)/6</f>
        <v>-1</v>
      </c>
      <c r="J128" s="49">
        <f>I128+(N128-I128)/5</f>
        <v>-1</v>
      </c>
      <c r="K128" s="49">
        <f>J128+(N128-J128)/4</f>
        <v>-1</v>
      </c>
      <c r="L128" s="49">
        <f>K128+(N128-K128)/3</f>
        <v>-1</v>
      </c>
      <c r="M128" s="49">
        <f>L128+(N128-L128)/2</f>
        <v>-1</v>
      </c>
      <c r="N128" s="50">
        <f>IF(DIAG!H244,$G$236,-1)</f>
        <v>-1</v>
      </c>
    </row>
    <row r="129" spans="3:14" x14ac:dyDescent="0.2">
      <c r="E129" s="53">
        <f>IF(DIAG!H244,$B$266,-1)</f>
        <v>-1</v>
      </c>
      <c r="F129" s="54">
        <f>E129+(N129-E129)/9</f>
        <v>-1</v>
      </c>
      <c r="G129" s="54">
        <f>F129+(N129-F129)/8</f>
        <v>-1</v>
      </c>
      <c r="H129" s="54">
        <f>G129+(N129-G129)/7</f>
        <v>-1</v>
      </c>
      <c r="I129" s="54">
        <f>H129+(N129-H129)/6</f>
        <v>-1</v>
      </c>
      <c r="J129" s="54">
        <f>I129+(N129-I129)/5</f>
        <v>-1</v>
      </c>
      <c r="K129" s="54">
        <f>J129+(N129-J129)/4</f>
        <v>-1</v>
      </c>
      <c r="L129" s="54">
        <f>K129+(N129-K129)/3</f>
        <v>-1</v>
      </c>
      <c r="M129" s="54">
        <f>L129+(N129-L129)/2</f>
        <v>-1</v>
      </c>
      <c r="N129" s="55">
        <f>IF(DIAG!H244,$G$237,-1)</f>
        <v>-1</v>
      </c>
    </row>
    <row r="130" spans="3:14" x14ac:dyDescent="0.2">
      <c r="G130" s="6"/>
      <c r="H130" s="6"/>
      <c r="I130" s="6"/>
      <c r="J130" s="6"/>
      <c r="K130" s="6"/>
    </row>
    <row r="131" spans="3:14" x14ac:dyDescent="0.2">
      <c r="C131" s="6" t="s">
        <v>122</v>
      </c>
      <c r="E131" s="48">
        <f>IF(DIAG!H245,$B$265,-1)</f>
        <v>-1</v>
      </c>
      <c r="F131" s="49">
        <f>E131+(N131-E131)/9</f>
        <v>-1</v>
      </c>
      <c r="G131" s="49">
        <f>F131+(N131-F131)/8</f>
        <v>-1</v>
      </c>
      <c r="H131" s="49">
        <f>G131+(N131-G131)/7</f>
        <v>-1</v>
      </c>
      <c r="I131" s="49">
        <f>H131+(N131-H131)/6</f>
        <v>-1</v>
      </c>
      <c r="J131" s="49">
        <f>I131+(N131-I131)/5</f>
        <v>-1</v>
      </c>
      <c r="K131" s="49">
        <f>J131+(N131-J131)/4</f>
        <v>-1</v>
      </c>
      <c r="L131" s="49">
        <f>K131+(N131-K131)/3</f>
        <v>-1</v>
      </c>
      <c r="M131" s="49">
        <f>L131+(N131-L131)/2</f>
        <v>-1</v>
      </c>
      <c r="N131" s="50">
        <f>IF(DIAG!H245,$H$236,-1)</f>
        <v>-1</v>
      </c>
    </row>
    <row r="132" spans="3:14" x14ac:dyDescent="0.2">
      <c r="E132" s="53">
        <f>IF(DIAG!H245,$B$266,-1)</f>
        <v>-1</v>
      </c>
      <c r="F132" s="54">
        <f>E132+(N132-E132)/9</f>
        <v>-1</v>
      </c>
      <c r="G132" s="54">
        <f>F132+(N132-F132)/8</f>
        <v>-1</v>
      </c>
      <c r="H132" s="54">
        <f>G132+(N132-G132)/7</f>
        <v>-1</v>
      </c>
      <c r="I132" s="54">
        <f>H132+(N132-H132)/6</f>
        <v>-1</v>
      </c>
      <c r="J132" s="54">
        <f>I132+(N132-I132)/5</f>
        <v>-1</v>
      </c>
      <c r="K132" s="54">
        <f>J132+(N132-J132)/4</f>
        <v>-1</v>
      </c>
      <c r="L132" s="54">
        <f>K132+(N132-K132)/3</f>
        <v>-1</v>
      </c>
      <c r="M132" s="54">
        <f>L132+(N132-L132)/2</f>
        <v>-1</v>
      </c>
      <c r="N132" s="55">
        <f>IF(DIAG!H245,$H$237,-1)</f>
        <v>-1</v>
      </c>
    </row>
    <row r="133" spans="3:14" x14ac:dyDescent="0.2">
      <c r="G133" s="6"/>
      <c r="H133" s="6"/>
      <c r="I133" s="6"/>
      <c r="J133" s="6"/>
      <c r="K133" s="6"/>
    </row>
    <row r="134" spans="3:14" x14ac:dyDescent="0.2">
      <c r="C134" s="6" t="s">
        <v>123</v>
      </c>
      <c r="E134" s="48">
        <f>IF(DIAG!H246,$B$265,-1)</f>
        <v>-1</v>
      </c>
      <c r="F134" s="49">
        <f>E134+(N134-E134)/9</f>
        <v>-1</v>
      </c>
      <c r="G134" s="49">
        <f>F134+(N134-F134)/8</f>
        <v>-1</v>
      </c>
      <c r="H134" s="49">
        <f>G134+(N134-G134)/7</f>
        <v>-1</v>
      </c>
      <c r="I134" s="49">
        <f>H134+(N134-H134)/6</f>
        <v>-1</v>
      </c>
      <c r="J134" s="49">
        <f>I134+(N134-I134)/5</f>
        <v>-1</v>
      </c>
      <c r="K134" s="49">
        <f>J134+(N134-J134)/4</f>
        <v>-1</v>
      </c>
      <c r="L134" s="49">
        <f>K134+(N134-K134)/3</f>
        <v>-1</v>
      </c>
      <c r="M134" s="49">
        <f>L134+(N134-L134)/2</f>
        <v>-1</v>
      </c>
      <c r="N134" s="50">
        <f>IF(DIAG!H246,$I$236,-1)</f>
        <v>-1</v>
      </c>
    </row>
    <row r="135" spans="3:14" x14ac:dyDescent="0.2">
      <c r="E135" s="53">
        <f>IF(DIAG!H246,$B$266,-1)</f>
        <v>-1</v>
      </c>
      <c r="F135" s="54">
        <f>E135+(N135-E135)/9</f>
        <v>-1</v>
      </c>
      <c r="G135" s="54">
        <f>F135+(N135-F135)/8</f>
        <v>-1</v>
      </c>
      <c r="H135" s="54">
        <f>G135+(N135-G135)/7</f>
        <v>-1</v>
      </c>
      <c r="I135" s="54">
        <f>H135+(N135-H135)/6</f>
        <v>-1</v>
      </c>
      <c r="J135" s="54">
        <f>I135+(N135-I135)/5</f>
        <v>-1</v>
      </c>
      <c r="K135" s="54">
        <f>J135+(N135-J135)/4</f>
        <v>-1</v>
      </c>
      <c r="L135" s="54">
        <f>K135+(N135-K135)/3</f>
        <v>-1</v>
      </c>
      <c r="M135" s="54">
        <f>L135+(N135-L135)/2</f>
        <v>-1</v>
      </c>
      <c r="N135" s="55">
        <f>IF(DIAG!H246,$I$237,-1)</f>
        <v>-1</v>
      </c>
    </row>
    <row r="136" spans="3:14" x14ac:dyDescent="0.2">
      <c r="G136" s="6"/>
      <c r="H136" s="6"/>
      <c r="I136" s="6"/>
      <c r="J136" s="6"/>
      <c r="K136" s="6"/>
    </row>
    <row r="137" spans="3:14" x14ac:dyDescent="0.2">
      <c r="C137" s="6" t="s">
        <v>124</v>
      </c>
      <c r="E137" s="48">
        <f>IF(DIAG!H247,$B$265,-1)</f>
        <v>-1</v>
      </c>
      <c r="F137" s="49">
        <f>E137+(N137-E137)/9</f>
        <v>-1</v>
      </c>
      <c r="G137" s="49">
        <f>F137+(N137-F137)/8</f>
        <v>-1</v>
      </c>
      <c r="H137" s="49">
        <f>G137+(N137-G137)/7</f>
        <v>-1</v>
      </c>
      <c r="I137" s="49">
        <f>H137+(N137-H137)/6</f>
        <v>-1</v>
      </c>
      <c r="J137" s="49">
        <f>I137+(N137-I137)/5</f>
        <v>-1</v>
      </c>
      <c r="K137" s="49">
        <f>J137+(N137-J137)/4</f>
        <v>-1</v>
      </c>
      <c r="L137" s="49">
        <f>K137+(N137-K137)/3</f>
        <v>-1</v>
      </c>
      <c r="M137" s="49">
        <f>L137+(N137-L137)/2</f>
        <v>-1</v>
      </c>
      <c r="N137" s="50">
        <f>IF(DIAG!H247,$J$236,-1)</f>
        <v>-1</v>
      </c>
    </row>
    <row r="138" spans="3:14" x14ac:dyDescent="0.2">
      <c r="E138" s="53">
        <f>IF(DIAG!H247,$B$266,-1)</f>
        <v>-1</v>
      </c>
      <c r="F138" s="54">
        <f>E138+(N138-E138)/9</f>
        <v>-1</v>
      </c>
      <c r="G138" s="54">
        <f>F138+(N138-F138)/8</f>
        <v>-1</v>
      </c>
      <c r="H138" s="54">
        <f>G138+(N138-G138)/7</f>
        <v>-1</v>
      </c>
      <c r="I138" s="54">
        <f>H138+(N138-H138)/6</f>
        <v>-1</v>
      </c>
      <c r="J138" s="54">
        <f>I138+(N138-I138)/5</f>
        <v>-1</v>
      </c>
      <c r="K138" s="54">
        <f>J138+(N138-J138)/4</f>
        <v>-1</v>
      </c>
      <c r="L138" s="54">
        <f>K138+(N138-K138)/3</f>
        <v>-1</v>
      </c>
      <c r="M138" s="54">
        <f>L138+(N138-L138)/2</f>
        <v>-1</v>
      </c>
      <c r="N138" s="55">
        <f>IF(DIAG!H247,$J$237,-1)</f>
        <v>-1</v>
      </c>
    </row>
    <row r="139" spans="3:14" x14ac:dyDescent="0.2">
      <c r="G139" s="6"/>
      <c r="H139" s="6"/>
      <c r="I139" s="6"/>
      <c r="J139" s="6"/>
      <c r="K139" s="6"/>
    </row>
    <row r="140" spans="3:14" x14ac:dyDescent="0.2">
      <c r="C140" s="6" t="s">
        <v>125</v>
      </c>
      <c r="E140" s="48">
        <f>IF(DIAG!H248,$B$265,-1)</f>
        <v>-1</v>
      </c>
      <c r="F140" s="49">
        <f>E140+(N140-E140)/9</f>
        <v>-1</v>
      </c>
      <c r="G140" s="49">
        <f>F140+(N140-F140)/8</f>
        <v>-1</v>
      </c>
      <c r="H140" s="49">
        <f>G140+(N140-G140)/7</f>
        <v>-1</v>
      </c>
      <c r="I140" s="49">
        <f>H140+(N140-H140)/6</f>
        <v>-1</v>
      </c>
      <c r="J140" s="49">
        <f>I140+(N140-I140)/5</f>
        <v>-1</v>
      </c>
      <c r="K140" s="49">
        <f>J140+(N140-J140)/4</f>
        <v>-1</v>
      </c>
      <c r="L140" s="49">
        <f>K140+(N140-K140)/3</f>
        <v>-1</v>
      </c>
      <c r="M140" s="49">
        <f>L140+(N140-L140)/2</f>
        <v>-1</v>
      </c>
      <c r="N140" s="50">
        <f>IF(DIAG!H248,$K$236,-1)</f>
        <v>-1</v>
      </c>
    </row>
    <row r="141" spans="3:14" x14ac:dyDescent="0.2">
      <c r="E141" s="53">
        <f>IF(DIAG!H248,$B$266,-1)</f>
        <v>-1</v>
      </c>
      <c r="F141" s="54">
        <f>E141+(N141-E141)/9</f>
        <v>-1</v>
      </c>
      <c r="G141" s="54">
        <f>F141+(N141-F141)/8</f>
        <v>-1</v>
      </c>
      <c r="H141" s="54">
        <f>G141+(N141-G141)/7</f>
        <v>-1</v>
      </c>
      <c r="I141" s="54">
        <f>H141+(N141-H141)/6</f>
        <v>-1</v>
      </c>
      <c r="J141" s="54">
        <f>I141+(N141-I141)/5</f>
        <v>-1</v>
      </c>
      <c r="K141" s="54">
        <f>J141+(N141-J141)/4</f>
        <v>-1</v>
      </c>
      <c r="L141" s="54">
        <f>K141+(N141-K141)/3</f>
        <v>-1</v>
      </c>
      <c r="M141" s="54">
        <f>L141+(N141-L141)/2</f>
        <v>-1</v>
      </c>
      <c r="N141" s="55">
        <f>IF(DIAG!H248,$K$237,-1)</f>
        <v>-1</v>
      </c>
    </row>
    <row r="142" spans="3:14" x14ac:dyDescent="0.2">
      <c r="G142" s="6"/>
      <c r="H142" s="6"/>
      <c r="I142" s="6"/>
      <c r="J142" s="6"/>
      <c r="K142" s="6"/>
    </row>
    <row r="143" spans="3:14" x14ac:dyDescent="0.2">
      <c r="C143" s="6" t="s">
        <v>126</v>
      </c>
      <c r="E143" s="48">
        <f>IF(DIAG!H249,$B$265,-1)</f>
        <v>-1</v>
      </c>
      <c r="F143" s="49">
        <f>E143+(N143-E143)/9</f>
        <v>-1</v>
      </c>
      <c r="G143" s="49">
        <f>F143+(N143-F143)/8</f>
        <v>-1</v>
      </c>
      <c r="H143" s="49">
        <f>G143+(N143-G143)/7</f>
        <v>-1</v>
      </c>
      <c r="I143" s="49">
        <f>H143+(N143-H143)/6</f>
        <v>-1</v>
      </c>
      <c r="J143" s="49">
        <f>I143+(N143-I143)/5</f>
        <v>-1</v>
      </c>
      <c r="K143" s="49">
        <f>J143+(N143-J143)/4</f>
        <v>-1</v>
      </c>
      <c r="L143" s="49">
        <f>K143+(N143-K143)/3</f>
        <v>-1</v>
      </c>
      <c r="M143" s="49">
        <f>L143+(N143-L143)/2</f>
        <v>-1</v>
      </c>
      <c r="N143" s="50">
        <f>IF(DIAG!H249,$L$236,-1)</f>
        <v>-1</v>
      </c>
    </row>
    <row r="144" spans="3:14" x14ac:dyDescent="0.2">
      <c r="E144" s="53">
        <f>IF(DIAG!H249,$B$266,-1)</f>
        <v>-1</v>
      </c>
      <c r="F144" s="54">
        <f>E144+(N144-E144)/9</f>
        <v>-1</v>
      </c>
      <c r="G144" s="54">
        <f>F144+(N144-F144)/8</f>
        <v>-1</v>
      </c>
      <c r="H144" s="54">
        <f>G144+(N144-G144)/7</f>
        <v>-1</v>
      </c>
      <c r="I144" s="54">
        <f>H144+(N144-H144)/6</f>
        <v>-1</v>
      </c>
      <c r="J144" s="54">
        <f>I144+(N144-I144)/5</f>
        <v>-1</v>
      </c>
      <c r="K144" s="54">
        <f>J144+(N144-J144)/4</f>
        <v>-1</v>
      </c>
      <c r="L144" s="54">
        <f>K144+(N144-K144)/3</f>
        <v>-1</v>
      </c>
      <c r="M144" s="54">
        <f>L144+(N144-L144)/2</f>
        <v>-1</v>
      </c>
      <c r="N144" s="55">
        <f>IF(DIAG!H249,$L$237,-1)</f>
        <v>-1</v>
      </c>
    </row>
    <row r="145" spans="3:14" x14ac:dyDescent="0.2">
      <c r="G145" s="6"/>
      <c r="H145" s="6"/>
      <c r="I145" s="6"/>
      <c r="J145" s="6"/>
      <c r="K145" s="6"/>
    </row>
    <row r="146" spans="3:14" x14ac:dyDescent="0.2">
      <c r="C146" s="6" t="s">
        <v>127</v>
      </c>
      <c r="E146" s="48">
        <f>IF(DIAG!H250,$B$265,-1)</f>
        <v>-1</v>
      </c>
      <c r="F146" s="49">
        <f>E146+(N146-E146)/9</f>
        <v>-1</v>
      </c>
      <c r="G146" s="49">
        <f>F146+(N146-F146)/8</f>
        <v>-1</v>
      </c>
      <c r="H146" s="49">
        <f>G146+(N146-G146)/7</f>
        <v>-1</v>
      </c>
      <c r="I146" s="49">
        <f>H146+(N146-H146)/6</f>
        <v>-1</v>
      </c>
      <c r="J146" s="49">
        <f>I146+(N146-I146)/5</f>
        <v>-1</v>
      </c>
      <c r="K146" s="49">
        <f>J146+(N146-J146)/4</f>
        <v>-1</v>
      </c>
      <c r="L146" s="49">
        <f>K146+(N146-K146)/3</f>
        <v>-1</v>
      </c>
      <c r="M146" s="49">
        <f>L146+(N146-L146)/2</f>
        <v>-1</v>
      </c>
      <c r="N146" s="50">
        <f>IF(DIAG!H250,$M$236,-1)</f>
        <v>-1</v>
      </c>
    </row>
    <row r="147" spans="3:14" x14ac:dyDescent="0.2">
      <c r="E147" s="53">
        <f>IF(DIAG!H250,$B$266,-1)</f>
        <v>-1</v>
      </c>
      <c r="F147" s="54">
        <f>E147+(N147-E147)/9</f>
        <v>-1</v>
      </c>
      <c r="G147" s="54">
        <f>F147+(N147-F147)/8</f>
        <v>-1</v>
      </c>
      <c r="H147" s="54">
        <f>G147+(N147-G147)/7</f>
        <v>-1</v>
      </c>
      <c r="I147" s="54">
        <f>H147+(N147-H147)/6</f>
        <v>-1</v>
      </c>
      <c r="J147" s="54">
        <f>I147+(N147-I147)/5</f>
        <v>-1</v>
      </c>
      <c r="K147" s="54">
        <f>J147+(N147-J147)/4</f>
        <v>-1</v>
      </c>
      <c r="L147" s="54">
        <f>K147+(N147-K147)/3</f>
        <v>-1</v>
      </c>
      <c r="M147" s="54">
        <f>L147+(N147-L147)/2</f>
        <v>-1</v>
      </c>
      <c r="N147" s="55">
        <f>IF(DIAG!H250,$M$237,-1)</f>
        <v>-1</v>
      </c>
    </row>
    <row r="148" spans="3:14" x14ac:dyDescent="0.2">
      <c r="G148" s="6"/>
      <c r="H148" s="6"/>
      <c r="I148" s="6"/>
      <c r="J148" s="6"/>
      <c r="K148" s="6"/>
    </row>
    <row r="149" spans="3:14" x14ac:dyDescent="0.2">
      <c r="C149" s="6" t="s">
        <v>128</v>
      </c>
      <c r="E149" s="48">
        <f>IF(DIAG!H251,$B$265,-1)</f>
        <v>-1</v>
      </c>
      <c r="F149" s="49">
        <f>E149+(N149-E149)/9</f>
        <v>-1</v>
      </c>
      <c r="G149" s="49">
        <f>F149+(N149-F149)/8</f>
        <v>-1</v>
      </c>
      <c r="H149" s="49">
        <f>G149+(N149-G149)/7</f>
        <v>-1</v>
      </c>
      <c r="I149" s="49">
        <f>H149+(N149-H149)/6</f>
        <v>-1</v>
      </c>
      <c r="J149" s="49">
        <f>I149+(N149-I149)/5</f>
        <v>-1</v>
      </c>
      <c r="K149" s="49">
        <f>J149+(N149-J149)/4</f>
        <v>-1</v>
      </c>
      <c r="L149" s="49">
        <f>K149+(N149-K149)/3</f>
        <v>-1</v>
      </c>
      <c r="M149" s="49">
        <f>L149+(N149-L149)/2</f>
        <v>-1</v>
      </c>
      <c r="N149" s="50">
        <f>IF(DIAG!H251,$N$236,-1)</f>
        <v>-1</v>
      </c>
    </row>
    <row r="150" spans="3:14" x14ac:dyDescent="0.2">
      <c r="E150" s="53">
        <f>IF(DIAG!H251,$B$266,-1)</f>
        <v>-1</v>
      </c>
      <c r="F150" s="54">
        <f>E150+(N150-E150)/9</f>
        <v>-1</v>
      </c>
      <c r="G150" s="54">
        <f>F150+(N150-F150)/8</f>
        <v>-1</v>
      </c>
      <c r="H150" s="54">
        <f>G150+(N150-G150)/7</f>
        <v>-1</v>
      </c>
      <c r="I150" s="54">
        <f>H150+(N150-H150)/6</f>
        <v>-1</v>
      </c>
      <c r="J150" s="54">
        <f>I150+(N150-I150)/5</f>
        <v>-1</v>
      </c>
      <c r="K150" s="54">
        <f>J150+(N150-J150)/4</f>
        <v>-1</v>
      </c>
      <c r="L150" s="54">
        <f>K150+(N150-K150)/3</f>
        <v>-1</v>
      </c>
      <c r="M150" s="54">
        <f>L150+(N150-L150)/2</f>
        <v>-1</v>
      </c>
      <c r="N150" s="55">
        <f>IF(DIAG!H251,$N$237,-1)</f>
        <v>-1</v>
      </c>
    </row>
    <row r="151" spans="3:14" x14ac:dyDescent="0.2">
      <c r="G151" s="6"/>
      <c r="H151" s="6"/>
      <c r="I151" s="6"/>
      <c r="J151" s="6"/>
      <c r="K151" s="6"/>
    </row>
    <row r="152" spans="3:14" x14ac:dyDescent="0.2">
      <c r="C152" s="6" t="s">
        <v>129</v>
      </c>
      <c r="E152" s="48">
        <f>IF(DIAG!H252,$B$265,-1)</f>
        <v>-1</v>
      </c>
      <c r="F152" s="49">
        <f>E152+(N152-E152)/9</f>
        <v>-1</v>
      </c>
      <c r="G152" s="49">
        <f>F152+(N152-F152)/8</f>
        <v>-1</v>
      </c>
      <c r="H152" s="49">
        <f>G152+(N152-G152)/7</f>
        <v>-1</v>
      </c>
      <c r="I152" s="49">
        <f>H152+(N152-H152)/6</f>
        <v>-1</v>
      </c>
      <c r="J152" s="49">
        <f>I152+(N152-I152)/5</f>
        <v>-1</v>
      </c>
      <c r="K152" s="49">
        <f>J152+(N152-J152)/4</f>
        <v>-1</v>
      </c>
      <c r="L152" s="49">
        <f>K152+(N152-K152)/3</f>
        <v>-1</v>
      </c>
      <c r="M152" s="49">
        <f>L152+(N152-L152)/2</f>
        <v>-1</v>
      </c>
      <c r="N152" s="50">
        <f>IF(DIAG!H252,$O$236,-1)</f>
        <v>-1</v>
      </c>
    </row>
    <row r="153" spans="3:14" x14ac:dyDescent="0.2">
      <c r="E153" s="53">
        <f>IF(DIAG!H252,$B$266,-1)</f>
        <v>-1</v>
      </c>
      <c r="F153" s="54">
        <f>E153+(N153-E153)/9</f>
        <v>-1</v>
      </c>
      <c r="G153" s="54">
        <f>F153+(N153-F153)/8</f>
        <v>-1</v>
      </c>
      <c r="H153" s="54">
        <f>G153+(N153-G153)/7</f>
        <v>-1</v>
      </c>
      <c r="I153" s="54">
        <f>H153+(N153-H153)/6</f>
        <v>-1</v>
      </c>
      <c r="J153" s="54">
        <f>I153+(N153-I153)/5</f>
        <v>-1</v>
      </c>
      <c r="K153" s="54">
        <f>J153+(N153-J153)/4</f>
        <v>-1</v>
      </c>
      <c r="L153" s="54">
        <f>K153+(N153-K153)/3</f>
        <v>-1</v>
      </c>
      <c r="M153" s="54">
        <f>L153+(N153-L153)/2</f>
        <v>-1</v>
      </c>
      <c r="N153" s="55">
        <f>IF(DIAG!H252,$O$237,-1)</f>
        <v>-1</v>
      </c>
    </row>
    <row r="154" spans="3:14" x14ac:dyDescent="0.2">
      <c r="G154" s="6"/>
      <c r="H154" s="6"/>
      <c r="I154" s="6"/>
      <c r="J154" s="6"/>
      <c r="K154" s="6"/>
    </row>
    <row r="155" spans="3:14" x14ac:dyDescent="0.2">
      <c r="C155" s="6" t="s">
        <v>130</v>
      </c>
      <c r="E155" s="48">
        <f>IF(DIAG!H253,$B$265,-1)</f>
        <v>-1</v>
      </c>
      <c r="F155" s="49">
        <f>E155+(N155-E155)/9</f>
        <v>-1</v>
      </c>
      <c r="G155" s="49">
        <f>F155+(N155-F155)/8</f>
        <v>-1</v>
      </c>
      <c r="H155" s="49">
        <f>G155+(N155-G155)/7</f>
        <v>-1</v>
      </c>
      <c r="I155" s="49">
        <f>H155+(N155-H155)/6</f>
        <v>-1</v>
      </c>
      <c r="J155" s="49">
        <f>I155+(N155-I155)/5</f>
        <v>-1</v>
      </c>
      <c r="K155" s="49">
        <f>J155+(N155-J155)/4</f>
        <v>-1</v>
      </c>
      <c r="L155" s="49">
        <f>K155+(N155-K155)/3</f>
        <v>-1</v>
      </c>
      <c r="M155" s="49">
        <f>L155+(N155-L155)/2</f>
        <v>-1</v>
      </c>
      <c r="N155" s="50">
        <f>IF(DIAG!H253,$P$236,-1)</f>
        <v>-1</v>
      </c>
    </row>
    <row r="156" spans="3:14" x14ac:dyDescent="0.2">
      <c r="E156" s="53">
        <f>IF(DIAG!H253,$B$266,-1)</f>
        <v>-1</v>
      </c>
      <c r="F156" s="54">
        <f>E156+(N156-E156)/9</f>
        <v>-1</v>
      </c>
      <c r="G156" s="54">
        <f>F156+(N156-F156)/8</f>
        <v>-1</v>
      </c>
      <c r="H156" s="54">
        <f>G156+(N156-G156)/7</f>
        <v>-1</v>
      </c>
      <c r="I156" s="54">
        <f>H156+(N156-H156)/6</f>
        <v>-1</v>
      </c>
      <c r="J156" s="54">
        <f>I156+(N156-I156)/5</f>
        <v>-1</v>
      </c>
      <c r="K156" s="54">
        <f>J156+(N156-J156)/4</f>
        <v>-1</v>
      </c>
      <c r="L156" s="54">
        <f>K156+(N156-K156)/3</f>
        <v>-1</v>
      </c>
      <c r="M156" s="54">
        <f>L156+(N156-L156)/2</f>
        <v>-1</v>
      </c>
      <c r="N156" s="55">
        <f>IF(DIAG!H253,$P$237,-1)</f>
        <v>-1</v>
      </c>
    </row>
    <row r="157" spans="3:14" x14ac:dyDescent="0.2">
      <c r="G157" s="6"/>
      <c r="H157" s="6"/>
      <c r="I157" s="6"/>
      <c r="J157" s="6"/>
      <c r="K157" s="6"/>
    </row>
    <row r="158" spans="3:14" x14ac:dyDescent="0.2">
      <c r="C158" s="6" t="s">
        <v>131</v>
      </c>
      <c r="E158" s="48">
        <f>IF(DIAG!H254,$B$265,-1)</f>
        <v>-1</v>
      </c>
      <c r="F158" s="49">
        <f>E158+(N158-E158)/9</f>
        <v>-1</v>
      </c>
      <c r="G158" s="49">
        <f>F158+(N158-F158)/8</f>
        <v>-1</v>
      </c>
      <c r="H158" s="49">
        <f>G158+(N158-G158)/7</f>
        <v>-1</v>
      </c>
      <c r="I158" s="49">
        <f>H158+(N158-H158)/6</f>
        <v>-1</v>
      </c>
      <c r="J158" s="49">
        <f>I158+(N158-I158)/5</f>
        <v>-1</v>
      </c>
      <c r="K158" s="49">
        <f>J158+(N158-J158)/4</f>
        <v>-1</v>
      </c>
      <c r="L158" s="49">
        <f>K158+(N158-K158)/3</f>
        <v>-1</v>
      </c>
      <c r="M158" s="49">
        <f>L158+(N158-L158)/2</f>
        <v>-1</v>
      </c>
      <c r="N158" s="50">
        <f>IF(DIAG!H254,$Q$236,-1)</f>
        <v>-1</v>
      </c>
    </row>
    <row r="159" spans="3:14" x14ac:dyDescent="0.2">
      <c r="E159" s="53">
        <f>IF(DIAG!H254,$B$266,-1)</f>
        <v>-1</v>
      </c>
      <c r="F159" s="54">
        <f>E159+(N159-E159)/9</f>
        <v>-1</v>
      </c>
      <c r="G159" s="54">
        <f>F159+(N159-F159)/8</f>
        <v>-1</v>
      </c>
      <c r="H159" s="54">
        <f>G159+(N159-G159)/7</f>
        <v>-1</v>
      </c>
      <c r="I159" s="54">
        <f>H159+(N159-H159)/6</f>
        <v>-1</v>
      </c>
      <c r="J159" s="54">
        <f>I159+(N159-I159)/5</f>
        <v>-1</v>
      </c>
      <c r="K159" s="54">
        <f>J159+(N159-J159)/4</f>
        <v>-1</v>
      </c>
      <c r="L159" s="54">
        <f>K159+(N159-K159)/3</f>
        <v>-1</v>
      </c>
      <c r="M159" s="54">
        <f>L159+(N159-L159)/2</f>
        <v>-1</v>
      </c>
      <c r="N159" s="55">
        <f>IF(DIAG!H254,$Q$237,-1)</f>
        <v>-1</v>
      </c>
    </row>
    <row r="160" spans="3:14" x14ac:dyDescent="0.2">
      <c r="G160" s="6"/>
      <c r="H160" s="6"/>
      <c r="I160" s="6"/>
      <c r="J160" s="6"/>
      <c r="K160" s="6"/>
    </row>
    <row r="161" spans="3:14" x14ac:dyDescent="0.2">
      <c r="C161" s="6" t="s">
        <v>132</v>
      </c>
      <c r="E161" s="48">
        <f>IF(DIAG!H255,$B$265,-1)</f>
        <v>-1</v>
      </c>
      <c r="F161" s="49">
        <f>E161+(N161-E161)/9</f>
        <v>-1</v>
      </c>
      <c r="G161" s="49">
        <f>F161+(N161-F161)/8</f>
        <v>-1</v>
      </c>
      <c r="H161" s="49">
        <f>G161+(N161-G161)/7</f>
        <v>-1</v>
      </c>
      <c r="I161" s="49">
        <f>H161+(N161-H161)/6</f>
        <v>-1</v>
      </c>
      <c r="J161" s="49">
        <f>I161+(N161-I161)/5</f>
        <v>-1</v>
      </c>
      <c r="K161" s="49">
        <f>J161+(N161-J161)/4</f>
        <v>-1</v>
      </c>
      <c r="L161" s="49">
        <f>K161+(N161-K161)/3</f>
        <v>-1</v>
      </c>
      <c r="M161" s="49">
        <f>L161+(N161-L161)/2</f>
        <v>-1</v>
      </c>
      <c r="N161" s="50">
        <f>IF(DIAG!H255,$R$236,-1)</f>
        <v>-1</v>
      </c>
    </row>
    <row r="162" spans="3:14" x14ac:dyDescent="0.2">
      <c r="E162" s="53">
        <f>IF(DIAG!H255,$B$266,-1)</f>
        <v>-1</v>
      </c>
      <c r="F162" s="54">
        <f>E162+(N162-E162)/9</f>
        <v>-1</v>
      </c>
      <c r="G162" s="54">
        <f>F162+(N162-F162)/8</f>
        <v>-1</v>
      </c>
      <c r="H162" s="54">
        <f>G162+(N162-G162)/7</f>
        <v>-1</v>
      </c>
      <c r="I162" s="54">
        <f>H162+(N162-H162)/6</f>
        <v>-1</v>
      </c>
      <c r="J162" s="54">
        <f>I162+(N162-I162)/5</f>
        <v>-1</v>
      </c>
      <c r="K162" s="54">
        <f>J162+(N162-J162)/4</f>
        <v>-1</v>
      </c>
      <c r="L162" s="54">
        <f>K162+(N162-K162)/3</f>
        <v>-1</v>
      </c>
      <c r="M162" s="54">
        <f>L162+(N162-L162)/2</f>
        <v>-1</v>
      </c>
      <c r="N162" s="55">
        <f>IF(DIAG!H255,$R$237,-1)</f>
        <v>-1</v>
      </c>
    </row>
    <row r="163" spans="3:14" x14ac:dyDescent="0.2">
      <c r="G163" s="6"/>
      <c r="H163" s="6"/>
      <c r="I163" s="6"/>
      <c r="J163" s="6"/>
      <c r="K163" s="6"/>
    </row>
    <row r="164" spans="3:14" x14ac:dyDescent="0.2">
      <c r="C164" s="6" t="s">
        <v>133</v>
      </c>
      <c r="E164" s="48">
        <f>IF(DIAG!H256,$B$265,-1)</f>
        <v>-1</v>
      </c>
      <c r="F164" s="49">
        <f>E164+(N164-E164)/9</f>
        <v>-1</v>
      </c>
      <c r="G164" s="49">
        <f>F164+(N164-F164)/8</f>
        <v>-1</v>
      </c>
      <c r="H164" s="49">
        <f>G164+(N164-G164)/7</f>
        <v>-1</v>
      </c>
      <c r="I164" s="49">
        <f>H164+(N164-H164)/6</f>
        <v>-1</v>
      </c>
      <c r="J164" s="49">
        <f>I164+(N164-I164)/5</f>
        <v>-1</v>
      </c>
      <c r="K164" s="49">
        <f>J164+(N164-J164)/4</f>
        <v>-1</v>
      </c>
      <c r="L164" s="49">
        <f>K164+(N164-K164)/3</f>
        <v>-1</v>
      </c>
      <c r="M164" s="49">
        <f>L164+(N164-L164)/2</f>
        <v>-1</v>
      </c>
      <c r="N164" s="50">
        <f>IF(DIAG!H256,$S$236,-1)</f>
        <v>-1</v>
      </c>
    </row>
    <row r="165" spans="3:14" x14ac:dyDescent="0.2">
      <c r="E165" s="53">
        <f>IF(DIAG!H256,$B$266,-1)</f>
        <v>-1</v>
      </c>
      <c r="F165" s="54">
        <f>E165+(N165-E165)/9</f>
        <v>-1</v>
      </c>
      <c r="G165" s="54">
        <f>F165+(N165-F165)/8</f>
        <v>-1</v>
      </c>
      <c r="H165" s="54">
        <f>G165+(N165-G165)/7</f>
        <v>-1</v>
      </c>
      <c r="I165" s="54">
        <f>H165+(N165-H165)/6</f>
        <v>-1</v>
      </c>
      <c r="J165" s="54">
        <f>I165+(N165-I165)/5</f>
        <v>-1</v>
      </c>
      <c r="K165" s="54">
        <f>J165+(N165-J165)/4</f>
        <v>-1</v>
      </c>
      <c r="L165" s="54">
        <f>K165+(N165-K165)/3</f>
        <v>-1</v>
      </c>
      <c r="M165" s="54">
        <f>L165+(N165-L165)/2</f>
        <v>-1</v>
      </c>
      <c r="N165" s="55">
        <f>IF(DIAG!H256,$S$237,-1)</f>
        <v>-1</v>
      </c>
    </row>
    <row r="166" spans="3:14" x14ac:dyDescent="0.2">
      <c r="G166" s="6"/>
      <c r="H166" s="6"/>
      <c r="I166" s="6"/>
      <c r="J166" s="6"/>
      <c r="K166" s="6"/>
    </row>
    <row r="167" spans="3:14" x14ac:dyDescent="0.2">
      <c r="C167" s="6" t="s">
        <v>134</v>
      </c>
      <c r="E167" s="48">
        <f>IF(DIAG!H257,$B$265,-1)</f>
        <v>-1</v>
      </c>
      <c r="F167" s="49">
        <f>E167+(N167-E167)/9</f>
        <v>-1</v>
      </c>
      <c r="G167" s="49">
        <f>F167+(N167-F167)/8</f>
        <v>-1</v>
      </c>
      <c r="H167" s="49">
        <f>G167+(N167-G167)/7</f>
        <v>-1</v>
      </c>
      <c r="I167" s="49">
        <f>H167+(N167-H167)/6</f>
        <v>-1</v>
      </c>
      <c r="J167" s="49">
        <f>I167+(N167-I167)/5</f>
        <v>-1</v>
      </c>
      <c r="K167" s="49">
        <f>J167+(N167-J167)/4</f>
        <v>-1</v>
      </c>
      <c r="L167" s="49">
        <f>K167+(N167-K167)/3</f>
        <v>-1</v>
      </c>
      <c r="M167" s="49">
        <f>L167+(N167-L167)/2</f>
        <v>-1</v>
      </c>
      <c r="N167" s="50">
        <f>IF(DIAG!H257,$T$236,-1)</f>
        <v>-1</v>
      </c>
    </row>
    <row r="168" spans="3:14" x14ac:dyDescent="0.2">
      <c r="E168" s="53">
        <f>IF(DIAG!H257,$B$266,-1)</f>
        <v>-1</v>
      </c>
      <c r="F168" s="54">
        <f>E168+(N168-E168)/9</f>
        <v>-1</v>
      </c>
      <c r="G168" s="54">
        <f>F168+(N168-F168)/8</f>
        <v>-1</v>
      </c>
      <c r="H168" s="54">
        <f>G168+(N168-G168)/7</f>
        <v>-1</v>
      </c>
      <c r="I168" s="54">
        <f>H168+(N168-H168)/6</f>
        <v>-1</v>
      </c>
      <c r="J168" s="54">
        <f>I168+(N168-I168)/5</f>
        <v>-1</v>
      </c>
      <c r="K168" s="54">
        <f>J168+(N168-J168)/4</f>
        <v>-1</v>
      </c>
      <c r="L168" s="54">
        <f>K168+(N168-K168)/3</f>
        <v>-1</v>
      </c>
      <c r="M168" s="54">
        <f>L168+(N168-L168)/2</f>
        <v>-1</v>
      </c>
      <c r="N168" s="55">
        <f>IF(DIAG!H257,$T$237,-1)</f>
        <v>-1</v>
      </c>
    </row>
    <row r="169" spans="3:14" x14ac:dyDescent="0.2">
      <c r="G169" s="6"/>
      <c r="H169" s="6"/>
      <c r="I169" s="6"/>
      <c r="J169" s="6"/>
      <c r="K169" s="6"/>
    </row>
    <row r="170" spans="3:14" x14ac:dyDescent="0.2">
      <c r="C170" s="6" t="s">
        <v>135</v>
      </c>
      <c r="E170" s="48">
        <f>IF(DIAG!H258,$B$265,-1)</f>
        <v>-1</v>
      </c>
      <c r="F170" s="49">
        <f>E170+(N170-E170)/9</f>
        <v>-1</v>
      </c>
      <c r="G170" s="49">
        <f>F170+(N170-F170)/8</f>
        <v>-1</v>
      </c>
      <c r="H170" s="49">
        <f>G170+(N170-G170)/7</f>
        <v>-1</v>
      </c>
      <c r="I170" s="49">
        <f>H170+(N170-H170)/6</f>
        <v>-1</v>
      </c>
      <c r="J170" s="49">
        <f>I170+(N170-I170)/5</f>
        <v>-1</v>
      </c>
      <c r="K170" s="49">
        <f>J170+(N170-J170)/4</f>
        <v>-1</v>
      </c>
      <c r="L170" s="49">
        <f>K170+(N170-K170)/3</f>
        <v>-1</v>
      </c>
      <c r="M170" s="49">
        <f>L170+(N170-L170)/2</f>
        <v>-1</v>
      </c>
      <c r="N170" s="50">
        <f>IF(DIAG!H258,$U$236,-1)</f>
        <v>-1</v>
      </c>
    </row>
    <row r="171" spans="3:14" x14ac:dyDescent="0.2">
      <c r="E171" s="53">
        <f>IF(DIAG!H258,$B$266,-1)</f>
        <v>-1</v>
      </c>
      <c r="F171" s="54">
        <f>E171+(N171-E171)/9</f>
        <v>-1</v>
      </c>
      <c r="G171" s="54">
        <f>F171+(N171-F171)/8</f>
        <v>-1</v>
      </c>
      <c r="H171" s="54">
        <f>G171+(N171-G171)/7</f>
        <v>-1</v>
      </c>
      <c r="I171" s="54">
        <f>H171+(N171-H171)/6</f>
        <v>-1</v>
      </c>
      <c r="J171" s="54">
        <f>I171+(N171-I171)/5</f>
        <v>-1</v>
      </c>
      <c r="K171" s="54">
        <f>J171+(N171-J171)/4</f>
        <v>-1</v>
      </c>
      <c r="L171" s="54">
        <f>K171+(N171-K171)/3</f>
        <v>-1</v>
      </c>
      <c r="M171" s="54">
        <f>L171+(N171-L171)/2</f>
        <v>-1</v>
      </c>
      <c r="N171" s="55">
        <f>IF(DIAG!H258,$U$237,-1)</f>
        <v>-1</v>
      </c>
    </row>
    <row r="172" spans="3:14" x14ac:dyDescent="0.2">
      <c r="G172" s="6"/>
      <c r="H172" s="6"/>
      <c r="I172" s="6"/>
      <c r="J172" s="6"/>
      <c r="K172" s="6"/>
    </row>
    <row r="173" spans="3:14" x14ac:dyDescent="0.2">
      <c r="C173" s="6" t="s">
        <v>136</v>
      </c>
      <c r="E173" s="48">
        <f>IF(DIAG!H259,$B$265,-1)</f>
        <v>-1</v>
      </c>
      <c r="F173" s="49">
        <f>E173+(N173-E173)/9</f>
        <v>-1</v>
      </c>
      <c r="G173" s="49">
        <f>F173+(N173-F173)/8</f>
        <v>-1</v>
      </c>
      <c r="H173" s="49">
        <f>G173+(N173-G173)/7</f>
        <v>-1</v>
      </c>
      <c r="I173" s="49">
        <f>H173+(N173-H173)/6</f>
        <v>-1</v>
      </c>
      <c r="J173" s="49">
        <f>I173+(N173-I173)/5</f>
        <v>-1</v>
      </c>
      <c r="K173" s="49">
        <f>J173+(N173-J173)/4</f>
        <v>-1</v>
      </c>
      <c r="L173" s="49">
        <f>K173+(N173-K173)/3</f>
        <v>-1</v>
      </c>
      <c r="M173" s="49">
        <f>L173+(N173-L173)/2</f>
        <v>-1</v>
      </c>
      <c r="N173" s="50">
        <f>IF(DIAG!H259,$V$236,-1)</f>
        <v>-1</v>
      </c>
    </row>
    <row r="174" spans="3:14" x14ac:dyDescent="0.2">
      <c r="E174" s="53">
        <f>IF(DIAG!H259,$B$266,-1)</f>
        <v>-1</v>
      </c>
      <c r="F174" s="54">
        <f>E174+(N174-E174)/9</f>
        <v>-1</v>
      </c>
      <c r="G174" s="54">
        <f>F174+(N174-F174)/8</f>
        <v>-1</v>
      </c>
      <c r="H174" s="54">
        <f>G174+(N174-G174)/7</f>
        <v>-1</v>
      </c>
      <c r="I174" s="54">
        <f>H174+(N174-H174)/6</f>
        <v>-1</v>
      </c>
      <c r="J174" s="54">
        <f>I174+(N174-I174)/5</f>
        <v>-1</v>
      </c>
      <c r="K174" s="54">
        <f>J174+(N174-J174)/4</f>
        <v>-1</v>
      </c>
      <c r="L174" s="54">
        <f>K174+(N174-K174)/3</f>
        <v>-1</v>
      </c>
      <c r="M174" s="54">
        <f>L174+(N174-L174)/2</f>
        <v>-1</v>
      </c>
      <c r="N174" s="55">
        <f>IF(DIAG!H259,$V$237,-1)</f>
        <v>-1</v>
      </c>
    </row>
    <row r="175" spans="3:14" x14ac:dyDescent="0.2">
      <c r="G175" s="6"/>
      <c r="H175" s="6"/>
      <c r="I175" s="6"/>
      <c r="J175" s="6"/>
      <c r="K175" s="6"/>
    </row>
    <row r="176" spans="3:14" x14ac:dyDescent="0.2">
      <c r="C176" s="6" t="s">
        <v>137</v>
      </c>
      <c r="E176" s="48">
        <f>IF(DIAG!H260,$B$265,-1)</f>
        <v>-1</v>
      </c>
      <c r="F176" s="49">
        <f>E176+(N176-E176)/9</f>
        <v>-1</v>
      </c>
      <c r="G176" s="49">
        <f>F176+(N176-F176)/8</f>
        <v>-1</v>
      </c>
      <c r="H176" s="49">
        <f>G176+(N176-G176)/7</f>
        <v>-1</v>
      </c>
      <c r="I176" s="49">
        <f>H176+(N176-H176)/6</f>
        <v>-1</v>
      </c>
      <c r="J176" s="49">
        <f>I176+(N176-I176)/5</f>
        <v>-1</v>
      </c>
      <c r="K176" s="49">
        <f>J176+(N176-J176)/4</f>
        <v>-1</v>
      </c>
      <c r="L176" s="49">
        <f>K176+(N176-K176)/3</f>
        <v>-1</v>
      </c>
      <c r="M176" s="49">
        <f>L176+(N176-L176)/2</f>
        <v>-1</v>
      </c>
      <c r="N176" s="50">
        <f>IF(DIAG!H260,$W$236,-1)</f>
        <v>-1</v>
      </c>
    </row>
    <row r="177" spans="3:14" x14ac:dyDescent="0.2">
      <c r="E177" s="53">
        <f>IF(DIAG!H260,$B$266,-1)</f>
        <v>-1</v>
      </c>
      <c r="F177" s="54">
        <f>E177+(N177-E177)/9</f>
        <v>-1</v>
      </c>
      <c r="G177" s="54">
        <f>F177+(N177-F177)/8</f>
        <v>-1</v>
      </c>
      <c r="H177" s="54">
        <f>G177+(N177-G177)/7</f>
        <v>-1</v>
      </c>
      <c r="I177" s="54">
        <f>H177+(N177-H177)/6</f>
        <v>-1</v>
      </c>
      <c r="J177" s="54">
        <f>I177+(N177-I177)/5</f>
        <v>-1</v>
      </c>
      <c r="K177" s="54">
        <f>J177+(N177-J177)/4</f>
        <v>-1</v>
      </c>
      <c r="L177" s="54">
        <f>K177+(N177-K177)/3</f>
        <v>-1</v>
      </c>
      <c r="M177" s="54">
        <f>L177+(N177-L177)/2</f>
        <v>-1</v>
      </c>
      <c r="N177" s="55">
        <f>IF(DIAG!H260,$W$237,-1)</f>
        <v>-1</v>
      </c>
    </row>
    <row r="178" spans="3:14" x14ac:dyDescent="0.2">
      <c r="G178" s="6"/>
      <c r="H178" s="6"/>
      <c r="I178" s="6"/>
      <c r="J178" s="6"/>
      <c r="K178" s="6"/>
    </row>
    <row r="179" spans="3:14" x14ac:dyDescent="0.2">
      <c r="C179" s="6" t="s">
        <v>138</v>
      </c>
      <c r="E179" s="48">
        <f>IF(DIAG!H261,$B$265,-1)</f>
        <v>-1</v>
      </c>
      <c r="F179" s="49">
        <f>E179+(N179-E179)/9</f>
        <v>-1</v>
      </c>
      <c r="G179" s="49">
        <f>F179+(N179-F179)/8</f>
        <v>-1</v>
      </c>
      <c r="H179" s="49">
        <f>G179+(N179-G179)/7</f>
        <v>-1</v>
      </c>
      <c r="I179" s="49">
        <f>H179+(N179-H179)/6</f>
        <v>-1</v>
      </c>
      <c r="J179" s="49">
        <f>I179+(N179-I179)/5</f>
        <v>-1</v>
      </c>
      <c r="K179" s="49">
        <f>J179+(N179-J179)/4</f>
        <v>-1</v>
      </c>
      <c r="L179" s="49">
        <f>K179+(N179-K179)/3</f>
        <v>-1</v>
      </c>
      <c r="M179" s="49">
        <f>L179+(N179-L179)/2</f>
        <v>-1</v>
      </c>
      <c r="N179" s="50">
        <f>IF(DIAG!H261,$X$236,-1)</f>
        <v>-1</v>
      </c>
    </row>
    <row r="180" spans="3:14" x14ac:dyDescent="0.2">
      <c r="E180" s="53">
        <f>IF(DIAG!H261,$B$266,-1)</f>
        <v>-1</v>
      </c>
      <c r="F180" s="54">
        <f>E180+(N180-E180)/9</f>
        <v>-1</v>
      </c>
      <c r="G180" s="54">
        <f>F180+(N180-F180)/8</f>
        <v>-1</v>
      </c>
      <c r="H180" s="54">
        <f>G180+(N180-G180)/7</f>
        <v>-1</v>
      </c>
      <c r="I180" s="54">
        <f>H180+(N180-H180)/6</f>
        <v>-1</v>
      </c>
      <c r="J180" s="54">
        <f>I180+(N180-I180)/5</f>
        <v>-1</v>
      </c>
      <c r="K180" s="54">
        <f>J180+(N180-J180)/4</f>
        <v>-1</v>
      </c>
      <c r="L180" s="54">
        <f>K180+(N180-K180)/3</f>
        <v>-1</v>
      </c>
      <c r="M180" s="54">
        <f>L180+(N180-L180)/2</f>
        <v>-1</v>
      </c>
      <c r="N180" s="55">
        <f>IF(DIAG!H261,$X$237,-1)</f>
        <v>-1</v>
      </c>
    </row>
    <row r="181" spans="3:14" x14ac:dyDescent="0.2">
      <c r="G181" s="6"/>
      <c r="H181" s="6"/>
      <c r="I181" s="6"/>
      <c r="J181" s="6"/>
      <c r="K181" s="6"/>
    </row>
    <row r="182" spans="3:14" x14ac:dyDescent="0.2">
      <c r="C182" s="6" t="s">
        <v>139</v>
      </c>
      <c r="E182" s="48">
        <f>IF(DIAG!H262,$B$265,-1)</f>
        <v>-1</v>
      </c>
      <c r="F182" s="49">
        <f>E182+(N182-E182)/9</f>
        <v>-1</v>
      </c>
      <c r="G182" s="49">
        <f>F182+(N182-F182)/8</f>
        <v>-1</v>
      </c>
      <c r="H182" s="49">
        <f>G182+(N182-G182)/7</f>
        <v>-1</v>
      </c>
      <c r="I182" s="49">
        <f>H182+(N182-H182)/6</f>
        <v>-1</v>
      </c>
      <c r="J182" s="49">
        <f>I182+(N182-I182)/5</f>
        <v>-1</v>
      </c>
      <c r="K182" s="49">
        <f>J182+(N182-J182)/4</f>
        <v>-1</v>
      </c>
      <c r="L182" s="49">
        <f>K182+(N182-K182)/3</f>
        <v>-1</v>
      </c>
      <c r="M182" s="49">
        <f>L182+(N182-L182)/2</f>
        <v>-1</v>
      </c>
      <c r="N182" s="50">
        <f>IF(DIAG!H262,$Y$236,-1)</f>
        <v>-1</v>
      </c>
    </row>
    <row r="183" spans="3:14" x14ac:dyDescent="0.2">
      <c r="E183" s="53">
        <f>IF(DIAG!H262,$B$266,-1)</f>
        <v>-1</v>
      </c>
      <c r="F183" s="54">
        <f>E183+(N183-E183)/9</f>
        <v>-1</v>
      </c>
      <c r="G183" s="54">
        <f>F183+(N183-F183)/8</f>
        <v>-1</v>
      </c>
      <c r="H183" s="54">
        <f>G183+(N183-G183)/7</f>
        <v>-1</v>
      </c>
      <c r="I183" s="54">
        <f>H183+(N183-H183)/6</f>
        <v>-1</v>
      </c>
      <c r="J183" s="54">
        <f>I183+(N183-I183)/5</f>
        <v>-1</v>
      </c>
      <c r="K183" s="54">
        <f>J183+(N183-J183)/4</f>
        <v>-1</v>
      </c>
      <c r="L183" s="54">
        <f>K183+(N183-K183)/3</f>
        <v>-1</v>
      </c>
      <c r="M183" s="54">
        <f>L183+(N183-L183)/2</f>
        <v>-1</v>
      </c>
      <c r="N183" s="55">
        <f>IF(DIAG!H262,$Y$237,-1)</f>
        <v>-1</v>
      </c>
    </row>
    <row r="184" spans="3:14" x14ac:dyDescent="0.2">
      <c r="G184" s="6"/>
      <c r="H184" s="6"/>
      <c r="I184" s="6"/>
      <c r="J184" s="6"/>
      <c r="K184" s="6"/>
    </row>
    <row r="185" spans="3:14" x14ac:dyDescent="0.2">
      <c r="C185" s="6" t="s">
        <v>140</v>
      </c>
      <c r="E185" s="48">
        <f>IF(DIAG!H263,$B$265,-1)</f>
        <v>-1</v>
      </c>
      <c r="F185" s="49">
        <f>E185+(N185-E185)/9</f>
        <v>-1</v>
      </c>
      <c r="G185" s="49">
        <f>F185+(N185-F185)/8</f>
        <v>-1</v>
      </c>
      <c r="H185" s="49">
        <f>G185+(N185-G185)/7</f>
        <v>-1</v>
      </c>
      <c r="I185" s="49">
        <f>H185+(N185-H185)/6</f>
        <v>-1</v>
      </c>
      <c r="J185" s="49">
        <f>I185+(N185-I185)/5</f>
        <v>-1</v>
      </c>
      <c r="K185" s="49">
        <f>J185+(N185-J185)/4</f>
        <v>-1</v>
      </c>
      <c r="L185" s="49">
        <f>K185+(N185-K185)/3</f>
        <v>-1</v>
      </c>
      <c r="M185" s="49">
        <f>L185+(N185-L185)/2</f>
        <v>-1</v>
      </c>
      <c r="N185" s="50">
        <f>IF(DIAG!H263,$Z$236,-1)</f>
        <v>-1</v>
      </c>
    </row>
    <row r="186" spans="3:14" x14ac:dyDescent="0.2">
      <c r="E186" s="53">
        <f>IF(DIAG!H263,$B$266,-1)</f>
        <v>-1</v>
      </c>
      <c r="F186" s="54">
        <f>E186+(N186-E186)/9</f>
        <v>-1</v>
      </c>
      <c r="G186" s="54">
        <f>F186+(N186-F186)/8</f>
        <v>-1</v>
      </c>
      <c r="H186" s="54">
        <f>G186+(N186-G186)/7</f>
        <v>-1</v>
      </c>
      <c r="I186" s="54">
        <f>H186+(N186-H186)/6</f>
        <v>-1</v>
      </c>
      <c r="J186" s="54">
        <f>I186+(N186-I186)/5</f>
        <v>-1</v>
      </c>
      <c r="K186" s="54">
        <f>J186+(N186-J186)/4</f>
        <v>-1</v>
      </c>
      <c r="L186" s="54">
        <f>K186+(N186-K186)/3</f>
        <v>-1</v>
      </c>
      <c r="M186" s="54">
        <f>L186+(N186-L186)/2</f>
        <v>-1</v>
      </c>
      <c r="N186" s="55">
        <f>IF(DIAG!H263,$Z$237,-1)</f>
        <v>-1</v>
      </c>
    </row>
    <row r="187" spans="3:14" x14ac:dyDescent="0.2">
      <c r="G187" s="6"/>
      <c r="H187" s="6"/>
      <c r="I187" s="6"/>
      <c r="J187" s="6"/>
      <c r="K187" s="6"/>
    </row>
    <row r="188" spans="3:14" x14ac:dyDescent="0.2">
      <c r="C188" s="6" t="s">
        <v>141</v>
      </c>
      <c r="E188" s="48">
        <f>IF(DIAG!H264,$B$265,-1)</f>
        <v>-1</v>
      </c>
      <c r="F188" s="49">
        <f>E188+(N188-E188)/9</f>
        <v>-1</v>
      </c>
      <c r="G188" s="49">
        <f>F188+(N188-F188)/8</f>
        <v>-1</v>
      </c>
      <c r="H188" s="49">
        <f>G188+(N188-G188)/7</f>
        <v>-1</v>
      </c>
      <c r="I188" s="49">
        <f>H188+(N188-H188)/6</f>
        <v>-1</v>
      </c>
      <c r="J188" s="49">
        <f>I188+(N188-I188)/5</f>
        <v>-1</v>
      </c>
      <c r="K188" s="49">
        <f>J188+(N188-J188)/4</f>
        <v>-1</v>
      </c>
      <c r="L188" s="49">
        <f>K188+(N188-K188)/3</f>
        <v>-1</v>
      </c>
      <c r="M188" s="49">
        <f>L188+(N188-L188)/2</f>
        <v>-1</v>
      </c>
      <c r="N188" s="50">
        <f>IF(DIAG!H264,$AA$236,-1)</f>
        <v>-1</v>
      </c>
    </row>
    <row r="189" spans="3:14" x14ac:dyDescent="0.2">
      <c r="E189" s="53">
        <f>IF(DIAG!H264,$B$266,-1)</f>
        <v>-1</v>
      </c>
      <c r="F189" s="54">
        <f>E189+(N189-E189)/9</f>
        <v>-1</v>
      </c>
      <c r="G189" s="54">
        <f>F189+(N189-F189)/8</f>
        <v>-1</v>
      </c>
      <c r="H189" s="54">
        <f>G189+(N189-G189)/7</f>
        <v>-1</v>
      </c>
      <c r="I189" s="54">
        <f>H189+(N189-H189)/6</f>
        <v>-1</v>
      </c>
      <c r="J189" s="54">
        <f>I189+(N189-I189)/5</f>
        <v>-1</v>
      </c>
      <c r="K189" s="54">
        <f>J189+(N189-J189)/4</f>
        <v>-1</v>
      </c>
      <c r="L189" s="54">
        <f>K189+(N189-K189)/3</f>
        <v>-1</v>
      </c>
      <c r="M189" s="54">
        <f>L189+(N189-L189)/2</f>
        <v>-1</v>
      </c>
      <c r="N189" s="55">
        <f>IF(DIAG!H264,$AA$237,-1)</f>
        <v>-1</v>
      </c>
    </row>
    <row r="190" spans="3:14" x14ac:dyDescent="0.2">
      <c r="G190" s="6"/>
      <c r="H190" s="6"/>
      <c r="I190" s="6"/>
      <c r="J190" s="6"/>
      <c r="K190" s="6"/>
    </row>
    <row r="191" spans="3:14" x14ac:dyDescent="0.2">
      <c r="C191" s="6" t="s">
        <v>142</v>
      </c>
      <c r="E191" s="48">
        <f>IF(DIAG!H265,$B$265,-1)</f>
        <v>-1</v>
      </c>
      <c r="F191" s="49">
        <f>E191+(N191-E191)/9</f>
        <v>-1</v>
      </c>
      <c r="G191" s="49">
        <f>F191+(N191-F191)/8</f>
        <v>-1</v>
      </c>
      <c r="H191" s="49">
        <f>G191+(N191-G191)/7</f>
        <v>-1</v>
      </c>
      <c r="I191" s="49">
        <f>H191+(N191-H191)/6</f>
        <v>-1</v>
      </c>
      <c r="J191" s="49">
        <f>I191+(N191-I191)/5</f>
        <v>-1</v>
      </c>
      <c r="K191" s="49">
        <f>J191+(N191-J191)/4</f>
        <v>-1</v>
      </c>
      <c r="L191" s="49">
        <f>K191+(N191-K191)/3</f>
        <v>-1</v>
      </c>
      <c r="M191" s="49">
        <f>L191+(N191-L191)/2</f>
        <v>-1</v>
      </c>
      <c r="N191" s="50">
        <f>IF(DIAG!H265,$AB$236,-1)</f>
        <v>-1</v>
      </c>
    </row>
    <row r="192" spans="3:14" x14ac:dyDescent="0.2">
      <c r="E192" s="53">
        <f>IF(DIAG!H265,$B$266,-1)</f>
        <v>-1</v>
      </c>
      <c r="F192" s="54">
        <f>E192+(N192-E192)/9</f>
        <v>-1</v>
      </c>
      <c r="G192" s="54">
        <f>F192+(N192-F192)/8</f>
        <v>-1</v>
      </c>
      <c r="H192" s="54">
        <f>G192+(N192-G192)/7</f>
        <v>-1</v>
      </c>
      <c r="I192" s="54">
        <f>H192+(N192-H192)/6</f>
        <v>-1</v>
      </c>
      <c r="J192" s="54">
        <f>I192+(N192-I192)/5</f>
        <v>-1</v>
      </c>
      <c r="K192" s="54">
        <f>J192+(N192-J192)/4</f>
        <v>-1</v>
      </c>
      <c r="L192" s="54">
        <f>K192+(N192-K192)/3</f>
        <v>-1</v>
      </c>
      <c r="M192" s="54">
        <f>L192+(N192-L192)/2</f>
        <v>-1</v>
      </c>
      <c r="N192" s="55">
        <f>IF(DIAG!H265,$AB$237,-1)</f>
        <v>-1</v>
      </c>
    </row>
    <row r="193" spans="3:14" x14ac:dyDescent="0.2">
      <c r="G193" s="6"/>
      <c r="H193" s="6"/>
      <c r="I193" s="6"/>
      <c r="J193" s="6"/>
      <c r="K193" s="6"/>
    </row>
    <row r="194" spans="3:14" x14ac:dyDescent="0.2">
      <c r="C194" s="6" t="s">
        <v>143</v>
      </c>
      <c r="E194" s="48">
        <f>IF(DIAG!H266,$B$265,-1)</f>
        <v>-1</v>
      </c>
      <c r="F194" s="49">
        <f>E194+(N194-E194)/9</f>
        <v>-1</v>
      </c>
      <c r="G194" s="49">
        <f>F194+(N194-F194)/8</f>
        <v>-1</v>
      </c>
      <c r="H194" s="49">
        <f>G194+(N194-G194)/7</f>
        <v>-1</v>
      </c>
      <c r="I194" s="49">
        <f>H194+(N194-H194)/6</f>
        <v>-1</v>
      </c>
      <c r="J194" s="49">
        <f>I194+(N194-I194)/5</f>
        <v>-1</v>
      </c>
      <c r="K194" s="49">
        <f>J194+(N194-J194)/4</f>
        <v>-1</v>
      </c>
      <c r="L194" s="49">
        <f>K194+(N194-K194)/3</f>
        <v>-1</v>
      </c>
      <c r="M194" s="49">
        <f>L194+(N194-L194)/2</f>
        <v>-1</v>
      </c>
      <c r="N194" s="50">
        <f>IF(DIAG!H266,$AC$236,-1)</f>
        <v>-1</v>
      </c>
    </row>
    <row r="195" spans="3:14" x14ac:dyDescent="0.2">
      <c r="E195" s="53">
        <f>IF(DIAG!H266,$B$266,-1)</f>
        <v>-1</v>
      </c>
      <c r="F195" s="54">
        <f>E195+(N195-E195)/9</f>
        <v>-1</v>
      </c>
      <c r="G195" s="54">
        <f>F195+(N195-F195)/8</f>
        <v>-1</v>
      </c>
      <c r="H195" s="54">
        <f>G195+(N195-G195)/7</f>
        <v>-1</v>
      </c>
      <c r="I195" s="54">
        <f>H195+(N195-H195)/6</f>
        <v>-1</v>
      </c>
      <c r="J195" s="54">
        <f>I195+(N195-I195)/5</f>
        <v>-1</v>
      </c>
      <c r="K195" s="54">
        <f>J195+(N195-J195)/4</f>
        <v>-1</v>
      </c>
      <c r="L195" s="54">
        <f>K195+(N195-K195)/3</f>
        <v>-1</v>
      </c>
      <c r="M195" s="54">
        <f>L195+(N195-L195)/2</f>
        <v>-1</v>
      </c>
      <c r="N195" s="55">
        <f>IF(DIAG!H266,$AC$237,-1)</f>
        <v>-1</v>
      </c>
    </row>
    <row r="196" spans="3:14" x14ac:dyDescent="0.2">
      <c r="G196" s="6"/>
      <c r="H196" s="6"/>
      <c r="I196" s="6"/>
      <c r="J196" s="6"/>
      <c r="K196" s="6"/>
    </row>
    <row r="197" spans="3:14" x14ac:dyDescent="0.2">
      <c r="C197" s="6" t="s">
        <v>144</v>
      </c>
      <c r="E197" s="48">
        <f>IF(DIAG!H267,$B$265,-1)</f>
        <v>-1</v>
      </c>
      <c r="F197" s="49">
        <f>E197+(N197-E197)/9</f>
        <v>-1</v>
      </c>
      <c r="G197" s="49">
        <f>F197+(N197-F197)/8</f>
        <v>-1</v>
      </c>
      <c r="H197" s="49">
        <f>G197+(N197-G197)/7</f>
        <v>-1</v>
      </c>
      <c r="I197" s="49">
        <f>H197+(N197-H197)/6</f>
        <v>-1</v>
      </c>
      <c r="J197" s="49">
        <f>I197+(N197-I197)/5</f>
        <v>-1</v>
      </c>
      <c r="K197" s="49">
        <f>J197+(N197-J197)/4</f>
        <v>-1</v>
      </c>
      <c r="L197" s="49">
        <f>K197+(N197-K197)/3</f>
        <v>-1</v>
      </c>
      <c r="M197" s="49">
        <f>L197+(N197-L197)/2</f>
        <v>-1</v>
      </c>
      <c r="N197" s="50">
        <f>IF(DIAG!H267,$AD$236,-1)</f>
        <v>-1</v>
      </c>
    </row>
    <row r="198" spans="3:14" x14ac:dyDescent="0.2">
      <c r="E198" s="53">
        <f>IF(DIAG!H267,$B$266,-1)</f>
        <v>-1</v>
      </c>
      <c r="F198" s="54">
        <f>E198+(N198-E198)/9</f>
        <v>-1</v>
      </c>
      <c r="G198" s="54">
        <f>F198+(N198-F198)/8</f>
        <v>-1</v>
      </c>
      <c r="H198" s="54">
        <f>G198+(N198-G198)/7</f>
        <v>-1</v>
      </c>
      <c r="I198" s="54">
        <f>H198+(N198-H198)/6</f>
        <v>-1</v>
      </c>
      <c r="J198" s="54">
        <f>I198+(N198-I198)/5</f>
        <v>-1</v>
      </c>
      <c r="K198" s="54">
        <f>J198+(N198-J198)/4</f>
        <v>-1</v>
      </c>
      <c r="L198" s="54">
        <f>K198+(N198-K198)/3</f>
        <v>-1</v>
      </c>
      <c r="M198" s="54">
        <f>L198+(N198-L198)/2</f>
        <v>-1</v>
      </c>
      <c r="N198" s="55">
        <f>IF(DIAG!H267,$AD$237,-1)</f>
        <v>-1</v>
      </c>
    </row>
    <row r="199" spans="3:14" x14ac:dyDescent="0.2">
      <c r="G199" s="6"/>
      <c r="H199" s="6"/>
      <c r="I199" s="6"/>
      <c r="J199" s="6"/>
      <c r="K199" s="6"/>
    </row>
    <row r="200" spans="3:14" x14ac:dyDescent="0.2">
      <c r="C200" s="6" t="s">
        <v>145</v>
      </c>
      <c r="E200" s="48">
        <f>IF(DIAG!H268,$B$265,-1)</f>
        <v>-1</v>
      </c>
      <c r="F200" s="49">
        <f>E200+(N200-E200)/9</f>
        <v>-1</v>
      </c>
      <c r="G200" s="49">
        <f>F200+(N200-F200)/8</f>
        <v>-1</v>
      </c>
      <c r="H200" s="49">
        <f>G200+(N200-G200)/7</f>
        <v>-1</v>
      </c>
      <c r="I200" s="49">
        <f>H200+(N200-H200)/6</f>
        <v>-1</v>
      </c>
      <c r="J200" s="49">
        <f>I200+(N200-I200)/5</f>
        <v>-1</v>
      </c>
      <c r="K200" s="49">
        <f>J200+(N200-J200)/4</f>
        <v>-1</v>
      </c>
      <c r="L200" s="49">
        <f>K200+(N200-K200)/3</f>
        <v>-1</v>
      </c>
      <c r="M200" s="49">
        <f>L200+(N200-L200)/2</f>
        <v>-1</v>
      </c>
      <c r="N200" s="50">
        <f>IF(DIAG!H268,$AE$236,-1)</f>
        <v>-1</v>
      </c>
    </row>
    <row r="201" spans="3:14" x14ac:dyDescent="0.2">
      <c r="E201" s="53">
        <f>IF(DIAG!H268,$B$266,-1)</f>
        <v>-1</v>
      </c>
      <c r="F201" s="54">
        <f>E201+(N201-E201)/9</f>
        <v>-1</v>
      </c>
      <c r="G201" s="54">
        <f>F201+(N201-F201)/8</f>
        <v>-1</v>
      </c>
      <c r="H201" s="54">
        <f>G201+(N201-G201)/7</f>
        <v>-1</v>
      </c>
      <c r="I201" s="54">
        <f>H201+(N201-H201)/6</f>
        <v>-1</v>
      </c>
      <c r="J201" s="54">
        <f>I201+(N201-I201)/5</f>
        <v>-1</v>
      </c>
      <c r="K201" s="54">
        <f>J201+(N201-J201)/4</f>
        <v>-1</v>
      </c>
      <c r="L201" s="54">
        <f>K201+(N201-K201)/3</f>
        <v>-1</v>
      </c>
      <c r="M201" s="54">
        <f>L201+(N201-L201)/2</f>
        <v>-1</v>
      </c>
      <c r="N201" s="55">
        <f>IF(DIAG!H268,$AE$237,-1)</f>
        <v>-1</v>
      </c>
    </row>
    <row r="202" spans="3:14" x14ac:dyDescent="0.2">
      <c r="G202" s="6"/>
      <c r="H202" s="6"/>
      <c r="I202" s="6"/>
      <c r="J202" s="6"/>
      <c r="K202" s="6"/>
    </row>
    <row r="203" spans="3:14" x14ac:dyDescent="0.2">
      <c r="G203" s="6"/>
      <c r="H203" s="6"/>
      <c r="I203" s="6"/>
      <c r="J203" s="6"/>
      <c r="K203" s="6"/>
    </row>
    <row r="204" spans="3:14" x14ac:dyDescent="0.2">
      <c r="G204" s="6"/>
      <c r="H204" s="6"/>
      <c r="I204" s="6"/>
      <c r="J204" s="6"/>
      <c r="K204" s="6"/>
    </row>
    <row r="205" spans="3:14" x14ac:dyDescent="0.2">
      <c r="G205" s="6"/>
      <c r="H205" s="6"/>
      <c r="I205" s="6"/>
      <c r="J205" s="6"/>
      <c r="K205" s="6"/>
    </row>
    <row r="206" spans="3:14" x14ac:dyDescent="0.2">
      <c r="G206" s="6"/>
      <c r="H206" s="6"/>
      <c r="I206" s="6"/>
      <c r="J206" s="6"/>
      <c r="K206" s="6"/>
    </row>
    <row r="207" spans="3:14" x14ac:dyDescent="0.2">
      <c r="G207" s="6"/>
      <c r="H207" s="6"/>
      <c r="I207" s="6"/>
      <c r="J207" s="6"/>
      <c r="K207" s="6"/>
    </row>
    <row r="208" spans="3:14" x14ac:dyDescent="0.2">
      <c r="G208" s="6"/>
      <c r="H208" s="6"/>
      <c r="I208" s="6"/>
      <c r="J208" s="6"/>
      <c r="K208" s="6"/>
    </row>
    <row r="209" spans="1:31" x14ac:dyDescent="0.2">
      <c r="G209" s="6"/>
      <c r="H209" s="6"/>
      <c r="I209" s="6"/>
      <c r="J209" s="6"/>
      <c r="K209" s="6"/>
    </row>
    <row r="210" spans="1:31" x14ac:dyDescent="0.2">
      <c r="A210" s="162" t="s">
        <v>15</v>
      </c>
      <c r="B210" s="163"/>
      <c r="C210" s="163"/>
      <c r="D210" s="163"/>
      <c r="E210" s="163"/>
      <c r="F210" s="163"/>
      <c r="G210" s="163"/>
      <c r="H210" s="163"/>
      <c r="I210" s="163"/>
      <c r="J210" s="163"/>
      <c r="K210" s="163"/>
      <c r="L210" s="163"/>
      <c r="M210" s="163"/>
      <c r="N210" s="163"/>
      <c r="O210" s="163"/>
      <c r="P210" s="163"/>
      <c r="Q210" s="163"/>
      <c r="R210" s="163"/>
      <c r="S210" s="163"/>
      <c r="T210" s="163"/>
      <c r="U210" s="163"/>
      <c r="V210" s="163"/>
      <c r="W210" s="163"/>
      <c r="X210" s="163"/>
      <c r="Y210" s="163"/>
      <c r="Z210" s="163"/>
      <c r="AA210" s="163"/>
      <c r="AB210" s="163"/>
      <c r="AC210" s="163"/>
      <c r="AD210" s="163"/>
      <c r="AE210" s="163"/>
    </row>
    <row r="211" spans="1:31" x14ac:dyDescent="0.2">
      <c r="A211" s="9" t="s">
        <v>16</v>
      </c>
      <c r="B211" s="10" t="str">
        <f>CONCATENATE(" 1-",Resumo!B2)</f>
        <v xml:space="preserve"> 1-Agroecological</v>
      </c>
      <c r="C211" s="10" t="str">
        <f>CONCATENATE(" 2-",Resumo!B12)</f>
        <v xml:space="preserve"> 2-Grains/Cattle</v>
      </c>
      <c r="D211" s="10" t="str">
        <f>CONCATENATE(" 3-",Resumo!B22)</f>
        <v xml:space="preserve"> 3-Milk/Grains</v>
      </c>
      <c r="E211" s="10" t="str">
        <f>CONCATENATE(" 4-",Resumo!B32)</f>
        <v xml:space="preserve"> 4-Grains</v>
      </c>
      <c r="F211" s="10" t="str">
        <f>CONCATENATE(" 5-",Resumo!B41)</f>
        <v xml:space="preserve"> 5-</v>
      </c>
      <c r="G211" s="10" t="str">
        <f>CONCATENATE(" 6-",Resumo!B52)</f>
        <v xml:space="preserve"> 6-Organic</v>
      </c>
      <c r="H211" s="10" t="str">
        <f>CONCATENATE(" 7-",Resumo!B62)</f>
        <v xml:space="preserve"> 7-</v>
      </c>
      <c r="I211" s="10" t="str">
        <f>CONCATENATE(" 8-",Resumo!B72)</f>
        <v xml:space="preserve"> 8-</v>
      </c>
      <c r="J211" s="10" t="str">
        <f>CONCATENATE(" 9-",Resumo!B82)</f>
        <v xml:space="preserve"> 9-</v>
      </c>
      <c r="K211" s="10" t="str">
        <f>CONCATENATE(" 10-",Resumo!B92)</f>
        <v xml:space="preserve"> 10-</v>
      </c>
      <c r="L211" s="10" t="str">
        <f>CONCATENATE("11-",Resumo!B102)</f>
        <v>11-</v>
      </c>
      <c r="M211" s="10" t="str">
        <f>CONCATENATE(" 12-",Resumo!B112)</f>
        <v xml:space="preserve"> 12-</v>
      </c>
      <c r="N211" s="10" t="str">
        <f>CONCATENATE(" 13-",Resumo!B122)</f>
        <v xml:space="preserve"> 13-</v>
      </c>
      <c r="O211" s="10" t="str">
        <f>CONCATENATE(" 14-",Resumo!B132)</f>
        <v xml:space="preserve"> 14-</v>
      </c>
      <c r="P211" s="10" t="str">
        <f>CONCATENATE(" 15-",Resumo!B142)</f>
        <v xml:space="preserve"> 15-</v>
      </c>
      <c r="Q211" s="10" t="str">
        <f>CONCATENATE(" 16-",Resumo!B152)</f>
        <v xml:space="preserve"> 16-</v>
      </c>
      <c r="R211" s="10" t="str">
        <f>CONCATENATE(" 17-",Resumo!B162)</f>
        <v xml:space="preserve"> 17-</v>
      </c>
      <c r="S211" s="10" t="str">
        <f>CONCATENATE(" 18-",Resumo!B172)</f>
        <v xml:space="preserve"> 18-</v>
      </c>
      <c r="T211" s="10" t="str">
        <f>CONCATENATE(" 19-",Resumo!B182)</f>
        <v xml:space="preserve"> 19-</v>
      </c>
      <c r="U211" s="10" t="str">
        <f>CONCATENATE(" 20-",Resumo!B192)</f>
        <v xml:space="preserve"> 20-</v>
      </c>
      <c r="V211" s="10" t="str">
        <f>CONCATENATE(" 21-",Resumo!B202)</f>
        <v xml:space="preserve"> 21-</v>
      </c>
      <c r="W211" s="10" t="str">
        <f>CONCATENATE(" 22-",Resumo!B212)</f>
        <v xml:space="preserve"> 22-</v>
      </c>
      <c r="X211" s="10" t="str">
        <f>CONCATENATE(" 23-",Resumo!B222)</f>
        <v xml:space="preserve"> 23-</v>
      </c>
      <c r="Y211" s="10" t="str">
        <f>CONCATENATE(" 24-",Resumo!B232)</f>
        <v xml:space="preserve"> 24-</v>
      </c>
      <c r="Z211" s="10" t="str">
        <f>CONCATENATE(" 25-",Resumo!B242)</f>
        <v xml:space="preserve"> 25-</v>
      </c>
      <c r="AA211" s="10" t="str">
        <f>CONCATENATE(" 26-",Resumo!B252)</f>
        <v xml:space="preserve"> 26-</v>
      </c>
      <c r="AB211" s="10" t="str">
        <f>CONCATENATE(" 27-",Resumo!B262)</f>
        <v xml:space="preserve"> 27-</v>
      </c>
      <c r="AC211" s="10" t="str">
        <f>CONCATENATE(" 28-",Resumo!B272)</f>
        <v xml:space="preserve"> 28-</v>
      </c>
      <c r="AD211" s="10" t="str">
        <f>CONCATENATE(" 29-",Resumo!B282)</f>
        <v xml:space="preserve"> 29-</v>
      </c>
      <c r="AE211" s="10" t="str">
        <f>CONCATENATE(" 30-",Resumo!B292)</f>
        <v xml:space="preserve"> 30-</v>
      </c>
    </row>
    <row r="212" spans="1:31" x14ac:dyDescent="0.2">
      <c r="A212" s="12" t="s">
        <v>151</v>
      </c>
      <c r="B212" s="13">
        <f>Resumo!G2</f>
        <v>17.329999999999998</v>
      </c>
      <c r="C212" s="13">
        <f>Resumo!G12</f>
        <v>17.329999999999998</v>
      </c>
      <c r="D212" s="13">
        <f>Resumo!G22</f>
        <v>17.329999999999998</v>
      </c>
      <c r="E212" s="13">
        <f>Resumo!G32</f>
        <v>17.329999999999998</v>
      </c>
      <c r="F212" s="13">
        <f>Resumo!G42</f>
        <v>17.329999999999998</v>
      </c>
      <c r="G212" s="13">
        <f>Resumo!G52</f>
        <v>17.329999999999998</v>
      </c>
      <c r="H212" s="13">
        <f>Resumo!G62</f>
        <v>0</v>
      </c>
      <c r="I212" s="13">
        <f>Resumo!G72</f>
        <v>0</v>
      </c>
      <c r="J212" s="13">
        <f>Resumo!G82</f>
        <v>0</v>
      </c>
      <c r="K212" s="13">
        <f>Resumo!G92</f>
        <v>0</v>
      </c>
      <c r="L212" s="13">
        <f>Resumo!G102</f>
        <v>0</v>
      </c>
      <c r="M212" s="13">
        <f>Resumo!G112</f>
        <v>0</v>
      </c>
      <c r="N212" s="13">
        <f>Resumo!G122</f>
        <v>0</v>
      </c>
      <c r="O212" s="13">
        <f>Resumo!G132</f>
        <v>0</v>
      </c>
      <c r="P212" s="13">
        <f>Resumo!G142</f>
        <v>0</v>
      </c>
      <c r="Q212" s="13">
        <f>Resumo!G152</f>
        <v>0</v>
      </c>
      <c r="R212" s="13">
        <f>Resumo!G162</f>
        <v>0</v>
      </c>
      <c r="S212" s="13">
        <f>Resumo!G172</f>
        <v>0</v>
      </c>
      <c r="T212" s="13">
        <f>Resumo!G182</f>
        <v>0</v>
      </c>
      <c r="U212" s="13">
        <f>Resumo!G192</f>
        <v>0</v>
      </c>
      <c r="V212" s="13">
        <f>Resumo!G202</f>
        <v>0</v>
      </c>
      <c r="W212" s="13">
        <f>Resumo!G212</f>
        <v>0</v>
      </c>
      <c r="X212" s="13">
        <f>Resumo!G222</f>
        <v>0</v>
      </c>
      <c r="Y212" s="13">
        <f>Resumo!G232</f>
        <v>0</v>
      </c>
      <c r="Z212" s="13">
        <f>Resumo!G242</f>
        <v>0</v>
      </c>
      <c r="AA212" s="13">
        <f>Resumo!G252</f>
        <v>0</v>
      </c>
      <c r="AB212" s="13">
        <f>Resumo!G262</f>
        <v>0</v>
      </c>
      <c r="AC212" s="13">
        <f>Resumo!G272</f>
        <v>0</v>
      </c>
      <c r="AD212" s="13">
        <f>Resumo!G282</f>
        <v>0</v>
      </c>
      <c r="AE212" s="13">
        <f>Resumo!G292</f>
        <v>0</v>
      </c>
    </row>
    <row r="213" spans="1:31" x14ac:dyDescent="0.2">
      <c r="A213" s="12" t="s">
        <v>5</v>
      </c>
      <c r="B213" s="13">
        <f>Resumo!G3</f>
        <v>0.73</v>
      </c>
      <c r="C213" s="13">
        <f>Resumo!G13</f>
        <v>1.93</v>
      </c>
      <c r="D213" s="13">
        <f>Resumo!G23</f>
        <v>1.7</v>
      </c>
      <c r="E213" s="13">
        <f>Resumo!G33</f>
        <v>1.1399999999999999</v>
      </c>
      <c r="F213" s="13">
        <f>Resumo!G43</f>
        <v>8.02</v>
      </c>
      <c r="G213" s="13">
        <f>Resumo!G53</f>
        <v>3.23</v>
      </c>
      <c r="H213" s="13">
        <f>Resumo!G63</f>
        <v>0</v>
      </c>
      <c r="I213" s="13">
        <f>Resumo!G73</f>
        <v>0</v>
      </c>
      <c r="J213" s="13">
        <f>Resumo!G83</f>
        <v>0</v>
      </c>
      <c r="K213" s="13">
        <f>Resumo!G93</f>
        <v>0</v>
      </c>
      <c r="L213" s="13">
        <f>Resumo!G103</f>
        <v>0</v>
      </c>
      <c r="M213" s="13">
        <f>Resumo!G113</f>
        <v>0</v>
      </c>
      <c r="N213" s="13">
        <f>Resumo!G123</f>
        <v>0</v>
      </c>
      <c r="O213" s="13">
        <f>Resumo!G133</f>
        <v>0</v>
      </c>
      <c r="P213" s="13">
        <f>Resumo!G143</f>
        <v>0</v>
      </c>
      <c r="Q213" s="13">
        <f>Resumo!G153</f>
        <v>0</v>
      </c>
      <c r="R213" s="13">
        <f>Resumo!G163</f>
        <v>0</v>
      </c>
      <c r="S213" s="13">
        <f>Resumo!G173</f>
        <v>0</v>
      </c>
      <c r="T213" s="13">
        <f>Resumo!G183</f>
        <v>0</v>
      </c>
      <c r="U213" s="13">
        <f>Resumo!G193</f>
        <v>0</v>
      </c>
      <c r="V213" s="13">
        <f>Resumo!G203</f>
        <v>0</v>
      </c>
      <c r="W213" s="13">
        <f>Resumo!G213</f>
        <v>0</v>
      </c>
      <c r="X213" s="13">
        <f>Resumo!G223</f>
        <v>0</v>
      </c>
      <c r="Y213" s="13">
        <f>Resumo!G233</f>
        <v>0</v>
      </c>
      <c r="Z213" s="13">
        <f>Resumo!G243</f>
        <v>0</v>
      </c>
      <c r="AA213" s="13">
        <f>Resumo!G253</f>
        <v>0</v>
      </c>
      <c r="AB213" s="13">
        <f>Resumo!G263</f>
        <v>0</v>
      </c>
      <c r="AC213" s="13">
        <f>Resumo!G273</f>
        <v>0</v>
      </c>
      <c r="AD213" s="13">
        <f>Resumo!G283</f>
        <v>0</v>
      </c>
      <c r="AE213" s="13">
        <f>Resumo!G293</f>
        <v>0</v>
      </c>
    </row>
    <row r="214" spans="1:31" x14ac:dyDescent="0.2">
      <c r="A214" s="12" t="s">
        <v>146</v>
      </c>
      <c r="B214" s="13">
        <f>Resumo!G4</f>
        <v>5.1100000000000003</v>
      </c>
      <c r="C214" s="13">
        <f>Resumo!G14</f>
        <v>0.38</v>
      </c>
      <c r="D214" s="13">
        <f>Resumo!G24</f>
        <v>0.14000000000000001</v>
      </c>
      <c r="E214" s="13">
        <f>Resumo!G34</f>
        <v>1.24</v>
      </c>
      <c r="F214" s="13">
        <f>Resumo!G44</f>
        <v>0.21</v>
      </c>
      <c r="G214" s="13">
        <f>Resumo!G54</f>
        <v>12.29</v>
      </c>
      <c r="H214" s="13">
        <f>Resumo!G64</f>
        <v>0</v>
      </c>
      <c r="I214" s="13">
        <f>Resumo!G74</f>
        <v>0</v>
      </c>
      <c r="J214" s="13">
        <f>Resumo!G84</f>
        <v>0</v>
      </c>
      <c r="K214" s="13">
        <f>Resumo!G94</f>
        <v>0</v>
      </c>
      <c r="L214" s="13">
        <f>Resumo!G104</f>
        <v>0</v>
      </c>
      <c r="M214" s="13">
        <f>Resumo!G114</f>
        <v>0</v>
      </c>
      <c r="N214" s="13">
        <f>Resumo!G124</f>
        <v>0</v>
      </c>
      <c r="O214" s="13">
        <f>Resumo!G134</f>
        <v>0</v>
      </c>
      <c r="P214" s="13">
        <f>Resumo!G144</f>
        <v>0</v>
      </c>
      <c r="Q214" s="13">
        <f>Resumo!G154</f>
        <v>0</v>
      </c>
      <c r="R214" s="13">
        <f>Resumo!G164</f>
        <v>0</v>
      </c>
      <c r="S214" s="13">
        <f>Resumo!G174</f>
        <v>0</v>
      </c>
      <c r="T214" s="13">
        <f>Resumo!G184</f>
        <v>0</v>
      </c>
      <c r="U214" s="13">
        <f>Resumo!G194</f>
        <v>0</v>
      </c>
      <c r="V214" s="13">
        <f>Resumo!G204</f>
        <v>0</v>
      </c>
      <c r="W214" s="13">
        <f>Resumo!G214</f>
        <v>0</v>
      </c>
      <c r="X214" s="13">
        <f>Resumo!G224</f>
        <v>0</v>
      </c>
      <c r="Y214" s="13">
        <f>Resumo!G234</f>
        <v>0</v>
      </c>
      <c r="Z214" s="13">
        <f>Resumo!G244</f>
        <v>0</v>
      </c>
      <c r="AA214" s="13">
        <f>Resumo!G254</f>
        <v>0</v>
      </c>
      <c r="AB214" s="13">
        <f>Resumo!G264</f>
        <v>0</v>
      </c>
      <c r="AC214" s="13">
        <f>Resumo!G274</f>
        <v>0</v>
      </c>
      <c r="AD214" s="13">
        <f>Resumo!G284</f>
        <v>0</v>
      </c>
      <c r="AE214" s="13">
        <f>Resumo!G294</f>
        <v>0</v>
      </c>
    </row>
    <row r="215" spans="1:31" x14ac:dyDescent="0.2">
      <c r="A215" s="12" t="s">
        <v>147</v>
      </c>
      <c r="B215" s="13">
        <f>Resumo!G5</f>
        <v>4.8499999999999996</v>
      </c>
      <c r="C215" s="13">
        <f>Resumo!G15</f>
        <v>15.06</v>
      </c>
      <c r="D215" s="13">
        <f>Resumo!G25</f>
        <v>26.09</v>
      </c>
      <c r="E215" s="13">
        <f>Resumo!G35</f>
        <v>21.17</v>
      </c>
      <c r="F215" s="13">
        <f>Resumo!G45</f>
        <v>8.1199999999999992</v>
      </c>
      <c r="G215" s="13">
        <f>Resumo!G55</f>
        <v>8.36</v>
      </c>
      <c r="H215" s="13">
        <f>Resumo!G65</f>
        <v>0</v>
      </c>
      <c r="I215" s="13">
        <f>Resumo!G75</f>
        <v>0</v>
      </c>
      <c r="J215" s="13">
        <f>Resumo!G85</f>
        <v>0</v>
      </c>
      <c r="K215" s="13">
        <f>Resumo!G95</f>
        <v>0</v>
      </c>
      <c r="L215" s="13">
        <f>Resumo!G105</f>
        <v>0</v>
      </c>
      <c r="M215" s="13">
        <f>Resumo!G115</f>
        <v>0</v>
      </c>
      <c r="N215" s="13">
        <f>Resumo!G125</f>
        <v>0</v>
      </c>
      <c r="O215" s="13">
        <f>Resumo!G135</f>
        <v>0</v>
      </c>
      <c r="P215" s="13">
        <f>Resumo!G145</f>
        <v>0</v>
      </c>
      <c r="Q215" s="13">
        <f>Resumo!G155</f>
        <v>0</v>
      </c>
      <c r="R215" s="13">
        <f>Resumo!G165</f>
        <v>0</v>
      </c>
      <c r="S215" s="13">
        <f>Resumo!G175</f>
        <v>0</v>
      </c>
      <c r="T215" s="13">
        <f>Resumo!G185</f>
        <v>0</v>
      </c>
      <c r="U215" s="13">
        <f>Resumo!G195</f>
        <v>0</v>
      </c>
      <c r="V215" s="13">
        <f>Resumo!G205</f>
        <v>0</v>
      </c>
      <c r="W215" s="13">
        <f>Resumo!G215</f>
        <v>0</v>
      </c>
      <c r="X215" s="13">
        <f>Resumo!G225</f>
        <v>0</v>
      </c>
      <c r="Y215" s="13">
        <f>Resumo!G235</f>
        <v>0</v>
      </c>
      <c r="Z215" s="13">
        <f>Resumo!G245</f>
        <v>0</v>
      </c>
      <c r="AA215" s="13">
        <f>Resumo!G255</f>
        <v>0</v>
      </c>
      <c r="AB215" s="13">
        <f>Resumo!G265</f>
        <v>0</v>
      </c>
      <c r="AC215" s="13">
        <f>Resumo!G275</f>
        <v>0</v>
      </c>
      <c r="AD215" s="13">
        <f>Resumo!G285</f>
        <v>0</v>
      </c>
      <c r="AE215" s="13">
        <f>Resumo!G295</f>
        <v>0</v>
      </c>
    </row>
    <row r="216" spans="1:31" x14ac:dyDescent="0.2">
      <c r="A216" s="12" t="s">
        <v>148</v>
      </c>
      <c r="B216" s="13">
        <f>Resumo!G6</f>
        <v>18.399999999999999</v>
      </c>
      <c r="C216" s="13">
        <f>Resumo!G16</f>
        <v>7.5</v>
      </c>
      <c r="D216" s="13">
        <f>Resumo!G26</f>
        <v>9.5</v>
      </c>
      <c r="E216" s="13">
        <f>Resumo!G36</f>
        <v>15.25</v>
      </c>
      <c r="F216" s="13">
        <f>Resumo!G46</f>
        <v>9.3000000000000007</v>
      </c>
      <c r="G216" s="13">
        <f>Resumo!G56</f>
        <v>58.58</v>
      </c>
      <c r="H216" s="13">
        <f>Resumo!G66</f>
        <v>0</v>
      </c>
      <c r="I216" s="13">
        <f>Resumo!G76</f>
        <v>0</v>
      </c>
      <c r="J216" s="13">
        <f>Resumo!G86</f>
        <v>0</v>
      </c>
      <c r="K216" s="13">
        <f>Resumo!G96</f>
        <v>0</v>
      </c>
      <c r="L216" s="13">
        <f>Resumo!G106</f>
        <v>0</v>
      </c>
      <c r="M216" s="13">
        <f>Resumo!G116</f>
        <v>0</v>
      </c>
      <c r="N216" s="13">
        <f>Resumo!G126</f>
        <v>0</v>
      </c>
      <c r="O216" s="13">
        <f>Resumo!G136</f>
        <v>0</v>
      </c>
      <c r="P216" s="13">
        <f>Resumo!G146</f>
        <v>0</v>
      </c>
      <c r="Q216" s="13">
        <f>Resumo!G156</f>
        <v>0</v>
      </c>
      <c r="R216" s="13">
        <f>Resumo!G166</f>
        <v>0</v>
      </c>
      <c r="S216" s="13">
        <f>Resumo!G176</f>
        <v>0</v>
      </c>
      <c r="T216" s="13">
        <f>Resumo!G186</f>
        <v>0</v>
      </c>
      <c r="U216" s="13">
        <f>Resumo!G196</f>
        <v>0</v>
      </c>
      <c r="V216" s="13">
        <f>Resumo!G206</f>
        <v>0</v>
      </c>
      <c r="W216" s="13">
        <f>Resumo!G216</f>
        <v>0</v>
      </c>
      <c r="X216" s="13">
        <f>Resumo!G226</f>
        <v>0</v>
      </c>
      <c r="Y216" s="13">
        <f>Resumo!G236</f>
        <v>0</v>
      </c>
      <c r="Z216" s="13">
        <f>Resumo!G246</f>
        <v>0</v>
      </c>
      <c r="AA216" s="13">
        <f>Resumo!G256</f>
        <v>0</v>
      </c>
      <c r="AB216" s="13">
        <f>Resumo!G266</f>
        <v>0</v>
      </c>
      <c r="AC216" s="13">
        <f>Resumo!G276</f>
        <v>0</v>
      </c>
      <c r="AD216" s="13">
        <f>Resumo!G286</f>
        <v>0</v>
      </c>
      <c r="AE216" s="13">
        <f>Resumo!G296</f>
        <v>0</v>
      </c>
    </row>
    <row r="217" spans="1:31" x14ac:dyDescent="0.2">
      <c r="A217" s="12" t="s">
        <v>149</v>
      </c>
      <c r="B217" s="13">
        <f>Resumo!G7</f>
        <v>7.29</v>
      </c>
      <c r="C217" s="13">
        <f>Resumo!G17</f>
        <v>17.170000000000002</v>
      </c>
      <c r="D217" s="13">
        <f>Resumo!G27</f>
        <v>25.52</v>
      </c>
      <c r="E217" s="13">
        <f>Resumo!G37</f>
        <v>28.12</v>
      </c>
      <c r="F217" s="13">
        <f>Resumo!G47</f>
        <v>11.04</v>
      </c>
      <c r="G217" s="13">
        <f>Resumo!G57</f>
        <v>18.489999999999998</v>
      </c>
      <c r="H217" s="13">
        <f>Resumo!G67</f>
        <v>0</v>
      </c>
      <c r="I217" s="13">
        <f>Resumo!G77</f>
        <v>0</v>
      </c>
      <c r="J217" s="13">
        <f>Resumo!G87</f>
        <v>0</v>
      </c>
      <c r="K217" s="13">
        <f>Resumo!G97</f>
        <v>0</v>
      </c>
      <c r="L217" s="13">
        <f>Resumo!G107</f>
        <v>0</v>
      </c>
      <c r="M217" s="13">
        <f>Resumo!G117</f>
        <v>0</v>
      </c>
      <c r="N217" s="13">
        <f>Resumo!G127</f>
        <v>0</v>
      </c>
      <c r="O217" s="13">
        <f>Resumo!G137</f>
        <v>0</v>
      </c>
      <c r="P217" s="13">
        <f>Resumo!G147</f>
        <v>0</v>
      </c>
      <c r="Q217" s="13">
        <f>Resumo!G157</f>
        <v>0</v>
      </c>
      <c r="R217" s="13">
        <f>Resumo!G167</f>
        <v>0</v>
      </c>
      <c r="S217" s="13">
        <f>Resumo!G177</f>
        <v>0</v>
      </c>
      <c r="T217" s="13">
        <f>Resumo!G187</f>
        <v>0</v>
      </c>
      <c r="U217" s="13">
        <f>Resumo!G197</f>
        <v>0</v>
      </c>
      <c r="V217" s="13">
        <f>Resumo!G207</f>
        <v>0</v>
      </c>
      <c r="W217" s="13">
        <f>Resumo!G217</f>
        <v>0</v>
      </c>
      <c r="X217" s="13">
        <f>Resumo!G227</f>
        <v>0</v>
      </c>
      <c r="Y217" s="13">
        <f>Resumo!G237</f>
        <v>0</v>
      </c>
      <c r="Z217" s="13">
        <f>Resumo!G247</f>
        <v>0</v>
      </c>
      <c r="AA217" s="13">
        <f>Resumo!G257</f>
        <v>0</v>
      </c>
      <c r="AB217" s="13">
        <f>Resumo!G267</f>
        <v>0</v>
      </c>
      <c r="AC217" s="13">
        <f>Resumo!G277</f>
        <v>0</v>
      </c>
      <c r="AD217" s="13">
        <f>Resumo!G287</f>
        <v>0</v>
      </c>
      <c r="AE217" s="13">
        <f>Resumo!G297</f>
        <v>0</v>
      </c>
    </row>
    <row r="218" spans="1:31" x14ac:dyDescent="0.2">
      <c r="A218" s="15" t="s">
        <v>152</v>
      </c>
      <c r="B218" s="13">
        <f>(B215+B217)</f>
        <v>12.14</v>
      </c>
      <c r="C218" s="13">
        <f t="shared" ref="C218:AE218" si="18">(C215+C217)</f>
        <v>32.230000000000004</v>
      </c>
      <c r="D218" s="13">
        <f t="shared" si="18"/>
        <v>51.61</v>
      </c>
      <c r="E218" s="13">
        <f t="shared" si="18"/>
        <v>49.290000000000006</v>
      </c>
      <c r="F218" s="13">
        <f t="shared" si="18"/>
        <v>19.159999999999997</v>
      </c>
      <c r="G218" s="13">
        <f t="shared" si="18"/>
        <v>26.849999999999998</v>
      </c>
      <c r="H218" s="13">
        <f t="shared" si="18"/>
        <v>0</v>
      </c>
      <c r="I218" s="13">
        <f t="shared" si="18"/>
        <v>0</v>
      </c>
      <c r="J218" s="13">
        <f t="shared" si="18"/>
        <v>0</v>
      </c>
      <c r="K218" s="13">
        <f t="shared" si="18"/>
        <v>0</v>
      </c>
      <c r="L218" s="13">
        <f t="shared" si="18"/>
        <v>0</v>
      </c>
      <c r="M218" s="13">
        <f t="shared" si="18"/>
        <v>0</v>
      </c>
      <c r="N218" s="13">
        <f t="shared" si="18"/>
        <v>0</v>
      </c>
      <c r="O218" s="13">
        <f t="shared" si="18"/>
        <v>0</v>
      </c>
      <c r="P218" s="13">
        <f t="shared" si="18"/>
        <v>0</v>
      </c>
      <c r="Q218" s="13">
        <f t="shared" si="18"/>
        <v>0</v>
      </c>
      <c r="R218" s="13">
        <f t="shared" si="18"/>
        <v>0</v>
      </c>
      <c r="S218" s="13">
        <f t="shared" si="18"/>
        <v>0</v>
      </c>
      <c r="T218" s="13">
        <f t="shared" si="18"/>
        <v>0</v>
      </c>
      <c r="U218" s="13">
        <f t="shared" si="18"/>
        <v>0</v>
      </c>
      <c r="V218" s="13">
        <f t="shared" si="18"/>
        <v>0</v>
      </c>
      <c r="W218" s="13">
        <f t="shared" si="18"/>
        <v>0</v>
      </c>
      <c r="X218" s="13">
        <f t="shared" si="18"/>
        <v>0</v>
      </c>
      <c r="Y218" s="13">
        <f t="shared" si="18"/>
        <v>0</v>
      </c>
      <c r="Z218" s="13">
        <f t="shared" si="18"/>
        <v>0</v>
      </c>
      <c r="AA218" s="13">
        <f t="shared" si="18"/>
        <v>0</v>
      </c>
      <c r="AB218" s="13">
        <f t="shared" si="18"/>
        <v>0</v>
      </c>
      <c r="AC218" s="13">
        <f t="shared" si="18"/>
        <v>0</v>
      </c>
      <c r="AD218" s="13">
        <f t="shared" si="18"/>
        <v>0</v>
      </c>
      <c r="AE218" s="13">
        <f t="shared" si="18"/>
        <v>0</v>
      </c>
    </row>
    <row r="219" spans="1:31" x14ac:dyDescent="0.2">
      <c r="A219" s="15" t="s">
        <v>13</v>
      </c>
      <c r="B219" s="166">
        <f>Resumo!G9</f>
        <v>53.709999999999994</v>
      </c>
      <c r="C219" s="16">
        <f>Resumo!G19</f>
        <v>59.370000000000005</v>
      </c>
      <c r="D219" s="16">
        <f>Resumo!G29</f>
        <v>80.28</v>
      </c>
      <c r="E219" s="16">
        <f>Resumo!G39</f>
        <v>84.25</v>
      </c>
      <c r="F219" s="16">
        <f>Resumo!G49</f>
        <v>54.019999999999996</v>
      </c>
      <c r="G219" s="16">
        <f>Resumo!G59</f>
        <v>118.28</v>
      </c>
      <c r="H219" s="16">
        <f>Resumo!G69</f>
        <v>0</v>
      </c>
      <c r="I219" s="16">
        <f>Resumo!G79</f>
        <v>0</v>
      </c>
      <c r="J219" s="16">
        <f>Resumo!G89</f>
        <v>0</v>
      </c>
      <c r="K219" s="16">
        <f>Resumo!G99</f>
        <v>0</v>
      </c>
      <c r="L219" s="16">
        <f>Resumo!G109</f>
        <v>0</v>
      </c>
      <c r="M219" s="16">
        <f>Resumo!G119</f>
        <v>0</v>
      </c>
      <c r="N219" s="16">
        <f>Resumo!G129</f>
        <v>0</v>
      </c>
      <c r="O219" s="16">
        <f>Resumo!G139</f>
        <v>0</v>
      </c>
      <c r="P219" s="16">
        <f>Resumo!G149</f>
        <v>0</v>
      </c>
      <c r="Q219" s="16">
        <f>Resumo!G159</f>
        <v>0</v>
      </c>
      <c r="R219" s="16">
        <f>Resumo!G169</f>
        <v>0</v>
      </c>
      <c r="S219" s="16">
        <f>Resumo!G179</f>
        <v>0</v>
      </c>
      <c r="T219" s="16">
        <f>Resumo!G189</f>
        <v>0</v>
      </c>
      <c r="U219" s="16">
        <f>Resumo!G199</f>
        <v>0</v>
      </c>
      <c r="V219" s="16">
        <f>Resumo!G209</f>
        <v>0</v>
      </c>
      <c r="W219" s="16">
        <f>Resumo!G219</f>
        <v>0</v>
      </c>
      <c r="X219" s="16">
        <f>Resumo!G229</f>
        <v>0</v>
      </c>
      <c r="Y219" s="16">
        <f>Resumo!G239</f>
        <v>0</v>
      </c>
      <c r="Z219" s="16">
        <f>Resumo!G249</f>
        <v>0</v>
      </c>
      <c r="AA219" s="16">
        <f>Resumo!G259</f>
        <v>0</v>
      </c>
      <c r="AB219" s="16">
        <f>Resumo!G269</f>
        <v>0</v>
      </c>
      <c r="AC219" s="16">
        <f>Resumo!G279</f>
        <v>0</v>
      </c>
      <c r="AD219" s="16">
        <f>Resumo!G289</f>
        <v>0</v>
      </c>
      <c r="AE219" s="16">
        <f>Resumo!G299</f>
        <v>0</v>
      </c>
    </row>
    <row r="220" spans="1:31" x14ac:dyDescent="0.2">
      <c r="A220" s="17" t="s">
        <v>150</v>
      </c>
      <c r="B220" s="18">
        <f>IFERROR(B230/B232,0)</f>
        <v>4.7808245362242543</v>
      </c>
      <c r="C220" s="18">
        <f t="shared" ref="C220:AE220" si="19">IFERROR(C230/C232,0)</f>
        <v>1.092369009229303</v>
      </c>
      <c r="D220" s="18">
        <f t="shared" si="19"/>
        <v>0.66309161278467488</v>
      </c>
      <c r="E220" s="18">
        <f t="shared" si="19"/>
        <v>0.85893574306268594</v>
      </c>
      <c r="F220" s="18">
        <f t="shared" si="19"/>
        <v>1.8606296870352104</v>
      </c>
      <c r="G220" s="18">
        <f t="shared" si="19"/>
        <v>3.5491030604157778</v>
      </c>
      <c r="H220" s="18">
        <f t="shared" si="19"/>
        <v>0</v>
      </c>
      <c r="I220" s="18">
        <f t="shared" si="19"/>
        <v>0</v>
      </c>
      <c r="J220" s="18">
        <f t="shared" si="19"/>
        <v>0</v>
      </c>
      <c r="K220" s="18">
        <f t="shared" si="19"/>
        <v>0</v>
      </c>
      <c r="L220" s="18">
        <f t="shared" si="19"/>
        <v>0</v>
      </c>
      <c r="M220" s="18">
        <f t="shared" si="19"/>
        <v>0</v>
      </c>
      <c r="N220" s="18">
        <f t="shared" si="19"/>
        <v>0</v>
      </c>
      <c r="O220" s="18">
        <f t="shared" si="19"/>
        <v>0</v>
      </c>
      <c r="P220" s="18">
        <f t="shared" si="19"/>
        <v>0</v>
      </c>
      <c r="Q220" s="18">
        <f t="shared" si="19"/>
        <v>0</v>
      </c>
      <c r="R220" s="18">
        <f t="shared" si="19"/>
        <v>0</v>
      </c>
      <c r="S220" s="18">
        <f t="shared" si="19"/>
        <v>0</v>
      </c>
      <c r="T220" s="18">
        <f t="shared" si="19"/>
        <v>0</v>
      </c>
      <c r="U220" s="18">
        <f t="shared" si="19"/>
        <v>0</v>
      </c>
      <c r="V220" s="18">
        <f t="shared" si="19"/>
        <v>0</v>
      </c>
      <c r="W220" s="18">
        <f t="shared" si="19"/>
        <v>0</v>
      </c>
      <c r="X220" s="18">
        <f t="shared" si="19"/>
        <v>0</v>
      </c>
      <c r="Y220" s="18">
        <f t="shared" si="19"/>
        <v>0</v>
      </c>
      <c r="Z220" s="18">
        <f t="shared" si="19"/>
        <v>0</v>
      </c>
      <c r="AA220" s="18">
        <f t="shared" si="19"/>
        <v>0</v>
      </c>
      <c r="AB220" s="18">
        <f t="shared" si="19"/>
        <v>0</v>
      </c>
      <c r="AC220" s="18">
        <f t="shared" si="19"/>
        <v>0</v>
      </c>
      <c r="AD220" s="18">
        <f t="shared" si="19"/>
        <v>0</v>
      </c>
      <c r="AE220" s="18">
        <f t="shared" si="19"/>
        <v>0</v>
      </c>
    </row>
    <row r="221" spans="1:31" x14ac:dyDescent="0.2">
      <c r="A221" s="17" t="s">
        <v>10</v>
      </c>
      <c r="B221" s="20">
        <f>IFERROR((B212+B214+B216)/B219,0)</f>
        <v>0.76037981753863337</v>
      </c>
      <c r="C221" s="20">
        <f t="shared" ref="C221:AE221" si="20">IFERROR((C212+C214+C216)/C219,0)</f>
        <v>0.42462523159845034</v>
      </c>
      <c r="D221" s="20">
        <f t="shared" si="20"/>
        <v>0.33594917787742901</v>
      </c>
      <c r="E221" s="20">
        <f t="shared" si="20"/>
        <v>0.40142433234421354</v>
      </c>
      <c r="F221" s="20">
        <f t="shared" si="20"/>
        <v>0.49685301740096266</v>
      </c>
      <c r="G221" s="20">
        <f t="shared" si="20"/>
        <v>0.74568819749746351</v>
      </c>
      <c r="H221" s="20">
        <f t="shared" si="20"/>
        <v>0</v>
      </c>
      <c r="I221" s="20">
        <f t="shared" si="20"/>
        <v>0</v>
      </c>
      <c r="J221" s="20">
        <f t="shared" si="20"/>
        <v>0</v>
      </c>
      <c r="K221" s="20">
        <f t="shared" si="20"/>
        <v>0</v>
      </c>
      <c r="L221" s="20">
        <f t="shared" si="20"/>
        <v>0</v>
      </c>
      <c r="M221" s="20">
        <f t="shared" si="20"/>
        <v>0</v>
      </c>
      <c r="N221" s="20">
        <f t="shared" si="20"/>
        <v>0</v>
      </c>
      <c r="O221" s="20">
        <f t="shared" si="20"/>
        <v>0</v>
      </c>
      <c r="P221" s="20">
        <f t="shared" si="20"/>
        <v>0</v>
      </c>
      <c r="Q221" s="20">
        <f t="shared" si="20"/>
        <v>0</v>
      </c>
      <c r="R221" s="20">
        <f t="shared" si="20"/>
        <v>0</v>
      </c>
      <c r="S221" s="20">
        <f t="shared" si="20"/>
        <v>0</v>
      </c>
      <c r="T221" s="20">
        <f t="shared" si="20"/>
        <v>0</v>
      </c>
      <c r="U221" s="20">
        <f t="shared" si="20"/>
        <v>0</v>
      </c>
      <c r="V221" s="20">
        <f t="shared" si="20"/>
        <v>0</v>
      </c>
      <c r="W221" s="20">
        <f t="shared" si="20"/>
        <v>0</v>
      </c>
      <c r="X221" s="20">
        <f t="shared" si="20"/>
        <v>0</v>
      </c>
      <c r="Y221" s="20">
        <f t="shared" si="20"/>
        <v>0</v>
      </c>
      <c r="Z221" s="20">
        <f t="shared" si="20"/>
        <v>0</v>
      </c>
      <c r="AA221" s="20">
        <f t="shared" si="20"/>
        <v>0</v>
      </c>
      <c r="AB221" s="20">
        <f t="shared" si="20"/>
        <v>0</v>
      </c>
      <c r="AC221" s="20">
        <f t="shared" si="20"/>
        <v>0</v>
      </c>
      <c r="AD221" s="20">
        <f t="shared" si="20"/>
        <v>0</v>
      </c>
      <c r="AE221" s="20">
        <f t="shared" si="20"/>
        <v>0</v>
      </c>
    </row>
    <row r="222" spans="1:31" x14ac:dyDescent="0.2">
      <c r="A222" s="17" t="s">
        <v>11</v>
      </c>
      <c r="B222" s="20">
        <f>IFERROR(B213/B$219,0)</f>
        <v>1.3591509960901136E-2</v>
      </c>
      <c r="C222" s="20">
        <f t="shared" ref="C222:AE222" si="21">IFERROR(C213/C$219,0)</f>
        <v>3.250800067374094E-2</v>
      </c>
      <c r="D222" s="20">
        <f t="shared" si="21"/>
        <v>2.1175884404583956E-2</v>
      </c>
      <c r="E222" s="20">
        <f t="shared" si="21"/>
        <v>1.3531157270029672E-2</v>
      </c>
      <c r="F222" s="20">
        <f t="shared" si="21"/>
        <v>0.14846353202517587</v>
      </c>
      <c r="G222" s="20">
        <f t="shared" si="21"/>
        <v>2.7308082516063578E-2</v>
      </c>
      <c r="H222" s="20">
        <f t="shared" si="21"/>
        <v>0</v>
      </c>
      <c r="I222" s="20">
        <f t="shared" si="21"/>
        <v>0</v>
      </c>
      <c r="J222" s="20">
        <f t="shared" si="21"/>
        <v>0</v>
      </c>
      <c r="K222" s="20">
        <f t="shared" si="21"/>
        <v>0</v>
      </c>
      <c r="L222" s="20">
        <f t="shared" si="21"/>
        <v>0</v>
      </c>
      <c r="M222" s="20">
        <f t="shared" si="21"/>
        <v>0</v>
      </c>
      <c r="N222" s="20">
        <f t="shared" si="21"/>
        <v>0</v>
      </c>
      <c r="O222" s="20">
        <f t="shared" si="21"/>
        <v>0</v>
      </c>
      <c r="P222" s="20">
        <f t="shared" si="21"/>
        <v>0</v>
      </c>
      <c r="Q222" s="20">
        <f t="shared" si="21"/>
        <v>0</v>
      </c>
      <c r="R222" s="20">
        <f t="shared" si="21"/>
        <v>0</v>
      </c>
      <c r="S222" s="20">
        <f t="shared" si="21"/>
        <v>0</v>
      </c>
      <c r="T222" s="20">
        <f t="shared" si="21"/>
        <v>0</v>
      </c>
      <c r="U222" s="20">
        <f t="shared" si="21"/>
        <v>0</v>
      </c>
      <c r="V222" s="20">
        <f t="shared" si="21"/>
        <v>0</v>
      </c>
      <c r="W222" s="20">
        <f t="shared" si="21"/>
        <v>0</v>
      </c>
      <c r="X222" s="20">
        <f t="shared" si="21"/>
        <v>0</v>
      </c>
      <c r="Y222" s="20">
        <f t="shared" si="21"/>
        <v>0</v>
      </c>
      <c r="Z222" s="20">
        <f t="shared" si="21"/>
        <v>0</v>
      </c>
      <c r="AA222" s="20">
        <f t="shared" si="21"/>
        <v>0</v>
      </c>
      <c r="AB222" s="20">
        <f t="shared" si="21"/>
        <v>0</v>
      </c>
      <c r="AC222" s="20">
        <f t="shared" si="21"/>
        <v>0</v>
      </c>
      <c r="AD222" s="20">
        <f t="shared" si="21"/>
        <v>0</v>
      </c>
      <c r="AE222" s="20">
        <f t="shared" si="21"/>
        <v>0</v>
      </c>
    </row>
    <row r="223" spans="1:31" x14ac:dyDescent="0.2">
      <c r="A223" s="17" t="s">
        <v>12</v>
      </c>
      <c r="B223" s="20">
        <f>IFERROR(B218/B$219,0)</f>
        <v>0.22602867250046549</v>
      </c>
      <c r="C223" s="20">
        <f t="shared" ref="C223:AE223" si="22">IFERROR(C218/C$219,0)</f>
        <v>0.54286676772780873</v>
      </c>
      <c r="D223" s="20">
        <f t="shared" si="22"/>
        <v>0.64287493771798698</v>
      </c>
      <c r="E223" s="20">
        <f t="shared" si="22"/>
        <v>0.58504451038575678</v>
      </c>
      <c r="F223" s="20">
        <f t="shared" si="22"/>
        <v>0.35468345057386147</v>
      </c>
      <c r="G223" s="20">
        <f t="shared" si="22"/>
        <v>0.22700371998647276</v>
      </c>
      <c r="H223" s="20">
        <f t="shared" si="22"/>
        <v>0</v>
      </c>
      <c r="I223" s="20">
        <f t="shared" si="22"/>
        <v>0</v>
      </c>
      <c r="J223" s="20">
        <f t="shared" si="22"/>
        <v>0</v>
      </c>
      <c r="K223" s="20">
        <f t="shared" si="22"/>
        <v>0</v>
      </c>
      <c r="L223" s="20">
        <f t="shared" si="22"/>
        <v>0</v>
      </c>
      <c r="M223" s="20">
        <f t="shared" si="22"/>
        <v>0</v>
      </c>
      <c r="N223" s="20">
        <f t="shared" si="22"/>
        <v>0</v>
      </c>
      <c r="O223" s="20">
        <f t="shared" si="22"/>
        <v>0</v>
      </c>
      <c r="P223" s="20">
        <f t="shared" si="22"/>
        <v>0</v>
      </c>
      <c r="Q223" s="20">
        <f t="shared" si="22"/>
        <v>0</v>
      </c>
      <c r="R223" s="20">
        <f t="shared" si="22"/>
        <v>0</v>
      </c>
      <c r="S223" s="20">
        <f t="shared" si="22"/>
        <v>0</v>
      </c>
      <c r="T223" s="20">
        <f t="shared" si="22"/>
        <v>0</v>
      </c>
      <c r="U223" s="20">
        <f t="shared" si="22"/>
        <v>0</v>
      </c>
      <c r="V223" s="20">
        <f t="shared" si="22"/>
        <v>0</v>
      </c>
      <c r="W223" s="20">
        <f t="shared" si="22"/>
        <v>0</v>
      </c>
      <c r="X223" s="20">
        <f t="shared" si="22"/>
        <v>0</v>
      </c>
      <c r="Y223" s="20">
        <f t="shared" si="22"/>
        <v>0</v>
      </c>
      <c r="Z223" s="20">
        <f t="shared" si="22"/>
        <v>0</v>
      </c>
      <c r="AA223" s="20">
        <f t="shared" si="22"/>
        <v>0</v>
      </c>
      <c r="AB223" s="20">
        <f t="shared" si="22"/>
        <v>0</v>
      </c>
      <c r="AC223" s="20">
        <f t="shared" si="22"/>
        <v>0</v>
      </c>
      <c r="AD223" s="20">
        <f t="shared" si="22"/>
        <v>0</v>
      </c>
      <c r="AE223" s="20">
        <f t="shared" si="22"/>
        <v>0</v>
      </c>
    </row>
    <row r="224" spans="1:31" x14ac:dyDescent="0.2">
      <c r="A224" s="155" t="s">
        <v>18</v>
      </c>
      <c r="B224" s="164"/>
      <c r="C224" s="164"/>
      <c r="D224" s="164"/>
      <c r="E224" s="164"/>
      <c r="F224" s="164"/>
      <c r="G224" s="164"/>
      <c r="H224" s="164"/>
      <c r="I224" s="164"/>
      <c r="J224" s="164"/>
      <c r="K224" s="164"/>
      <c r="L224" s="164"/>
      <c r="M224" s="164"/>
      <c r="N224" s="164"/>
      <c r="O224" s="164"/>
      <c r="P224" s="164"/>
      <c r="Q224" s="164"/>
      <c r="R224" s="164"/>
      <c r="S224" s="164"/>
      <c r="T224" s="164"/>
      <c r="U224" s="164"/>
      <c r="V224" s="164"/>
      <c r="W224" s="164"/>
      <c r="X224" s="164"/>
      <c r="Y224" s="164"/>
      <c r="Z224" s="164"/>
      <c r="AA224" s="164"/>
      <c r="AB224" s="164"/>
      <c r="AC224" s="164"/>
      <c r="AD224" s="164"/>
      <c r="AE224" s="165"/>
    </row>
    <row r="225" spans="1:31" x14ac:dyDescent="0.2">
      <c r="A225" s="4" t="s">
        <v>19</v>
      </c>
      <c r="B225" s="21">
        <f>IFERROR(((B212+B214+B216)/B219),0)</f>
        <v>0.76037981753863337</v>
      </c>
      <c r="C225" s="21">
        <f t="shared" ref="C225:AE225" si="23">IFERROR(((C212+C214+C216)/C219),0)</f>
        <v>0.42462523159845034</v>
      </c>
      <c r="D225" s="21">
        <f t="shared" si="23"/>
        <v>0.33594917787742901</v>
      </c>
      <c r="E225" s="21">
        <f t="shared" si="23"/>
        <v>0.40142433234421354</v>
      </c>
      <c r="F225" s="21">
        <f t="shared" si="23"/>
        <v>0.49685301740096266</v>
      </c>
      <c r="G225" s="21">
        <f t="shared" si="23"/>
        <v>0.74568819749746351</v>
      </c>
      <c r="H225" s="21">
        <f t="shared" si="23"/>
        <v>0</v>
      </c>
      <c r="I225" s="21">
        <f t="shared" si="23"/>
        <v>0</v>
      </c>
      <c r="J225" s="21">
        <f t="shared" si="23"/>
        <v>0</v>
      </c>
      <c r="K225" s="21">
        <f t="shared" si="23"/>
        <v>0</v>
      </c>
      <c r="L225" s="21">
        <f t="shared" si="23"/>
        <v>0</v>
      </c>
      <c r="M225" s="21">
        <f t="shared" si="23"/>
        <v>0</v>
      </c>
      <c r="N225" s="21">
        <f t="shared" si="23"/>
        <v>0</v>
      </c>
      <c r="O225" s="21">
        <f t="shared" si="23"/>
        <v>0</v>
      </c>
      <c r="P225" s="21">
        <f t="shared" si="23"/>
        <v>0</v>
      </c>
      <c r="Q225" s="21">
        <f t="shared" si="23"/>
        <v>0</v>
      </c>
      <c r="R225" s="21">
        <f t="shared" si="23"/>
        <v>0</v>
      </c>
      <c r="S225" s="21">
        <f t="shared" si="23"/>
        <v>0</v>
      </c>
      <c r="T225" s="21">
        <f t="shared" si="23"/>
        <v>0</v>
      </c>
      <c r="U225" s="21">
        <f t="shared" si="23"/>
        <v>0</v>
      </c>
      <c r="V225" s="21">
        <f t="shared" si="23"/>
        <v>0</v>
      </c>
      <c r="W225" s="21">
        <f t="shared" si="23"/>
        <v>0</v>
      </c>
      <c r="X225" s="21">
        <f t="shared" si="23"/>
        <v>0</v>
      </c>
      <c r="Y225" s="21">
        <f t="shared" si="23"/>
        <v>0</v>
      </c>
      <c r="Z225" s="21">
        <f t="shared" si="23"/>
        <v>0</v>
      </c>
      <c r="AA225" s="21">
        <f t="shared" si="23"/>
        <v>0</v>
      </c>
      <c r="AB225" s="21">
        <f t="shared" si="23"/>
        <v>0</v>
      </c>
      <c r="AC225" s="21">
        <f t="shared" si="23"/>
        <v>0</v>
      </c>
      <c r="AD225" s="21">
        <f t="shared" si="23"/>
        <v>0</v>
      </c>
      <c r="AE225" s="21">
        <f t="shared" si="23"/>
        <v>0</v>
      </c>
    </row>
    <row r="226" spans="1:31" x14ac:dyDescent="0.2">
      <c r="A226" s="4" t="s">
        <v>20</v>
      </c>
      <c r="B226" s="21">
        <f>IFERROR(B213/B219,0)</f>
        <v>1.3591509960901136E-2</v>
      </c>
      <c r="C226" s="21">
        <f t="shared" ref="C226:AE226" si="24">IFERROR(C213/C219,0)</f>
        <v>3.250800067374094E-2</v>
      </c>
      <c r="D226" s="21">
        <f t="shared" si="24"/>
        <v>2.1175884404583956E-2</v>
      </c>
      <c r="E226" s="21">
        <f t="shared" si="24"/>
        <v>1.3531157270029672E-2</v>
      </c>
      <c r="F226" s="21">
        <f t="shared" si="24"/>
        <v>0.14846353202517587</v>
      </c>
      <c r="G226" s="21">
        <f t="shared" si="24"/>
        <v>2.7308082516063578E-2</v>
      </c>
      <c r="H226" s="21">
        <f t="shared" si="24"/>
        <v>0</v>
      </c>
      <c r="I226" s="21">
        <f t="shared" si="24"/>
        <v>0</v>
      </c>
      <c r="J226" s="21">
        <f t="shared" si="24"/>
        <v>0</v>
      </c>
      <c r="K226" s="21">
        <f t="shared" si="24"/>
        <v>0</v>
      </c>
      <c r="L226" s="21">
        <f t="shared" si="24"/>
        <v>0</v>
      </c>
      <c r="M226" s="21">
        <f t="shared" si="24"/>
        <v>0</v>
      </c>
      <c r="N226" s="21">
        <f t="shared" si="24"/>
        <v>0</v>
      </c>
      <c r="O226" s="21">
        <f t="shared" si="24"/>
        <v>0</v>
      </c>
      <c r="P226" s="21">
        <f t="shared" si="24"/>
        <v>0</v>
      </c>
      <c r="Q226" s="21">
        <f t="shared" si="24"/>
        <v>0</v>
      </c>
      <c r="R226" s="21">
        <f t="shared" si="24"/>
        <v>0</v>
      </c>
      <c r="S226" s="21">
        <f t="shared" si="24"/>
        <v>0</v>
      </c>
      <c r="T226" s="21">
        <f t="shared" si="24"/>
        <v>0</v>
      </c>
      <c r="U226" s="21">
        <f t="shared" si="24"/>
        <v>0</v>
      </c>
      <c r="V226" s="21">
        <f t="shared" si="24"/>
        <v>0</v>
      </c>
      <c r="W226" s="21">
        <f t="shared" si="24"/>
        <v>0</v>
      </c>
      <c r="X226" s="21">
        <f t="shared" si="24"/>
        <v>0</v>
      </c>
      <c r="Y226" s="21">
        <f t="shared" si="24"/>
        <v>0</v>
      </c>
      <c r="Z226" s="21">
        <f t="shared" si="24"/>
        <v>0</v>
      </c>
      <c r="AA226" s="21">
        <f t="shared" si="24"/>
        <v>0</v>
      </c>
      <c r="AB226" s="21">
        <f t="shared" si="24"/>
        <v>0</v>
      </c>
      <c r="AC226" s="21">
        <f t="shared" si="24"/>
        <v>0</v>
      </c>
      <c r="AD226" s="21">
        <f t="shared" si="24"/>
        <v>0</v>
      </c>
      <c r="AE226" s="21">
        <f t="shared" si="24"/>
        <v>0</v>
      </c>
    </row>
    <row r="227" spans="1:31" x14ac:dyDescent="0.2">
      <c r="A227" s="5" t="s">
        <v>21</v>
      </c>
      <c r="B227" s="24">
        <f>IFERROR(B218/B219,0)</f>
        <v>0.22602867250046549</v>
      </c>
      <c r="C227" s="24">
        <f t="shared" ref="C227:AE227" si="25">IFERROR(C218/C219,0)</f>
        <v>0.54286676772780873</v>
      </c>
      <c r="D227" s="24">
        <f t="shared" si="25"/>
        <v>0.64287493771798698</v>
      </c>
      <c r="E227" s="24">
        <f t="shared" si="25"/>
        <v>0.58504451038575678</v>
      </c>
      <c r="F227" s="24">
        <f t="shared" si="25"/>
        <v>0.35468345057386147</v>
      </c>
      <c r="G227" s="24">
        <f t="shared" si="25"/>
        <v>0.22700371998647276</v>
      </c>
      <c r="H227" s="24">
        <f t="shared" si="25"/>
        <v>0</v>
      </c>
      <c r="I227" s="24">
        <f t="shared" si="25"/>
        <v>0</v>
      </c>
      <c r="J227" s="24">
        <f t="shared" si="25"/>
        <v>0</v>
      </c>
      <c r="K227" s="24">
        <f t="shared" si="25"/>
        <v>0</v>
      </c>
      <c r="L227" s="24">
        <f t="shared" si="25"/>
        <v>0</v>
      </c>
      <c r="M227" s="24">
        <f t="shared" si="25"/>
        <v>0</v>
      </c>
      <c r="N227" s="24">
        <f t="shared" si="25"/>
        <v>0</v>
      </c>
      <c r="O227" s="24">
        <f t="shared" si="25"/>
        <v>0</v>
      </c>
      <c r="P227" s="24">
        <f t="shared" si="25"/>
        <v>0</v>
      </c>
      <c r="Q227" s="24">
        <f t="shared" si="25"/>
        <v>0</v>
      </c>
      <c r="R227" s="24">
        <f t="shared" si="25"/>
        <v>0</v>
      </c>
      <c r="S227" s="24">
        <f t="shared" si="25"/>
        <v>0</v>
      </c>
      <c r="T227" s="24">
        <f t="shared" si="25"/>
        <v>0</v>
      </c>
      <c r="U227" s="24">
        <f t="shared" si="25"/>
        <v>0</v>
      </c>
      <c r="V227" s="24">
        <f t="shared" si="25"/>
        <v>0</v>
      </c>
      <c r="W227" s="24">
        <f t="shared" si="25"/>
        <v>0</v>
      </c>
      <c r="X227" s="24">
        <f t="shared" si="25"/>
        <v>0</v>
      </c>
      <c r="Y227" s="24">
        <f t="shared" si="25"/>
        <v>0</v>
      </c>
      <c r="Z227" s="24">
        <f t="shared" si="25"/>
        <v>0</v>
      </c>
      <c r="AA227" s="24">
        <f t="shared" si="25"/>
        <v>0</v>
      </c>
      <c r="AB227" s="24">
        <f t="shared" si="25"/>
        <v>0</v>
      </c>
      <c r="AC227" s="24">
        <f t="shared" si="25"/>
        <v>0</v>
      </c>
      <c r="AD227" s="24">
        <f t="shared" si="25"/>
        <v>0</v>
      </c>
      <c r="AE227" s="24">
        <f t="shared" si="25"/>
        <v>0</v>
      </c>
    </row>
    <row r="228" spans="1:31" x14ac:dyDescent="0.2">
      <c r="A228" s="27" t="s">
        <v>22</v>
      </c>
      <c r="B228" s="28">
        <f>IFERROR(B225+B226,0)</f>
        <v>0.77397132749953446</v>
      </c>
      <c r="C228" s="28">
        <f t="shared" ref="C228:AE228" si="26">IFERROR(C225+C226,0)</f>
        <v>0.45713323227219127</v>
      </c>
      <c r="D228" s="28">
        <f t="shared" si="26"/>
        <v>0.35712506228201296</v>
      </c>
      <c r="E228" s="28">
        <f t="shared" si="26"/>
        <v>0.41495548961424322</v>
      </c>
      <c r="F228" s="28">
        <f t="shared" si="26"/>
        <v>0.64531654942613859</v>
      </c>
      <c r="G228" s="28">
        <f t="shared" si="26"/>
        <v>0.77299628001352705</v>
      </c>
      <c r="H228" s="28">
        <f t="shared" si="26"/>
        <v>0</v>
      </c>
      <c r="I228" s="28">
        <f t="shared" si="26"/>
        <v>0</v>
      </c>
      <c r="J228" s="28">
        <f t="shared" si="26"/>
        <v>0</v>
      </c>
      <c r="K228" s="28">
        <f t="shared" si="26"/>
        <v>0</v>
      </c>
      <c r="L228" s="28">
        <f t="shared" si="26"/>
        <v>0</v>
      </c>
      <c r="M228" s="28">
        <f t="shared" si="26"/>
        <v>0</v>
      </c>
      <c r="N228" s="28">
        <f t="shared" si="26"/>
        <v>0</v>
      </c>
      <c r="O228" s="28">
        <f t="shared" si="26"/>
        <v>0</v>
      </c>
      <c r="P228" s="28">
        <f t="shared" si="26"/>
        <v>0</v>
      </c>
      <c r="Q228" s="28">
        <f t="shared" si="26"/>
        <v>0</v>
      </c>
      <c r="R228" s="28">
        <f t="shared" si="26"/>
        <v>0</v>
      </c>
      <c r="S228" s="28">
        <f t="shared" si="26"/>
        <v>0</v>
      </c>
      <c r="T228" s="28">
        <f t="shared" si="26"/>
        <v>0</v>
      </c>
      <c r="U228" s="28">
        <f t="shared" si="26"/>
        <v>0</v>
      </c>
      <c r="V228" s="28">
        <f t="shared" si="26"/>
        <v>0</v>
      </c>
      <c r="W228" s="28">
        <f t="shared" si="26"/>
        <v>0</v>
      </c>
      <c r="X228" s="28">
        <f t="shared" si="26"/>
        <v>0</v>
      </c>
      <c r="Y228" s="28">
        <f t="shared" si="26"/>
        <v>0</v>
      </c>
      <c r="Z228" s="28">
        <f t="shared" si="26"/>
        <v>0</v>
      </c>
      <c r="AA228" s="28">
        <f t="shared" si="26"/>
        <v>0</v>
      </c>
      <c r="AB228" s="28">
        <f t="shared" si="26"/>
        <v>0</v>
      </c>
      <c r="AC228" s="28">
        <f t="shared" si="26"/>
        <v>0</v>
      </c>
      <c r="AD228" s="28">
        <f t="shared" si="26"/>
        <v>0</v>
      </c>
      <c r="AE228" s="28">
        <f t="shared" si="26"/>
        <v>0</v>
      </c>
    </row>
    <row r="229" spans="1:31" x14ac:dyDescent="0.2">
      <c r="A229" s="27" t="s">
        <v>24</v>
      </c>
      <c r="B229" s="28">
        <f>IFERROR(B225+B226+B227,0)</f>
        <v>1</v>
      </c>
      <c r="C229" s="28">
        <f t="shared" ref="C229:AE229" si="27">IFERROR(C225+C226+C227,0)</f>
        <v>1</v>
      </c>
      <c r="D229" s="28">
        <f t="shared" si="27"/>
        <v>1</v>
      </c>
      <c r="E229" s="28">
        <f t="shared" si="27"/>
        <v>1</v>
      </c>
      <c r="F229" s="28">
        <f t="shared" si="27"/>
        <v>1</v>
      </c>
      <c r="G229" s="28">
        <f t="shared" si="27"/>
        <v>0.99999999999999978</v>
      </c>
      <c r="H229" s="28">
        <f t="shared" si="27"/>
        <v>0</v>
      </c>
      <c r="I229" s="28">
        <f t="shared" si="27"/>
        <v>0</v>
      </c>
      <c r="J229" s="28">
        <f t="shared" si="27"/>
        <v>0</v>
      </c>
      <c r="K229" s="28">
        <f t="shared" si="27"/>
        <v>0</v>
      </c>
      <c r="L229" s="28">
        <f t="shared" si="27"/>
        <v>0</v>
      </c>
      <c r="M229" s="28">
        <f t="shared" si="27"/>
        <v>0</v>
      </c>
      <c r="N229" s="28">
        <f t="shared" si="27"/>
        <v>0</v>
      </c>
      <c r="O229" s="28">
        <f t="shared" si="27"/>
        <v>0</v>
      </c>
      <c r="P229" s="28">
        <f t="shared" si="27"/>
        <v>0</v>
      </c>
      <c r="Q229" s="28">
        <f t="shared" si="27"/>
        <v>0</v>
      </c>
      <c r="R229" s="28">
        <f t="shared" si="27"/>
        <v>0</v>
      </c>
      <c r="S229" s="28">
        <f t="shared" si="27"/>
        <v>0</v>
      </c>
      <c r="T229" s="28">
        <f t="shared" si="27"/>
        <v>0</v>
      </c>
      <c r="U229" s="28">
        <f t="shared" si="27"/>
        <v>0</v>
      </c>
      <c r="V229" s="28">
        <f t="shared" si="27"/>
        <v>0</v>
      </c>
      <c r="W229" s="28">
        <f t="shared" si="27"/>
        <v>0</v>
      </c>
      <c r="X229" s="28">
        <f t="shared" si="27"/>
        <v>0</v>
      </c>
      <c r="Y229" s="28">
        <f t="shared" si="27"/>
        <v>0</v>
      </c>
      <c r="Z229" s="28">
        <f t="shared" si="27"/>
        <v>0</v>
      </c>
      <c r="AA229" s="28">
        <f t="shared" si="27"/>
        <v>0</v>
      </c>
      <c r="AB229" s="28">
        <f t="shared" si="27"/>
        <v>0</v>
      </c>
      <c r="AC229" s="28">
        <f t="shared" si="27"/>
        <v>0</v>
      </c>
      <c r="AD229" s="28">
        <f t="shared" si="27"/>
        <v>0</v>
      </c>
      <c r="AE229" s="28">
        <f t="shared" si="27"/>
        <v>0</v>
      </c>
    </row>
    <row r="230" spans="1:31" x14ac:dyDescent="0.2">
      <c r="A230" s="33" t="s">
        <v>27</v>
      </c>
      <c r="B230" s="34">
        <f>IFERROR(B219/(B214+B215+B216+B217),0)</f>
        <v>1.5065918653576436</v>
      </c>
      <c r="C230" s="34">
        <f t="shared" ref="C230:AE230" si="28">IFERROR(C219/(C214+C215+C216+C217),0)</f>
        <v>1.4801795063575169</v>
      </c>
      <c r="D230" s="34">
        <f t="shared" si="28"/>
        <v>1.3106938775510204</v>
      </c>
      <c r="E230" s="34">
        <f t="shared" si="28"/>
        <v>1.280784432958346</v>
      </c>
      <c r="F230" s="34">
        <f t="shared" si="28"/>
        <v>1.8841995116846875</v>
      </c>
      <c r="G230" s="34">
        <f t="shared" si="28"/>
        <v>1.2103970528039298</v>
      </c>
      <c r="H230" s="34">
        <f t="shared" si="28"/>
        <v>0</v>
      </c>
      <c r="I230" s="34">
        <f t="shared" si="28"/>
        <v>0</v>
      </c>
      <c r="J230" s="34">
        <f t="shared" si="28"/>
        <v>0</v>
      </c>
      <c r="K230" s="34">
        <f t="shared" si="28"/>
        <v>0</v>
      </c>
      <c r="L230" s="34">
        <f t="shared" si="28"/>
        <v>0</v>
      </c>
      <c r="M230" s="34">
        <f t="shared" si="28"/>
        <v>0</v>
      </c>
      <c r="N230" s="34">
        <f t="shared" si="28"/>
        <v>0</v>
      </c>
      <c r="O230" s="34">
        <f t="shared" si="28"/>
        <v>0</v>
      </c>
      <c r="P230" s="34">
        <f t="shared" si="28"/>
        <v>0</v>
      </c>
      <c r="Q230" s="34">
        <f t="shared" si="28"/>
        <v>0</v>
      </c>
      <c r="R230" s="34">
        <f t="shared" si="28"/>
        <v>0</v>
      </c>
      <c r="S230" s="34">
        <f t="shared" si="28"/>
        <v>0</v>
      </c>
      <c r="T230" s="34">
        <f t="shared" si="28"/>
        <v>0</v>
      </c>
      <c r="U230" s="34">
        <f t="shared" si="28"/>
        <v>0</v>
      </c>
      <c r="V230" s="34">
        <f t="shared" si="28"/>
        <v>0</v>
      </c>
      <c r="W230" s="34">
        <f t="shared" si="28"/>
        <v>0</v>
      </c>
      <c r="X230" s="34">
        <f t="shared" si="28"/>
        <v>0</v>
      </c>
      <c r="Y230" s="34">
        <f t="shared" si="28"/>
        <v>0</v>
      </c>
      <c r="Z230" s="34">
        <f t="shared" si="28"/>
        <v>0</v>
      </c>
      <c r="AA230" s="34">
        <f t="shared" si="28"/>
        <v>0</v>
      </c>
      <c r="AB230" s="34">
        <f t="shared" si="28"/>
        <v>0</v>
      </c>
      <c r="AC230" s="34">
        <f t="shared" si="28"/>
        <v>0</v>
      </c>
      <c r="AD230" s="34">
        <f t="shared" si="28"/>
        <v>0</v>
      </c>
      <c r="AE230" s="34">
        <f t="shared" si="28"/>
        <v>0</v>
      </c>
    </row>
    <row r="231" spans="1:31" x14ac:dyDescent="0.2">
      <c r="A231" s="37" t="s">
        <v>28</v>
      </c>
      <c r="B231" s="38">
        <f>IFERROR((B214+B215+B216+B217)/(B212+B213),0)</f>
        <v>1.9739756367663346</v>
      </c>
      <c r="C231" s="38">
        <f t="shared" ref="C231:AE231" si="29">IFERROR((C215+C217)/(C212+C214+C216+C213),0)</f>
        <v>1.187546057479735</v>
      </c>
      <c r="D231" s="38">
        <f t="shared" si="29"/>
        <v>1.8001395186606211</v>
      </c>
      <c r="E231" s="38">
        <f t="shared" si="29"/>
        <v>1.4098970251716252</v>
      </c>
      <c r="F231" s="38">
        <f t="shared" si="29"/>
        <v>0.54962707974756153</v>
      </c>
      <c r="G231" s="38">
        <f t="shared" si="29"/>
        <v>0.29366728644864926</v>
      </c>
      <c r="H231" s="38">
        <f t="shared" si="29"/>
        <v>0</v>
      </c>
      <c r="I231" s="38">
        <f t="shared" si="29"/>
        <v>0</v>
      </c>
      <c r="J231" s="38">
        <f t="shared" si="29"/>
        <v>0</v>
      </c>
      <c r="K231" s="38">
        <f t="shared" si="29"/>
        <v>0</v>
      </c>
      <c r="L231" s="38">
        <f t="shared" si="29"/>
        <v>0</v>
      </c>
      <c r="M231" s="38">
        <f t="shared" si="29"/>
        <v>0</v>
      </c>
      <c r="N231" s="38">
        <f t="shared" si="29"/>
        <v>0</v>
      </c>
      <c r="O231" s="38">
        <f t="shared" si="29"/>
        <v>0</v>
      </c>
      <c r="P231" s="38">
        <f t="shared" si="29"/>
        <v>0</v>
      </c>
      <c r="Q231" s="38">
        <f t="shared" si="29"/>
        <v>0</v>
      </c>
      <c r="R231" s="38">
        <f t="shared" si="29"/>
        <v>0</v>
      </c>
      <c r="S231" s="38">
        <f t="shared" si="29"/>
        <v>0</v>
      </c>
      <c r="T231" s="38">
        <f t="shared" si="29"/>
        <v>0</v>
      </c>
      <c r="U231" s="38">
        <f t="shared" si="29"/>
        <v>0</v>
      </c>
      <c r="V231" s="38">
        <f t="shared" si="29"/>
        <v>0</v>
      </c>
      <c r="W231" s="38">
        <f t="shared" si="29"/>
        <v>0</v>
      </c>
      <c r="X231" s="38">
        <f t="shared" si="29"/>
        <v>0</v>
      </c>
      <c r="Y231" s="38">
        <f t="shared" si="29"/>
        <v>0</v>
      </c>
      <c r="Z231" s="38">
        <f t="shared" si="29"/>
        <v>0</v>
      </c>
      <c r="AA231" s="38">
        <f t="shared" si="29"/>
        <v>0</v>
      </c>
      <c r="AB231" s="38">
        <f t="shared" si="29"/>
        <v>0</v>
      </c>
      <c r="AC231" s="38">
        <f t="shared" si="29"/>
        <v>0</v>
      </c>
      <c r="AD231" s="38">
        <f t="shared" si="29"/>
        <v>0</v>
      </c>
      <c r="AE231" s="38">
        <f t="shared" si="29"/>
        <v>0</v>
      </c>
    </row>
    <row r="232" spans="1:31" x14ac:dyDescent="0.2">
      <c r="A232" s="37" t="s">
        <v>29</v>
      </c>
      <c r="B232" s="38">
        <f>IFERROR((B213+B215+B217)/(B212+B214+B216),0)</f>
        <v>0.31513222331047996</v>
      </c>
      <c r="C232" s="38">
        <f t="shared" ref="C232:AE232" si="30">IFERROR((C213+C215+C217)/(C212+C214+C216),0)</f>
        <v>1.3550178500595005</v>
      </c>
      <c r="D232" s="38">
        <f t="shared" si="30"/>
        <v>1.9766407119021137</v>
      </c>
      <c r="E232" s="38">
        <f t="shared" si="30"/>
        <v>1.4911295091661743</v>
      </c>
      <c r="F232" s="38">
        <f t="shared" si="30"/>
        <v>1.0126676602086437</v>
      </c>
      <c r="G232" s="38">
        <f t="shared" si="30"/>
        <v>0.34104308390022681</v>
      </c>
      <c r="H232" s="38">
        <f t="shared" si="30"/>
        <v>0</v>
      </c>
      <c r="I232" s="38">
        <f t="shared" si="30"/>
        <v>0</v>
      </c>
      <c r="J232" s="38">
        <f t="shared" si="30"/>
        <v>0</v>
      </c>
      <c r="K232" s="38">
        <f t="shared" si="30"/>
        <v>0</v>
      </c>
      <c r="L232" s="38">
        <f t="shared" si="30"/>
        <v>0</v>
      </c>
      <c r="M232" s="38">
        <f t="shared" si="30"/>
        <v>0</v>
      </c>
      <c r="N232" s="38">
        <f t="shared" si="30"/>
        <v>0</v>
      </c>
      <c r="O232" s="38">
        <f t="shared" si="30"/>
        <v>0</v>
      </c>
      <c r="P232" s="38">
        <f t="shared" si="30"/>
        <v>0</v>
      </c>
      <c r="Q232" s="38">
        <f t="shared" si="30"/>
        <v>0</v>
      </c>
      <c r="R232" s="38">
        <f t="shared" si="30"/>
        <v>0</v>
      </c>
      <c r="S232" s="38">
        <f t="shared" si="30"/>
        <v>0</v>
      </c>
      <c r="T232" s="38">
        <f t="shared" si="30"/>
        <v>0</v>
      </c>
      <c r="U232" s="38">
        <f t="shared" si="30"/>
        <v>0</v>
      </c>
      <c r="V232" s="38">
        <f t="shared" si="30"/>
        <v>0</v>
      </c>
      <c r="W232" s="38">
        <f t="shared" si="30"/>
        <v>0</v>
      </c>
      <c r="X232" s="38">
        <f t="shared" si="30"/>
        <v>0</v>
      </c>
      <c r="Y232" s="38">
        <f t="shared" si="30"/>
        <v>0</v>
      </c>
      <c r="Z232" s="38">
        <f t="shared" si="30"/>
        <v>0</v>
      </c>
      <c r="AA232" s="38">
        <f t="shared" si="30"/>
        <v>0</v>
      </c>
      <c r="AB232" s="38">
        <f t="shared" si="30"/>
        <v>0</v>
      </c>
      <c r="AC232" s="38">
        <f t="shared" si="30"/>
        <v>0</v>
      </c>
      <c r="AD232" s="38">
        <f t="shared" si="30"/>
        <v>0</v>
      </c>
      <c r="AE232" s="38">
        <f t="shared" si="30"/>
        <v>0</v>
      </c>
    </row>
    <row r="233" spans="1:31" x14ac:dyDescent="0.2">
      <c r="A233" s="37" t="s">
        <v>150</v>
      </c>
      <c r="B233" s="160">
        <f>IFERROR(B230/B232,0)</f>
        <v>4.7808245362242543</v>
      </c>
      <c r="C233" s="160">
        <f t="shared" ref="C233:AE233" si="31">IFERROR(C230/C232,0)</f>
        <v>1.092369009229303</v>
      </c>
      <c r="D233" s="160">
        <f t="shared" si="31"/>
        <v>0.66309161278467488</v>
      </c>
      <c r="E233" s="160">
        <f t="shared" si="31"/>
        <v>0.85893574306268594</v>
      </c>
      <c r="F233" s="160">
        <f t="shared" si="31"/>
        <v>1.8606296870352104</v>
      </c>
      <c r="G233" s="160">
        <f t="shared" si="31"/>
        <v>3.5491030604157778</v>
      </c>
      <c r="H233" s="160">
        <f t="shared" si="31"/>
        <v>0</v>
      </c>
      <c r="I233" s="160">
        <f t="shared" si="31"/>
        <v>0</v>
      </c>
      <c r="J233" s="160">
        <f t="shared" si="31"/>
        <v>0</v>
      </c>
      <c r="K233" s="160">
        <f t="shared" si="31"/>
        <v>0</v>
      </c>
      <c r="L233" s="160">
        <f t="shared" si="31"/>
        <v>0</v>
      </c>
      <c r="M233" s="160">
        <f t="shared" si="31"/>
        <v>0</v>
      </c>
      <c r="N233" s="160">
        <f t="shared" si="31"/>
        <v>0</v>
      </c>
      <c r="O233" s="160">
        <f t="shared" si="31"/>
        <v>0</v>
      </c>
      <c r="P233" s="160">
        <f t="shared" si="31"/>
        <v>0</v>
      </c>
      <c r="Q233" s="160">
        <f t="shared" si="31"/>
        <v>0</v>
      </c>
      <c r="R233" s="160">
        <f t="shared" si="31"/>
        <v>0</v>
      </c>
      <c r="S233" s="160">
        <f t="shared" si="31"/>
        <v>0</v>
      </c>
      <c r="T233" s="160">
        <f t="shared" si="31"/>
        <v>0</v>
      </c>
      <c r="U233" s="160">
        <f t="shared" si="31"/>
        <v>0</v>
      </c>
      <c r="V233" s="160">
        <f t="shared" si="31"/>
        <v>0</v>
      </c>
      <c r="W233" s="160">
        <f t="shared" si="31"/>
        <v>0</v>
      </c>
      <c r="X233" s="160">
        <f t="shared" si="31"/>
        <v>0</v>
      </c>
      <c r="Y233" s="160">
        <f t="shared" si="31"/>
        <v>0</v>
      </c>
      <c r="Z233" s="160">
        <f t="shared" si="31"/>
        <v>0</v>
      </c>
      <c r="AA233" s="160">
        <f t="shared" si="31"/>
        <v>0</v>
      </c>
      <c r="AB233" s="160">
        <f t="shared" si="31"/>
        <v>0</v>
      </c>
      <c r="AC233" s="160">
        <f t="shared" si="31"/>
        <v>0</v>
      </c>
      <c r="AD233" s="160">
        <f t="shared" si="31"/>
        <v>0</v>
      </c>
      <c r="AE233" s="160">
        <f t="shared" si="31"/>
        <v>0</v>
      </c>
    </row>
    <row r="234" spans="1:31" x14ac:dyDescent="0.2">
      <c r="A234" s="247" t="s">
        <v>30</v>
      </c>
      <c r="B234" s="248"/>
      <c r="C234" s="248"/>
      <c r="D234" s="248"/>
      <c r="E234" s="248"/>
      <c r="F234" s="248"/>
      <c r="G234" s="248"/>
      <c r="H234" s="248"/>
      <c r="I234" s="248"/>
      <c r="J234" s="248"/>
      <c r="K234" s="248"/>
      <c r="L234" s="248"/>
      <c r="M234" s="248"/>
      <c r="N234" s="248"/>
      <c r="O234" s="248"/>
      <c r="P234" s="248"/>
      <c r="Q234" s="248"/>
      <c r="R234" s="248"/>
      <c r="S234" s="248"/>
      <c r="T234" s="248"/>
      <c r="U234" s="248"/>
      <c r="V234" s="248"/>
      <c r="W234" s="248"/>
      <c r="X234" s="248"/>
      <c r="Y234" s="248"/>
      <c r="Z234" s="248"/>
      <c r="AA234" s="248"/>
      <c r="AB234" s="248"/>
      <c r="AC234" s="248"/>
      <c r="AD234" s="248"/>
      <c r="AE234" s="249"/>
    </row>
    <row r="235" spans="1:31" x14ac:dyDescent="0.2">
      <c r="A235" s="44" t="s">
        <v>31</v>
      </c>
      <c r="B235" s="45" t="str">
        <f t="shared" ref="B235:AE235" si="32">B211</f>
        <v xml:space="preserve"> 1-Agroecological</v>
      </c>
      <c r="C235" s="45" t="str">
        <f t="shared" si="32"/>
        <v xml:space="preserve"> 2-Grains/Cattle</v>
      </c>
      <c r="D235" s="45" t="str">
        <f t="shared" si="32"/>
        <v xml:space="preserve"> 3-Milk/Grains</v>
      </c>
      <c r="E235" s="45" t="str">
        <f t="shared" si="32"/>
        <v xml:space="preserve"> 4-Grains</v>
      </c>
      <c r="F235" s="45" t="str">
        <f t="shared" si="32"/>
        <v xml:space="preserve"> 5-</v>
      </c>
      <c r="G235" s="45" t="str">
        <f t="shared" si="32"/>
        <v xml:space="preserve"> 6-Organic</v>
      </c>
      <c r="H235" s="45" t="str">
        <f t="shared" si="32"/>
        <v xml:space="preserve"> 7-</v>
      </c>
      <c r="I235" s="45" t="str">
        <f t="shared" si="32"/>
        <v xml:space="preserve"> 8-</v>
      </c>
      <c r="J235" s="45" t="str">
        <f t="shared" si="32"/>
        <v xml:space="preserve"> 9-</v>
      </c>
      <c r="K235" s="45" t="str">
        <f t="shared" si="32"/>
        <v xml:space="preserve"> 10-</v>
      </c>
      <c r="L235" s="45" t="str">
        <f t="shared" si="32"/>
        <v>11-</v>
      </c>
      <c r="M235" s="45" t="str">
        <f t="shared" si="32"/>
        <v xml:space="preserve"> 12-</v>
      </c>
      <c r="N235" s="45" t="str">
        <f t="shared" si="32"/>
        <v xml:space="preserve"> 13-</v>
      </c>
      <c r="O235" s="45" t="str">
        <f t="shared" si="32"/>
        <v xml:space="preserve"> 14-</v>
      </c>
      <c r="P235" s="45" t="str">
        <f t="shared" si="32"/>
        <v xml:space="preserve"> 15-</v>
      </c>
      <c r="Q235" s="45" t="str">
        <f t="shared" si="32"/>
        <v xml:space="preserve"> 16-</v>
      </c>
      <c r="R235" s="45" t="str">
        <f t="shared" si="32"/>
        <v xml:space="preserve"> 17-</v>
      </c>
      <c r="S235" s="45" t="str">
        <f t="shared" si="32"/>
        <v xml:space="preserve"> 18-</v>
      </c>
      <c r="T235" s="45" t="str">
        <f t="shared" si="32"/>
        <v xml:space="preserve"> 19-</v>
      </c>
      <c r="U235" s="45" t="str">
        <f t="shared" si="32"/>
        <v xml:space="preserve"> 20-</v>
      </c>
      <c r="V235" s="45" t="str">
        <f t="shared" si="32"/>
        <v xml:space="preserve"> 21-</v>
      </c>
      <c r="W235" s="45" t="str">
        <f t="shared" si="32"/>
        <v xml:space="preserve"> 22-</v>
      </c>
      <c r="X235" s="45" t="str">
        <f t="shared" si="32"/>
        <v xml:space="preserve"> 23-</v>
      </c>
      <c r="Y235" s="45" t="str">
        <f t="shared" si="32"/>
        <v xml:space="preserve"> 24-</v>
      </c>
      <c r="Z235" s="45" t="str">
        <f t="shared" si="32"/>
        <v xml:space="preserve"> 25-</v>
      </c>
      <c r="AA235" s="45" t="str">
        <f t="shared" si="32"/>
        <v xml:space="preserve"> 26-</v>
      </c>
      <c r="AB235" s="45" t="str">
        <f t="shared" si="32"/>
        <v xml:space="preserve"> 27-</v>
      </c>
      <c r="AC235" s="45" t="str">
        <f t="shared" si="32"/>
        <v xml:space="preserve"> 28-</v>
      </c>
      <c r="AD235" s="45" t="str">
        <f t="shared" si="32"/>
        <v xml:space="preserve"> 29-</v>
      </c>
      <c r="AE235" s="45" t="str">
        <f t="shared" si="32"/>
        <v xml:space="preserve"> 30-</v>
      </c>
    </row>
    <row r="236" spans="1:31" ht="15.75" x14ac:dyDescent="0.3">
      <c r="A236" s="46" t="s">
        <v>103</v>
      </c>
      <c r="B236" s="47">
        <f>IFERROR(((2*B227+B225-1)/SQRT(3)),0)</f>
        <v>0.12265065297809784</v>
      </c>
      <c r="C236" s="47">
        <f t="shared" ref="C236:AE236" si="33">IFERROR(((2*C227+C225-1)/SQRT(3)),0)</f>
        <v>0.29465577154195161</v>
      </c>
      <c r="D236" s="47">
        <f t="shared" si="33"/>
        <v>0.35893811578542878</v>
      </c>
      <c r="E236" s="47">
        <f t="shared" si="33"/>
        <v>0.32996338826683069</v>
      </c>
      <c r="F236" s="47">
        <f t="shared" si="33"/>
        <v>0.11906112548634627</v>
      </c>
      <c r="G236" s="47">
        <f t="shared" si="33"/>
        <v>0.11529433004953461</v>
      </c>
      <c r="H236" s="47">
        <f t="shared" si="33"/>
        <v>-0.57735026918962584</v>
      </c>
      <c r="I236" s="47">
        <f t="shared" si="33"/>
        <v>-0.57735026918962584</v>
      </c>
      <c r="J236" s="47">
        <f t="shared" si="33"/>
        <v>-0.57735026918962584</v>
      </c>
      <c r="K236" s="47">
        <f t="shared" si="33"/>
        <v>-0.57735026918962584</v>
      </c>
      <c r="L236" s="47">
        <f t="shared" si="33"/>
        <v>-0.57735026918962584</v>
      </c>
      <c r="M236" s="47">
        <f t="shared" si="33"/>
        <v>-0.57735026918962584</v>
      </c>
      <c r="N236" s="47">
        <f t="shared" si="33"/>
        <v>-0.57735026918962584</v>
      </c>
      <c r="O236" s="47">
        <f t="shared" si="33"/>
        <v>-0.57735026918962584</v>
      </c>
      <c r="P236" s="47">
        <f t="shared" si="33"/>
        <v>-0.57735026918962584</v>
      </c>
      <c r="Q236" s="47">
        <f t="shared" si="33"/>
        <v>-0.57735026918962584</v>
      </c>
      <c r="R236" s="47">
        <f t="shared" si="33"/>
        <v>-0.57735026918962584</v>
      </c>
      <c r="S236" s="47">
        <f t="shared" si="33"/>
        <v>-0.57735026918962584</v>
      </c>
      <c r="T236" s="47">
        <f t="shared" si="33"/>
        <v>-0.57735026918962584</v>
      </c>
      <c r="U236" s="47">
        <f t="shared" si="33"/>
        <v>-0.57735026918962584</v>
      </c>
      <c r="V236" s="47">
        <f t="shared" si="33"/>
        <v>-0.57735026918962584</v>
      </c>
      <c r="W236" s="47">
        <f t="shared" si="33"/>
        <v>-0.57735026918962584</v>
      </c>
      <c r="X236" s="47">
        <f t="shared" si="33"/>
        <v>-0.57735026918962584</v>
      </c>
      <c r="Y236" s="47">
        <f t="shared" si="33"/>
        <v>-0.57735026918962584</v>
      </c>
      <c r="Z236" s="47">
        <f t="shared" si="33"/>
        <v>-0.57735026918962584</v>
      </c>
      <c r="AA236" s="47">
        <f t="shared" si="33"/>
        <v>-0.57735026918962584</v>
      </c>
      <c r="AB236" s="47">
        <f t="shared" si="33"/>
        <v>-0.57735026918962584</v>
      </c>
      <c r="AC236" s="47">
        <f t="shared" si="33"/>
        <v>-0.57735026918962584</v>
      </c>
      <c r="AD236" s="47">
        <f t="shared" si="33"/>
        <v>-0.57735026918962584</v>
      </c>
      <c r="AE236" s="47">
        <f t="shared" si="33"/>
        <v>-0.57735026918962584</v>
      </c>
    </row>
    <row r="237" spans="1:31" ht="15.75" x14ac:dyDescent="0.3">
      <c r="A237" s="51" t="s">
        <v>104</v>
      </c>
      <c r="B237" s="52">
        <f>IF(DIAG!$H37,B225,-1)</f>
        <v>0.76037981753863337</v>
      </c>
      <c r="C237" s="52">
        <f>IF(DIAG!$H38,C225,-1)</f>
        <v>0.42462523159845034</v>
      </c>
      <c r="D237" s="52">
        <f>IF(DIAG!$H39,D225,-1)</f>
        <v>0.33594917787742901</v>
      </c>
      <c r="E237" s="52">
        <f>IF(DIAG!$H40,E225,-1)</f>
        <v>0.40142433234421354</v>
      </c>
      <c r="F237" s="52">
        <f>IF(DIAG!$H41,F225,-1)</f>
        <v>0.49685301740096266</v>
      </c>
      <c r="G237" s="52">
        <f>IF(DIAG!$H42,G225,-1)</f>
        <v>0.74568819749746351</v>
      </c>
      <c r="H237" s="52">
        <f>IF(DIAG!$H43,H225,-1)</f>
        <v>-1</v>
      </c>
      <c r="I237" s="52">
        <f>IF(DIAG!$H44,I225,-1)</f>
        <v>-1</v>
      </c>
      <c r="J237" s="52">
        <f>IF(DIAG!$H45,J225,-1)</f>
        <v>-1</v>
      </c>
      <c r="K237" s="52">
        <f>IF(DIAG!$H46,K225,-1)</f>
        <v>-1</v>
      </c>
      <c r="L237" s="52">
        <f>IF(DIAG!$H47,L225,-1)</f>
        <v>-1</v>
      </c>
      <c r="M237" s="52">
        <f>IF(DIAG!$H48,M225,-1)</f>
        <v>-1</v>
      </c>
      <c r="N237" s="52">
        <f>IF(DIAG!$H49,N225,-1)</f>
        <v>-1</v>
      </c>
      <c r="O237" s="52">
        <f>IF(DIAG!$H50,O225,-1)</f>
        <v>-1</v>
      </c>
      <c r="P237" s="52">
        <f>IF(DIAG!$H51,P225,-1)</f>
        <v>-1</v>
      </c>
      <c r="Q237" s="52">
        <f>IF(DIAG!$H52,Q225,-1)</f>
        <v>-1</v>
      </c>
      <c r="R237" s="52">
        <f>IF(DIAG!$H53,R225,-1)</f>
        <v>-1</v>
      </c>
      <c r="S237" s="52">
        <f>IF(DIAG!$H54,S225,-1)</f>
        <v>-1</v>
      </c>
      <c r="T237" s="52">
        <f>IF(DIAG!$H55,T225,-1)</f>
        <v>-1</v>
      </c>
      <c r="U237" s="52">
        <f>IF(DIAG!$H56,U225,-1)</f>
        <v>-1</v>
      </c>
      <c r="V237" s="52">
        <f>IF(DIAG!$H57,V225,-1)</f>
        <v>-1</v>
      </c>
      <c r="W237" s="52">
        <f>IF(DIAG!$H58,W225,-1)</f>
        <v>-1</v>
      </c>
      <c r="X237" s="52">
        <f>IF(DIAG!$H59,X225,-1)</f>
        <v>-1</v>
      </c>
      <c r="Y237" s="52">
        <f>IF(DIAG!$H60,Y225,-1)</f>
        <v>-1</v>
      </c>
      <c r="Z237" s="52">
        <f>IF(DIAG!$H61,Z225,-1)</f>
        <v>-1</v>
      </c>
      <c r="AA237" s="52">
        <f>IF(DIAG!$H62,AA225,-1)</f>
        <v>-1</v>
      </c>
      <c r="AB237" s="52">
        <f>IF(DIAG!$H63,AB225,-1)</f>
        <v>-1</v>
      </c>
      <c r="AC237" s="52">
        <f>IF(DIAG!$H64,AC225,-1)</f>
        <v>-1</v>
      </c>
      <c r="AD237" s="52">
        <f>IF(DIAG!$H65,AD225,-1)</f>
        <v>-1</v>
      </c>
      <c r="AE237" s="52">
        <f>IF(DIAG!$H66,AE225,-1)</f>
        <v>-1</v>
      </c>
    </row>
    <row r="238" spans="1:31" x14ac:dyDescent="0.2">
      <c r="G238" s="6"/>
      <c r="H238" s="6"/>
      <c r="I238" s="6"/>
      <c r="J238" s="6"/>
      <c r="K238" s="6"/>
    </row>
    <row r="239" spans="1:31" x14ac:dyDescent="0.2">
      <c r="G239" s="6"/>
      <c r="H239" s="6"/>
      <c r="I239" s="6"/>
      <c r="J239" s="6"/>
      <c r="K239" s="6"/>
    </row>
    <row r="240" spans="1:31" x14ac:dyDescent="0.2">
      <c r="A240" s="167" t="s">
        <v>16</v>
      </c>
      <c r="B240" s="168" t="s">
        <v>112</v>
      </c>
      <c r="G240" s="6"/>
      <c r="H240" s="6"/>
      <c r="I240" s="6"/>
      <c r="J240" s="6"/>
      <c r="K240" s="6"/>
    </row>
    <row r="241" spans="1:11" x14ac:dyDescent="0.2">
      <c r="A241" s="12" t="s">
        <v>151</v>
      </c>
      <c r="B241" s="13">
        <f>SUMPRODUCT(B212:AE212,DIAG!$B$440:$AE$440,DIAG!$B$442:$AE$442)</f>
        <v>0</v>
      </c>
      <c r="G241" s="6"/>
      <c r="H241" s="6"/>
      <c r="I241" s="6"/>
      <c r="J241" s="6"/>
      <c r="K241" s="6"/>
    </row>
    <row r="242" spans="1:11" x14ac:dyDescent="0.2">
      <c r="A242" s="12" t="s">
        <v>5</v>
      </c>
      <c r="B242" s="13">
        <f>SUMPRODUCT(B213:AE213,DIAG!$B$440:$AE$440,DIAG!$B$442:$AE$442)</f>
        <v>0</v>
      </c>
      <c r="G242" s="6"/>
      <c r="H242" s="6"/>
      <c r="I242" s="6"/>
      <c r="J242" s="6"/>
      <c r="K242" s="6"/>
    </row>
    <row r="243" spans="1:11" x14ac:dyDescent="0.2">
      <c r="A243" s="12" t="s">
        <v>146</v>
      </c>
      <c r="B243" s="13">
        <f>SUMPRODUCT(B214:AE214,DIAG!$B$440:$AE$440,DIAG!$B$442:$AE$442)</f>
        <v>0</v>
      </c>
      <c r="G243" s="6"/>
      <c r="H243" s="6"/>
      <c r="I243" s="6"/>
      <c r="J243" s="6"/>
      <c r="K243" s="6"/>
    </row>
    <row r="244" spans="1:11" x14ac:dyDescent="0.2">
      <c r="A244" s="12" t="s">
        <v>147</v>
      </c>
      <c r="B244" s="13">
        <f>SUMPRODUCT(B215:AE215,DIAG!$B$440:$AE$440,DIAG!$B$442:$AE$442)</f>
        <v>0</v>
      </c>
      <c r="G244" s="6"/>
      <c r="H244" s="6"/>
      <c r="I244" s="6"/>
      <c r="J244" s="6"/>
      <c r="K244" s="6"/>
    </row>
    <row r="245" spans="1:11" x14ac:dyDescent="0.2">
      <c r="A245" s="12" t="s">
        <v>148</v>
      </c>
      <c r="B245" s="13">
        <f>SUMPRODUCT(B216:AE216,DIAG!$B$440:$AE$440,DIAG!$B$442:$AE$442)</f>
        <v>0</v>
      </c>
      <c r="G245" s="6"/>
      <c r="H245" s="6"/>
      <c r="I245" s="6"/>
      <c r="J245" s="6"/>
      <c r="K245" s="6"/>
    </row>
    <row r="246" spans="1:11" x14ac:dyDescent="0.2">
      <c r="A246" s="12" t="s">
        <v>149</v>
      </c>
      <c r="B246" s="13">
        <f>SUMPRODUCT(B217:AE217,DIAG!$B$440:$AE$440,DIAG!$B$442:$AE$442)</f>
        <v>0</v>
      </c>
      <c r="G246" s="6"/>
      <c r="H246" s="6"/>
      <c r="I246" s="6"/>
      <c r="J246" s="6"/>
      <c r="K246" s="6"/>
    </row>
    <row r="247" spans="1:11" x14ac:dyDescent="0.2">
      <c r="A247" s="15" t="s">
        <v>152</v>
      </c>
      <c r="B247" s="13">
        <f>SUMPRODUCT(B218:AE218,DIAG!$B$440:$AE$440,DIAG!$B$442:$AE$442)</f>
        <v>0</v>
      </c>
      <c r="G247" s="6"/>
      <c r="H247" s="6"/>
      <c r="I247" s="6"/>
      <c r="J247" s="6"/>
      <c r="K247" s="6"/>
    </row>
    <row r="248" spans="1:11" x14ac:dyDescent="0.2">
      <c r="A248" s="15" t="s">
        <v>13</v>
      </c>
      <c r="B248" s="16">
        <f>SUM(B241:B246)</f>
        <v>0</v>
      </c>
      <c r="G248" s="6"/>
      <c r="H248" s="6"/>
      <c r="I248" s="6"/>
      <c r="J248" s="6"/>
      <c r="K248" s="6"/>
    </row>
    <row r="249" spans="1:11" x14ac:dyDescent="0.2">
      <c r="A249" s="17" t="s">
        <v>150</v>
      </c>
      <c r="B249" s="18">
        <f>IFERROR(B259/B261,0)</f>
        <v>0</v>
      </c>
      <c r="G249" s="6"/>
      <c r="H249" s="6"/>
      <c r="I249" s="6"/>
      <c r="J249" s="6"/>
      <c r="K249" s="6"/>
    </row>
    <row r="250" spans="1:11" x14ac:dyDescent="0.2">
      <c r="A250" s="17" t="s">
        <v>10</v>
      </c>
      <c r="B250" s="20">
        <f>IFERROR((B241+B243+B245)/B248,0)</f>
        <v>0</v>
      </c>
      <c r="G250" s="6"/>
      <c r="H250" s="6"/>
      <c r="I250" s="6"/>
      <c r="J250" s="6"/>
      <c r="K250" s="6"/>
    </row>
    <row r="251" spans="1:11" x14ac:dyDescent="0.2">
      <c r="A251" s="17" t="s">
        <v>11</v>
      </c>
      <c r="B251" s="20">
        <f>IFERROR(B242/B$219,0)</f>
        <v>0</v>
      </c>
      <c r="G251" s="6"/>
      <c r="H251" s="6"/>
      <c r="I251" s="6"/>
      <c r="J251" s="6"/>
      <c r="K251" s="6"/>
    </row>
    <row r="252" spans="1:11" x14ac:dyDescent="0.2">
      <c r="A252" s="17" t="s">
        <v>12</v>
      </c>
      <c r="B252" s="20">
        <f>IFERROR(B247/B$219,0)</f>
        <v>0</v>
      </c>
      <c r="G252" s="6"/>
      <c r="H252" s="6"/>
      <c r="I252" s="6"/>
      <c r="J252" s="6"/>
      <c r="K252" s="6"/>
    </row>
    <row r="253" spans="1:11" x14ac:dyDescent="0.2">
      <c r="A253" s="155" t="s">
        <v>18</v>
      </c>
      <c r="B253" s="165"/>
      <c r="G253" s="6"/>
      <c r="H253" s="6"/>
      <c r="I253" s="6"/>
      <c r="J253" s="6"/>
      <c r="K253" s="6"/>
    </row>
    <row r="254" spans="1:11" x14ac:dyDescent="0.2">
      <c r="A254" s="4" t="s">
        <v>19</v>
      </c>
      <c r="B254" s="21">
        <f>IFERROR(((B241+B243+B245)/B248),0)</f>
        <v>0</v>
      </c>
      <c r="G254" s="6"/>
      <c r="H254" s="6"/>
      <c r="I254" s="6"/>
      <c r="J254" s="6"/>
      <c r="K254" s="6"/>
    </row>
    <row r="255" spans="1:11" x14ac:dyDescent="0.2">
      <c r="A255" s="4" t="s">
        <v>20</v>
      </c>
      <c r="B255" s="21">
        <f>IFERROR(B242/B248,0)</f>
        <v>0</v>
      </c>
      <c r="G255" s="6"/>
      <c r="H255" s="6"/>
      <c r="I255" s="6"/>
      <c r="J255" s="6"/>
      <c r="K255" s="6"/>
    </row>
    <row r="256" spans="1:11" x14ac:dyDescent="0.2">
      <c r="A256" s="5" t="s">
        <v>21</v>
      </c>
      <c r="B256" s="24">
        <f>IFERROR(B247/B248,0)</f>
        <v>0</v>
      </c>
      <c r="G256" s="6"/>
      <c r="H256" s="6"/>
      <c r="I256" s="6"/>
      <c r="J256" s="6"/>
      <c r="K256" s="6"/>
    </row>
    <row r="257" spans="1:11" x14ac:dyDescent="0.2">
      <c r="A257" s="27" t="s">
        <v>22</v>
      </c>
      <c r="B257" s="28">
        <f>IFERROR(B254+B255,0)</f>
        <v>0</v>
      </c>
      <c r="G257" s="6"/>
      <c r="H257" s="6"/>
      <c r="I257" s="6"/>
      <c r="J257" s="6"/>
      <c r="K257" s="6"/>
    </row>
    <row r="258" spans="1:11" x14ac:dyDescent="0.2">
      <c r="A258" s="27" t="s">
        <v>24</v>
      </c>
      <c r="B258" s="28">
        <f>IFERROR(B254+B255+B256,0)</f>
        <v>0</v>
      </c>
      <c r="G258" s="6"/>
      <c r="H258" s="6"/>
      <c r="I258" s="6"/>
      <c r="J258" s="6"/>
      <c r="K258" s="6"/>
    </row>
    <row r="259" spans="1:11" x14ac:dyDescent="0.2">
      <c r="A259" s="33" t="s">
        <v>27</v>
      </c>
      <c r="B259" s="34">
        <f>IFERROR(B248/B243+B244+B245+B246,0)</f>
        <v>0</v>
      </c>
      <c r="G259" s="6"/>
      <c r="H259" s="6"/>
      <c r="I259" s="6"/>
      <c r="J259" s="6"/>
      <c r="K259" s="6"/>
    </row>
    <row r="260" spans="1:11" x14ac:dyDescent="0.2">
      <c r="A260" s="37" t="s">
        <v>28</v>
      </c>
      <c r="B260" s="38">
        <f>IFERROR((B243+B244+B245+B246)/(B241+B242),0)</f>
        <v>0</v>
      </c>
      <c r="G260" s="6"/>
      <c r="H260" s="6"/>
      <c r="I260" s="6"/>
      <c r="J260" s="6"/>
      <c r="K260" s="6"/>
    </row>
    <row r="261" spans="1:11" x14ac:dyDescent="0.2">
      <c r="A261" s="37" t="s">
        <v>29</v>
      </c>
      <c r="B261" s="38">
        <f>IFERROR((B242+B244+B246)/(B241+B243+B245),0)</f>
        <v>0</v>
      </c>
      <c r="G261" s="6"/>
      <c r="H261" s="6"/>
      <c r="I261" s="6"/>
      <c r="J261" s="6"/>
      <c r="K261" s="6"/>
    </row>
    <row r="262" spans="1:11" x14ac:dyDescent="0.2">
      <c r="A262" s="41" t="s">
        <v>17</v>
      </c>
      <c r="B262" s="160">
        <f>IFERROR(B259/B261,0)</f>
        <v>0</v>
      </c>
      <c r="G262" s="6"/>
      <c r="H262" s="6"/>
      <c r="I262" s="6"/>
      <c r="J262" s="6"/>
      <c r="K262" s="6"/>
    </row>
    <row r="263" spans="1:11" x14ac:dyDescent="0.2">
      <c r="A263" s="155" t="s">
        <v>30</v>
      </c>
      <c r="B263" s="165"/>
      <c r="G263" s="6"/>
      <c r="H263" s="6"/>
      <c r="I263" s="6"/>
      <c r="J263" s="6"/>
      <c r="K263" s="6"/>
    </row>
    <row r="264" spans="1:11" x14ac:dyDescent="0.2">
      <c r="A264" s="4" t="s">
        <v>31</v>
      </c>
      <c r="B264" s="10" t="str">
        <f>B240</f>
        <v>Simergy</v>
      </c>
      <c r="G264" s="6"/>
      <c r="H264" s="6"/>
      <c r="I264" s="6"/>
      <c r="J264" s="6"/>
      <c r="K264" s="6"/>
    </row>
    <row r="265" spans="1:11" ht="15.75" x14ac:dyDescent="0.3">
      <c r="A265" s="46" t="s">
        <v>103</v>
      </c>
      <c r="B265" s="208">
        <f>IFERROR(((2*B256+B254-1)/SQRT(3)),0)</f>
        <v>-0.57735026918962584</v>
      </c>
      <c r="G265" s="6"/>
      <c r="H265" s="6"/>
      <c r="I265" s="6"/>
      <c r="J265" s="6"/>
      <c r="K265" s="6"/>
    </row>
    <row r="266" spans="1:11" ht="15.75" x14ac:dyDescent="0.3">
      <c r="A266" s="169" t="s">
        <v>104</v>
      </c>
      <c r="B266" s="209">
        <f>IF(OR(DIAG!G239,DIAG!G240,DIAG!G241,DIAG!G242,DIAG!G243,DIAG!G244,DIAG!G245,DIAG!G246,DIAG!G247,DIAG!G248,DIAG!G249,DIAG!G250,DIAG!G251,DIAG!G252,DIAG!G253,DIAG!G254,DIAG!G255,DIAG!G256,DIAG!G257,DIAG!G258,DIAG!G259,DIAG!G260,DIAG!G261,DIAG!G262,DIAG!G263,DIAG!G264,DIAG!G265,DIAG!G266,DIAG!G267,DIAG!G268,DIAG!G269,DIAG!G270,DIAG!G271,DIAG!G272,DIAG!G273,DIAG!G274,DIAG!G275,DIAG!G276,DIAG!G277,DIAG!G278,DIAG!G279,DIAG!G280,DIAG!G281,DIAG!G282,DIAG!G283,DIAG!G284,DIAG!G285,DIAG!G286,DIAG!G287,DIAG!G288,DIAG!G289,DIAG!G290,DIAG!G291,DIAG!G292,DIAG!G293,DIAG!G294,DIAG!G295,DIAG!G296,DIAG!G297,DIAG!G298,DIAG!G299,DIAG!G300,DIAG!G301,DIAG!G302,DIAG!G303,DIAG!G304,DIAG!G305,DIAG!G306,DIAG!G307,DIAG!G308,DIAG!G309,DIAG!G310,DIAG!G311,DIAG!G312,DIAG!G313,DIAG!G314,DIAG!G315,DIAG!G316,DIAG!G317,DIAG!G318,DIAG!G319,DIAG!G320,DIAG!G321,DIAG!G322,DIAG!G323,DIAG!G324,DIAG!G325,DIAG!G326,DIAG!G327,DIAG!G328,DIAG!G329,DIAG!G330,DIAG!G331,DIAG!G332,DIAG!G333,DIAG!G334,DIAG!G335,DIAG!G336,DIAG!G337,DIAG!G338,DIAG!G339,DIAG!G340,DIAG!G341,DIAG!G342,DIAG!G343,DIAG!G344,DIAG!G345,DIAG!G346,DIAG!G347,DIAG!G348,DIAG!G349,DIAG!G350,DIAG!G351,DIAG!G352,DIAG!G353,DIAG!G354,DIAG!G355,DIAG!G356,DIAG!G357,DIAG!G358,DIAG!G359,DIAG!G360,DIAG!G361,DIAG!G362,DIAG!G363,DIAG!G364,DIAG!G365,DIAG!G366,DIAG!G367,DIAG!G368,DIAG!G369,DIAG!G370,DIAG!G371,DIAG!G372,DIAG!G373,DIAG!G374,DIAG!G375,DIAG!G376,DIAG!G377,DIAG!G378,DIAG!G379,DIAG!G380,DIAG!G381,DIAG!G382,DIAG!G383,DIAG!G384,DIAG!G385,DIAG!G386,DIAG!G387,DIAG!G388,DIAG!G389,DIAG!G390,DIAG!G391,DIAG!G392,DIAG!G393,DIAG!G394,DIAG!G395,DIAG!G396,DIAG!G397,DIAG!G398,DIAG!G399,DIAG!G400,DIAG!G401,DIAG!G402,DIAG!G403,DIAG!G404,DIAG!G405,DIAG!G406,DIAG!G407,DIAG!G408,DIAG!G409,DIAG!G410,DIAG!G411,DIAG!G412,DIAG!G413,DIAG!G414,DIAG!G415,DIAG!G416,DIAG!G417,DIAG!G418,DIAG!G419,DIAG!G420,DIAG!G421,DIAG!G422,DIAG!G423,DIAG!G424,DIAG!G425,DIAG!G426,DIAG!G427,DIAG!G428,DIAG!G429,DIAG!G430,DIAG!G431,DIAG!G432,DIAG!G433,DIAG!G434,DIAG!G435,DIAG!G436,DIAG!G437,DIAG!G438),B254,-1)</f>
        <v>-1</v>
      </c>
      <c r="G266" s="6"/>
      <c r="H266" s="6"/>
      <c r="I266" s="6"/>
      <c r="J266" s="6"/>
      <c r="K266" s="6"/>
    </row>
    <row r="267" spans="1:11" x14ac:dyDescent="0.2">
      <c r="G267" s="6"/>
      <c r="H267" s="6"/>
      <c r="I267" s="6"/>
      <c r="J267" s="6"/>
      <c r="K267" s="6"/>
    </row>
    <row r="268" spans="1:11" x14ac:dyDescent="0.2">
      <c r="G268" s="6"/>
      <c r="H268" s="6"/>
      <c r="I268" s="6"/>
      <c r="J268" s="6"/>
      <c r="K268" s="6"/>
    </row>
    <row r="269" spans="1:11" x14ac:dyDescent="0.2">
      <c r="G269" s="6"/>
      <c r="H269" s="6"/>
      <c r="I269" s="6"/>
      <c r="J269" s="6"/>
      <c r="K269" s="6"/>
    </row>
    <row r="270" spans="1:11" x14ac:dyDescent="0.2">
      <c r="G270" s="6"/>
      <c r="H270" s="6"/>
      <c r="I270" s="6"/>
      <c r="J270" s="6"/>
      <c r="K270" s="6"/>
    </row>
    <row r="271" spans="1:11" x14ac:dyDescent="0.2">
      <c r="G271" s="6"/>
      <c r="H271" s="6"/>
      <c r="I271" s="6"/>
      <c r="J271" s="6"/>
      <c r="K271" s="6"/>
    </row>
    <row r="272" spans="1:11" x14ac:dyDescent="0.2">
      <c r="G272" s="6"/>
      <c r="H272" s="6"/>
      <c r="I272" s="6"/>
      <c r="J272" s="6"/>
      <c r="K272" s="6"/>
    </row>
    <row r="273" s="6" customFormat="1" x14ac:dyDescent="0.2"/>
    <row r="274" s="6" customFormat="1" x14ac:dyDescent="0.2"/>
    <row r="275" s="6" customFormat="1" x14ac:dyDescent="0.2"/>
    <row r="276" s="6" customFormat="1" x14ac:dyDescent="0.2"/>
    <row r="277" s="6" customFormat="1" x14ac:dyDescent="0.2"/>
    <row r="278" s="6" customFormat="1" x14ac:dyDescent="0.2"/>
    <row r="279" s="6" customFormat="1" x14ac:dyDescent="0.2"/>
    <row r="280" s="6" customFormat="1" x14ac:dyDescent="0.2"/>
    <row r="281" s="6" customFormat="1" x14ac:dyDescent="0.2"/>
    <row r="282" s="6" customFormat="1" x14ac:dyDescent="0.2"/>
    <row r="283" s="6" customFormat="1" x14ac:dyDescent="0.2"/>
    <row r="284" s="6" customFormat="1" x14ac:dyDescent="0.2"/>
    <row r="285" s="6" customFormat="1" x14ac:dyDescent="0.2"/>
    <row r="286" s="6" customFormat="1" x14ac:dyDescent="0.2"/>
    <row r="287" s="6" customFormat="1" x14ac:dyDescent="0.2"/>
    <row r="288" s="6" customFormat="1" x14ac:dyDescent="0.2"/>
    <row r="289" s="6" customFormat="1" x14ac:dyDescent="0.2"/>
    <row r="290" s="6" customFormat="1" x14ac:dyDescent="0.2"/>
    <row r="291" s="6" customFormat="1" x14ac:dyDescent="0.2"/>
    <row r="292" s="6" customFormat="1" x14ac:dyDescent="0.2"/>
    <row r="293" s="6" customFormat="1" x14ac:dyDescent="0.2"/>
    <row r="294" s="6" customFormat="1" x14ac:dyDescent="0.2"/>
    <row r="295" s="6" customFormat="1" x14ac:dyDescent="0.2"/>
    <row r="296" s="6" customFormat="1" x14ac:dyDescent="0.2"/>
    <row r="297" s="6" customFormat="1" x14ac:dyDescent="0.2"/>
    <row r="298" s="6" customFormat="1" x14ac:dyDescent="0.2"/>
    <row r="299" s="6" customFormat="1" x14ac:dyDescent="0.2"/>
    <row r="300" s="6" customFormat="1" x14ac:dyDescent="0.2"/>
    <row r="301" s="6" customFormat="1" x14ac:dyDescent="0.2"/>
    <row r="302" s="6" customFormat="1" x14ac:dyDescent="0.2"/>
    <row r="303" s="6" customFormat="1" x14ac:dyDescent="0.2"/>
    <row r="304" s="6" customFormat="1" x14ac:dyDescent="0.2"/>
    <row r="305" s="6" customFormat="1" x14ac:dyDescent="0.2"/>
    <row r="306" s="6" customFormat="1" x14ac:dyDescent="0.2"/>
    <row r="307" s="6" customFormat="1" x14ac:dyDescent="0.2"/>
    <row r="308" s="6" customFormat="1" x14ac:dyDescent="0.2"/>
    <row r="309" s="6" customFormat="1" x14ac:dyDescent="0.2"/>
    <row r="310" s="6" customFormat="1" x14ac:dyDescent="0.2"/>
    <row r="311" s="6" customFormat="1" x14ac:dyDescent="0.2"/>
    <row r="312" s="6" customFormat="1" x14ac:dyDescent="0.2"/>
    <row r="313" s="6" customFormat="1" x14ac:dyDescent="0.2"/>
    <row r="314" s="6" customFormat="1" x14ac:dyDescent="0.2"/>
    <row r="315" s="6" customFormat="1" x14ac:dyDescent="0.2"/>
    <row r="316" s="6" customFormat="1" x14ac:dyDescent="0.2"/>
    <row r="317" s="6" customFormat="1" x14ac:dyDescent="0.2"/>
    <row r="318" s="6" customFormat="1" x14ac:dyDescent="0.2"/>
    <row r="319" s="6" customFormat="1" x14ac:dyDescent="0.2"/>
    <row r="320" s="6" customFormat="1" x14ac:dyDescent="0.2"/>
    <row r="321" s="6" customFormat="1" x14ac:dyDescent="0.2"/>
    <row r="322" s="6" customFormat="1" x14ac:dyDescent="0.2"/>
    <row r="323" s="6" customFormat="1" x14ac:dyDescent="0.2"/>
    <row r="324" s="6" customFormat="1" x14ac:dyDescent="0.2"/>
    <row r="325" s="6" customFormat="1" x14ac:dyDescent="0.2"/>
    <row r="326" s="6" customFormat="1" x14ac:dyDescent="0.2"/>
    <row r="327" s="6" customFormat="1" x14ac:dyDescent="0.2"/>
    <row r="328" s="6" customFormat="1" x14ac:dyDescent="0.2"/>
    <row r="329" s="6" customFormat="1" x14ac:dyDescent="0.2"/>
    <row r="330" s="6" customFormat="1" x14ac:dyDescent="0.2"/>
    <row r="331" s="6" customFormat="1" x14ac:dyDescent="0.2"/>
    <row r="332" s="6" customFormat="1" x14ac:dyDescent="0.2"/>
    <row r="333" s="6" customFormat="1" x14ac:dyDescent="0.2"/>
    <row r="334" s="6" customFormat="1" x14ac:dyDescent="0.2"/>
    <row r="335" s="6" customFormat="1" x14ac:dyDescent="0.2"/>
    <row r="336" s="6" customFormat="1" x14ac:dyDescent="0.2"/>
    <row r="337" s="6" customFormat="1" x14ac:dyDescent="0.2"/>
    <row r="338" s="6" customFormat="1" x14ac:dyDescent="0.2"/>
    <row r="339" s="6" customFormat="1" x14ac:dyDescent="0.2"/>
    <row r="340" s="6" customFormat="1" x14ac:dyDescent="0.2"/>
    <row r="341" s="6" customFormat="1" x14ac:dyDescent="0.2"/>
    <row r="342" s="6" customFormat="1" x14ac:dyDescent="0.2"/>
    <row r="343" s="6" customFormat="1" x14ac:dyDescent="0.2"/>
    <row r="344" s="6" customFormat="1" x14ac:dyDescent="0.2"/>
    <row r="345" s="6" customFormat="1" x14ac:dyDescent="0.2"/>
    <row r="346" s="6" customFormat="1" x14ac:dyDescent="0.2"/>
    <row r="347" s="6" customFormat="1" x14ac:dyDescent="0.2"/>
    <row r="348" s="6" customFormat="1" x14ac:dyDescent="0.2"/>
    <row r="349" s="6" customFormat="1" x14ac:dyDescent="0.2"/>
    <row r="350" s="6" customFormat="1" x14ac:dyDescent="0.2"/>
    <row r="351" s="6" customFormat="1" x14ac:dyDescent="0.2"/>
    <row r="352" s="6" customFormat="1" x14ac:dyDescent="0.2"/>
    <row r="353" s="6" customFormat="1" x14ac:dyDescent="0.2"/>
    <row r="354" s="6" customFormat="1" x14ac:dyDescent="0.2"/>
    <row r="355" s="6" customFormat="1" x14ac:dyDescent="0.2"/>
    <row r="356" s="6" customFormat="1" x14ac:dyDescent="0.2"/>
    <row r="357" s="6" customFormat="1" x14ac:dyDescent="0.2"/>
    <row r="358" s="6" customFormat="1" x14ac:dyDescent="0.2"/>
    <row r="359" s="6" customFormat="1" x14ac:dyDescent="0.2"/>
    <row r="360" s="6" customFormat="1" x14ac:dyDescent="0.2"/>
    <row r="361" s="6" customFormat="1" x14ac:dyDescent="0.2"/>
    <row r="362" s="6" customFormat="1" x14ac:dyDescent="0.2"/>
    <row r="363" s="6" customFormat="1" x14ac:dyDescent="0.2"/>
    <row r="364" s="6" customFormat="1" x14ac:dyDescent="0.2"/>
    <row r="365" s="6" customFormat="1" x14ac:dyDescent="0.2"/>
    <row r="366" s="6" customFormat="1" x14ac:dyDescent="0.2"/>
    <row r="367" s="6" customFormat="1" x14ac:dyDescent="0.2"/>
    <row r="368" s="6" customFormat="1" x14ac:dyDescent="0.2"/>
    <row r="369" s="6" customFormat="1" x14ac:dyDescent="0.2"/>
    <row r="370" s="6" customFormat="1" x14ac:dyDescent="0.2"/>
    <row r="371" s="6" customFormat="1" x14ac:dyDescent="0.2"/>
    <row r="372" s="6" customFormat="1" x14ac:dyDescent="0.2"/>
    <row r="373" s="6" customFormat="1" x14ac:dyDescent="0.2"/>
    <row r="374" s="6" customFormat="1" x14ac:dyDescent="0.2"/>
    <row r="375" s="6" customFormat="1" x14ac:dyDescent="0.2"/>
    <row r="376" s="6" customFormat="1" x14ac:dyDescent="0.2"/>
    <row r="377" s="6" customFormat="1" x14ac:dyDescent="0.2"/>
    <row r="378" s="6" customFormat="1" x14ac:dyDescent="0.2"/>
    <row r="379" s="6" customFormat="1" x14ac:dyDescent="0.2"/>
    <row r="380" s="6" customFormat="1" x14ac:dyDescent="0.2"/>
    <row r="381" s="6" customFormat="1" x14ac:dyDescent="0.2"/>
    <row r="382" s="6" customFormat="1" x14ac:dyDescent="0.2"/>
    <row r="383" s="6" customFormat="1" x14ac:dyDescent="0.2"/>
    <row r="384" s="6" customFormat="1" x14ac:dyDescent="0.2"/>
    <row r="385" s="6" customFormat="1" x14ac:dyDescent="0.2"/>
    <row r="386" s="6" customFormat="1" x14ac:dyDescent="0.2"/>
    <row r="387" s="6" customFormat="1" x14ac:dyDescent="0.2"/>
    <row r="388" s="6" customFormat="1" x14ac:dyDescent="0.2"/>
    <row r="389" s="6" customFormat="1" x14ac:dyDescent="0.2"/>
    <row r="390" s="6" customFormat="1" x14ac:dyDescent="0.2"/>
    <row r="391" s="6" customFormat="1" x14ac:dyDescent="0.2"/>
    <row r="392" s="6" customFormat="1" x14ac:dyDescent="0.2"/>
    <row r="393" s="6" customFormat="1" x14ac:dyDescent="0.2"/>
    <row r="394" s="6" customFormat="1" x14ac:dyDescent="0.2"/>
    <row r="395" s="6" customFormat="1" x14ac:dyDescent="0.2"/>
    <row r="396" s="6" customFormat="1" x14ac:dyDescent="0.2"/>
    <row r="397" s="6" customFormat="1" x14ac:dyDescent="0.2"/>
    <row r="398" s="6" customFormat="1" x14ac:dyDescent="0.2"/>
    <row r="399" s="6" customFormat="1" x14ac:dyDescent="0.2"/>
    <row r="400" s="6" customFormat="1" x14ac:dyDescent="0.2"/>
    <row r="401" s="6" customFormat="1" x14ac:dyDescent="0.2"/>
    <row r="402" s="6" customFormat="1" x14ac:dyDescent="0.2"/>
    <row r="403" s="6" customFormat="1" x14ac:dyDescent="0.2"/>
    <row r="404" s="6" customFormat="1" x14ac:dyDescent="0.2"/>
    <row r="405" s="6" customFormat="1" x14ac:dyDescent="0.2"/>
    <row r="406" s="6" customFormat="1" x14ac:dyDescent="0.2"/>
    <row r="407" s="6" customFormat="1" x14ac:dyDescent="0.2"/>
    <row r="408" s="6" customFormat="1" x14ac:dyDescent="0.2"/>
    <row r="409" s="6" customFormat="1" x14ac:dyDescent="0.2"/>
    <row r="410" s="6" customFormat="1" x14ac:dyDescent="0.2"/>
    <row r="411" s="6" customFormat="1" x14ac:dyDescent="0.2"/>
    <row r="412" s="6" customFormat="1" x14ac:dyDescent="0.2"/>
    <row r="413" s="6" customFormat="1" x14ac:dyDescent="0.2"/>
    <row r="414" s="6" customFormat="1" x14ac:dyDescent="0.2"/>
    <row r="415" s="6" customFormat="1" x14ac:dyDescent="0.2"/>
    <row r="416" s="6" customFormat="1" x14ac:dyDescent="0.2"/>
    <row r="417" s="6" customFormat="1" x14ac:dyDescent="0.2"/>
    <row r="418" s="6" customFormat="1" x14ac:dyDescent="0.2"/>
    <row r="419" s="6" customFormat="1" x14ac:dyDescent="0.2"/>
    <row r="420" s="6" customFormat="1" x14ac:dyDescent="0.2"/>
  </sheetData>
  <mergeCells count="4">
    <mergeCell ref="A28:C28"/>
    <mergeCell ref="B1:C1"/>
    <mergeCell ref="E1:F1"/>
    <mergeCell ref="A234:AE234"/>
  </mergeCells>
  <phoneticPr fontId="2" type="noConversion"/>
  <conditionalFormatting sqref="B230:AE230">
    <cfRule type="cellIs" dxfId="23" priority="55" stopIfTrue="1" operator="greaterThanOrEqual">
      <formula>5</formula>
    </cfRule>
    <cfRule type="cellIs" dxfId="22" priority="56" stopIfTrue="1" operator="between">
      <formula>2</formula>
      <formula>5</formula>
    </cfRule>
    <cfRule type="cellIs" dxfId="21" priority="57" stopIfTrue="1" operator="lessThan">
      <formula>2</formula>
    </cfRule>
  </conditionalFormatting>
  <conditionalFormatting sqref="B231:AE231">
    <cfRule type="cellIs" dxfId="20" priority="58" stopIfTrue="1" operator="lessThanOrEqual">
      <formula>0.25</formula>
    </cfRule>
    <cfRule type="cellIs" dxfId="19" priority="59" stopIfTrue="1" operator="between">
      <formula>0.25</formula>
      <formula>1</formula>
    </cfRule>
    <cfRule type="cellIs" dxfId="18" priority="60" stopIfTrue="1" operator="greaterThan">
      <formula>1</formula>
    </cfRule>
  </conditionalFormatting>
  <conditionalFormatting sqref="B232:AE232">
    <cfRule type="cellIs" dxfId="17" priority="61" stopIfTrue="1" operator="lessThanOrEqual">
      <formula>2</formula>
    </cfRule>
    <cfRule type="cellIs" dxfId="16" priority="62" stopIfTrue="1" operator="between">
      <formula>2</formula>
      <formula>10</formula>
    </cfRule>
    <cfRule type="cellIs" dxfId="15" priority="63" stopIfTrue="1" operator="greaterThan">
      <formula>10</formula>
    </cfRule>
  </conditionalFormatting>
  <conditionalFormatting sqref="B233:AE233">
    <cfRule type="cellIs" dxfId="14" priority="64" stopIfTrue="1" operator="greaterThanOrEqual">
      <formula>5</formula>
    </cfRule>
    <cfRule type="cellIs" dxfId="13" priority="65" stopIfTrue="1" operator="between">
      <formula>1</formula>
      <formula>5</formula>
    </cfRule>
    <cfRule type="cellIs" dxfId="12" priority="66" stopIfTrue="1" operator="lessThan">
      <formula>1</formula>
    </cfRule>
  </conditionalFormatting>
  <conditionalFormatting sqref="B259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B260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B261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B262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printOptions horizontalCentered="1"/>
  <pageMargins left="0.59" right="0.43" top="0.98" bottom="0.98" header="0.51" footer="0.51"/>
  <pageSetup scale="3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2" r:id="rId4" name="SpinButton7">
          <controlPr defaultSize="0" autoLine="0" linkedCell="B83" r:id="rId5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57150</xdr:rowOff>
              </to>
            </anchor>
          </controlPr>
        </control>
      </mc:Choice>
      <mc:Fallback>
        <control shapeId="4102" r:id="rId4" name="SpinButton7"/>
      </mc:Fallback>
    </mc:AlternateContent>
    <mc:AlternateContent xmlns:mc="http://schemas.openxmlformats.org/markup-compatibility/2006">
      <mc:Choice Requires="x14">
        <control shapeId="4103" r:id="rId6" name="TextBox5">
          <controlPr defaultSize="0" autoFill="0" autoLine="0" linkedCell="B29" r:id="rId7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333375</xdr:colOff>
                <xdr:row>29</xdr:row>
                <xdr:rowOff>47625</xdr:rowOff>
              </to>
            </anchor>
          </controlPr>
        </control>
      </mc:Choice>
      <mc:Fallback>
        <control shapeId="4103" r:id="rId6" name="TextBox5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20"/>
  <sheetViews>
    <sheetView windowProtection="1" workbookViewId="0">
      <selection activeCell="C11" sqref="C11"/>
    </sheetView>
  </sheetViews>
  <sheetFormatPr defaultRowHeight="15" x14ac:dyDescent="0.3"/>
  <cols>
    <col min="1" max="1" width="5.75" bestFit="1" customWidth="1"/>
    <col min="2" max="2" width="17.875" customWidth="1"/>
  </cols>
  <sheetData>
    <row r="1" spans="1:1" x14ac:dyDescent="0.3">
      <c r="A1" t="s">
        <v>61</v>
      </c>
    </row>
    <row r="2" spans="1:1" x14ac:dyDescent="0.3">
      <c r="A2" t="s">
        <v>62</v>
      </c>
    </row>
    <row r="20" spans="5:5" x14ac:dyDescent="0.3">
      <c r="E20" s="1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DIAG</vt:lpstr>
      <vt:lpstr>Resumo</vt:lpstr>
      <vt:lpstr>Entrada_de_Dados_2</vt:lpstr>
      <vt:lpstr>Diagrama</vt:lpstr>
      <vt:lpstr>Espelho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Feni</cp:lastModifiedBy>
  <cp:lastPrinted>2023-08-21T18:25:32Z</cp:lastPrinted>
  <dcterms:created xsi:type="dcterms:W3CDTF">2003-07-04T14:12:44Z</dcterms:created>
  <dcterms:modified xsi:type="dcterms:W3CDTF">2023-10-09T14:59:28Z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