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lan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<sst xmlns="http://schemas.openxmlformats.org/spreadsheetml/2006/main" count="55" uniqueCount="33">
  <si>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 xml:space="preserve">CORREL</t>
  </si>
  <si>
    <t xml:space="preserve">Base de Treino</t>
  </si>
  <si>
    <t xml:space="preserve">PIB</t>
  </si>
  <si>
    <t xml:space="preserve">br_leves</t>
  </si>
  <si>
    <t xml:space="preserve">br_pesados</t>
  </si>
  <si>
    <t xml:space="preserve">br_total</t>
  </si>
  <si>
    <t xml:space="preserve">sp_leves</t>
  </si>
  <si>
    <t xml:space="preserve">sp_pesados</t>
  </si>
  <si>
    <t xml:space="preserve">sp_total</t>
  </si>
  <si>
    <t xml:space="preserve">rj_total</t>
  </si>
  <si>
    <t xml:space="preserve">pr_leves</t>
  </si>
  <si>
    <t xml:space="preserve">pr_pesados</t>
  </si>
  <si>
    <t xml:space="preserve">pr_total</t>
  </si>
  <si>
    <t xml:space="preserve">rj_leves</t>
  </si>
  <si>
    <t xml:space="preserve">rj_pesados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</si>
  <si>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</si>
  <si>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</si>
  <si>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</si>
  <si>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</si>
  <si>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</si>
  <si>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</si>
  <si>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</si>
  <si>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Base de Teste</t>
  </si>
  <si>
    <t xml:space="preserve">Modelo</t>
  </si>
  <si>
    <t xml:space="preserve">R²</t>
  </si>
  <si>
    <t xml:space="preserve">P-Valor</t>
  </si>
  <si>
    <t xml:space="preserve">Erro</t>
  </si>
  <si>
    <t xml:space="preserve">Pib=0.6649.SPT+42.27</t>
  </si>
  <si>
    <t xml:space="preserve">ok</t>
  </si>
  <si>
    <t xml:space="preserve">Pib=0.8437.BRP+12.62</t>
  </si>
  <si>
    <t xml:space="preserve">Pib=0.3825.PRL+81.43</t>
  </si>
  <si>
    <t xml:space="preserve">Pib=0.4232.BRP+0.3728.SPT+21.88</t>
  </si>
  <si>
    <t xml:space="preserve">Pib=0.89822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</si>
</sst>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(* #,##0.00_);_(* \(#,##0.00\);_(* \-??_);_(@_)"/>
    <numFmt numFmtId="166" formatCode="_-* #,##0.00_-;\-* #,##0.00_-;_-* \-??_-;_-@_-"/>
    <numFmt numFmtId="167" formatCode="#,##0,"/>
    <numFmt numFmtId="168" formatCode="#,##0,,"/>
    <numFmt numFmtId="169" formatCode="_-* #,##0\ _P_t_s_-;\-* #,##0\ _P_t_s_-;_-* &quot;- &quot;_P_t_s_-;_-@_-"/>
    <numFmt numFmtId="170" formatCode="#,##0.00"/>
    <numFmt numFmtId="171" formatCode="_-* #,##0.00\ _P_t_s_-;\-* #,##0.00\ _P_t_s_-;_-* \-??\ _P_t_s_-;_-@_-"/>
    <numFmt numFmtId="172" formatCode="_-* #,##0&quot; Pts&quot;_-;\-* #,##0&quot; Pts&quot;_-;_-* &quot;- Pts&quot;_-;_-@_-"/>
    <numFmt numFmtId="173" formatCode="_-* #,##0.00&quot; Pts&quot;_-;\-* #,##0.00&quot; Pts&quot;_-;_-* \-??&quot; Pts&quot;_-;_-@_-"/>
    <numFmt numFmtId="174" formatCode="#,##0.00_);\(#,##0.00\);&quot; --- &quot;"/>
    <numFmt numFmtId="175" formatCode="0%"/>
    <numFmt numFmtId="176" formatCode="0.00\ %"/>
    <numFmt numFmtId="177" formatCode="#,##0_);[RED]\(#,##0\)"/>
    <numFmt numFmtId="178" formatCode="MMM&quot;-YY&quot;;@"/>
    <numFmt numFmtId="179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ook Antiqua"/>
      <family val="1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D9D9D9"/>
        <bgColor rgb="FFEEECE1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EECE1"/>
      </bottom>
      <diagonal/>
    </border>
    <border diagonalUp="false" diagonalDown="false">
      <left style="thin">
        <color rgb="FF31363B"/>
      </left>
      <right/>
      <top/>
      <bottom/>
      <diagonal/>
    </border>
    <border diagonalUp="false" diagonalDown="false">
      <left/>
      <right style="thin">
        <color rgb="FF31363B"/>
      </right>
      <top/>
      <bottom/>
      <diagonal/>
    </border>
    <border diagonalUp="false" diagonalDown="false">
      <left style="thin">
        <color rgb="FF31363B"/>
      </left>
      <right style="thin">
        <color rgb="FF31363B"/>
      </right>
      <top/>
      <bottom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6" fillId="3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3" xfId="21" builtinId="53" customBuiltin="true"/>
    <cellStyle name="En miles" xfId="22" builtinId="53" customBuiltin="true"/>
    <cellStyle name="En millones" xfId="23" builtinId="53" customBuiltin="true"/>
    <cellStyle name="Millares [0]_ Graf 5.4" xfId="24" builtinId="53" customBuiltin="true"/>
    <cellStyle name="Millares [2]" xfId="25" builtinId="53" customBuiltin="true"/>
    <cellStyle name="Millares_ Graf 5.4" xfId="26" builtinId="53" customBuiltin="true"/>
    <cellStyle name="Moneda [0]_ Graf 5.4" xfId="27" builtinId="53" customBuiltin="true"/>
    <cellStyle name="Moneda_(BYS)Dist. % mensual" xfId="28" builtinId="53" customBuiltin="true"/>
    <cellStyle name="Normal 2" xfId="29" builtinId="53" customBuiltin="true"/>
    <cellStyle name="Normal 3" xfId="30" builtinId="53" customBuiltin="true"/>
    <cellStyle name="Normal 3 2" xfId="31" builtinId="53" customBuiltin="true"/>
    <cellStyle name="Normal 3 2 2" xfId="32" builtinId="53" customBuiltin="true"/>
    <cellStyle name="Normal 4" xfId="33" builtinId="53" customBuiltin="true"/>
    <cellStyle name="Normal 4 2" xfId="34" builtinId="53" customBuiltin="true"/>
    <cellStyle name="Normal 5" xfId="35" builtinId="53" customBuiltin="true"/>
    <cellStyle name="Nulos" xfId="36" builtinId="53" customBuiltin="true"/>
    <cellStyle name="Percent 2" xfId="37" builtinId="53" customBuiltin="true"/>
    <cellStyle name="Porcentagem 2" xfId="38" builtinId="53" customBuiltin="true"/>
    <cellStyle name="Porcentagem 2 2" xfId="39" builtinId="53" customBuiltin="true"/>
    <cellStyle name="Porcentagem 3" xfId="40" builtinId="53" customBuiltin="true"/>
    <cellStyle name="Porcentual_PlazoRend-II01" xfId="41" builtinId="53" customBuiltin="true"/>
    <cellStyle name="Sep. milhar [0]" xfId="42" builtinId="53" customBuiltin="true"/>
    <cellStyle name="Vírgula 2" xfId="43" builtinId="53" customBuiltin="true"/>
    <cellStyle name="Vírgula 2 2" xfId="4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0" activeCellId="0" sqref="E60"/>
    </sheetView>
  </sheetViews>
  <sheetFormatPr defaultRowHeight="13.8"/>
  <cols>
    <col collapsed="false" hidden="false" max="1" min="1" style="1" width="9.96356275303644"/>
    <col collapsed="false" hidden="false" max="2" min="2" style="2" width="9.04048582995952"/>
    <col collapsed="false" hidden="false" max="16" min="3" style="2" width="9.10526315789474"/>
    <col collapsed="false" hidden="false" max="17" min="17" style="2" width="14.7692307692308"/>
    <col collapsed="false" hidden="false" max="18" min="18" style="2" width="13.004048582996"/>
    <col collapsed="false" hidden="false" max="19" min="19" style="2" width="9.10526315789474"/>
    <col collapsed="false" hidden="false" max="20" min="20" style="2" width="13.3400809716599"/>
    <col collapsed="false" hidden="false" max="21" min="21" style="2" width="11.7975708502024"/>
    <col collapsed="false" hidden="false" max="22" min="22" style="2" width="9.10526315789474"/>
    <col collapsed="false" hidden="false" max="23" min="23" style="2" width="12.3481781376518"/>
    <col collapsed="false" hidden="false" max="24" min="24" style="2" width="12.0121457489879"/>
    <col collapsed="false" hidden="false" max="1020" min="25" style="2" width="9.10526315789474"/>
    <col collapsed="false" hidden="false" max="1025" min="1021" style="0" width="9.10526315789474"/>
  </cols>
  <sheetData>
    <row r="1" customFormat="false" ht="13.8" hidden="false" customHeight="false" outlineLevel="0" collapsed="false">
      <c r="A1" s="0"/>
      <c r="B1" s="3" t="s">
        <v>0</v>
      </c>
      <c r="C1" s="0" t="n">
        <f aca="false">CORREL($B$3:$B$187,C3:C187)</f>
        <v>0.866571515890236</v>
      </c>
      <c r="D1" s="0" t="n">
        <f aca="false">CORREL($B$3:$B$187,D3:D187)</f>
        <v>0.921838018162299</v>
      </c>
      <c r="E1" s="0" t="n">
        <f aca="false">CORREL($B$3:$B$187,E3:E187)</f>
        <v>0.917273429031074</v>
      </c>
      <c r="F1" s="0" t="n">
        <f aca="false">CORREL($B$3:$B$187,F3:F187)</f>
        <v>0.893668455712289</v>
      </c>
      <c r="G1" s="0" t="n">
        <f aca="false">CORREL($B$3:$B$187,G3:G187)</f>
        <v>0.918068127448771</v>
      </c>
      <c r="H1" s="0" t="n">
        <f aca="false">CORREL($B$3:$B$187,H3:H187)</f>
        <v>0.940759980134235</v>
      </c>
      <c r="I1" s="0" t="n">
        <f aca="false">CORREL($B$3:$B$187,I3:I187)</f>
        <v>0.907165777163174</v>
      </c>
      <c r="J1" s="0" t="n">
        <f aca="false">CORREL($B$3:$B$187,J3:J187)</f>
        <v>0.752815454022379</v>
      </c>
      <c r="K1" s="0" t="n">
        <f aca="false">CORREL($B$3:$B$187,K3:K187)</f>
        <v>0.825639236029096</v>
      </c>
      <c r="L1" s="0" t="n">
        <f aca="false">CORREL($B$3:$B$187,L3:L187)</f>
        <v>0.826601333473477</v>
      </c>
      <c r="M1" s="0" t="n">
        <f aca="false">CORREL($B$3:$B$187,M3:M187)</f>
        <v>0.889236685180473</v>
      </c>
      <c r="N1" s="0" t="n">
        <f aca="false">CORREL($B$3:$B$187,N3:N187)</f>
        <v>0.834020367711974</v>
      </c>
      <c r="O1" s="0" t="n">
        <f aca="false">CORREL($B$3:$B$187,O3:O187)</f>
        <v>0.907165777163174</v>
      </c>
    </row>
    <row r="2" customFormat="false" ht="14.65" hidden="false" customHeight="false" outlineLevel="0" collapsed="false">
      <c r="A2" s="0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5" t="s">
        <v>10</v>
      </c>
      <c r="K2" s="6" t="s">
        <v>11</v>
      </c>
      <c r="L2" s="7" t="s">
        <v>12</v>
      </c>
      <c r="M2" s="5" t="s">
        <v>13</v>
      </c>
      <c r="N2" s="6" t="s">
        <v>14</v>
      </c>
      <c r="O2" s="7" t="s">
        <v>9</v>
      </c>
      <c r="Q2" s="8" t="s">
        <v>15</v>
      </c>
      <c r="T2" s="8" t="s">
        <v>15</v>
      </c>
      <c r="W2" s="8" t="s">
        <v>15</v>
      </c>
    </row>
    <row r="3" customFormat="false" ht="15.8" hidden="false" customHeight="false" outlineLevel="0" collapsed="false">
      <c r="A3" s="9" t="n">
        <v>37622</v>
      </c>
      <c r="B3" s="10" t="n">
        <v>100</v>
      </c>
      <c r="C3" s="11" t="n">
        <v>108.868965787432</v>
      </c>
      <c r="D3" s="11" t="n">
        <v>104.40542617723</v>
      </c>
      <c r="E3" s="11" t="n">
        <v>107.871532850474</v>
      </c>
      <c r="F3" s="11" t="n">
        <v>105.525723633449</v>
      </c>
      <c r="G3" s="11" t="n">
        <v>110.264594057067</v>
      </c>
      <c r="H3" s="11" t="n">
        <v>106.578040957019</v>
      </c>
      <c r="I3" s="12" t="n">
        <v>111.186570780981</v>
      </c>
      <c r="J3" s="11" t="n">
        <v>114.830008546049</v>
      </c>
      <c r="K3" s="11" t="n">
        <v>85.7756697304183</v>
      </c>
      <c r="L3" s="11" t="n">
        <v>104.366420174489</v>
      </c>
      <c r="M3" s="11" t="n">
        <v>113.379460062909</v>
      </c>
      <c r="N3" s="11" t="n">
        <v>99.2232953653932</v>
      </c>
      <c r="O3" s="12" t="n">
        <v>111.186570780981</v>
      </c>
    </row>
    <row r="4" customFormat="false" ht="15.8" hidden="false" customHeight="false" outlineLevel="0" collapsed="false">
      <c r="A4" s="9" t="n">
        <v>37653</v>
      </c>
      <c r="B4" s="10" t="n">
        <v>100.190156772219</v>
      </c>
      <c r="C4" s="11" t="n">
        <v>90.9871654430687</v>
      </c>
      <c r="D4" s="11" t="n">
        <v>100.67044362251</v>
      </c>
      <c r="E4" s="11" t="n">
        <v>93.1510132941841</v>
      </c>
      <c r="F4" s="11" t="n">
        <v>87.3329642578485</v>
      </c>
      <c r="G4" s="11" t="n">
        <v>106.106098051049</v>
      </c>
      <c r="H4" s="11" t="n">
        <v>91.5017412325956</v>
      </c>
      <c r="I4" s="12" t="n">
        <v>100.625728355344</v>
      </c>
      <c r="J4" s="11" t="n">
        <v>81.5162037977547</v>
      </c>
      <c r="K4" s="11" t="n">
        <v>90.9254157457345</v>
      </c>
      <c r="L4" s="11" t="n">
        <v>84.9048240430538</v>
      </c>
      <c r="M4" s="11" t="n">
        <v>102.926517998029</v>
      </c>
      <c r="N4" s="11" t="n">
        <v>88.0738040992405</v>
      </c>
      <c r="O4" s="12" t="n">
        <v>100.625728355344</v>
      </c>
      <c r="Q4" s="2" t="s">
        <v>16</v>
      </c>
      <c r="R4" s="2" t="s">
        <v>17</v>
      </c>
      <c r="T4" s="2" t="s">
        <v>16</v>
      </c>
      <c r="U4" s="2" t="s">
        <v>17</v>
      </c>
      <c r="W4" s="2" t="s">
        <v>16</v>
      </c>
      <c r="X4" s="2" t="s">
        <v>17</v>
      </c>
    </row>
    <row r="5" customFormat="false" ht="15.8" hidden="false" customHeight="false" outlineLevel="0" collapsed="false">
      <c r="A5" s="9" t="n">
        <v>37681</v>
      </c>
      <c r="B5" s="10" t="n">
        <v>101.086438894237</v>
      </c>
      <c r="C5" s="11" t="n">
        <v>94.0366664588421</v>
      </c>
      <c r="D5" s="11" t="n">
        <v>110.22805434389</v>
      </c>
      <c r="E5" s="11" t="n">
        <v>97.6548316331133</v>
      </c>
      <c r="F5" s="11" t="n">
        <v>94.6959736083204</v>
      </c>
      <c r="G5" s="11" t="n">
        <v>113.623417261187</v>
      </c>
      <c r="H5" s="11" t="n">
        <v>98.8990167528525</v>
      </c>
      <c r="I5" s="12" t="n">
        <v>100.206298718482</v>
      </c>
      <c r="J5" s="11" t="n">
        <v>83.6454080303131</v>
      </c>
      <c r="K5" s="11" t="n">
        <v>115.135763847632</v>
      </c>
      <c r="L5" s="11" t="n">
        <v>94.9863001097131</v>
      </c>
      <c r="M5" s="11" t="n">
        <v>101.462018093735</v>
      </c>
      <c r="N5" s="11" t="n">
        <v>93.3557400265067</v>
      </c>
      <c r="O5" s="12" t="n">
        <v>100.206298718482</v>
      </c>
      <c r="Q5" s="2" t="s">
        <v>18</v>
      </c>
      <c r="R5" s="2" t="n">
        <f aca="false" t="array" ref="R5:R5">RSQ($B$3:$B$164 , $C$3:$C$164)</f>
        <v>0.772718104373587</v>
      </c>
      <c r="T5" s="2" t="s">
        <v>18</v>
      </c>
      <c r="U5" s="2" t="n">
        <f aca="false" t="array" ref="U5:U5">RSQ($B$3:$B$164 , $H$3:$H$164)</f>
        <v>0.898229378793207</v>
      </c>
      <c r="W5" s="2" t="s">
        <v>18</v>
      </c>
      <c r="X5" s="2" t="n">
        <f aca="false" t="array" ref="X5:X5">RSQ($B$3:$B$164 , $H$3:$H$164)</f>
        <v>0.898229378793207</v>
      </c>
    </row>
    <row r="6" customFormat="false" ht="15.8" hidden="false" customHeight="false" outlineLevel="0" collapsed="false">
      <c r="A6" s="9" t="n">
        <v>37712</v>
      </c>
      <c r="B6" s="10" t="n">
        <v>100.554016653073</v>
      </c>
      <c r="C6" s="11" t="n">
        <v>93.432851190956</v>
      </c>
      <c r="D6" s="11" t="n">
        <v>111.028932896721</v>
      </c>
      <c r="E6" s="11" t="n">
        <v>97.3649125116672</v>
      </c>
      <c r="F6" s="11" t="n">
        <v>94.854513049019</v>
      </c>
      <c r="G6" s="11" t="n">
        <v>114.163461901922</v>
      </c>
      <c r="H6" s="11" t="n">
        <v>99.1422735407546</v>
      </c>
      <c r="I6" s="12" t="n">
        <v>98.9749564134961</v>
      </c>
      <c r="J6" s="11" t="n">
        <v>85.214130636336</v>
      </c>
      <c r="K6" s="11" t="n">
        <v>107.938738763457</v>
      </c>
      <c r="L6" s="11" t="n">
        <v>93.3981387755706</v>
      </c>
      <c r="M6" s="11" t="n">
        <v>99.962758455356</v>
      </c>
      <c r="N6" s="11" t="n">
        <v>93.5860168166641</v>
      </c>
      <c r="O6" s="12" t="n">
        <v>98.9749564134961</v>
      </c>
      <c r="Q6" s="2" t="s">
        <v>19</v>
      </c>
      <c r="R6" s="2" t="n">
        <f aca="false" t="array" ref="R6:R6">STEYX($B$3:$B$164 , $C$3:$C$164)</f>
        <v>8.02275446753958</v>
      </c>
      <c r="T6" s="2" t="s">
        <v>19</v>
      </c>
      <c r="U6" s="2" t="n">
        <f aca="false" t="array" ref="U6:U6">STEYX($B$3:$B$164 , $H$3:$H$164)</f>
        <v>5.36849177785103</v>
      </c>
      <c r="W6" s="2" t="s">
        <v>19</v>
      </c>
      <c r="X6" s="2" t="n">
        <f aca="false" t="array" ref="X6:X6">STEYX($B$3:$B$164 , $H$3:$H$164)</f>
        <v>5.36849177785103</v>
      </c>
    </row>
    <row r="7" customFormat="false" ht="15.8" hidden="false" customHeight="false" outlineLevel="0" collapsed="false">
      <c r="A7" s="9" t="n">
        <v>37742</v>
      </c>
      <c r="B7" s="10" t="n">
        <v>101.101867335675</v>
      </c>
      <c r="C7" s="11" t="n">
        <v>91.0752283598759</v>
      </c>
      <c r="D7" s="11" t="n">
        <v>116.094954319679</v>
      </c>
      <c r="E7" s="11" t="n">
        <v>96.6661944821292</v>
      </c>
      <c r="F7" s="11" t="n">
        <v>92.0128172306491</v>
      </c>
      <c r="G7" s="11" t="n">
        <v>122.459621703884</v>
      </c>
      <c r="H7" s="11" t="n">
        <v>98.7738587722921</v>
      </c>
      <c r="I7" s="12" t="n">
        <v>101.6435972528</v>
      </c>
      <c r="J7" s="11" t="n">
        <v>78.4514600825914</v>
      </c>
      <c r="K7" s="11" t="n">
        <v>109.161105532871</v>
      </c>
      <c r="L7" s="11" t="n">
        <v>89.5111882377338</v>
      </c>
      <c r="M7" s="11" t="n">
        <v>102.63930821229</v>
      </c>
      <c r="N7" s="11" t="n">
        <v>96.2115106714674</v>
      </c>
      <c r="O7" s="12" t="n">
        <v>101.6435972528</v>
      </c>
    </row>
    <row r="8" customFormat="false" ht="15.8" hidden="false" customHeight="false" outlineLevel="0" collapsed="false">
      <c r="A8" s="9" t="n">
        <v>37773</v>
      </c>
      <c r="B8" s="10" t="n">
        <v>99.2512402597789</v>
      </c>
      <c r="C8" s="11" t="n">
        <v>88.4630999408143</v>
      </c>
      <c r="D8" s="11" t="n">
        <v>110.100854317178</v>
      </c>
      <c r="E8" s="11" t="n">
        <v>93.2983228315148</v>
      </c>
      <c r="F8" s="11" t="n">
        <v>89.7258469003327</v>
      </c>
      <c r="G8" s="11" t="n">
        <v>117.801310505581</v>
      </c>
      <c r="H8" s="11" t="n">
        <v>95.9603066086688</v>
      </c>
      <c r="I8" s="12" t="n">
        <v>98.3364592422714</v>
      </c>
      <c r="J8" s="11" t="n">
        <v>74.694353087865</v>
      </c>
      <c r="K8" s="11" t="n">
        <v>101.509994116455</v>
      </c>
      <c r="L8" s="11" t="n">
        <v>84.351700013679</v>
      </c>
      <c r="M8" s="11" t="n">
        <v>99.5226805706608</v>
      </c>
      <c r="N8" s="11" t="n">
        <v>91.8650461288418</v>
      </c>
      <c r="O8" s="12" t="n">
        <v>98.3364592422714</v>
      </c>
      <c r="Q8" s="2" t="s">
        <v>20</v>
      </c>
      <c r="R8" s="2" t="n">
        <f aca="false" t="array" ref="R8:R8">SLOPE($B$3:$B$164 , $C$3:$C$164)</f>
        <v>0.621977411521563</v>
      </c>
      <c r="T8" s="2" t="s">
        <v>20</v>
      </c>
      <c r="U8" s="2" t="n">
        <f aca="false" t="array" ref="U8:U8">SLOPE($B$3:$B$164 , $H$3:$H$164)</f>
        <v>0.664903488146325</v>
      </c>
      <c r="W8" s="2" t="s">
        <v>20</v>
      </c>
      <c r="X8" s="2" t="n">
        <f aca="false" t="array" ref="X8:X8">SLOPE($B$3:$B$164 , $H$3:$H$164)</f>
        <v>0.664903488146325</v>
      </c>
    </row>
    <row r="9" customFormat="false" ht="15.8" hidden="false" customHeight="false" outlineLevel="0" collapsed="false">
      <c r="A9" s="9" t="n">
        <v>37803</v>
      </c>
      <c r="B9" s="10" t="n">
        <v>101.16652148267</v>
      </c>
      <c r="C9" s="11" t="n">
        <v>95.1484180789144</v>
      </c>
      <c r="D9" s="11" t="n">
        <v>118.595739861317</v>
      </c>
      <c r="E9" s="11" t="n">
        <v>100.388011108575</v>
      </c>
      <c r="F9" s="11" t="n">
        <v>94.8696326871778</v>
      </c>
      <c r="G9" s="11" t="n">
        <v>125.423233356914</v>
      </c>
      <c r="H9" s="11" t="n">
        <v>101.654389476891</v>
      </c>
      <c r="I9" s="12" t="n">
        <v>107.125629429953</v>
      </c>
      <c r="J9" s="11" t="n">
        <v>88.6399402116758</v>
      </c>
      <c r="K9" s="11" t="n">
        <v>113.603796486204</v>
      </c>
      <c r="L9" s="11" t="n">
        <v>97.6303880026585</v>
      </c>
      <c r="M9" s="11" t="n">
        <v>108.173377980761</v>
      </c>
      <c r="N9" s="11" t="n">
        <v>101.409652530026</v>
      </c>
      <c r="O9" s="12" t="n">
        <v>107.125629429953</v>
      </c>
      <c r="Q9" s="2" t="s">
        <v>21</v>
      </c>
      <c r="R9" s="2" t="n">
        <f aca="false" t="array" ref="R9:R9">INTERCEPT($B$3:$B$164 , $C$3:$C$164)</f>
        <v>52.9457852590998</v>
      </c>
      <c r="T9" s="2" t="s">
        <v>21</v>
      </c>
      <c r="U9" s="2" t="n">
        <f aca="false" t="array" ref="U9:U9">INTERCEPT($B$3:$B$164 , $H$3:$H$164)</f>
        <v>42.2755399341541</v>
      </c>
      <c r="W9" s="2" t="s">
        <v>21</v>
      </c>
      <c r="X9" s="2" t="n">
        <f aca="false" t="array" ref="X9:X9">INTERCEPT($B$3:$B$164 , $H$3:$H$164)</f>
        <v>42.2755399341541</v>
      </c>
    </row>
    <row r="10" customFormat="false" ht="15.8" hidden="false" customHeight="false" outlineLevel="0" collapsed="false">
      <c r="A10" s="9" t="n">
        <v>37834</v>
      </c>
      <c r="B10" s="10" t="n">
        <v>101.654539986133</v>
      </c>
      <c r="C10" s="11" t="n">
        <v>90.1632806509233</v>
      </c>
      <c r="D10" s="11" t="n">
        <v>116.937844894398</v>
      </c>
      <c r="E10" s="11" t="n">
        <v>96.1463870152323</v>
      </c>
      <c r="F10" s="11" t="n">
        <v>89.3532092676212</v>
      </c>
      <c r="G10" s="11" t="n">
        <v>122.587135203883</v>
      </c>
      <c r="H10" s="11" t="n">
        <v>96.7331612111651</v>
      </c>
      <c r="I10" s="12" t="n">
        <v>103.041813640912</v>
      </c>
      <c r="J10" s="11" t="n">
        <v>79.8063874559375</v>
      </c>
      <c r="K10" s="11" t="n">
        <v>117.888171275201</v>
      </c>
      <c r="L10" s="11" t="n">
        <v>93.5211070669424</v>
      </c>
      <c r="M10" s="11" t="n">
        <v>103.883864492468</v>
      </c>
      <c r="N10" s="11" t="n">
        <v>98.4480175317764</v>
      </c>
      <c r="O10" s="12" t="n">
        <v>103.041813640912</v>
      </c>
    </row>
    <row r="11" customFormat="false" ht="15.8" hidden="false" customHeight="false" outlineLevel="0" collapsed="false">
      <c r="A11" s="9" t="n">
        <v>37865</v>
      </c>
      <c r="B11" s="10" t="n">
        <v>104.260833926233</v>
      </c>
      <c r="C11" s="11" t="n">
        <v>88.3411516720498</v>
      </c>
      <c r="D11" s="11" t="n">
        <v>117.726961397665</v>
      </c>
      <c r="E11" s="11" t="n">
        <v>94.9077730217345</v>
      </c>
      <c r="F11" s="11" t="n">
        <v>87.1985810905712</v>
      </c>
      <c r="G11" s="11" t="n">
        <v>125.720186818849</v>
      </c>
      <c r="H11" s="11" t="n">
        <v>95.7527194011656</v>
      </c>
      <c r="I11" s="12" t="n">
        <v>102.034495303955</v>
      </c>
      <c r="J11" s="11" t="n">
        <v>80.1128810168808</v>
      </c>
      <c r="K11" s="11" t="n">
        <v>109.901960180634</v>
      </c>
      <c r="L11" s="11" t="n">
        <v>90.8410777352876</v>
      </c>
      <c r="M11" s="11" t="n">
        <v>102.502675406333</v>
      </c>
      <c r="N11" s="11" t="n">
        <v>99.4803456006372</v>
      </c>
      <c r="O11" s="12" t="n">
        <v>102.034495303955</v>
      </c>
      <c r="Q11" s="13" t="n">
        <f aca="false">INDEX($C$3:$C$164, 1, 1)</f>
        <v>108.868965787432</v>
      </c>
      <c r="R11" s="2" t="n">
        <f aca="false">$R$8 * $Q$11 + $R$9</f>
        <v>120.659822794596</v>
      </c>
      <c r="T11" s="13" t="n">
        <f aca="false">INDEX($H$3:$H$164, 1, 1)</f>
        <v>106.578040957019</v>
      </c>
      <c r="U11" s="2" t="n">
        <f aca="false">$U$8 * $T$11 + $U$9</f>
        <v>113.139651126278</v>
      </c>
      <c r="W11" s="13" t="n">
        <f aca="false">INDEX($H$3:$H$164, 1, 1)</f>
        <v>106.578040957019</v>
      </c>
      <c r="X11" s="2" t="n">
        <f aca="false">$X$8 * $W$11 + $X$9</f>
        <v>113.139651126278</v>
      </c>
    </row>
    <row r="12" customFormat="false" ht="15.8" hidden="false" customHeight="false" outlineLevel="0" collapsed="false">
      <c r="A12" s="9" t="n">
        <v>37895</v>
      </c>
      <c r="B12" s="10" t="n">
        <v>105.441677025822</v>
      </c>
      <c r="C12" s="11" t="n">
        <v>94.8020641419762</v>
      </c>
      <c r="D12" s="11" t="n">
        <v>124.388468300589</v>
      </c>
      <c r="E12" s="11" t="n">
        <v>101.413510789948</v>
      </c>
      <c r="F12" s="11" t="n">
        <v>93.9821760430509</v>
      </c>
      <c r="G12" s="11" t="n">
        <v>132.973817119546</v>
      </c>
      <c r="H12" s="11" t="n">
        <v>102.640690775747</v>
      </c>
      <c r="I12" s="12" t="n">
        <v>108.493382348635</v>
      </c>
      <c r="J12" s="11" t="n">
        <v>84.1811574896555</v>
      </c>
      <c r="K12" s="11" t="n">
        <v>112.597556255738</v>
      </c>
      <c r="L12" s="11" t="n">
        <v>94.4149990365996</v>
      </c>
      <c r="M12" s="11" t="n">
        <v>109.045860254154</v>
      </c>
      <c r="N12" s="11" t="n">
        <v>105.479347212794</v>
      </c>
      <c r="O12" s="12" t="n">
        <v>108.493382348635</v>
      </c>
      <c r="Q12" s="13" t="n">
        <f aca="false">INDEX($C$3:$C$164, 2, 1)</f>
        <v>90.9871654430687</v>
      </c>
      <c r="R12" s="2" t="n">
        <f aca="false">$R$8 * $Q$12 + $R$9</f>
        <v>109.537746903064</v>
      </c>
      <c r="T12" s="13" t="n">
        <f aca="false">INDEX($H$3:$H$164, 2, 1)</f>
        <v>91.5017412325956</v>
      </c>
      <c r="U12" s="2" t="n">
        <f aca="false">$U$8 * $T$12 + $U$9</f>
        <v>103.115366851169</v>
      </c>
      <c r="W12" s="13" t="n">
        <f aca="false">INDEX($H$3:$H$164, 2, 1)</f>
        <v>91.5017412325956</v>
      </c>
      <c r="X12" s="2" t="n">
        <f aca="false">$X$8 * $W$12 + $X$9</f>
        <v>103.115366851169</v>
      </c>
    </row>
    <row r="13" customFormat="false" ht="15.8" hidden="false" customHeight="false" outlineLevel="0" collapsed="false">
      <c r="A13" s="9" t="n">
        <v>37926</v>
      </c>
      <c r="B13" s="10" t="n">
        <v>103.714370899077</v>
      </c>
      <c r="C13" s="11" t="n">
        <v>92.8139229050901</v>
      </c>
      <c r="D13" s="11" t="n">
        <v>115.66874234053</v>
      </c>
      <c r="E13" s="11" t="n">
        <v>97.9211139830042</v>
      </c>
      <c r="F13" s="11" t="n">
        <v>91.4185317529693</v>
      </c>
      <c r="G13" s="11" t="n">
        <v>123.744032556372</v>
      </c>
      <c r="H13" s="11" t="n">
        <v>98.5967580912486</v>
      </c>
      <c r="I13" s="12" t="n">
        <v>104.403391771616</v>
      </c>
      <c r="J13" s="11" t="n">
        <v>84.4473432570293</v>
      </c>
      <c r="K13" s="11" t="n">
        <v>102.199547688502</v>
      </c>
      <c r="L13" s="11" t="n">
        <v>90.8405969819699</v>
      </c>
      <c r="M13" s="11" t="n">
        <v>105.234799921166</v>
      </c>
      <c r="N13" s="11" t="n">
        <v>99.8676567676653</v>
      </c>
      <c r="O13" s="12" t="n">
        <v>104.403391771616</v>
      </c>
      <c r="Q13" s="13" t="n">
        <f aca="false">INDEX($C$3:$C$164, 3, 1)</f>
        <v>94.0366664588421</v>
      </c>
      <c r="R13" s="2" t="n">
        <f aca="false">$R$8 * $Q$13 + $R$9</f>
        <v>111.434467651287</v>
      </c>
      <c r="T13" s="13" t="n">
        <f aca="false">INDEX($H$3:$H$164, 3, 1)</f>
        <v>98.8990167528525</v>
      </c>
      <c r="U13" s="2" t="n">
        <f aca="false">$U$8 * $T$13 + $U$9</f>
        <v>108.033841147368</v>
      </c>
      <c r="W13" s="13" t="n">
        <f aca="false">INDEX($H$3:$H$164, 3, 1)</f>
        <v>98.8990167528525</v>
      </c>
      <c r="X13" s="2" t="n">
        <f aca="false">$X$8 * $W$13 + $X$9</f>
        <v>108.033841147368</v>
      </c>
    </row>
    <row r="14" customFormat="false" ht="15.8" hidden="false" customHeight="false" outlineLevel="0" collapsed="false">
      <c r="A14" s="9" t="n">
        <v>37956</v>
      </c>
      <c r="B14" s="10" t="n">
        <v>103.078274894363</v>
      </c>
      <c r="C14" s="11" t="n">
        <v>111.885945413557</v>
      </c>
      <c r="D14" s="11" t="n">
        <v>116.374597737272</v>
      </c>
      <c r="E14" s="11" t="n">
        <v>112.888990095853</v>
      </c>
      <c r="F14" s="11" t="n">
        <v>109.123240697008</v>
      </c>
      <c r="G14" s="11" t="n">
        <v>123.599654164408</v>
      </c>
      <c r="H14" s="11" t="n">
        <v>112.337884549473</v>
      </c>
      <c r="I14" s="12" t="n">
        <v>117.834054575849</v>
      </c>
      <c r="J14" s="11" t="n">
        <v>117.062545264689</v>
      </c>
      <c r="K14" s="11" t="n">
        <v>102.439590253438</v>
      </c>
      <c r="L14" s="11" t="n">
        <v>111.796254987546</v>
      </c>
      <c r="M14" s="11" t="n">
        <v>120.017898271851</v>
      </c>
      <c r="N14" s="11" t="n">
        <v>105.920127222027</v>
      </c>
      <c r="O14" s="12" t="n">
        <v>117.834054575849</v>
      </c>
      <c r="Q14" s="13" t="n">
        <f aca="false">INDEX($C$3:$C$164, 4, 1)</f>
        <v>93.432851190956</v>
      </c>
      <c r="R14" s="2" t="n">
        <f aca="false">$R$8 * $Q$14 + $R$9</f>
        <v>111.05890819393</v>
      </c>
      <c r="T14" s="13" t="n">
        <f aca="false">INDEX($H$3:$H$164, 4, 1)</f>
        <v>99.1422735407546</v>
      </c>
      <c r="U14" s="2" t="n">
        <f aca="false">$U$8 * $T$14 + $U$9</f>
        <v>108.195583434159</v>
      </c>
      <c r="W14" s="13" t="n">
        <f aca="false">INDEX($H$3:$H$164, 4, 1)</f>
        <v>99.1422735407546</v>
      </c>
      <c r="X14" s="2" t="n">
        <f aca="false">$X$8 * $W$14 + $X$9</f>
        <v>108.195583434159</v>
      </c>
    </row>
    <row r="15" customFormat="false" ht="15.8" hidden="false" customHeight="false" outlineLevel="0" collapsed="false">
      <c r="A15" s="9" t="n">
        <v>37987</v>
      </c>
      <c r="B15" s="10" t="n">
        <v>103.092889548765</v>
      </c>
      <c r="C15" s="11" t="n">
        <v>109.194411805241</v>
      </c>
      <c r="D15" s="11" t="n">
        <v>108.672600918584</v>
      </c>
      <c r="E15" s="11" t="n">
        <v>109.07780673154</v>
      </c>
      <c r="F15" s="11" t="n">
        <v>102.843885535064</v>
      </c>
      <c r="G15" s="11" t="n">
        <v>114.268793640152</v>
      </c>
      <c r="H15" s="11" t="n">
        <v>105.380909687332</v>
      </c>
      <c r="I15" s="12" t="n">
        <v>112.593349201504</v>
      </c>
      <c r="J15" s="11" t="n">
        <v>127.491123602942</v>
      </c>
      <c r="K15" s="11" t="n">
        <v>99.7203628352905</v>
      </c>
      <c r="L15" s="11" t="n">
        <v>117.489801209006</v>
      </c>
      <c r="M15" s="11" t="n">
        <v>115.148104204993</v>
      </c>
      <c r="N15" s="11" t="n">
        <v>98.6559206327387</v>
      </c>
      <c r="O15" s="12" t="n">
        <v>112.593349201504</v>
      </c>
      <c r="Q15" s="13" t="n">
        <f aca="false">INDEX($C$3:$C$164, 5, 1)</f>
        <v>91.0752283598759</v>
      </c>
      <c r="R15" s="2" t="n">
        <f aca="false">$R$8 * $Q$15 + $R$9</f>
        <v>109.592520048111</v>
      </c>
      <c r="T15" s="13" t="n">
        <f aca="false">INDEX($H$3:$H$164, 5, 1)</f>
        <v>98.7738587722921</v>
      </c>
      <c r="U15" s="2" t="n">
        <f aca="false">$U$8 * $T$15 + $U$9</f>
        <v>107.950623169524</v>
      </c>
      <c r="W15" s="13" t="n">
        <f aca="false">INDEX($H$3:$H$164, 5, 1)</f>
        <v>98.7738587722921</v>
      </c>
      <c r="X15" s="2" t="n">
        <f aca="false">$X$8 * $W$15 + $X$9</f>
        <v>107.950623169524</v>
      </c>
    </row>
    <row r="16" customFormat="false" ht="15.8" hidden="false" customHeight="false" outlineLevel="0" collapsed="false">
      <c r="A16" s="9" t="n">
        <v>38018</v>
      </c>
      <c r="B16" s="10" t="n">
        <v>102.210865363556</v>
      </c>
      <c r="C16" s="11" t="n">
        <v>95.6535875523565</v>
      </c>
      <c r="D16" s="11" t="n">
        <v>104.51535133889</v>
      </c>
      <c r="E16" s="11" t="n">
        <v>97.6338578875921</v>
      </c>
      <c r="F16" s="11" t="n">
        <v>90.7555884598978</v>
      </c>
      <c r="G16" s="11" t="n">
        <v>109.834689902099</v>
      </c>
      <c r="H16" s="11" t="n">
        <v>94.9923088533742</v>
      </c>
      <c r="I16" s="12" t="n">
        <v>100.511713038896</v>
      </c>
      <c r="J16" s="11" t="n">
        <v>96.6040929315806</v>
      </c>
      <c r="K16" s="11" t="n">
        <v>99.2418840127875</v>
      </c>
      <c r="L16" s="11" t="n">
        <v>97.5540632702301</v>
      </c>
      <c r="M16" s="11" t="n">
        <v>102.401484651635</v>
      </c>
      <c r="N16" s="11" t="n">
        <v>90.2020916357254</v>
      </c>
      <c r="O16" s="12" t="n">
        <v>100.511713038896</v>
      </c>
      <c r="Q16" s="13" t="n">
        <f aca="false">INDEX($C$3:$C$164, 6, 1)</f>
        <v>88.4630999408143</v>
      </c>
      <c r="R16" s="2" t="n">
        <f aca="false">$R$8 * $Q$16 + $R$9</f>
        <v>107.967835175461</v>
      </c>
      <c r="T16" s="13" t="n">
        <f aca="false">INDEX($H$3:$H$164, 6, 1)</f>
        <v>95.9603066086688</v>
      </c>
      <c r="U16" s="2" t="n">
        <f aca="false">$U$8 * $T$16 + $U$9</f>
        <v>106.079882521849</v>
      </c>
      <c r="W16" s="13" t="n">
        <f aca="false">INDEX($H$3:$H$164, 6, 1)</f>
        <v>95.9603066086688</v>
      </c>
      <c r="X16" s="2" t="n">
        <f aca="false">$X$8 * $W$16 + $X$9</f>
        <v>106.079882521849</v>
      </c>
    </row>
    <row r="17" customFormat="false" ht="15.8" hidden="false" customHeight="false" outlineLevel="0" collapsed="false">
      <c r="A17" s="9" t="n">
        <v>38047</v>
      </c>
      <c r="B17" s="10" t="n">
        <v>109.762464263698</v>
      </c>
      <c r="C17" s="11" t="n">
        <v>91.6930454516157</v>
      </c>
      <c r="D17" s="11" t="n">
        <v>125.533413727056</v>
      </c>
      <c r="E17" s="11" t="n">
        <v>99.2550928096299</v>
      </c>
      <c r="F17" s="11" t="n">
        <v>89.7783577833153</v>
      </c>
      <c r="G17" s="11" t="n">
        <v>133.244360081502</v>
      </c>
      <c r="H17" s="11" t="n">
        <v>99.4304527164807</v>
      </c>
      <c r="I17" s="12" t="n">
        <v>106.106186620516</v>
      </c>
      <c r="J17" s="11" t="n">
        <v>83.7866107627862</v>
      </c>
      <c r="K17" s="11" t="n">
        <v>118.438522685725</v>
      </c>
      <c r="L17" s="11" t="n">
        <v>96.2661011738404</v>
      </c>
      <c r="M17" s="11" t="n">
        <v>105.87549539338</v>
      </c>
      <c r="N17" s="11" t="n">
        <v>107.364719237245</v>
      </c>
      <c r="O17" s="12" t="n">
        <v>106.106186620516</v>
      </c>
      <c r="Q17" s="13" t="n">
        <f aca="false">INDEX($C$3:$C$164, 7, 1)</f>
        <v>95.1484180789144</v>
      </c>
      <c r="R17" s="2" t="n">
        <f aca="false">$R$8 * $Q$17 + $R$9</f>
        <v>112.125952046194</v>
      </c>
      <c r="T17" s="13" t="n">
        <f aca="false">INDEX($H$3:$H$164, 7, 1)</f>
        <v>101.654389476891</v>
      </c>
      <c r="U17" s="2" t="n">
        <f aca="false">$U$8 * $T$17 + $U$9</f>
        <v>109.865898082724</v>
      </c>
      <c r="W17" s="13" t="n">
        <f aca="false">INDEX($H$3:$H$164, 7, 1)</f>
        <v>101.654389476891</v>
      </c>
      <c r="X17" s="2" t="n">
        <f aca="false">$X$8 * $W$17 + $X$9</f>
        <v>109.865898082724</v>
      </c>
    </row>
    <row r="18" customFormat="false" ht="15.8" hidden="false" customHeight="false" outlineLevel="0" collapsed="false">
      <c r="A18" s="9" t="n">
        <v>38078</v>
      </c>
      <c r="B18" s="10" t="n">
        <v>106.116412029352</v>
      </c>
      <c r="C18" s="11" t="n">
        <v>95.360805093373</v>
      </c>
      <c r="D18" s="11" t="n">
        <v>118.335060995529</v>
      </c>
      <c r="E18" s="11" t="n">
        <v>100.494685721774</v>
      </c>
      <c r="F18" s="11" t="n">
        <v>94.5842369807025</v>
      </c>
      <c r="G18" s="11" t="n">
        <v>123.54746731655</v>
      </c>
      <c r="H18" s="11" t="n">
        <v>101.015834873118</v>
      </c>
      <c r="I18" s="12" t="n">
        <v>104.648923092398</v>
      </c>
      <c r="J18" s="11" t="n">
        <v>91.7927495606878</v>
      </c>
      <c r="K18" s="11" t="n">
        <v>117.249360041606</v>
      </c>
      <c r="L18" s="11" t="n">
        <v>100.960657152657</v>
      </c>
      <c r="M18" s="11" t="n">
        <v>105.63934538414</v>
      </c>
      <c r="N18" s="11" t="n">
        <v>99.2456887606472</v>
      </c>
      <c r="O18" s="12" t="n">
        <v>104.648923092398</v>
      </c>
      <c r="Q18" s="13" t="n">
        <f aca="false">INDEX($C$3:$C$164, 8, 1)</f>
        <v>90.1632806509233</v>
      </c>
      <c r="R18" s="2" t="n">
        <f aca="false">$R$8 * $Q$18 + $R$9</f>
        <v>109.025309172653</v>
      </c>
      <c r="T18" s="13" t="n">
        <f aca="false">INDEX($H$3:$H$164, 8, 1)</f>
        <v>96.7331612111651</v>
      </c>
      <c r="U18" s="2" t="n">
        <f aca="false">$U$8 * $T$18 + $U$9</f>
        <v>106.593756242879</v>
      </c>
      <c r="W18" s="13" t="n">
        <f aca="false">INDEX($H$3:$H$164, 8, 1)</f>
        <v>96.7331612111651</v>
      </c>
      <c r="X18" s="2" t="n">
        <f aca="false">$X$8 * $W$18 + $X$9</f>
        <v>106.593756242879</v>
      </c>
    </row>
    <row r="19" customFormat="false" ht="15.8" hidden="false" customHeight="false" outlineLevel="0" collapsed="false">
      <c r="A19" s="9" t="n">
        <v>38108</v>
      </c>
      <c r="B19" s="10" t="n">
        <v>107.197944196735</v>
      </c>
      <c r="C19" s="11" t="n">
        <v>92.4729846597092</v>
      </c>
      <c r="D19" s="11" t="n">
        <v>121.485883534431</v>
      </c>
      <c r="E19" s="11" t="n">
        <v>98.9562744838082</v>
      </c>
      <c r="F19" s="11" t="n">
        <v>91.3436422938978</v>
      </c>
      <c r="G19" s="11" t="n">
        <v>128.315251901072</v>
      </c>
      <c r="H19" s="11" t="n">
        <v>99.5535872368965</v>
      </c>
      <c r="I19" s="12" t="n">
        <v>106.053633984382</v>
      </c>
      <c r="J19" s="11" t="n">
        <v>85.7296884461504</v>
      </c>
      <c r="K19" s="11" t="n">
        <v>117.081205074696</v>
      </c>
      <c r="L19" s="11" t="n">
        <v>97.0205791770292</v>
      </c>
      <c r="M19" s="11" t="n">
        <v>106.744352510733</v>
      </c>
      <c r="N19" s="11" t="n">
        <v>102.285429162784</v>
      </c>
      <c r="O19" s="12" t="n">
        <v>106.053633984382</v>
      </c>
      <c r="Q19" s="13" t="n">
        <f aca="false">INDEX($C$3:$C$164, 9, 1)</f>
        <v>88.3411516720498</v>
      </c>
      <c r="R19" s="2" t="n">
        <f aca="false">$R$8 * $Q$19 + $R$9</f>
        <v>107.891986106915</v>
      </c>
      <c r="T19" s="13" t="n">
        <f aca="false">INDEX($H$3:$H$164, 9, 1)</f>
        <v>95.7527194011656</v>
      </c>
      <c r="U19" s="2" t="n">
        <f aca="false">$U$8 * $T$19 + $U$9</f>
        <v>105.941857063485</v>
      </c>
      <c r="W19" s="13" t="n">
        <f aca="false">INDEX($H$3:$H$164, 9, 1)</f>
        <v>95.7527194011656</v>
      </c>
      <c r="X19" s="2" t="n">
        <f aca="false">$X$8 * $W$19 + $X$9</f>
        <v>105.941857063485</v>
      </c>
    </row>
    <row r="20" customFormat="false" ht="15.8" hidden="false" customHeight="false" outlineLevel="0" collapsed="false">
      <c r="A20" s="9" t="n">
        <v>38139</v>
      </c>
      <c r="B20" s="10" t="n">
        <v>108.41804172133</v>
      </c>
      <c r="C20" s="11" t="n">
        <v>89.2503548876207</v>
      </c>
      <c r="D20" s="11" t="n">
        <v>119.932968495874</v>
      </c>
      <c r="E20" s="11" t="n">
        <v>96.1067630473881</v>
      </c>
      <c r="F20" s="11" t="n">
        <v>87.7920225754968</v>
      </c>
      <c r="G20" s="11" t="n">
        <v>128.505054971375</v>
      </c>
      <c r="H20" s="11" t="n">
        <v>96.8327908294119</v>
      </c>
      <c r="I20" s="12" t="n">
        <v>102.703480200249</v>
      </c>
      <c r="J20" s="11" t="n">
        <v>83.9994412331718</v>
      </c>
      <c r="K20" s="11" t="n">
        <v>112.534282213612</v>
      </c>
      <c r="L20" s="11" t="n">
        <v>94.275938391201</v>
      </c>
      <c r="M20" s="11" t="n">
        <v>103.062795543311</v>
      </c>
      <c r="N20" s="11" t="n">
        <v>100.743240599682</v>
      </c>
      <c r="O20" s="12" t="n">
        <v>102.703480200249</v>
      </c>
      <c r="Q20" s="13" t="n">
        <f aca="false">INDEX($C$3:$C$164, 10, 1)</f>
        <v>94.8020641419762</v>
      </c>
      <c r="R20" s="2" t="n">
        <f aca="false">$R$8 * $Q$20 + $R$9</f>
        <v>111.910527721027</v>
      </c>
      <c r="T20" s="13" t="n">
        <f aca="false">INDEX($H$3:$H$164, 10, 1)</f>
        <v>102.640690775747</v>
      </c>
      <c r="U20" s="2" t="n">
        <f aca="false">$U$8 * $T$20 + $U$9</f>
        <v>110.521693256696</v>
      </c>
      <c r="W20" s="13" t="n">
        <f aca="false">INDEX($H$3:$H$164, 10, 1)</f>
        <v>102.640690775747</v>
      </c>
      <c r="X20" s="2" t="n">
        <f aca="false">$X$8 * $W$20 + $X$9</f>
        <v>110.521693256696</v>
      </c>
    </row>
    <row r="21" customFormat="false" ht="15.8" hidden="false" customHeight="false" outlineLevel="0" collapsed="false">
      <c r="A21" s="9" t="n">
        <v>38169</v>
      </c>
      <c r="B21" s="10" t="n">
        <v>110.77909251657</v>
      </c>
      <c r="C21" s="11" t="n">
        <v>100.392638015609</v>
      </c>
      <c r="D21" s="11" t="n">
        <v>125.64234300639</v>
      </c>
      <c r="E21" s="11" t="n">
        <v>106.034995786719</v>
      </c>
      <c r="F21" s="11" t="n">
        <v>100.224844735768</v>
      </c>
      <c r="G21" s="11" t="n">
        <v>135.262683873462</v>
      </c>
      <c r="H21" s="11" t="n">
        <v>108.005375075088</v>
      </c>
      <c r="I21" s="12" t="n">
        <v>110.208257126768</v>
      </c>
      <c r="J21" s="11" t="n">
        <v>98.3236656542457</v>
      </c>
      <c r="K21" s="11" t="n">
        <v>116.493177274316</v>
      </c>
      <c r="L21" s="11" t="n">
        <v>104.867207798196</v>
      </c>
      <c r="M21" s="11" t="n">
        <v>111.064493084083</v>
      </c>
      <c r="N21" s="11" t="n">
        <v>105.53707438056</v>
      </c>
      <c r="O21" s="12" t="n">
        <v>110.208257126768</v>
      </c>
      <c r="Q21" s="13" t="n">
        <f aca="false">INDEX($C$3:$C$164, 11, 1)</f>
        <v>92.8139229050901</v>
      </c>
      <c r="R21" s="2" t="n">
        <f aca="false">$R$8 * $Q$21 + $R$9</f>
        <v>110.67394878077</v>
      </c>
      <c r="T21" s="13" t="n">
        <f aca="false">INDEX($H$3:$H$164, 11, 1)</f>
        <v>98.5967580912486</v>
      </c>
      <c r="U21" s="2" t="n">
        <f aca="false">$U$8 * $T$21 + $U$9</f>
        <v>107.832868308945</v>
      </c>
      <c r="W21" s="13" t="n">
        <f aca="false">INDEX($H$3:$H$164, 11, 1)</f>
        <v>98.5967580912486</v>
      </c>
      <c r="X21" s="2" t="n">
        <f aca="false">$X$8 * $W$21 + $X$9</f>
        <v>107.832868308945</v>
      </c>
    </row>
    <row r="22" customFormat="false" ht="15.8" hidden="false" customHeight="false" outlineLevel="0" collapsed="false">
      <c r="A22" s="9" t="n">
        <v>38200</v>
      </c>
      <c r="B22" s="10" t="n">
        <v>109.909369507152</v>
      </c>
      <c r="C22" s="11" t="n">
        <v>94.2016131062437</v>
      </c>
      <c r="D22" s="11" t="n">
        <v>129.670478295488</v>
      </c>
      <c r="E22" s="11" t="n">
        <v>102.127568170118</v>
      </c>
      <c r="F22" s="11" t="n">
        <v>93.6609798700736</v>
      </c>
      <c r="G22" s="11" t="n">
        <v>139.383920961546</v>
      </c>
      <c r="H22" s="11" t="n">
        <v>103.814252421132</v>
      </c>
      <c r="I22" s="12" t="n">
        <v>106.822503511348</v>
      </c>
      <c r="J22" s="11" t="n">
        <v>87.5349951472965</v>
      </c>
      <c r="K22" s="11" t="n">
        <v>124.593758121624</v>
      </c>
      <c r="L22" s="11" t="n">
        <v>100.881285482218</v>
      </c>
      <c r="M22" s="11" t="n">
        <v>106.736972431387</v>
      </c>
      <c r="N22" s="11" t="n">
        <v>107.289117067537</v>
      </c>
      <c r="O22" s="12" t="n">
        <v>106.822503511348</v>
      </c>
      <c r="Q22" s="13" t="n">
        <f aca="false">INDEX($C$3:$C$164, 12, 1)</f>
        <v>111.885945413557</v>
      </c>
      <c r="R22" s="2" t="n">
        <f aca="false">$R$8 * $Q$22 + $R$9</f>
        <v>122.536315973067</v>
      </c>
      <c r="T22" s="13" t="n">
        <f aca="false">INDEX($H$3:$H$164, 12, 1)</f>
        <v>112.337884549473</v>
      </c>
      <c r="U22" s="2" t="n">
        <f aca="false">$U$8 * $T$22 + $U$9</f>
        <v>116.969391222078</v>
      </c>
      <c r="W22" s="13" t="n">
        <f aca="false">INDEX($H$3:$H$164, 12, 1)</f>
        <v>112.337884549473</v>
      </c>
      <c r="X22" s="2" t="n">
        <f aca="false">$X$8 * $W$22 + $X$9</f>
        <v>116.969391222078</v>
      </c>
    </row>
    <row r="23" customFormat="false" ht="15.8" hidden="false" customHeight="false" outlineLevel="0" collapsed="false">
      <c r="A23" s="9" t="n">
        <v>38231</v>
      </c>
      <c r="B23" s="10" t="n">
        <v>109.905115067692</v>
      </c>
      <c r="C23" s="11" t="n">
        <v>95.5368718685949</v>
      </c>
      <c r="D23" s="11" t="n">
        <v>126.69597537005</v>
      </c>
      <c r="E23" s="11" t="n">
        <v>102.499757567515</v>
      </c>
      <c r="F23" s="11" t="n">
        <v>94.928721808494</v>
      </c>
      <c r="G23" s="11" t="n">
        <v>138.841981292015</v>
      </c>
      <c r="H23" s="11" t="n">
        <v>104.680135026851</v>
      </c>
      <c r="I23" s="12" t="n">
        <v>106.094697680317</v>
      </c>
      <c r="J23" s="11" t="n">
        <v>91.6628614435535</v>
      </c>
      <c r="K23" s="11" t="n">
        <v>111.486697065744</v>
      </c>
      <c r="L23" s="11" t="n">
        <v>98.802189487201</v>
      </c>
      <c r="M23" s="11" t="n">
        <v>106.176512415823</v>
      </c>
      <c r="N23" s="11" t="n">
        <v>105.648358586966</v>
      </c>
      <c r="O23" s="12" t="n">
        <v>106.094697680317</v>
      </c>
      <c r="Q23" s="13" t="n">
        <f aca="false">INDEX($C$3:$C$164, 13, 1)</f>
        <v>109.194411805241</v>
      </c>
      <c r="R23" s="2" t="n">
        <f aca="false">$R$8 * $Q$23 + $R$9</f>
        <v>120.862242866343</v>
      </c>
      <c r="T23" s="13" t="n">
        <f aca="false">INDEX($H$3:$H$164, 13, 1)</f>
        <v>105.380909687332</v>
      </c>
      <c r="U23" s="2" t="n">
        <f aca="false">$U$8 * $T$23 + $U$9</f>
        <v>112.343674369294</v>
      </c>
      <c r="W23" s="13" t="n">
        <f aca="false">INDEX($H$3:$H$164, 13, 1)</f>
        <v>105.380909687332</v>
      </c>
      <c r="X23" s="2" t="n">
        <f aca="false">$X$8 * $W$23 + $X$9</f>
        <v>112.343674369294</v>
      </c>
    </row>
    <row r="24" customFormat="false" ht="15.8" hidden="false" customHeight="false" outlineLevel="0" collapsed="false">
      <c r="A24" s="9" t="n">
        <v>38261</v>
      </c>
      <c r="B24" s="10" t="n">
        <v>108.855365995246</v>
      </c>
      <c r="C24" s="11" t="n">
        <v>99.4640736204776</v>
      </c>
      <c r="D24" s="11" t="n">
        <v>124.852352530672</v>
      </c>
      <c r="E24" s="11" t="n">
        <v>105.13739744174</v>
      </c>
      <c r="F24" s="11" t="n">
        <v>98.584468435532</v>
      </c>
      <c r="G24" s="11" t="n">
        <v>136.176854070332</v>
      </c>
      <c r="H24" s="11" t="n">
        <v>106.932263395419</v>
      </c>
      <c r="I24" s="12" t="n">
        <v>110.550966389005</v>
      </c>
      <c r="J24" s="11" t="n">
        <v>93.6571918003371</v>
      </c>
      <c r="K24" s="11" t="n">
        <v>107.628823661387</v>
      </c>
      <c r="L24" s="11" t="n">
        <v>98.6889154819771</v>
      </c>
      <c r="M24" s="11" t="n">
        <v>111.413988081045</v>
      </c>
      <c r="N24" s="11" t="n">
        <v>105.842764166216</v>
      </c>
      <c r="O24" s="12" t="n">
        <v>110.550966389005</v>
      </c>
      <c r="Q24" s="13" t="n">
        <f aca="false">INDEX($C$3:$C$164, 14, 1)</f>
        <v>95.6535875523565</v>
      </c>
      <c r="R24" s="2" t="n">
        <f aca="false">$R$8 * $Q$24 + $R$9</f>
        <v>112.440156047666</v>
      </c>
      <c r="T24" s="13" t="n">
        <f aca="false">INDEX($H$3:$H$164, 14, 1)</f>
        <v>94.9923088533742</v>
      </c>
      <c r="U24" s="2" t="n">
        <f aca="false">$U$8 * $T$24 + $U$9</f>
        <v>105.436257437836</v>
      </c>
      <c r="W24" s="13" t="n">
        <f aca="false">INDEX($H$3:$H$164, 14, 1)</f>
        <v>94.9923088533742</v>
      </c>
      <c r="X24" s="2" t="n">
        <f aca="false">$X$8 * $W$24 + $X$9</f>
        <v>105.436257437836</v>
      </c>
    </row>
    <row r="25" customFormat="false" ht="15.8" hidden="false" customHeight="false" outlineLevel="0" collapsed="false">
      <c r="A25" s="9" t="n">
        <v>38292</v>
      </c>
      <c r="B25" s="10" t="n">
        <v>108.837467287258</v>
      </c>
      <c r="C25" s="11" t="n">
        <v>96.8798344013764</v>
      </c>
      <c r="D25" s="11" t="n">
        <v>122.256800134827</v>
      </c>
      <c r="E25" s="11" t="n">
        <v>102.550630153866</v>
      </c>
      <c r="F25" s="11" t="n">
        <v>96.4886769456239</v>
      </c>
      <c r="G25" s="11" t="n">
        <v>134.125354713535</v>
      </c>
      <c r="H25" s="11" t="n">
        <v>104.846307451708</v>
      </c>
      <c r="I25" s="12" t="n">
        <v>106.375663154261</v>
      </c>
      <c r="J25" s="11" t="n">
        <v>91.1822923739154</v>
      </c>
      <c r="K25" s="11" t="n">
        <v>100.836111008927</v>
      </c>
      <c r="L25" s="11" t="n">
        <v>94.659004924542</v>
      </c>
      <c r="M25" s="11" t="n">
        <v>106.289418858932</v>
      </c>
      <c r="N25" s="11" t="n">
        <v>106.84616764646</v>
      </c>
      <c r="O25" s="12" t="n">
        <v>106.375663154261</v>
      </c>
      <c r="Q25" s="13" t="n">
        <f aca="false">INDEX($C$3:$C$164, 15, 1)</f>
        <v>91.6930454516157</v>
      </c>
      <c r="R25" s="2" t="n">
        <f aca="false">$R$8 * $Q$25 + $R$9</f>
        <v>109.976788323625</v>
      </c>
      <c r="T25" s="13" t="n">
        <f aca="false">INDEX($H$3:$H$164, 15, 1)</f>
        <v>99.4304527164807</v>
      </c>
      <c r="U25" s="2" t="n">
        <f aca="false">$U$8 * $T$25 + $U$9</f>
        <v>108.38719477331</v>
      </c>
      <c r="W25" s="13" t="n">
        <f aca="false">INDEX($H$3:$H$164, 15, 1)</f>
        <v>99.4304527164807</v>
      </c>
      <c r="X25" s="2" t="n">
        <f aca="false">$X$8 * $W$25 + $X$9</f>
        <v>108.38719477331</v>
      </c>
    </row>
    <row r="26" customFormat="false" ht="15.8" hidden="false" customHeight="false" outlineLevel="0" collapsed="false">
      <c r="A26" s="9" t="n">
        <v>38322</v>
      </c>
      <c r="B26" s="10" t="n">
        <v>110.638506315043</v>
      </c>
      <c r="C26" s="11" t="n">
        <v>114.595647186665</v>
      </c>
      <c r="D26" s="11" t="n">
        <v>124.114486266244</v>
      </c>
      <c r="E26" s="11" t="n">
        <v>116.72274909428</v>
      </c>
      <c r="F26" s="11" t="n">
        <v>112.917305959837</v>
      </c>
      <c r="G26" s="11" t="n">
        <v>134.311193486619</v>
      </c>
      <c r="H26" s="11" t="n">
        <v>117.668049586577</v>
      </c>
      <c r="I26" s="12" t="n">
        <v>118.404255286728</v>
      </c>
      <c r="J26" s="11" t="n">
        <v>120.853355637152</v>
      </c>
      <c r="K26" s="11" t="n">
        <v>102.471649160538</v>
      </c>
      <c r="L26" s="11" t="n">
        <v>114.233393938534</v>
      </c>
      <c r="M26" s="11" t="n">
        <v>119.198180023558</v>
      </c>
      <c r="N26" s="11" t="n">
        <v>114.073010492828</v>
      </c>
      <c r="O26" s="12" t="n">
        <v>118.404255286728</v>
      </c>
      <c r="Q26" s="13" t="n">
        <f aca="false">INDEX($C$3:$C$164, 16, 1)</f>
        <v>95.360805093373</v>
      </c>
      <c r="R26" s="2" t="n">
        <f aca="false">$R$8 * $Q$26 + $R$9</f>
        <v>112.258051971688</v>
      </c>
      <c r="T26" s="13" t="n">
        <f aca="false">INDEX($H$3:$H$164, 16, 1)</f>
        <v>101.015834873118</v>
      </c>
      <c r="U26" s="2" t="n">
        <f aca="false">$U$8 * $T$26 + $U$9</f>
        <v>109.441320899303</v>
      </c>
      <c r="W26" s="13" t="n">
        <f aca="false">INDEX($H$3:$H$164, 16, 1)</f>
        <v>101.015834873118</v>
      </c>
      <c r="X26" s="2" t="n">
        <f aca="false">$X$8 * $W$26 + $X$9</f>
        <v>109.441320899303</v>
      </c>
    </row>
    <row r="27" customFormat="false" ht="15.8" hidden="false" customHeight="false" outlineLevel="0" collapsed="false">
      <c r="A27" s="9" t="n">
        <v>38353</v>
      </c>
      <c r="B27" s="10" t="n">
        <v>108.258579013803</v>
      </c>
      <c r="C27" s="11" t="n">
        <v>113.675317723235</v>
      </c>
      <c r="D27" s="11" t="n">
        <v>111.740936180386</v>
      </c>
      <c r="E27" s="11" t="n">
        <v>113.243056327129</v>
      </c>
      <c r="F27" s="11" t="n">
        <v>108.834295010209</v>
      </c>
      <c r="G27" s="11" t="n">
        <v>119.74898361638</v>
      </c>
      <c r="H27" s="11" t="n">
        <v>111.25801941601</v>
      </c>
      <c r="I27" s="12" t="n">
        <v>112.364990629722</v>
      </c>
      <c r="J27" s="11" t="n">
        <v>130.356471159184</v>
      </c>
      <c r="K27" s="11" t="n">
        <v>95.6428330746884</v>
      </c>
      <c r="L27" s="11" t="n">
        <v>117.854750775857</v>
      </c>
      <c r="M27" s="11" t="n">
        <v>114.046634042815</v>
      </c>
      <c r="N27" s="11" t="n">
        <v>103.190809576697</v>
      </c>
      <c r="O27" s="12" t="n">
        <v>112.364990629722</v>
      </c>
      <c r="Q27" s="13" t="n">
        <f aca="false">INDEX($C$3:$C$164, 17, 1)</f>
        <v>92.4729846597092</v>
      </c>
      <c r="R27" s="2" t="n">
        <f aca="false">$R$8 * $Q$27 + $R$9</f>
        <v>110.461892893419</v>
      </c>
      <c r="T27" s="13" t="n">
        <f aca="false">INDEX($H$3:$H$164, 17, 1)</f>
        <v>99.5535872368965</v>
      </c>
      <c r="U27" s="2" t="n">
        <f aca="false">$U$8 * $T$27 + $U$9</f>
        <v>108.469067345446</v>
      </c>
      <c r="W27" s="13" t="n">
        <f aca="false">INDEX($H$3:$H$164, 17, 1)</f>
        <v>99.5535872368965</v>
      </c>
      <c r="X27" s="2" t="n">
        <f aca="false">$X$8 * $W$27 + $X$9</f>
        <v>108.469067345446</v>
      </c>
    </row>
    <row r="28" customFormat="false" ht="15.8" hidden="false" customHeight="false" outlineLevel="0" collapsed="false">
      <c r="A28" s="9" t="n">
        <v>38384</v>
      </c>
      <c r="B28" s="10" t="n">
        <v>105.687872009865</v>
      </c>
      <c r="C28" s="11" t="n">
        <v>96.3640618490306</v>
      </c>
      <c r="D28" s="11" t="n">
        <v>107.864604527805</v>
      </c>
      <c r="E28" s="11" t="n">
        <v>98.9339998494652</v>
      </c>
      <c r="F28" s="11" t="n">
        <v>93.4104702869591</v>
      </c>
      <c r="G28" s="11" t="n">
        <v>116.181336045892</v>
      </c>
      <c r="H28" s="11" t="n">
        <v>98.4669867916931</v>
      </c>
      <c r="I28" s="12" t="n">
        <v>98.169902042354</v>
      </c>
      <c r="J28" s="11" t="n">
        <v>99.4178724245311</v>
      </c>
      <c r="K28" s="11" t="n">
        <v>98.158680792847</v>
      </c>
      <c r="L28" s="11" t="n">
        <v>98.9643889362829</v>
      </c>
      <c r="M28" s="11" t="n">
        <v>99.1295766171902</v>
      </c>
      <c r="N28" s="11" t="n">
        <v>92.9344114306214</v>
      </c>
      <c r="O28" s="12" t="n">
        <v>98.169902042354</v>
      </c>
      <c r="Q28" s="13" t="n">
        <f aca="false">INDEX($C$3:$C$164, 18, 1)</f>
        <v>89.2503548876207</v>
      </c>
      <c r="R28" s="2" t="n">
        <f aca="false">$R$8 * $Q$28 + $R$9</f>
        <v>108.457489969483</v>
      </c>
      <c r="T28" s="13" t="n">
        <f aca="false">INDEX($H$3:$H$164, 18, 1)</f>
        <v>96.8327908294119</v>
      </c>
      <c r="U28" s="2" t="n">
        <f aca="false">$U$8 * $T$28 + $U$9</f>
        <v>106.660000323574</v>
      </c>
      <c r="W28" s="13" t="n">
        <f aca="false">INDEX($H$3:$H$164, 18, 1)</f>
        <v>96.8327908294119</v>
      </c>
      <c r="X28" s="2" t="n">
        <f aca="false">$X$8 * $W$28 + $X$9</f>
        <v>106.660000323574</v>
      </c>
    </row>
    <row r="29" customFormat="false" ht="15.8" hidden="false" customHeight="false" outlineLevel="0" collapsed="false">
      <c r="A29" s="9" t="n">
        <v>38412</v>
      </c>
      <c r="B29" s="10" t="n">
        <v>112.318255966264</v>
      </c>
      <c r="C29" s="11" t="n">
        <v>101.374718980931</v>
      </c>
      <c r="D29" s="11" t="n">
        <v>126.909038921862</v>
      </c>
      <c r="E29" s="11" t="n">
        <v>107.0806774704</v>
      </c>
      <c r="F29" s="11" t="n">
        <v>101.049033192478</v>
      </c>
      <c r="G29" s="11" t="n">
        <v>134.877748868974</v>
      </c>
      <c r="H29" s="11" t="n">
        <v>108.561064617328</v>
      </c>
      <c r="I29" s="12" t="n">
        <v>108.68610491152</v>
      </c>
      <c r="J29" s="11" t="n">
        <v>97.4242867328967</v>
      </c>
      <c r="K29" s="11" t="n">
        <v>126.792673809015</v>
      </c>
      <c r="L29" s="11" t="n">
        <v>108.000975999556</v>
      </c>
      <c r="M29" s="11" t="n">
        <v>108.693119472962</v>
      </c>
      <c r="N29" s="11" t="n">
        <v>108.647837074132</v>
      </c>
      <c r="O29" s="12" t="n">
        <v>108.68610491152</v>
      </c>
      <c r="Q29" s="13" t="n">
        <f aca="false">INDEX($C$3:$C$164, 19, 1)</f>
        <v>100.392638015609</v>
      </c>
      <c r="R29" s="2" t="n">
        <f aca="false">$R$8 * $Q$29 + $R$9</f>
        <v>115.387738387869</v>
      </c>
      <c r="T29" s="13" t="n">
        <f aca="false">INDEX($H$3:$H$164, 19, 1)</f>
        <v>108.005375075088</v>
      </c>
      <c r="U29" s="2" t="n">
        <f aca="false">$U$8 * $T$29 + $U$9</f>
        <v>114.088690560132</v>
      </c>
      <c r="W29" s="13" t="n">
        <f aca="false">INDEX($H$3:$H$164, 19, 1)</f>
        <v>108.005375075088</v>
      </c>
      <c r="X29" s="2" t="n">
        <f aca="false">$X$8 * $W$29 + $X$9</f>
        <v>114.088690560132</v>
      </c>
    </row>
    <row r="30" customFormat="false" ht="15.8" hidden="false" customHeight="false" outlineLevel="0" collapsed="false">
      <c r="A30" s="9" t="n">
        <v>38443</v>
      </c>
      <c r="B30" s="10" t="n">
        <v>110.709385043587</v>
      </c>
      <c r="C30" s="11" t="n">
        <v>95.7853058899598</v>
      </c>
      <c r="D30" s="11" t="n">
        <v>120.335026847784</v>
      </c>
      <c r="E30" s="11" t="n">
        <v>101.271243601927</v>
      </c>
      <c r="F30" s="11" t="n">
        <v>97.2330435764577</v>
      </c>
      <c r="G30" s="11" t="n">
        <v>130.905648614125</v>
      </c>
      <c r="H30" s="11" t="n">
        <v>104.710408949075</v>
      </c>
      <c r="I30" s="12" t="n">
        <v>104.93509829775</v>
      </c>
      <c r="J30" s="11" t="n">
        <v>86.9160908355036</v>
      </c>
      <c r="K30" s="11" t="n">
        <v>108.385906863981</v>
      </c>
      <c r="L30" s="11" t="n">
        <v>94.6481999280794</v>
      </c>
      <c r="M30" s="11" t="n">
        <v>105.23246369209</v>
      </c>
      <c r="N30" s="11" t="n">
        <v>103.31282573667</v>
      </c>
      <c r="O30" s="12" t="n">
        <v>104.93509829775</v>
      </c>
      <c r="Q30" s="13" t="n">
        <f aca="false">INDEX($C$3:$C$164, 20, 1)</f>
        <v>94.2016131062437</v>
      </c>
      <c r="R30" s="2" t="n">
        <f aca="false">$R$8 * $Q$30 + $R$9</f>
        <v>111.537060740077</v>
      </c>
      <c r="T30" s="13" t="n">
        <f aca="false">INDEX($H$3:$H$164, 20, 1)</f>
        <v>103.814252421132</v>
      </c>
      <c r="U30" s="2" t="n">
        <f aca="false">$U$8 * $T$30 + $U$9</f>
        <v>111.301998488268</v>
      </c>
      <c r="W30" s="13" t="n">
        <f aca="false">INDEX($H$3:$H$164, 20, 1)</f>
        <v>103.814252421132</v>
      </c>
      <c r="X30" s="2" t="n">
        <f aca="false">$X$8 * $W$30 + $X$9</f>
        <v>111.301998488268</v>
      </c>
    </row>
    <row r="31" customFormat="false" ht="15.8" hidden="false" customHeight="false" outlineLevel="0" collapsed="false">
      <c r="A31" s="9" t="n">
        <v>38473</v>
      </c>
      <c r="B31" s="10" t="n">
        <v>111.602759527219</v>
      </c>
      <c r="C31" s="11" t="n">
        <v>97.8548237081671</v>
      </c>
      <c r="D31" s="11" t="n">
        <v>124.230942138833</v>
      </c>
      <c r="E31" s="11" t="n">
        <v>103.748892444944</v>
      </c>
      <c r="F31" s="11" t="n">
        <v>98.2492744440539</v>
      </c>
      <c r="G31" s="11" t="n">
        <v>135.345055939668</v>
      </c>
      <c r="H31" s="11" t="n">
        <v>106.486793095052</v>
      </c>
      <c r="I31" s="12" t="n">
        <v>107.672716852697</v>
      </c>
      <c r="J31" s="11" t="n">
        <v>90.6794606916808</v>
      </c>
      <c r="K31" s="11" t="n">
        <v>108.79037410644</v>
      </c>
      <c r="L31" s="11" t="n">
        <v>97.2018993610836</v>
      </c>
      <c r="M31" s="11" t="n">
        <v>107.904127594581</v>
      </c>
      <c r="N31" s="11" t="n">
        <v>106.410258933774</v>
      </c>
      <c r="O31" s="12" t="n">
        <v>107.672716852697</v>
      </c>
      <c r="Q31" s="13" t="n">
        <f aca="false">INDEX($C$3:$C$164, 21, 1)</f>
        <v>95.5368718685949</v>
      </c>
      <c r="R31" s="2" t="n">
        <f aca="false">$R$8 * $Q$31 + $R$9</f>
        <v>112.367561528796</v>
      </c>
      <c r="T31" s="13" t="n">
        <f aca="false">INDEX($H$3:$H$164, 21, 1)</f>
        <v>104.680135026851</v>
      </c>
      <c r="U31" s="2" t="n">
        <f aca="false">$U$8 * $T$31 + $U$9</f>
        <v>111.877726853135</v>
      </c>
      <c r="W31" s="13" t="n">
        <f aca="false">INDEX($H$3:$H$164, 21, 1)</f>
        <v>104.680135026851</v>
      </c>
      <c r="X31" s="2" t="n">
        <f aca="false">$X$8 * $W$31 + $X$9</f>
        <v>111.877726853135</v>
      </c>
    </row>
    <row r="32" customFormat="false" ht="15.8" hidden="false" customHeight="false" outlineLevel="0" collapsed="false">
      <c r="A32" s="9" t="n">
        <v>38504</v>
      </c>
      <c r="B32" s="10" t="n">
        <v>112.629444167039</v>
      </c>
      <c r="C32" s="11" t="n">
        <v>92.2695385737947</v>
      </c>
      <c r="D32" s="11" t="n">
        <v>125.26306886278</v>
      </c>
      <c r="E32" s="11" t="n">
        <v>99.6423495468494</v>
      </c>
      <c r="F32" s="11" t="n">
        <v>92.0422778282579</v>
      </c>
      <c r="G32" s="11" t="n">
        <v>137.15943190302</v>
      </c>
      <c r="H32" s="11" t="n">
        <v>102.061028834076</v>
      </c>
      <c r="I32" s="12" t="n">
        <v>105.032632517261</v>
      </c>
      <c r="J32" s="11" t="n">
        <v>82.3807921551277</v>
      </c>
      <c r="K32" s="11" t="n">
        <v>108.762048486594</v>
      </c>
      <c r="L32" s="11" t="n">
        <v>91.8817003922332</v>
      </c>
      <c r="M32" s="11" t="n">
        <v>104.790673848837</v>
      </c>
      <c r="N32" s="11" t="n">
        <v>106.352634495199</v>
      </c>
      <c r="O32" s="12" t="n">
        <v>105.032632517261</v>
      </c>
      <c r="Q32" s="13" t="n">
        <f aca="false">INDEX($C$3:$C$164, 22, 1)</f>
        <v>99.4640736204776</v>
      </c>
      <c r="R32" s="2" t="n">
        <f aca="false">$R$8 * $Q$32 + $R$9</f>
        <v>114.810192308955</v>
      </c>
      <c r="T32" s="13" t="n">
        <f aca="false">INDEX($H$3:$H$164, 22, 1)</f>
        <v>106.932263395419</v>
      </c>
      <c r="U32" s="2" t="n">
        <f aca="false">$U$8 * $T$32 + $U$9</f>
        <v>113.37517486115</v>
      </c>
      <c r="W32" s="13" t="n">
        <f aca="false">INDEX($H$3:$H$164, 22, 1)</f>
        <v>106.932263395419</v>
      </c>
      <c r="X32" s="2" t="n">
        <f aca="false">$X$8 * $W$32 + $X$9</f>
        <v>113.37517486115</v>
      </c>
    </row>
    <row r="33" customFormat="false" ht="15.8" hidden="false" customHeight="false" outlineLevel="0" collapsed="false">
      <c r="A33" s="9" t="n">
        <v>38534</v>
      </c>
      <c r="B33" s="10" t="n">
        <v>112.244992979866</v>
      </c>
      <c r="C33" s="11" t="n">
        <v>105.39401228493</v>
      </c>
      <c r="D33" s="11" t="n">
        <v>123.410364694619</v>
      </c>
      <c r="E33" s="11" t="n">
        <v>109.419988274075</v>
      </c>
      <c r="F33" s="11" t="n">
        <v>106.007783454834</v>
      </c>
      <c r="G33" s="11" t="n">
        <v>135.936405468029</v>
      </c>
      <c r="H33" s="11" t="n">
        <v>112.653756988549</v>
      </c>
      <c r="I33" s="12" t="n">
        <v>112.7179605215</v>
      </c>
      <c r="J33" s="11" t="n">
        <v>104.729577149649</v>
      </c>
      <c r="K33" s="11" t="n">
        <v>106.967711877832</v>
      </c>
      <c r="L33" s="11" t="n">
        <v>105.535615816177</v>
      </c>
      <c r="M33" s="11" t="n">
        <v>114.02339117832</v>
      </c>
      <c r="N33" s="11" t="n">
        <v>105.596202659762</v>
      </c>
      <c r="O33" s="12" t="n">
        <v>112.7179605215</v>
      </c>
      <c r="Q33" s="13" t="n">
        <f aca="false">INDEX($C$3:$C$164, 23, 1)</f>
        <v>96.8798344013764</v>
      </c>
      <c r="R33" s="2" t="n">
        <f aca="false">$R$8 * $Q$33 + $R$9</f>
        <v>113.202853888706</v>
      </c>
      <c r="T33" s="13" t="n">
        <f aca="false">INDEX($H$3:$H$164, 23, 1)</f>
        <v>104.846307451708</v>
      </c>
      <c r="U33" s="2" t="n">
        <f aca="false">$U$8 * $T$33 + $U$9</f>
        <v>111.988215478056</v>
      </c>
      <c r="W33" s="13" t="n">
        <f aca="false">INDEX($H$3:$H$164, 23, 1)</f>
        <v>104.846307451708</v>
      </c>
      <c r="X33" s="2" t="n">
        <f aca="false">$X$8 * $W$33 + $X$9</f>
        <v>111.988215478056</v>
      </c>
    </row>
    <row r="34" customFormat="false" ht="15.8" hidden="false" customHeight="false" outlineLevel="0" collapsed="false">
      <c r="A34" s="9" t="n">
        <v>38565</v>
      </c>
      <c r="B34" s="10" t="n">
        <v>113.92432685633</v>
      </c>
      <c r="C34" s="11" t="n">
        <v>98.4683283949889</v>
      </c>
      <c r="D34" s="11" t="n">
        <v>129.867974490366</v>
      </c>
      <c r="E34" s="11" t="n">
        <v>105.484966301097</v>
      </c>
      <c r="F34" s="11" t="n">
        <v>98.7812713491399</v>
      </c>
      <c r="G34" s="11" t="n">
        <v>143.758411169157</v>
      </c>
      <c r="H34" s="11" t="n">
        <v>108.768930678536</v>
      </c>
      <c r="I34" s="12" t="n">
        <v>109.684806186883</v>
      </c>
      <c r="J34" s="11" t="n">
        <v>92.8406479729317</v>
      </c>
      <c r="K34" s="11" t="n">
        <v>111.560693370275</v>
      </c>
      <c r="L34" s="11" t="n">
        <v>99.5824585705744</v>
      </c>
      <c r="M34" s="11" t="n">
        <v>110.156630555855</v>
      </c>
      <c r="N34" s="11" t="n">
        <v>107.11077524044</v>
      </c>
      <c r="O34" s="12" t="n">
        <v>109.684806186883</v>
      </c>
      <c r="Q34" s="13" t="n">
        <f aca="false">INDEX($C$3:$C$164, 24, 1)</f>
        <v>114.595647186665</v>
      </c>
      <c r="R34" s="2" t="n">
        <f aca="false">$R$8 * $Q$34 + $R$9</f>
        <v>124.2216892679</v>
      </c>
      <c r="T34" s="13" t="n">
        <f aca="false">INDEX($H$3:$H$164, 24, 1)</f>
        <v>117.668049586577</v>
      </c>
      <c r="U34" s="2" t="n">
        <f aca="false">$U$8 * $T$34 + $U$9</f>
        <v>120.513436547644</v>
      </c>
      <c r="W34" s="13" t="n">
        <f aca="false">INDEX($H$3:$H$164, 24, 1)</f>
        <v>117.668049586577</v>
      </c>
      <c r="X34" s="2" t="n">
        <f aca="false">$X$8 * $W$34 + $X$9</f>
        <v>120.513436547644</v>
      </c>
    </row>
    <row r="35" customFormat="false" ht="15.8" hidden="false" customHeight="false" outlineLevel="0" collapsed="false">
      <c r="A35" s="9" t="n">
        <v>38596</v>
      </c>
      <c r="B35" s="10" t="n">
        <v>112.413108018523</v>
      </c>
      <c r="C35" s="11" t="n">
        <v>94.3150584117233</v>
      </c>
      <c r="D35" s="11" t="n">
        <v>123.437872499665</v>
      </c>
      <c r="E35" s="11" t="n">
        <v>100.82291014487</v>
      </c>
      <c r="F35" s="11" t="n">
        <v>94.842823771376</v>
      </c>
      <c r="G35" s="11" t="n">
        <v>136.961589286841</v>
      </c>
      <c r="H35" s="11" t="n">
        <v>104.195750236388</v>
      </c>
      <c r="I35" s="12" t="n">
        <v>105.502980198993</v>
      </c>
      <c r="J35" s="11" t="n">
        <v>87.8404319329488</v>
      </c>
      <c r="K35" s="11" t="n">
        <v>101.920936918791</v>
      </c>
      <c r="L35" s="11" t="n">
        <v>92.9113650273304</v>
      </c>
      <c r="M35" s="11" t="n">
        <v>105.082869859633</v>
      </c>
      <c r="N35" s="11" t="n">
        <v>107.794886012991</v>
      </c>
      <c r="O35" s="12" t="n">
        <v>105.502980198993</v>
      </c>
      <c r="Q35" s="13" t="n">
        <f aca="false">INDEX($C$3:$C$164, 25, 1)</f>
        <v>113.675317723235</v>
      </c>
      <c r="R35" s="2" t="n">
        <f aca="false">$R$8 * $Q$35 + $R$9</f>
        <v>123.649265130489</v>
      </c>
      <c r="T35" s="13" t="n">
        <f aca="false">INDEX($H$3:$H$164, 25, 1)</f>
        <v>111.25801941601</v>
      </c>
      <c r="U35" s="2" t="n">
        <f aca="false">$U$8 * $T$35 + $U$9</f>
        <v>116.25138512811</v>
      </c>
      <c r="W35" s="13" t="n">
        <f aca="false">INDEX($H$3:$H$164, 25, 1)</f>
        <v>111.25801941601</v>
      </c>
      <c r="X35" s="2" t="n">
        <f aca="false">$X$8 * $W$35 + $X$9</f>
        <v>116.25138512811</v>
      </c>
    </row>
    <row r="36" customFormat="false" ht="15.8" hidden="false" customHeight="false" outlineLevel="0" collapsed="false">
      <c r="A36" s="9" t="n">
        <v>38626</v>
      </c>
      <c r="B36" s="10" t="n">
        <v>111.525766445161</v>
      </c>
      <c r="C36" s="11" t="n">
        <v>98.3402226955183</v>
      </c>
      <c r="D36" s="11" t="n">
        <v>123.362508334345</v>
      </c>
      <c r="E36" s="11" t="n">
        <v>103.931760809596</v>
      </c>
      <c r="F36" s="11" t="n">
        <v>98.5299136700673</v>
      </c>
      <c r="G36" s="11" t="n">
        <v>135.582716695485</v>
      </c>
      <c r="H36" s="11" t="n">
        <v>106.757888487897</v>
      </c>
      <c r="I36" s="12" t="n">
        <v>109.722693217326</v>
      </c>
      <c r="J36" s="11" t="n">
        <v>92.2397156366498</v>
      </c>
      <c r="K36" s="11" t="n">
        <v>104.728990749006</v>
      </c>
      <c r="L36" s="11" t="n">
        <v>96.7375854613303</v>
      </c>
      <c r="M36" s="11" t="n">
        <v>110.081689546397</v>
      </c>
      <c r="N36" s="11" t="n">
        <v>107.76419399292</v>
      </c>
      <c r="O36" s="12" t="n">
        <v>109.722693217326</v>
      </c>
      <c r="Q36" s="13" t="n">
        <f aca="false">INDEX($C$3:$C$164, 26, 1)</f>
        <v>96.3640618490306</v>
      </c>
      <c r="R36" s="2" t="n">
        <f aca="false">$R$8 * $Q$36 + $R$9</f>
        <v>112.882055011664</v>
      </c>
      <c r="T36" s="13" t="n">
        <f aca="false">INDEX($H$3:$H$164, 26, 1)</f>
        <v>98.4669867916931</v>
      </c>
      <c r="U36" s="2" t="n">
        <f aca="false">$U$8 * $T$36 + $U$9</f>
        <v>107.746582919209</v>
      </c>
      <c r="W36" s="13" t="n">
        <f aca="false">INDEX($H$3:$H$164, 26, 1)</f>
        <v>98.4669867916931</v>
      </c>
      <c r="X36" s="2" t="n">
        <f aca="false">$X$8 * $W$36 + $X$9</f>
        <v>107.746582919209</v>
      </c>
    </row>
    <row r="37" customFormat="false" ht="15.8" hidden="false" customHeight="false" outlineLevel="0" collapsed="false">
      <c r="A37" s="9" t="n">
        <v>38657</v>
      </c>
      <c r="B37" s="10" t="n">
        <v>112.444635742747</v>
      </c>
      <c r="C37" s="11" t="n">
        <v>98.9956225267583</v>
      </c>
      <c r="D37" s="11" t="n">
        <v>122.206895947583</v>
      </c>
      <c r="E37" s="11" t="n">
        <v>104.182467640837</v>
      </c>
      <c r="F37" s="11" t="n">
        <v>99.8706140376697</v>
      </c>
      <c r="G37" s="11" t="n">
        <v>134.093698146783</v>
      </c>
      <c r="H37" s="11" t="n">
        <v>107.470219229349</v>
      </c>
      <c r="I37" s="12" t="n">
        <v>107.199393694286</v>
      </c>
      <c r="J37" s="11" t="n">
        <v>95.7395381900825</v>
      </c>
      <c r="K37" s="11" t="n">
        <v>100.87932753549</v>
      </c>
      <c r="L37" s="11" t="n">
        <v>97.5905746348679</v>
      </c>
      <c r="M37" s="11" t="n">
        <v>106.626258711344</v>
      </c>
      <c r="N37" s="11" t="n">
        <v>110.326123213988</v>
      </c>
      <c r="O37" s="12" t="n">
        <v>107.199393694286</v>
      </c>
      <c r="Q37" s="13" t="n">
        <f aca="false">INDEX($C$3:$C$164, 27, 1)</f>
        <v>101.374718980931</v>
      </c>
      <c r="R37" s="2" t="n">
        <f aca="false">$R$8 * $Q$37 + $R$9</f>
        <v>115.998570564585</v>
      </c>
      <c r="T37" s="13" t="n">
        <f aca="false">INDEX($H$3:$H$164, 27, 1)</f>
        <v>108.561064617328</v>
      </c>
      <c r="U37" s="2" t="n">
        <f aca="false">$U$8 * $T$37 + $U$9</f>
        <v>114.458170475094</v>
      </c>
      <c r="W37" s="13" t="n">
        <f aca="false">INDEX($H$3:$H$164, 27, 1)</f>
        <v>108.561064617328</v>
      </c>
      <c r="X37" s="2" t="n">
        <f aca="false">$X$8 * $W$37 + $X$9</f>
        <v>114.458170475094</v>
      </c>
    </row>
    <row r="38" customFormat="false" ht="15.8" hidden="false" customHeight="false" outlineLevel="0" collapsed="false">
      <c r="A38" s="9" t="n">
        <v>38687</v>
      </c>
      <c r="B38" s="10" t="n">
        <v>115.4412160521</v>
      </c>
      <c r="C38" s="11" t="n">
        <v>117.005208637454</v>
      </c>
      <c r="D38" s="11" t="n">
        <v>124.235872824955</v>
      </c>
      <c r="E38" s="11" t="n">
        <v>118.620989664739</v>
      </c>
      <c r="F38" s="11" t="n">
        <v>116.19937104513</v>
      </c>
      <c r="G38" s="11" t="n">
        <v>135.858914443487</v>
      </c>
      <c r="H38" s="11" t="n">
        <v>120.564984839605</v>
      </c>
      <c r="I38" s="12" t="n">
        <v>120.931038552924</v>
      </c>
      <c r="J38" s="11" t="n">
        <v>125.019495908492</v>
      </c>
      <c r="K38" s="11" t="n">
        <v>100.514651130051</v>
      </c>
      <c r="L38" s="11" t="n">
        <v>116.194355866667</v>
      </c>
      <c r="M38" s="11" t="n">
        <v>121.863942368541</v>
      </c>
      <c r="N38" s="11" t="n">
        <v>115.841595426703</v>
      </c>
      <c r="O38" s="12" t="n">
        <v>120.931038552924</v>
      </c>
      <c r="Q38" s="13" t="n">
        <f aca="false">INDEX($C$3:$C$164, 28, 1)</f>
        <v>95.7853058899598</v>
      </c>
      <c r="R38" s="2" t="n">
        <f aca="false">$R$8 * $Q$38 + $R$9</f>
        <v>112.522081878338</v>
      </c>
      <c r="T38" s="13" t="n">
        <f aca="false">INDEX($H$3:$H$164, 28, 1)</f>
        <v>104.710408949075</v>
      </c>
      <c r="U38" s="2" t="n">
        <f aca="false">$U$8 * $T$38 + $U$9</f>
        <v>111.897856089622</v>
      </c>
      <c r="W38" s="13" t="n">
        <f aca="false">INDEX($H$3:$H$164, 28, 1)</f>
        <v>104.710408949075</v>
      </c>
      <c r="X38" s="2" t="n">
        <f aca="false">$X$8 * $W$38 + $X$9</f>
        <v>111.897856089622</v>
      </c>
    </row>
    <row r="39" customFormat="false" ht="15.8" hidden="false" customHeight="false" outlineLevel="0" collapsed="false">
      <c r="A39" s="9" t="n">
        <v>38718</v>
      </c>
      <c r="B39" s="10" t="n">
        <v>113.252483005859</v>
      </c>
      <c r="C39" s="11" t="n">
        <v>118.572690354267</v>
      </c>
      <c r="D39" s="11" t="n">
        <v>113.702480124283</v>
      </c>
      <c r="E39" s="11" t="n">
        <v>117.484381855292</v>
      </c>
      <c r="F39" s="11" t="n">
        <v>115.447553115421</v>
      </c>
      <c r="G39" s="11" t="n">
        <v>123.992199739153</v>
      </c>
      <c r="H39" s="11" t="n">
        <v>117.344984119469</v>
      </c>
      <c r="I39" s="12" t="n">
        <v>116.567157865649</v>
      </c>
      <c r="J39" s="11" t="n">
        <v>135.034545372462</v>
      </c>
      <c r="K39" s="11" t="n">
        <v>93.1846710602678</v>
      </c>
      <c r="L39" s="11" t="n">
        <v>119.96279099584</v>
      </c>
      <c r="M39" s="11" t="n">
        <v>118.463943572586</v>
      </c>
      <c r="N39" s="11" t="n">
        <v>106.219271174131</v>
      </c>
      <c r="O39" s="12" t="n">
        <v>116.567157865649</v>
      </c>
      <c r="Q39" s="13" t="n">
        <f aca="false">INDEX($C$3:$C$164, 29, 1)</f>
        <v>97.8548237081671</v>
      </c>
      <c r="R39" s="2" t="n">
        <f aca="false">$R$8 * $Q$39 + $R$9</f>
        <v>113.809275214004</v>
      </c>
      <c r="T39" s="13" t="n">
        <f aca="false">INDEX($H$3:$H$164, 29, 1)</f>
        <v>106.486793095052</v>
      </c>
      <c r="U39" s="2" t="n">
        <f aca="false">$U$8 * $T$39 + $U$9</f>
        <v>113.07898010457</v>
      </c>
      <c r="W39" s="13" t="n">
        <f aca="false">INDEX($H$3:$H$164, 29, 1)</f>
        <v>106.486793095052</v>
      </c>
      <c r="X39" s="2" t="n">
        <f aca="false">$X$8 * $W$39 + $X$9</f>
        <v>113.07898010457</v>
      </c>
    </row>
    <row r="40" customFormat="false" ht="15.8" hidden="false" customHeight="false" outlineLevel="0" collapsed="false">
      <c r="A40" s="9" t="n">
        <v>38749</v>
      </c>
      <c r="B40" s="10" t="n">
        <v>108.921717236859</v>
      </c>
      <c r="C40" s="11" t="n">
        <v>98.0216295105064</v>
      </c>
      <c r="D40" s="11" t="n">
        <v>107.460986532244</v>
      </c>
      <c r="E40" s="11" t="n">
        <v>100.130970172717</v>
      </c>
      <c r="F40" s="11" t="n">
        <v>94.5810398221053</v>
      </c>
      <c r="G40" s="11" t="n">
        <v>116.193825894281</v>
      </c>
      <c r="H40" s="11" t="n">
        <v>99.3803922333929</v>
      </c>
      <c r="I40" s="12" t="n">
        <v>101.035730816586</v>
      </c>
      <c r="J40" s="11" t="n">
        <v>97.7169349001794</v>
      </c>
      <c r="K40" s="11" t="n">
        <v>93.1697937715526</v>
      </c>
      <c r="L40" s="11" t="n">
        <v>96.0793339435971</v>
      </c>
      <c r="M40" s="11" t="n">
        <v>101.956986506568</v>
      </c>
      <c r="N40" s="11" t="n">
        <v>96.0098338694563</v>
      </c>
      <c r="O40" s="12" t="n">
        <v>101.035730816586</v>
      </c>
      <c r="Q40" s="13" t="n">
        <f aca="false">INDEX($C$3:$C$164, 30, 1)</f>
        <v>92.2695385737947</v>
      </c>
      <c r="R40" s="2" t="n">
        <f aca="false">$R$8 * $Q$40 + $R$9</f>
        <v>110.335354023518</v>
      </c>
      <c r="T40" s="13" t="n">
        <f aca="false">INDEX($H$3:$H$164, 30, 1)</f>
        <v>102.061028834076</v>
      </c>
      <c r="U40" s="2" t="n">
        <f aca="false">$U$8 * $T$40 + $U$9</f>
        <v>110.136274009734</v>
      </c>
      <c r="W40" s="13" t="n">
        <f aca="false">INDEX($H$3:$H$164, 30, 1)</f>
        <v>102.061028834076</v>
      </c>
      <c r="X40" s="2" t="n">
        <f aca="false">$X$8 * $W$40 + $X$9</f>
        <v>110.136274009734</v>
      </c>
    </row>
    <row r="41" customFormat="false" ht="15.8" hidden="false" customHeight="false" outlineLevel="0" collapsed="false">
      <c r="A41" s="9" t="n">
        <v>38777</v>
      </c>
      <c r="B41" s="10" t="n">
        <v>114.364182237583</v>
      </c>
      <c r="C41" s="11" t="n">
        <v>99.3275242174551</v>
      </c>
      <c r="D41" s="11" t="n">
        <v>128.435375240313</v>
      </c>
      <c r="E41" s="11" t="n">
        <v>105.832032269296</v>
      </c>
      <c r="F41" s="11" t="n">
        <v>99.2512477645607</v>
      </c>
      <c r="G41" s="11" t="n">
        <v>139.260655754942</v>
      </c>
      <c r="H41" s="11" t="n">
        <v>108.135768625109</v>
      </c>
      <c r="I41" s="12" t="n">
        <v>108.49076116149</v>
      </c>
      <c r="J41" s="11" t="n">
        <v>91.5182569243219</v>
      </c>
      <c r="K41" s="11" t="n">
        <v>114.402350948959</v>
      </c>
      <c r="L41" s="11" t="n">
        <v>99.7597020884797</v>
      </c>
      <c r="M41" s="11" t="n">
        <v>107.932081681206</v>
      </c>
      <c r="N41" s="11" t="n">
        <v>111.538628897793</v>
      </c>
      <c r="O41" s="12" t="n">
        <v>108.49076116149</v>
      </c>
      <c r="Q41" s="13" t="n">
        <f aca="false">INDEX($C$3:$C$164, 31, 1)</f>
        <v>105.39401228493</v>
      </c>
      <c r="R41" s="2" t="n">
        <f aca="false">$R$8 * $Q$41 + $R$9</f>
        <v>118.498480209953</v>
      </c>
      <c r="T41" s="13" t="n">
        <f aca="false">INDEX($H$3:$H$164, 31, 1)</f>
        <v>112.653756988549</v>
      </c>
      <c r="U41" s="2" t="n">
        <f aca="false">$U$8 * $T$41 + $U$9</f>
        <v>117.179415908629</v>
      </c>
      <c r="W41" s="13" t="n">
        <f aca="false">INDEX($H$3:$H$164, 31, 1)</f>
        <v>112.653756988549</v>
      </c>
      <c r="X41" s="2" t="n">
        <f aca="false">$X$8 * $W$41 + $X$9</f>
        <v>117.179415908629</v>
      </c>
    </row>
    <row r="42" customFormat="false" ht="15.8" hidden="false" customHeight="false" outlineLevel="0" collapsed="false">
      <c r="A42" s="9" t="n">
        <v>38808</v>
      </c>
      <c r="B42" s="10" t="n">
        <v>110.760145266664</v>
      </c>
      <c r="C42" s="11" t="n">
        <v>101.140329996502</v>
      </c>
      <c r="D42" s="11" t="n">
        <v>115.949465541725</v>
      </c>
      <c r="E42" s="11" t="n">
        <v>104.449613849819</v>
      </c>
      <c r="F42" s="11" t="n">
        <v>102.004072852405</v>
      </c>
      <c r="G42" s="11" t="n">
        <v>125.523528602873</v>
      </c>
      <c r="H42" s="11" t="n">
        <v>107.226821844193</v>
      </c>
      <c r="I42" s="12" t="n">
        <v>105.784813961505</v>
      </c>
      <c r="J42" s="11" t="n">
        <v>97.3354750235809</v>
      </c>
      <c r="K42" s="11" t="n">
        <v>100.773368071806</v>
      </c>
      <c r="L42" s="11" t="n">
        <v>98.5735929498001</v>
      </c>
      <c r="M42" s="11" t="n">
        <v>107.061332557094</v>
      </c>
      <c r="N42" s="11" t="n">
        <v>98.8207854270961</v>
      </c>
      <c r="O42" s="12" t="n">
        <v>105.784813961505</v>
      </c>
      <c r="Q42" s="13" t="n">
        <f aca="false">INDEX($C$3:$C$164, 32, 1)</f>
        <v>98.4683283949889</v>
      </c>
      <c r="R42" s="2" t="n">
        <f aca="false">$R$8 * $Q$42 + $R$9</f>
        <v>114.19086127107</v>
      </c>
      <c r="T42" s="13" t="n">
        <f aca="false">INDEX($H$3:$H$164, 32, 1)</f>
        <v>108.768930678536</v>
      </c>
      <c r="U42" s="2" t="n">
        <f aca="false">$U$8 * $T$42 + $U$9</f>
        <v>114.596381344259</v>
      </c>
      <c r="W42" s="13" t="n">
        <f aca="false">INDEX($H$3:$H$164, 32, 1)</f>
        <v>108.768930678536</v>
      </c>
      <c r="X42" s="2" t="n">
        <f aca="false">$X$8 * $W$42 + $X$9</f>
        <v>114.596381344259</v>
      </c>
    </row>
    <row r="43" customFormat="false" ht="15.8" hidden="false" customHeight="false" outlineLevel="0" collapsed="false">
      <c r="A43" s="9" t="n">
        <v>38838</v>
      </c>
      <c r="B43" s="10" t="n">
        <v>117.537952389417</v>
      </c>
      <c r="C43" s="11" t="n">
        <v>96.1506859062876</v>
      </c>
      <c r="D43" s="11" t="n">
        <v>125.455209446981</v>
      </c>
      <c r="E43" s="11" t="n">
        <v>102.699142856137</v>
      </c>
      <c r="F43" s="11" t="n">
        <v>96.8069236836166</v>
      </c>
      <c r="G43" s="11" t="n">
        <v>138.08331907844</v>
      </c>
      <c r="H43" s="11" t="n">
        <v>105.972792771751</v>
      </c>
      <c r="I43" s="12" t="n">
        <v>106.835940806382</v>
      </c>
      <c r="J43" s="11" t="n">
        <v>88.5573059372582</v>
      </c>
      <c r="K43" s="11" t="n">
        <v>105.635362006451</v>
      </c>
      <c r="L43" s="11" t="n">
        <v>94.7077728271922</v>
      </c>
      <c r="M43" s="11" t="n">
        <v>107.169991382378</v>
      </c>
      <c r="N43" s="11" t="n">
        <v>105.013532773149</v>
      </c>
      <c r="O43" s="12" t="n">
        <v>106.835940806382</v>
      </c>
      <c r="Q43" s="13" t="n">
        <f aca="false">INDEX($C$3:$C$164, 33, 1)</f>
        <v>94.3150584117233</v>
      </c>
      <c r="R43" s="2" t="n">
        <f aca="false">$R$8 * $Q$43 + $R$9</f>
        <v>111.607621157529</v>
      </c>
      <c r="T43" s="13" t="n">
        <f aca="false">INDEX($H$3:$H$164, 33, 1)</f>
        <v>104.195750236388</v>
      </c>
      <c r="U43" s="2" t="n">
        <f aca="false">$U$8 * $T$43 + $U$9</f>
        <v>111.555657716352</v>
      </c>
      <c r="W43" s="13" t="n">
        <f aca="false">INDEX($H$3:$H$164, 33, 1)</f>
        <v>104.195750236388</v>
      </c>
      <c r="X43" s="2" t="n">
        <f aca="false">$X$8 * $W$43 + $X$9</f>
        <v>111.555657716352</v>
      </c>
    </row>
    <row r="44" customFormat="false" ht="15.8" hidden="false" customHeight="false" outlineLevel="0" collapsed="false">
      <c r="A44" s="9" t="n">
        <v>38869</v>
      </c>
      <c r="B44" s="10" t="n">
        <v>116.093014214841</v>
      </c>
      <c r="C44" s="11" t="n">
        <v>91.1887989242969</v>
      </c>
      <c r="D44" s="11" t="n">
        <v>120.530206234513</v>
      </c>
      <c r="E44" s="11" t="n">
        <v>97.7454980070213</v>
      </c>
      <c r="F44" s="11" t="n">
        <v>92.3487123479505</v>
      </c>
      <c r="G44" s="11" t="n">
        <v>134.09665977467</v>
      </c>
      <c r="H44" s="11" t="n">
        <v>101.619294654166</v>
      </c>
      <c r="I44" s="12" t="n">
        <v>100.2405161438</v>
      </c>
      <c r="J44" s="11" t="n">
        <v>84.7060918251323</v>
      </c>
      <c r="K44" s="11" t="n">
        <v>98.3959879998357</v>
      </c>
      <c r="L44" s="11" t="n">
        <v>89.6363516162939</v>
      </c>
      <c r="M44" s="11" t="n">
        <v>99.8293685212635</v>
      </c>
      <c r="N44" s="11" t="n">
        <v>102.48352598721</v>
      </c>
      <c r="O44" s="12" t="n">
        <v>100.2405161438</v>
      </c>
      <c r="Q44" s="13" t="n">
        <f aca="false">INDEX($C$3:$C$164, 34, 1)</f>
        <v>98.3402226955183</v>
      </c>
      <c r="R44" s="2" t="n">
        <f aca="false">$R$8 * $Q$44 + $R$9</f>
        <v>114.111182419712</v>
      </c>
      <c r="T44" s="13" t="n">
        <f aca="false">INDEX($H$3:$H$164, 34, 1)</f>
        <v>106.757888487897</v>
      </c>
      <c r="U44" s="2" t="n">
        <f aca="false">$U$8 * $T$44 + $U$9</f>
        <v>113.259232376893</v>
      </c>
      <c r="W44" s="13" t="n">
        <f aca="false">INDEX($H$3:$H$164, 34, 1)</f>
        <v>106.757888487897</v>
      </c>
      <c r="X44" s="2" t="n">
        <f aca="false">$X$8 * $W$44 + $X$9</f>
        <v>113.259232376893</v>
      </c>
    </row>
    <row r="45" customFormat="false" ht="15.8" hidden="false" customHeight="false" outlineLevel="0" collapsed="false">
      <c r="A45" s="9" t="n">
        <v>38899</v>
      </c>
      <c r="B45" s="10" t="n">
        <v>118.327302405268</v>
      </c>
      <c r="C45" s="11" t="n">
        <v>105.040140611616</v>
      </c>
      <c r="D45" s="11" t="n">
        <v>125.389814405928</v>
      </c>
      <c r="E45" s="11" t="n">
        <v>109.58752602126</v>
      </c>
      <c r="F45" s="11" t="n">
        <v>106.596937005101</v>
      </c>
      <c r="G45" s="11" t="n">
        <v>139.780584217243</v>
      </c>
      <c r="H45" s="11" t="n">
        <v>113.965724015302</v>
      </c>
      <c r="I45" s="12" t="n">
        <v>111.946433184405</v>
      </c>
      <c r="J45" s="11" t="n">
        <v>102.861661146178</v>
      </c>
      <c r="K45" s="11" t="n">
        <v>104.262225584566</v>
      </c>
      <c r="L45" s="11" t="n">
        <v>103.366058436515</v>
      </c>
      <c r="M45" s="11" t="n">
        <v>113.022381774266</v>
      </c>
      <c r="N45" s="11" t="n">
        <v>106.076611383732</v>
      </c>
      <c r="O45" s="12" t="n">
        <v>111.946433184405</v>
      </c>
      <c r="Q45" s="13" t="n">
        <f aca="false">INDEX($C$3:$C$164, 35, 1)</f>
        <v>98.9956225267583</v>
      </c>
      <c r="R45" s="2" t="n">
        <f aca="false">$R$8 * $Q$45 + $R$9</f>
        <v>114.518826310259</v>
      </c>
      <c r="T45" s="13" t="n">
        <f aca="false">INDEX($H$3:$H$164, 35, 1)</f>
        <v>107.470219229349</v>
      </c>
      <c r="U45" s="2" t="n">
        <f aca="false">$U$8 * $T$45 + $U$9</f>
        <v>113.732863571599</v>
      </c>
      <c r="W45" s="13" t="n">
        <f aca="false">INDEX($H$3:$H$164, 35, 1)</f>
        <v>107.470219229349</v>
      </c>
      <c r="X45" s="2" t="n">
        <f aca="false">$X$8 * $W$45 + $X$9</f>
        <v>113.732863571599</v>
      </c>
    </row>
    <row r="46" customFormat="false" ht="15.8" hidden="false" customHeight="false" outlineLevel="0" collapsed="false">
      <c r="A46" s="9" t="n">
        <v>38930</v>
      </c>
      <c r="B46" s="10" t="n">
        <v>119.759771306603</v>
      </c>
      <c r="C46" s="11" t="n">
        <v>98.5245711165031</v>
      </c>
      <c r="D46" s="11" t="n">
        <v>132.420024101858</v>
      </c>
      <c r="E46" s="11" t="n">
        <v>106.098927831841</v>
      </c>
      <c r="F46" s="11" t="n">
        <v>99.7477000524949</v>
      </c>
      <c r="G46" s="11" t="n">
        <v>147.777221653293</v>
      </c>
      <c r="H46" s="11" t="n">
        <v>110.413173700269</v>
      </c>
      <c r="I46" s="12" t="n">
        <v>109.492967357779</v>
      </c>
      <c r="J46" s="11" t="n">
        <v>89.6305557552883</v>
      </c>
      <c r="K46" s="11" t="n">
        <v>110.73022016984</v>
      </c>
      <c r="L46" s="11" t="n">
        <v>97.2293589706327</v>
      </c>
      <c r="M46" s="11" t="n">
        <v>109.000652015372</v>
      </c>
      <c r="N46" s="11" t="n">
        <v>112.178786510197</v>
      </c>
      <c r="O46" s="12" t="n">
        <v>109.492967357779</v>
      </c>
      <c r="Q46" s="13" t="n">
        <f aca="false">INDEX($C$3:$C$164, 36, 1)</f>
        <v>117.005208637454</v>
      </c>
      <c r="R46" s="2" t="n">
        <f aca="false">$R$8 * $Q$46 + $R$9</f>
        <v>125.720382061964</v>
      </c>
      <c r="T46" s="13" t="n">
        <f aca="false">INDEX($H$3:$H$164, 36, 1)</f>
        <v>120.564984839605</v>
      </c>
      <c r="U46" s="2" t="n">
        <f aca="false">$U$8 * $T$46 + $U$9</f>
        <v>122.439618902316</v>
      </c>
      <c r="W46" s="13" t="n">
        <f aca="false">INDEX($H$3:$H$164, 36, 1)</f>
        <v>120.564984839605</v>
      </c>
      <c r="X46" s="2" t="n">
        <f aca="false">$X$8 * $W$46 + $X$9</f>
        <v>122.439618902316</v>
      </c>
    </row>
    <row r="47" customFormat="false" ht="15.8" hidden="false" customHeight="false" outlineLevel="0" collapsed="false">
      <c r="A47" s="9" t="n">
        <v>38961</v>
      </c>
      <c r="B47" s="10" t="n">
        <v>117.716753554037</v>
      </c>
      <c r="C47" s="11" t="n">
        <v>99.6166033841181</v>
      </c>
      <c r="D47" s="11" t="n">
        <v>125.442191773124</v>
      </c>
      <c r="E47" s="11" t="n">
        <v>105.387649398058</v>
      </c>
      <c r="F47" s="11" t="n">
        <v>101.203155621222</v>
      </c>
      <c r="G47" s="11" t="n">
        <v>140.767293504428</v>
      </c>
      <c r="H47" s="11" t="n">
        <v>109.988799448731</v>
      </c>
      <c r="I47" s="12" t="n">
        <v>106.906663969134</v>
      </c>
      <c r="J47" s="11" t="n">
        <v>94.7064331455104</v>
      </c>
      <c r="K47" s="11" t="n">
        <v>101.855944113013</v>
      </c>
      <c r="L47" s="11" t="n">
        <v>97.281247884769</v>
      </c>
      <c r="M47" s="11" t="n">
        <v>106.857171244919</v>
      </c>
      <c r="N47" s="11" t="n">
        <v>107.176670802464</v>
      </c>
      <c r="O47" s="12" t="n">
        <v>106.906663969134</v>
      </c>
      <c r="Q47" s="13" t="n">
        <f aca="false">INDEX($C$3:$C$164, 37, 1)</f>
        <v>118.572690354267</v>
      </c>
      <c r="R47" s="2" t="n">
        <f aca="false">$R$8 * $Q$47 + $R$9</f>
        <v>126.695320282795</v>
      </c>
      <c r="T47" s="13" t="n">
        <f aca="false">INDEX($H$3:$H$164, 37, 1)</f>
        <v>117.344984119469</v>
      </c>
      <c r="U47" s="2" t="n">
        <f aca="false">$U$8 * $T$47 + $U$9</f>
        <v>120.298629191664</v>
      </c>
      <c r="W47" s="13" t="n">
        <f aca="false">INDEX($H$3:$H$164, 37, 1)</f>
        <v>117.344984119469</v>
      </c>
      <c r="X47" s="2" t="n">
        <f aca="false">$X$8 * $W$47 + $X$9</f>
        <v>120.298629191664</v>
      </c>
    </row>
    <row r="48" customFormat="false" ht="15.8" hidden="false" customHeight="false" outlineLevel="0" collapsed="false">
      <c r="A48" s="9" t="n">
        <v>38991</v>
      </c>
      <c r="B48" s="10" t="n">
        <v>118.190931611043</v>
      </c>
      <c r="C48" s="11" t="n">
        <v>102.558014476973</v>
      </c>
      <c r="D48" s="11" t="n">
        <v>129.488093323455</v>
      </c>
      <c r="E48" s="11" t="n">
        <v>108.57587249597</v>
      </c>
      <c r="F48" s="11" t="n">
        <v>103.619504503494</v>
      </c>
      <c r="G48" s="11" t="n">
        <v>143.958378845023</v>
      </c>
      <c r="H48" s="11" t="n">
        <v>112.577186923203</v>
      </c>
      <c r="I48" s="12" t="n">
        <v>111.156544720762</v>
      </c>
      <c r="J48" s="11" t="n">
        <v>96.2591939350916</v>
      </c>
      <c r="K48" s="11" t="n">
        <v>106.31833087335</v>
      </c>
      <c r="L48" s="11" t="n">
        <v>99.8818772445622</v>
      </c>
      <c r="M48" s="11" t="n">
        <v>111.137968101549</v>
      </c>
      <c r="N48" s="11" t="n">
        <v>111.257889195268</v>
      </c>
      <c r="O48" s="12" t="n">
        <v>111.156544720762</v>
      </c>
      <c r="Q48" s="13" t="n">
        <f aca="false">INDEX($C$3:$C$164, 38, 1)</f>
        <v>98.0216295105064</v>
      </c>
      <c r="R48" s="2" t="n">
        <f aca="false">$R$8 * $Q$48 + $R$9</f>
        <v>113.91302465517</v>
      </c>
      <c r="T48" s="13" t="n">
        <f aca="false">INDEX($H$3:$H$164, 38, 1)</f>
        <v>99.3803922333929</v>
      </c>
      <c r="U48" s="2" t="n">
        <f aca="false">$U$8 * $T$48 + $U$9</f>
        <v>108.353909383487</v>
      </c>
      <c r="W48" s="13" t="n">
        <f aca="false">INDEX($H$3:$H$164, 38, 1)</f>
        <v>99.3803922333929</v>
      </c>
      <c r="X48" s="2" t="n">
        <f aca="false">$X$8 * $W$48 + $X$9</f>
        <v>108.353909383487</v>
      </c>
    </row>
    <row r="49" customFormat="false" ht="15.8" hidden="false" customHeight="false" outlineLevel="0" collapsed="false">
      <c r="A49" s="9" t="n">
        <v>39022</v>
      </c>
      <c r="B49" s="10" t="n">
        <v>118.386628953199</v>
      </c>
      <c r="C49" s="11" t="n">
        <v>103.193751883914</v>
      </c>
      <c r="D49" s="11" t="n">
        <v>127.42343704507</v>
      </c>
      <c r="E49" s="11" t="n">
        <v>108.608173652823</v>
      </c>
      <c r="F49" s="11" t="n">
        <v>104.691608878031</v>
      </c>
      <c r="G49" s="11" t="n">
        <v>143.117177962619</v>
      </c>
      <c r="H49" s="11" t="n">
        <v>113.224421215383</v>
      </c>
      <c r="I49" s="12" t="n">
        <v>111.486864987577</v>
      </c>
      <c r="J49" s="11" t="n">
        <v>94.449735559</v>
      </c>
      <c r="K49" s="11" t="n">
        <v>98.2484948794546</v>
      </c>
      <c r="L49" s="11" t="n">
        <v>95.8178153526617</v>
      </c>
      <c r="M49" s="11" t="n">
        <v>111.760125079255</v>
      </c>
      <c r="N49" s="11" t="n">
        <v>109.996098552729</v>
      </c>
      <c r="O49" s="12" t="n">
        <v>111.486864987577</v>
      </c>
      <c r="Q49" s="13" t="n">
        <f aca="false">INDEX($C$3:$C$164, 39, 1)</f>
        <v>99.3275242174551</v>
      </c>
      <c r="R49" s="2" t="n">
        <f aca="false">$R$8 * $Q$49 + $R$9</f>
        <v>114.725261664718</v>
      </c>
      <c r="T49" s="13" t="n">
        <f aca="false">INDEX($H$3:$H$164, 39, 1)</f>
        <v>108.135768625109</v>
      </c>
      <c r="U49" s="2" t="n">
        <f aca="false">$U$8 * $T$49 + $U$9</f>
        <v>114.175389686373</v>
      </c>
      <c r="W49" s="13" t="n">
        <f aca="false">INDEX($H$3:$H$164, 39, 1)</f>
        <v>108.135768625109</v>
      </c>
      <c r="X49" s="2" t="n">
        <f aca="false">$X$8 * $W$49 + $X$9</f>
        <v>114.175389686373</v>
      </c>
    </row>
    <row r="50" customFormat="false" ht="15.8" hidden="false" customHeight="false" outlineLevel="0" collapsed="false">
      <c r="A50" s="9" t="n">
        <v>39052</v>
      </c>
      <c r="B50" s="10" t="n">
        <v>119.104767574051</v>
      </c>
      <c r="C50" s="11" t="n">
        <v>122.652923215328</v>
      </c>
      <c r="D50" s="11" t="n">
        <v>125.445114750549</v>
      </c>
      <c r="E50" s="11" t="n">
        <v>123.276872826341</v>
      </c>
      <c r="F50" s="11" t="n">
        <v>122.748697023106</v>
      </c>
      <c r="G50" s="11" t="n">
        <v>139.628917404228</v>
      </c>
      <c r="H50" s="11" t="n">
        <v>126.497132144735</v>
      </c>
      <c r="I50" s="12" t="n">
        <v>121.330536005285</v>
      </c>
      <c r="J50" s="11" t="n">
        <v>131.439698708479</v>
      </c>
      <c r="K50" s="11" t="n">
        <v>94.4828878024219</v>
      </c>
      <c r="L50" s="11" t="n">
        <v>118.13012524682</v>
      </c>
      <c r="M50" s="11" t="n">
        <v>122.393127888266</v>
      </c>
      <c r="N50" s="11" t="n">
        <v>115.533581523714</v>
      </c>
      <c r="O50" s="12" t="n">
        <v>121.330536005285</v>
      </c>
      <c r="Q50" s="13" t="n">
        <f aca="false">INDEX($C$3:$C$164, 40, 1)</f>
        <v>101.140329996502</v>
      </c>
      <c r="R50" s="2" t="n">
        <f aca="false">$R$8 * $Q$50 + $R$9</f>
        <v>115.852785910761</v>
      </c>
      <c r="T50" s="13" t="n">
        <f aca="false">INDEX($H$3:$H$164, 40, 1)</f>
        <v>107.226821844193</v>
      </c>
      <c r="U50" s="2" t="n">
        <f aca="false">$U$8 * $T$50 + $U$9</f>
        <v>113.571027801203</v>
      </c>
      <c r="W50" s="13" t="n">
        <f aca="false">INDEX($H$3:$H$164, 40, 1)</f>
        <v>107.226821844193</v>
      </c>
      <c r="X50" s="2" t="n">
        <f aca="false">$X$8 * $W$50 + $X$9</f>
        <v>113.571027801203</v>
      </c>
    </row>
    <row r="51" customFormat="false" ht="15.8" hidden="false" customHeight="false" outlineLevel="0" collapsed="false">
      <c r="A51" s="9" t="n">
        <v>39083</v>
      </c>
      <c r="B51" s="10" t="n">
        <v>118.521435673323</v>
      </c>
      <c r="C51" s="11" t="n">
        <v>120.364029776962</v>
      </c>
      <c r="D51" s="11" t="n">
        <v>119.775254009067</v>
      </c>
      <c r="E51" s="11" t="n">
        <v>120.232460575237</v>
      </c>
      <c r="F51" s="11" t="n">
        <v>117.835138777316</v>
      </c>
      <c r="G51" s="11" t="n">
        <v>132.556519912925</v>
      </c>
      <c r="H51" s="11" t="n">
        <v>121.104180344411</v>
      </c>
      <c r="I51" s="12" t="n">
        <v>114.735005453854</v>
      </c>
      <c r="J51" s="11" t="n">
        <v>140.134762964094</v>
      </c>
      <c r="K51" s="11" t="n">
        <v>93.2737214980973</v>
      </c>
      <c r="L51" s="11" t="n">
        <v>123.258293956339</v>
      </c>
      <c r="M51" s="11" t="n">
        <v>116.119822376709</v>
      </c>
      <c r="N51" s="11" t="n">
        <v>107.180156978463</v>
      </c>
      <c r="O51" s="12" t="n">
        <v>114.735005453854</v>
      </c>
      <c r="Q51" s="13" t="n">
        <f aca="false">INDEX($C$3:$C$164, 41, 1)</f>
        <v>96.1506859062876</v>
      </c>
      <c r="R51" s="2" t="n">
        <f aca="false">$R$8 * $Q$51 + $R$9</f>
        <v>112.749339995115</v>
      </c>
      <c r="T51" s="13" t="n">
        <f aca="false">INDEX($H$3:$H$164, 41, 1)</f>
        <v>105.972792771751</v>
      </c>
      <c r="U51" s="2" t="n">
        <f aca="false">$U$8 * $T$51 + $U$9</f>
        <v>112.737219496699</v>
      </c>
      <c r="W51" s="13" t="n">
        <f aca="false">INDEX($H$3:$H$164, 41, 1)</f>
        <v>105.972792771751</v>
      </c>
      <c r="X51" s="2" t="n">
        <f aca="false">$X$8 * $W$51 + $X$9</f>
        <v>112.737219496699</v>
      </c>
    </row>
    <row r="52" customFormat="false" ht="15.8" hidden="false" customHeight="false" outlineLevel="0" collapsed="false">
      <c r="A52" s="9" t="n">
        <v>39114</v>
      </c>
      <c r="B52" s="10" t="n">
        <v>113.092946946804</v>
      </c>
      <c r="C52" s="11" t="n">
        <v>103.767540002104</v>
      </c>
      <c r="D52" s="11" t="n">
        <v>110.950887256163</v>
      </c>
      <c r="E52" s="11" t="n">
        <v>105.372747477452</v>
      </c>
      <c r="F52" s="11" t="n">
        <v>101.899552518375</v>
      </c>
      <c r="G52" s="11" t="n">
        <v>121.443650413328</v>
      </c>
      <c r="H52" s="11" t="n">
        <v>106.239530392831</v>
      </c>
      <c r="I52" s="12" t="n">
        <v>103.438073506549</v>
      </c>
      <c r="J52" s="11" t="n">
        <v>105.773061365636</v>
      </c>
      <c r="K52" s="11" t="n">
        <v>97.8840279677392</v>
      </c>
      <c r="L52" s="11" t="n">
        <v>102.931916067204</v>
      </c>
      <c r="M52" s="11" t="n">
        <v>104.97497535496</v>
      </c>
      <c r="N52" s="11" t="n">
        <v>95.0535279433978</v>
      </c>
      <c r="O52" s="12" t="n">
        <v>103.438073506549</v>
      </c>
      <c r="Q52" s="13" t="n">
        <f aca="false">INDEX($C$3:$C$164, 42, 1)</f>
        <v>91.1887989242969</v>
      </c>
      <c r="R52" s="2" t="n">
        <f aca="false">$R$8 * $Q$52 + $R$9</f>
        <v>109.663158373794</v>
      </c>
      <c r="T52" s="13" t="n">
        <f aca="false">INDEX($H$3:$H$164, 42, 1)</f>
        <v>101.619294654166</v>
      </c>
      <c r="U52" s="2" t="n">
        <f aca="false">$U$8 * $T$52 + $U$9</f>
        <v>109.842563412678</v>
      </c>
      <c r="W52" s="13" t="n">
        <f aca="false">INDEX($H$3:$H$164, 42, 1)</f>
        <v>101.619294654166</v>
      </c>
      <c r="X52" s="2" t="n">
        <f aca="false">$X$8 * $W$52 + $X$9</f>
        <v>109.842563412678</v>
      </c>
    </row>
    <row r="53" customFormat="false" ht="15.8" hidden="false" customHeight="false" outlineLevel="0" collapsed="false">
      <c r="A53" s="9" t="n">
        <v>39142</v>
      </c>
      <c r="B53" s="10" t="n">
        <v>119.255901505696</v>
      </c>
      <c r="C53" s="11" t="n">
        <v>104.320335377869</v>
      </c>
      <c r="D53" s="11" t="n">
        <v>134.025910369415</v>
      </c>
      <c r="E53" s="11" t="n">
        <v>110.958412217184</v>
      </c>
      <c r="F53" s="11" t="n">
        <v>105.489888079763</v>
      </c>
      <c r="G53" s="11" t="n">
        <v>146.27550081712</v>
      </c>
      <c r="H53" s="11" t="n">
        <v>114.546773581854</v>
      </c>
      <c r="I53" s="12" t="n">
        <v>112.804387000671</v>
      </c>
      <c r="J53" s="11" t="n">
        <v>96.402744099511</v>
      </c>
      <c r="K53" s="11" t="n">
        <v>122.22380554201</v>
      </c>
      <c r="L53" s="11" t="n">
        <v>105.701904543862</v>
      </c>
      <c r="M53" s="11" t="n">
        <v>112.822430490377</v>
      </c>
      <c r="N53" s="11" t="n">
        <v>112.705951006392</v>
      </c>
      <c r="O53" s="12" t="n">
        <v>112.804387000671</v>
      </c>
      <c r="Q53" s="13" t="n">
        <f aca="false">INDEX($C$3:$C$164, 43, 1)</f>
        <v>105.040140611616</v>
      </c>
      <c r="R53" s="2" t="n">
        <f aca="false">$R$8 * $Q$53 + $R$9</f>
        <v>118.278380022574</v>
      </c>
      <c r="T53" s="13" t="n">
        <f aca="false">INDEX($H$3:$H$164, 43, 1)</f>
        <v>113.965724015302</v>
      </c>
      <c r="U53" s="2" t="n">
        <f aca="false">$U$8 * $T$53 + $U$9</f>
        <v>118.05174736105</v>
      </c>
      <c r="W53" s="13" t="n">
        <f aca="false">INDEX($H$3:$H$164, 43, 1)</f>
        <v>113.965724015302</v>
      </c>
      <c r="X53" s="2" t="n">
        <f aca="false">$X$8 * $W$53 + $X$9</f>
        <v>118.05174736105</v>
      </c>
    </row>
    <row r="54" customFormat="false" ht="15.8" hidden="false" customHeight="false" outlineLevel="0" collapsed="false">
      <c r="A54" s="9" t="n">
        <v>39173</v>
      </c>
      <c r="B54" s="10" t="n">
        <v>116.891867404554</v>
      </c>
      <c r="C54" s="11" t="n">
        <v>105.284845591921</v>
      </c>
      <c r="D54" s="11" t="n">
        <v>121.326418617971</v>
      </c>
      <c r="E54" s="11" t="n">
        <v>108.869532789551</v>
      </c>
      <c r="F54" s="11" t="n">
        <v>107.307602537248</v>
      </c>
      <c r="G54" s="11" t="n">
        <v>133.426644562607</v>
      </c>
      <c r="H54" s="11" t="n">
        <v>113.107617718369</v>
      </c>
      <c r="I54" s="12" t="n">
        <v>108.909519795621</v>
      </c>
      <c r="J54" s="11" t="n">
        <v>98.9311538008518</v>
      </c>
      <c r="K54" s="11" t="n">
        <v>100.13119177074</v>
      </c>
      <c r="L54" s="11" t="n">
        <v>99.3633337732419</v>
      </c>
      <c r="M54" s="11" t="n">
        <v>110.061353606194</v>
      </c>
      <c r="N54" s="11" t="n">
        <v>102.625707282864</v>
      </c>
      <c r="O54" s="12" t="n">
        <v>108.909519795621</v>
      </c>
      <c r="Q54" s="13" t="n">
        <f aca="false">INDEX($C$3:$C$164, 44, 1)</f>
        <v>98.5245711165031</v>
      </c>
      <c r="R54" s="2" t="n">
        <f aca="false">$R$8 * $Q$54 + $R$9</f>
        <v>114.225842973415</v>
      </c>
      <c r="T54" s="13" t="n">
        <f aca="false">INDEX($H$3:$H$164, 44, 1)</f>
        <v>110.413173700269</v>
      </c>
      <c r="U54" s="2" t="n">
        <f aca="false">$U$8 * $T$54 + $U$9</f>
        <v>115.689644264769</v>
      </c>
      <c r="W54" s="13" t="n">
        <f aca="false">INDEX($H$3:$H$164, 44, 1)</f>
        <v>110.413173700269</v>
      </c>
      <c r="X54" s="2" t="n">
        <f aca="false">$X$8 * $W$54 + $X$9</f>
        <v>115.689644264769</v>
      </c>
    </row>
    <row r="55" customFormat="false" ht="15.8" hidden="false" customHeight="false" outlineLevel="0" collapsed="false">
      <c r="A55" s="9" t="n">
        <v>39203</v>
      </c>
      <c r="B55" s="10" t="n">
        <v>124.253484056204</v>
      </c>
      <c r="C55" s="11" t="n">
        <v>101.182704976195</v>
      </c>
      <c r="D55" s="11" t="n">
        <v>131.611357750438</v>
      </c>
      <c r="E55" s="11" t="n">
        <v>107.982362457653</v>
      </c>
      <c r="F55" s="11" t="n">
        <v>102.978965506757</v>
      </c>
      <c r="G55" s="11" t="n">
        <v>146.243884257303</v>
      </c>
      <c r="H55" s="11" t="n">
        <v>112.5864076679</v>
      </c>
      <c r="I55" s="12" t="n">
        <v>109.479890084834</v>
      </c>
      <c r="J55" s="11" t="n">
        <v>93.6147856166734</v>
      </c>
      <c r="K55" s="11" t="n">
        <v>106.53829078715</v>
      </c>
      <c r="L55" s="11" t="n">
        <v>98.269038438591</v>
      </c>
      <c r="M55" s="11" t="n">
        <v>109.269241796137</v>
      </c>
      <c r="N55" s="11" t="n">
        <v>110.629078743959</v>
      </c>
      <c r="O55" s="12" t="n">
        <v>109.479890084834</v>
      </c>
      <c r="Q55" s="13" t="n">
        <f aca="false">INDEX($C$3:$C$164, 45, 1)</f>
        <v>99.6166033841181</v>
      </c>
      <c r="R55" s="2" t="n">
        <f aca="false">$R$8 * $Q$55 + $R$9</f>
        <v>114.905062376524</v>
      </c>
      <c r="T55" s="13" t="n">
        <f aca="false">INDEX($H$3:$H$164, 45, 1)</f>
        <v>109.988799448731</v>
      </c>
      <c r="U55" s="2" t="n">
        <f aca="false">$U$8 * $T$55 + $U$9</f>
        <v>115.407476344642</v>
      </c>
      <c r="W55" s="13" t="n">
        <f aca="false">INDEX($H$3:$H$164, 45, 1)</f>
        <v>109.988799448731</v>
      </c>
      <c r="X55" s="2" t="n">
        <f aca="false">$X$8 * $W$55 + $X$9</f>
        <v>115.407476344642</v>
      </c>
    </row>
    <row r="56" customFormat="false" ht="15.8" hidden="false" customHeight="false" outlineLevel="0" collapsed="false">
      <c r="A56" s="9" t="n">
        <v>39234</v>
      </c>
      <c r="B56" s="10" t="n">
        <v>123.653513049042</v>
      </c>
      <c r="C56" s="11" t="n">
        <v>100.570334785723</v>
      </c>
      <c r="D56" s="11" t="n">
        <v>126.595647196517</v>
      </c>
      <c r="E56" s="11" t="n">
        <v>106.386011593838</v>
      </c>
      <c r="F56" s="11" t="n">
        <v>102.296963893557</v>
      </c>
      <c r="G56" s="11" t="n">
        <v>140.942087831065</v>
      </c>
      <c r="H56" s="11" t="n">
        <v>110.878530755627</v>
      </c>
      <c r="I56" s="12" t="n">
        <v>108.329280665611</v>
      </c>
      <c r="J56" s="11" t="n">
        <v>94.9501953105563</v>
      </c>
      <c r="K56" s="11" t="n">
        <v>105.690871890152</v>
      </c>
      <c r="L56" s="11" t="n">
        <v>98.8183273397899</v>
      </c>
      <c r="M56" s="11" t="n">
        <v>108.741021074561</v>
      </c>
      <c r="N56" s="11" t="n">
        <v>106.083036884593</v>
      </c>
      <c r="O56" s="12" t="n">
        <v>108.329280665611</v>
      </c>
      <c r="Q56" s="13" t="n">
        <f aca="false">INDEX($C$3:$C$164, 46, 1)</f>
        <v>102.558014476973</v>
      </c>
      <c r="R56" s="2" t="n">
        <f aca="false">$R$8 * $Q$56 + $R$9</f>
        <v>116.734553634279</v>
      </c>
      <c r="T56" s="13" t="n">
        <f aca="false">INDEX($H$3:$H$164, 46, 1)</f>
        <v>112.577186923203</v>
      </c>
      <c r="U56" s="2" t="n">
        <f aca="false">$U$8 * $T$56 + $U$9</f>
        <v>117.128504205092</v>
      </c>
      <c r="W56" s="13" t="n">
        <f aca="false">INDEX($H$3:$H$164, 46, 1)</f>
        <v>112.577186923203</v>
      </c>
      <c r="X56" s="2" t="n">
        <f aca="false">$X$8 * $W$56 + $X$9</f>
        <v>117.128504205092</v>
      </c>
    </row>
    <row r="57" customFormat="false" ht="15.8" hidden="false" customHeight="false" outlineLevel="0" collapsed="false">
      <c r="A57" s="9" t="n">
        <v>39264</v>
      </c>
      <c r="B57" s="10" t="n">
        <v>126.332210005643</v>
      </c>
      <c r="C57" s="11" t="n">
        <v>110.827358805639</v>
      </c>
      <c r="D57" s="11" t="n">
        <v>131.620159430988</v>
      </c>
      <c r="E57" s="11" t="n">
        <v>115.473766367011</v>
      </c>
      <c r="F57" s="11" t="n">
        <v>113.484530874844</v>
      </c>
      <c r="G57" s="11" t="n">
        <v>145.329506063297</v>
      </c>
      <c r="H57" s="11" t="n">
        <v>120.556051314073</v>
      </c>
      <c r="I57" s="12" t="n">
        <v>114.850339589009</v>
      </c>
      <c r="J57" s="11" t="n">
        <v>111.700755767473</v>
      </c>
      <c r="K57" s="11" t="n">
        <v>110.968576730976</v>
      </c>
      <c r="L57" s="11" t="n">
        <v>111.437069847762</v>
      </c>
      <c r="M57" s="11" t="n">
        <v>115.136755712254</v>
      </c>
      <c r="N57" s="11" t="n">
        <v>113.2878006163</v>
      </c>
      <c r="O57" s="12" t="n">
        <v>114.850339589009</v>
      </c>
      <c r="Q57" s="13" t="n">
        <f aca="false">INDEX($C$3:$C$164, 47, 1)</f>
        <v>103.193751883914</v>
      </c>
      <c r="R57" s="2" t="n">
        <f aca="false">$R$8 * $Q$57 + $R$9</f>
        <v>117.129967941055</v>
      </c>
      <c r="T57" s="13" t="n">
        <f aca="false">INDEX($H$3:$H$164, 47, 1)</f>
        <v>113.224421215383</v>
      </c>
      <c r="U57" s="2" t="n">
        <f aca="false">$U$8 * $T$57 + $U$9</f>
        <v>117.558852543611</v>
      </c>
      <c r="W57" s="13" t="n">
        <f aca="false">INDEX($H$3:$H$164, 47, 1)</f>
        <v>113.224421215383</v>
      </c>
      <c r="X57" s="2" t="n">
        <f aca="false">$X$8 * $W$57 + $X$9</f>
        <v>117.558852543611</v>
      </c>
    </row>
    <row r="58" customFormat="false" ht="15.8" hidden="false" customHeight="false" outlineLevel="0" collapsed="false">
      <c r="A58" s="9" t="n">
        <v>39295</v>
      </c>
      <c r="B58" s="10" t="n">
        <v>127.693343552188</v>
      </c>
      <c r="C58" s="11" t="n">
        <v>105.736047430565</v>
      </c>
      <c r="D58" s="11" t="n">
        <v>140.980384181928</v>
      </c>
      <c r="E58" s="11" t="n">
        <v>113.611828847785</v>
      </c>
      <c r="F58" s="11" t="n">
        <v>107.755616345537</v>
      </c>
      <c r="G58" s="11" t="n">
        <v>156.548645320691</v>
      </c>
      <c r="H58" s="11" t="n">
        <v>118.590635046222</v>
      </c>
      <c r="I58" s="12" t="n">
        <v>114.711392240358</v>
      </c>
      <c r="J58" s="11" t="n">
        <v>97.5225734398449</v>
      </c>
      <c r="K58" s="11" t="n">
        <v>118.778406775856</v>
      </c>
      <c r="L58" s="11" t="n">
        <v>105.17761910906</v>
      </c>
      <c r="M58" s="11" t="n">
        <v>114.324069894918</v>
      </c>
      <c r="N58" s="11" t="n">
        <v>116.824423632913</v>
      </c>
      <c r="O58" s="12" t="n">
        <v>114.711392240358</v>
      </c>
      <c r="Q58" s="13" t="n">
        <f aca="false">INDEX($C$3:$C$164, 48, 1)</f>
        <v>122.652923215328</v>
      </c>
      <c r="R58" s="2" t="n">
        <f aca="false">$R$8 * $Q$58 + $R$9</f>
        <v>129.233132956123</v>
      </c>
      <c r="T58" s="13" t="n">
        <f aca="false">INDEX($H$3:$H$164, 48, 1)</f>
        <v>126.497132144735</v>
      </c>
      <c r="U58" s="2" t="n">
        <f aca="false">$U$8 * $T$58 + $U$9</f>
        <v>126.383924337695</v>
      </c>
      <c r="W58" s="13" t="n">
        <f aca="false">INDEX($H$3:$H$164, 48, 1)</f>
        <v>126.497132144735</v>
      </c>
      <c r="X58" s="2" t="n">
        <f aca="false">$X$8 * $W$58 + $X$9</f>
        <v>126.383924337695</v>
      </c>
    </row>
    <row r="59" customFormat="false" ht="15.8" hidden="false" customHeight="false" outlineLevel="0" collapsed="false">
      <c r="A59" s="9" t="n">
        <v>39326</v>
      </c>
      <c r="B59" s="10" t="n">
        <v>124.787072600162</v>
      </c>
      <c r="C59" s="11" t="n">
        <v>109.871040904645</v>
      </c>
      <c r="D59" s="11" t="n">
        <v>132.58697999201</v>
      </c>
      <c r="E59" s="11" t="n">
        <v>114.947197457146</v>
      </c>
      <c r="F59" s="11" t="n">
        <v>112.195574666853</v>
      </c>
      <c r="G59" s="11" t="n">
        <v>147.9804302878</v>
      </c>
      <c r="H59" s="11" t="n">
        <v>120.14198807873</v>
      </c>
      <c r="I59" s="12" t="n">
        <v>114.069006944426</v>
      </c>
      <c r="J59" s="11" t="n">
        <v>106.863418353584</v>
      </c>
      <c r="K59" s="11" t="n">
        <v>112.185101694235</v>
      </c>
      <c r="L59" s="11" t="n">
        <v>108.779961843826</v>
      </c>
      <c r="M59" s="11" t="n">
        <v>114.866286454576</v>
      </c>
      <c r="N59" s="11" t="n">
        <v>109.719460233733</v>
      </c>
      <c r="O59" s="12" t="n">
        <v>114.069006944426</v>
      </c>
      <c r="Q59" s="13" t="n">
        <f aca="false">INDEX($C$3:$C$164, 49, 1)</f>
        <v>120.364029776962</v>
      </c>
      <c r="R59" s="2" t="n">
        <f aca="false">$R$8 * $Q$59 + $R$9</f>
        <v>127.809492940079</v>
      </c>
      <c r="T59" s="13" t="n">
        <f aca="false">INDEX($H$3:$H$164, 49, 1)</f>
        <v>121.104180344411</v>
      </c>
      <c r="U59" s="2" t="n">
        <f aca="false">$U$8 * $T$59 + $U$9</f>
        <v>122.798131874254</v>
      </c>
      <c r="W59" s="13" t="n">
        <f aca="false">INDEX($H$3:$H$164, 49, 1)</f>
        <v>121.104180344411</v>
      </c>
      <c r="X59" s="2" t="n">
        <f aca="false">$X$8 * $W$59 + $X$9</f>
        <v>122.798131874254</v>
      </c>
    </row>
    <row r="60" customFormat="false" ht="15.8" hidden="false" customHeight="false" outlineLevel="0" collapsed="false">
      <c r="A60" s="9" t="n">
        <v>39356</v>
      </c>
      <c r="B60" s="10" t="n">
        <v>128.295402522637</v>
      </c>
      <c r="C60" s="11" t="n">
        <v>112.140768701305</v>
      </c>
      <c r="D60" s="11" t="n">
        <v>143.12689500053</v>
      </c>
      <c r="E60" s="11" t="n">
        <v>119.065000512523</v>
      </c>
      <c r="F60" s="11" t="n">
        <v>114.05802151594</v>
      </c>
      <c r="G60" s="11" t="n">
        <v>159.381675247019</v>
      </c>
      <c r="H60" s="11" t="n">
        <v>124.122627999167</v>
      </c>
      <c r="I60" s="12" t="n">
        <v>118.153023401796</v>
      </c>
      <c r="J60" s="11" t="n">
        <v>108.206661330535</v>
      </c>
      <c r="K60" s="11" t="n">
        <v>120.25435112836</v>
      </c>
      <c r="L60" s="11" t="n">
        <v>112.545499246367</v>
      </c>
      <c r="M60" s="11" t="n">
        <v>118.227818623038</v>
      </c>
      <c r="N60" s="11" t="n">
        <v>117.744979165881</v>
      </c>
      <c r="O60" s="12" t="n">
        <v>118.153023401796</v>
      </c>
      <c r="Q60" s="13" t="n">
        <f aca="false">INDEX($C$3:$C$164, 50, 1)</f>
        <v>103.767540002104</v>
      </c>
      <c r="R60" s="2" t="n">
        <f aca="false">$R$8 * $Q$60 + $R$9</f>
        <v>117.486851189569</v>
      </c>
      <c r="T60" s="13" t="n">
        <f aca="false">INDEX($H$3:$H$164, 50, 1)</f>
        <v>106.239530392831</v>
      </c>
      <c r="U60" s="2" t="n">
        <f aca="false">$U$8 * $T$60 + $U$9</f>
        <v>112.914574271375</v>
      </c>
      <c r="W60" s="13" t="n">
        <f aca="false">INDEX($H$3:$H$164, 50, 1)</f>
        <v>106.239530392831</v>
      </c>
      <c r="X60" s="2" t="n">
        <f aca="false">$X$8 * $W$60 + $X$9</f>
        <v>112.914574271375</v>
      </c>
    </row>
    <row r="61" customFormat="false" ht="15.8" hidden="false" customHeight="false" outlineLevel="0" collapsed="false">
      <c r="A61" s="9" t="n">
        <v>39387</v>
      </c>
      <c r="B61" s="10" t="n">
        <v>126.432686652714</v>
      </c>
      <c r="C61" s="11" t="n">
        <v>110.787187863158</v>
      </c>
      <c r="D61" s="11" t="n">
        <v>133.846532442285</v>
      </c>
      <c r="E61" s="11" t="n">
        <v>115.940082605107</v>
      </c>
      <c r="F61" s="11" t="n">
        <v>112.125743629688</v>
      </c>
      <c r="G61" s="11" t="n">
        <v>150.049427821657</v>
      </c>
      <c r="H61" s="11" t="n">
        <v>120.547107009857</v>
      </c>
      <c r="I61" s="12" t="n">
        <v>113.907939415062</v>
      </c>
      <c r="J61" s="11" t="n">
        <v>109.428473413645</v>
      </c>
      <c r="K61" s="11" t="n">
        <v>104.655807190327</v>
      </c>
      <c r="L61" s="11" t="n">
        <v>107.709652169336</v>
      </c>
      <c r="M61" s="11" t="n">
        <v>114.071292779918</v>
      </c>
      <c r="N61" s="11" t="n">
        <v>113.016767521459</v>
      </c>
      <c r="O61" s="12" t="n">
        <v>113.907939415062</v>
      </c>
      <c r="Q61" s="13" t="n">
        <f aca="false">INDEX($C$3:$C$164, 51, 1)</f>
        <v>104.320335377869</v>
      </c>
      <c r="R61" s="2" t="n">
        <f aca="false">$R$8 * $Q$61 + $R$9</f>
        <v>117.830677426488</v>
      </c>
      <c r="T61" s="13" t="n">
        <f aca="false">INDEX($H$3:$H$164, 51, 1)</f>
        <v>114.546773581854</v>
      </c>
      <c r="U61" s="2" t="n">
        <f aca="false">$U$8 * $T$61 + $U$9</f>
        <v>118.438089244636</v>
      </c>
      <c r="W61" s="13" t="n">
        <f aca="false">INDEX($H$3:$H$164, 51, 1)</f>
        <v>114.546773581854</v>
      </c>
      <c r="X61" s="2" t="n">
        <f aca="false">$X$8 * $W$61 + $X$9</f>
        <v>118.438089244636</v>
      </c>
    </row>
    <row r="62" customFormat="false" ht="15.8" hidden="false" customHeight="false" outlineLevel="0" collapsed="false">
      <c r="A62" s="9" t="n">
        <v>39417</v>
      </c>
      <c r="B62" s="10" t="n">
        <v>126.415551004705</v>
      </c>
      <c r="C62" s="11" t="n">
        <v>128.938652342379</v>
      </c>
      <c r="D62" s="11" t="n">
        <v>129.173097338197</v>
      </c>
      <c r="E62" s="11" t="n">
        <v>128.99104196612</v>
      </c>
      <c r="F62" s="11" t="n">
        <v>128.095983030951</v>
      </c>
      <c r="G62" s="11" t="n">
        <v>142.707285401422</v>
      </c>
      <c r="H62" s="11" t="n">
        <v>131.340580420181</v>
      </c>
      <c r="I62" s="12" t="n">
        <v>126.153603689529</v>
      </c>
      <c r="J62" s="11" t="n">
        <v>144.980353837153</v>
      </c>
      <c r="K62" s="11" t="n">
        <v>101.45980297371</v>
      </c>
      <c r="L62" s="11" t="n">
        <v>129.306924376985</v>
      </c>
      <c r="M62" s="11" t="n">
        <v>128.113127926377</v>
      </c>
      <c r="N62" s="11" t="n">
        <v>115.463447865377</v>
      </c>
      <c r="O62" s="12" t="n">
        <v>126.153603689529</v>
      </c>
      <c r="Q62" s="13" t="n">
        <f aca="false">INDEX($C$3:$C$164, 52, 1)</f>
        <v>105.284845591921</v>
      </c>
      <c r="R62" s="2" t="n">
        <f aca="false">$R$8 * $Q$62 + $R$9</f>
        <v>118.430580992811</v>
      </c>
      <c r="T62" s="13" t="n">
        <f aca="false">INDEX($H$3:$H$164, 52, 1)</f>
        <v>113.107617718369</v>
      </c>
      <c r="U62" s="2" t="n">
        <f aca="false">$U$8 * $T$62 + $U$9</f>
        <v>117.481189491018</v>
      </c>
      <c r="W62" s="13" t="n">
        <f aca="false">INDEX($H$3:$H$164, 52, 1)</f>
        <v>113.107617718369</v>
      </c>
      <c r="X62" s="2" t="n">
        <f aca="false">$X$8 * $W$62 + $X$9</f>
        <v>117.481189491018</v>
      </c>
    </row>
    <row r="63" customFormat="false" ht="15.8" hidden="false" customHeight="false" outlineLevel="0" collapsed="false">
      <c r="A63" s="9" t="n">
        <v>39448</v>
      </c>
      <c r="B63" s="10" t="n">
        <v>125.357428227328</v>
      </c>
      <c r="C63" s="11" t="n">
        <v>127.33886432523</v>
      </c>
      <c r="D63" s="11" t="n">
        <v>129.39840772783</v>
      </c>
      <c r="E63" s="11" t="n">
        <v>127.798330380905</v>
      </c>
      <c r="F63" s="11" t="n">
        <v>123.576025293375</v>
      </c>
      <c r="G63" s="11" t="n">
        <v>142.222134066244</v>
      </c>
      <c r="H63" s="11" t="n">
        <v>127.716594991393</v>
      </c>
      <c r="I63" s="12" t="n">
        <v>122.926535104354</v>
      </c>
      <c r="J63" s="11" t="n">
        <v>152.684552803554</v>
      </c>
      <c r="K63" s="11" t="n">
        <v>102.872505518271</v>
      </c>
      <c r="L63" s="11" t="n">
        <v>134.745312745629</v>
      </c>
      <c r="M63" s="11" t="n">
        <v>124.241580902706</v>
      </c>
      <c r="N63" s="11" t="n">
        <v>115.752321978567</v>
      </c>
      <c r="O63" s="12" t="n">
        <v>122.926535104354</v>
      </c>
      <c r="Q63" s="13" t="n">
        <f aca="false">INDEX($C$3:$C$164, 53, 1)</f>
        <v>101.182704976195</v>
      </c>
      <c r="R63" s="2" t="n">
        <f aca="false">$R$8 * $Q$63 + $R$9</f>
        <v>115.879142190944</v>
      </c>
      <c r="T63" s="13" t="n">
        <f aca="false">INDEX($H$3:$H$164, 53, 1)</f>
        <v>112.5864076679</v>
      </c>
      <c r="U63" s="2" t="n">
        <f aca="false">$U$8 * $T$63 + $U$9</f>
        <v>117.134635110405</v>
      </c>
      <c r="W63" s="13" t="n">
        <f aca="false">INDEX($H$3:$H$164, 53, 1)</f>
        <v>112.5864076679</v>
      </c>
      <c r="X63" s="2" t="n">
        <f aca="false">$X$8 * $W$63 + $X$9</f>
        <v>117.134635110405</v>
      </c>
    </row>
    <row r="64" customFormat="false" ht="15.8" hidden="false" customHeight="false" outlineLevel="0" collapsed="false">
      <c r="A64" s="9" t="n">
        <v>39479</v>
      </c>
      <c r="B64" s="10" t="n">
        <v>123.226798349481</v>
      </c>
      <c r="C64" s="11" t="n">
        <v>110.704069345344</v>
      </c>
      <c r="D64" s="11" t="n">
        <v>122.941264826546</v>
      </c>
      <c r="E64" s="11" t="n">
        <v>113.43747386218</v>
      </c>
      <c r="F64" s="11" t="n">
        <v>108.812448394585</v>
      </c>
      <c r="G64" s="11" t="n">
        <v>134.752509851316</v>
      </c>
      <c r="H64" s="11" t="n">
        <v>114.572719008728</v>
      </c>
      <c r="I64" s="12" t="n">
        <v>106.651260063522</v>
      </c>
      <c r="J64" s="11" t="n">
        <v>117.714106069216</v>
      </c>
      <c r="K64" s="11" t="n">
        <v>103.307252955172</v>
      </c>
      <c r="L64" s="11" t="n">
        <v>112.525642422823</v>
      </c>
      <c r="M64" s="11" t="n">
        <v>107.253465217023</v>
      </c>
      <c r="N64" s="11" t="n">
        <v>103.365938653364</v>
      </c>
      <c r="O64" s="12" t="n">
        <v>106.651260063522</v>
      </c>
      <c r="Q64" s="13" t="n">
        <f aca="false">INDEX($C$3:$C$164, 54, 1)</f>
        <v>100.570334785723</v>
      </c>
      <c r="R64" s="2" t="n">
        <f aca="false">$R$8 * $Q$64 + $R$9</f>
        <v>115.498261764981</v>
      </c>
      <c r="T64" s="13" t="n">
        <f aca="false">INDEX($H$3:$H$164, 54, 1)</f>
        <v>110.878530755627</v>
      </c>
      <c r="U64" s="2" t="n">
        <f aca="false">$U$8 * $T$64 + $U$9</f>
        <v>115.99906179411</v>
      </c>
      <c r="W64" s="13" t="n">
        <f aca="false">INDEX($H$3:$H$164, 54, 1)</f>
        <v>110.878530755627</v>
      </c>
      <c r="X64" s="2" t="n">
        <f aca="false">$X$8 * $W$64 + $X$9</f>
        <v>115.99906179411</v>
      </c>
    </row>
    <row r="65" customFormat="false" ht="15.8" hidden="false" customHeight="false" outlineLevel="0" collapsed="false">
      <c r="A65" s="9" t="n">
        <v>39508</v>
      </c>
      <c r="B65" s="10" t="n">
        <v>125.622842058436</v>
      </c>
      <c r="C65" s="11" t="n">
        <v>116.020790989026</v>
      </c>
      <c r="D65" s="11" t="n">
        <v>133.98249885271</v>
      </c>
      <c r="E65" s="11" t="n">
        <v>120.035618819444</v>
      </c>
      <c r="F65" s="11" t="n">
        <v>117.095653070364</v>
      </c>
      <c r="G65" s="11" t="n">
        <v>145.161927719631</v>
      </c>
      <c r="H65" s="11" t="n">
        <v>123.328072271849</v>
      </c>
      <c r="I65" s="12" t="n">
        <v>116.917533480608</v>
      </c>
      <c r="J65" s="11" t="n">
        <v>115.045567637439</v>
      </c>
      <c r="K65" s="11" t="n">
        <v>122.637063561878</v>
      </c>
      <c r="L65" s="11" t="n">
        <v>117.779558212195</v>
      </c>
      <c r="M65" s="11" t="n">
        <v>117.827878465721</v>
      </c>
      <c r="N65" s="11" t="n">
        <v>111.951159724366</v>
      </c>
      <c r="O65" s="12" t="n">
        <v>116.917533480608</v>
      </c>
      <c r="Q65" s="13" t="n">
        <f aca="false">INDEX($C$3:$C$164, 55, 1)</f>
        <v>110.827358805639</v>
      </c>
      <c r="R65" s="2" t="n">
        <f aca="false">$R$8 * $Q$65 + $R$9</f>
        <v>121.877899014803</v>
      </c>
      <c r="T65" s="13" t="n">
        <f aca="false">INDEX($H$3:$H$164, 55, 1)</f>
        <v>120.556051314073</v>
      </c>
      <c r="U65" s="2" t="n">
        <f aca="false">$U$8 * $T$65 + $U$9</f>
        <v>122.433678970029</v>
      </c>
      <c r="W65" s="13" t="n">
        <f aca="false">INDEX($H$3:$H$164, 55, 1)</f>
        <v>120.556051314073</v>
      </c>
      <c r="X65" s="2" t="n">
        <f aca="false">$X$8 * $W$65 + $X$9</f>
        <v>122.433678970029</v>
      </c>
    </row>
    <row r="66" customFormat="false" ht="15.8" hidden="false" customHeight="false" outlineLevel="0" collapsed="false">
      <c r="A66" s="9" t="n">
        <v>39539</v>
      </c>
      <c r="B66" s="10" t="n">
        <v>126.2144050695</v>
      </c>
      <c r="C66" s="11" t="n">
        <v>109.665603814533</v>
      </c>
      <c r="D66" s="11" t="n">
        <v>136.347573811213</v>
      </c>
      <c r="E66" s="11" t="n">
        <v>115.62724466319</v>
      </c>
      <c r="F66" s="11" t="n">
        <v>112.12134438572</v>
      </c>
      <c r="G66" s="11" t="n">
        <v>149.294044214481</v>
      </c>
      <c r="H66" s="11" t="n">
        <v>120.375943582763</v>
      </c>
      <c r="I66" s="12" t="n">
        <v>111.916583117658</v>
      </c>
      <c r="J66" s="11" t="n">
        <v>106.232133771022</v>
      </c>
      <c r="K66" s="11" t="n">
        <v>115.797829965725</v>
      </c>
      <c r="L66" s="11" t="n">
        <v>109.677110030985</v>
      </c>
      <c r="M66" s="11" t="n">
        <v>111.989897396836</v>
      </c>
      <c r="N66" s="11" t="n">
        <v>111.516618139523</v>
      </c>
      <c r="O66" s="12" t="n">
        <v>111.916583117658</v>
      </c>
      <c r="Q66" s="13" t="n">
        <f aca="false">INDEX($C$3:$C$164, 56, 1)</f>
        <v>105.736047430565</v>
      </c>
      <c r="R66" s="2" t="n">
        <f aca="false">$R$8 * $Q$66 + $R$9</f>
        <v>118.711218344484</v>
      </c>
      <c r="T66" s="13" t="n">
        <f aca="false">INDEX($H$3:$H$164, 56, 1)</f>
        <v>118.590635046222</v>
      </c>
      <c r="U66" s="2" t="n">
        <f aca="false">$U$8 * $T$66 + $U$9</f>
        <v>121.126866837875</v>
      </c>
      <c r="W66" s="13" t="n">
        <f aca="false">INDEX($H$3:$H$164, 56, 1)</f>
        <v>118.590635046222</v>
      </c>
      <c r="X66" s="2" t="n">
        <f aca="false">$X$8 * $W$66 + $X$9</f>
        <v>121.126866837875</v>
      </c>
    </row>
    <row r="67" customFormat="false" ht="15.8" hidden="false" customHeight="false" outlineLevel="0" collapsed="false">
      <c r="A67" s="9" t="n">
        <v>39569</v>
      </c>
      <c r="B67" s="10" t="n">
        <v>131.220376154281</v>
      </c>
      <c r="C67" s="11" t="n">
        <v>114.630963686729</v>
      </c>
      <c r="D67" s="11" t="n">
        <v>138.02979368971</v>
      </c>
      <c r="E67" s="11" t="n">
        <v>119.860145699013</v>
      </c>
      <c r="F67" s="11" t="n">
        <v>116.411149271143</v>
      </c>
      <c r="G67" s="11" t="n">
        <v>151.605376810621</v>
      </c>
      <c r="H67" s="11" t="n">
        <v>124.226407342959</v>
      </c>
      <c r="I67" s="12" t="n">
        <v>117.89016492116</v>
      </c>
      <c r="J67" s="11" t="n">
        <v>115.581952445824</v>
      </c>
      <c r="K67" s="11" t="n">
        <v>114.81368931867</v>
      </c>
      <c r="L67" s="11" t="n">
        <v>115.305271252884</v>
      </c>
      <c r="M67" s="11" t="n">
        <v>118.213258941882</v>
      </c>
      <c r="N67" s="11" t="n">
        <v>116.127530215031</v>
      </c>
      <c r="O67" s="12" t="n">
        <v>117.89016492116</v>
      </c>
      <c r="Q67" s="13" t="n">
        <f aca="false">INDEX($C$3:$C$164, 57, 1)</f>
        <v>109.871040904645</v>
      </c>
      <c r="R67" s="2" t="n">
        <f aca="false">$R$8 * $Q$67 + $R$9</f>
        <v>121.283090882151</v>
      </c>
      <c r="T67" s="13" t="n">
        <f aca="false">INDEX($H$3:$H$164, 57, 1)</f>
        <v>120.14198807873</v>
      </c>
      <c r="U67" s="2" t="n">
        <f aca="false">$U$8 * $T$67 + $U$9</f>
        <v>122.158366880536</v>
      </c>
      <c r="W67" s="13" t="n">
        <f aca="false">INDEX($H$3:$H$164, 57, 1)</f>
        <v>120.14198807873</v>
      </c>
      <c r="X67" s="2" t="n">
        <f aca="false">$X$8 * $W$67 + $X$9</f>
        <v>122.158366880536</v>
      </c>
    </row>
    <row r="68" customFormat="false" ht="15.8" hidden="false" customHeight="false" outlineLevel="0" collapsed="false">
      <c r="A68" s="9" t="n">
        <v>39600</v>
      </c>
      <c r="B68" s="10" t="n">
        <v>133.038551029871</v>
      </c>
      <c r="C68" s="11" t="n">
        <v>107.195467542913</v>
      </c>
      <c r="D68" s="11" t="n">
        <v>137.681128085644</v>
      </c>
      <c r="E68" s="11" t="n">
        <v>114.007739701744</v>
      </c>
      <c r="F68" s="11" t="n">
        <v>108.616542821425</v>
      </c>
      <c r="G68" s="11" t="n">
        <v>153.460469725287</v>
      </c>
      <c r="H68" s="11" t="n">
        <v>118.57462078504</v>
      </c>
      <c r="I68" s="12" t="n">
        <v>114.426826545523</v>
      </c>
      <c r="J68" s="11" t="n">
        <v>101.898647530095</v>
      </c>
      <c r="K68" s="11" t="n">
        <v>112.022304696215</v>
      </c>
      <c r="L68" s="11" t="n">
        <v>105.544567062915</v>
      </c>
      <c r="M68" s="11" t="n">
        <v>114.368074714383</v>
      </c>
      <c r="N68" s="11" t="n">
        <v>114.747346301303</v>
      </c>
      <c r="O68" s="12" t="n">
        <v>114.426826545523</v>
      </c>
      <c r="Q68" s="13" t="n">
        <f aca="false">INDEX($C$3:$C$164, 58, 1)</f>
        <v>112.140768701305</v>
      </c>
      <c r="R68" s="2" t="n">
        <f aca="false">$R$8 * $Q$68 + $R$9</f>
        <v>122.694810301976</v>
      </c>
      <c r="T68" s="13" t="n">
        <f aca="false">INDEX($H$3:$H$164, 58, 1)</f>
        <v>124.122627999167</v>
      </c>
      <c r="U68" s="2" t="n">
        <f aca="false">$U$8 * $T$68 + $U$9</f>
        <v>124.805108248689</v>
      </c>
      <c r="W68" s="13" t="n">
        <f aca="false">INDEX($H$3:$H$164, 58, 1)</f>
        <v>124.122627999167</v>
      </c>
      <c r="X68" s="2" t="n">
        <f aca="false">$X$8 * $W$68 + $X$9</f>
        <v>124.805108248689</v>
      </c>
    </row>
    <row r="69" customFormat="false" ht="15.8" hidden="false" customHeight="false" outlineLevel="0" collapsed="false">
      <c r="A69" s="9" t="n">
        <v>39630</v>
      </c>
      <c r="B69" s="10" t="n">
        <v>136.319702667269</v>
      </c>
      <c r="C69" s="11" t="n">
        <v>120.924854574081</v>
      </c>
      <c r="D69" s="11" t="n">
        <v>146.313919737682</v>
      </c>
      <c r="E69" s="11" t="n">
        <v>126.60156055026</v>
      </c>
      <c r="F69" s="11" t="n">
        <v>123.024968058399</v>
      </c>
      <c r="G69" s="11" t="n">
        <v>162.523986600486</v>
      </c>
      <c r="H69" s="11" t="n">
        <v>131.804785924361</v>
      </c>
      <c r="I69" s="12" t="n">
        <v>124.285057280073</v>
      </c>
      <c r="J69" s="11" t="n">
        <v>126.121439731836</v>
      </c>
      <c r="K69" s="11" t="n">
        <v>119.604709521129</v>
      </c>
      <c r="L69" s="11" t="n">
        <v>123.774513756819</v>
      </c>
      <c r="M69" s="11" t="n">
        <v>124.272053488395</v>
      </c>
      <c r="N69" s="11" t="n">
        <v>124.355999275447</v>
      </c>
      <c r="O69" s="12" t="n">
        <v>124.285057280073</v>
      </c>
      <c r="Q69" s="13" t="n">
        <f aca="false">INDEX($C$3:$C$164, 59, 1)</f>
        <v>110.787187863158</v>
      </c>
      <c r="R69" s="2" t="n">
        <f aca="false">$R$8 * $Q$69 + $R$9</f>
        <v>121.85291359598</v>
      </c>
      <c r="T69" s="13" t="n">
        <f aca="false">INDEX($H$3:$H$164, 59, 1)</f>
        <v>120.547107009857</v>
      </c>
      <c r="U69" s="2" t="n">
        <f aca="false">$U$8 * $T$69 + $U$9</f>
        <v>122.427731870956</v>
      </c>
      <c r="W69" s="13" t="n">
        <f aca="false">INDEX($H$3:$H$164, 59, 1)</f>
        <v>120.547107009857</v>
      </c>
      <c r="X69" s="2" t="n">
        <f aca="false">$X$8 * $W$69 + $X$9</f>
        <v>122.427731870956</v>
      </c>
    </row>
    <row r="70" customFormat="false" ht="15.8" hidden="false" customHeight="false" outlineLevel="0" collapsed="false">
      <c r="A70" s="9" t="n">
        <v>39661</v>
      </c>
      <c r="B70" s="10" t="n">
        <v>134.379674268838</v>
      </c>
      <c r="C70" s="11" t="n">
        <v>113.71657990183</v>
      </c>
      <c r="D70" s="11" t="n">
        <v>140.928128583289</v>
      </c>
      <c r="E70" s="11" t="n">
        <v>119.784284722906</v>
      </c>
      <c r="F70" s="11" t="n">
        <v>115.560149899755</v>
      </c>
      <c r="G70" s="11" t="n">
        <v>157.922287368609</v>
      </c>
      <c r="H70" s="11" t="n">
        <v>124.949908247966</v>
      </c>
      <c r="I70" s="12" t="n">
        <v>119.63994639673</v>
      </c>
      <c r="J70" s="11" t="n">
        <v>111.589799263634</v>
      </c>
      <c r="K70" s="11" t="n">
        <v>109.490872699161</v>
      </c>
      <c r="L70" s="11" t="n">
        <v>110.833894827738</v>
      </c>
      <c r="M70" s="11" t="n">
        <v>119.303819155935</v>
      </c>
      <c r="N70" s="11" t="n">
        <v>121.473683644412</v>
      </c>
      <c r="O70" s="12" t="n">
        <v>119.63994639673</v>
      </c>
      <c r="Q70" s="13" t="n">
        <f aca="false">INDEX($C$3:$C$164, 60, 1)</f>
        <v>128.938652342379</v>
      </c>
      <c r="R70" s="2" t="n">
        <f aca="false">$R$8 * $Q$70 + $R$9</f>
        <v>133.142714488091</v>
      </c>
      <c r="T70" s="13" t="n">
        <f aca="false">INDEX($H$3:$H$164, 60, 1)</f>
        <v>131.340580420181</v>
      </c>
      <c r="U70" s="2" t="n">
        <f aca="false">$U$8 * $T$70 + $U$9</f>
        <v>129.604349990695</v>
      </c>
      <c r="W70" s="13" t="n">
        <f aca="false">INDEX($H$3:$H$164, 60, 1)</f>
        <v>131.340580420181</v>
      </c>
      <c r="X70" s="2" t="n">
        <f aca="false">$X$8 * $W$70 + $X$9</f>
        <v>129.604349990695</v>
      </c>
    </row>
    <row r="71" customFormat="false" ht="15.8" hidden="false" customHeight="false" outlineLevel="0" collapsed="false">
      <c r="A71" s="9" t="n">
        <v>39692</v>
      </c>
      <c r="B71" s="10" t="n">
        <v>135.284367456328</v>
      </c>
      <c r="C71" s="11" t="n">
        <v>110.829932926233</v>
      </c>
      <c r="D71" s="11" t="n">
        <v>143.352906863258</v>
      </c>
      <c r="E71" s="11" t="n">
        <v>118.109471671469</v>
      </c>
      <c r="F71" s="11" t="n">
        <v>112.238506764315</v>
      </c>
      <c r="G71" s="11" t="n">
        <v>161.181218763305</v>
      </c>
      <c r="H71" s="11" t="n">
        <v>123.130492344704</v>
      </c>
      <c r="I71" s="12" t="n">
        <v>116.821460527224</v>
      </c>
      <c r="J71" s="11" t="n">
        <v>112.239061380901</v>
      </c>
      <c r="K71" s="11" t="n">
        <v>110.933969704538</v>
      </c>
      <c r="L71" s="11" t="n">
        <v>111.769047515665</v>
      </c>
      <c r="M71" s="11" t="n">
        <v>115.904008307671</v>
      </c>
      <c r="N71" s="11" t="n">
        <v>121.826607697038</v>
      </c>
      <c r="O71" s="12" t="n">
        <v>116.821460527224</v>
      </c>
      <c r="Q71" s="13" t="n">
        <f aca="false">INDEX($C$3:$C$164, 61, 1)</f>
        <v>127.33886432523</v>
      </c>
      <c r="R71" s="2" t="n">
        <f aca="false">$R$8 * $Q$71 + $R$9</f>
        <v>132.147682478202</v>
      </c>
      <c r="T71" s="13" t="n">
        <f aca="false">INDEX($H$3:$H$164, 61, 1)</f>
        <v>127.716594991393</v>
      </c>
      <c r="U71" s="2" t="n">
        <f aca="false">$U$8 * $T$71 + $U$9</f>
        <v>127.194749438103</v>
      </c>
      <c r="W71" s="13" t="n">
        <f aca="false">INDEX($H$3:$H$164, 61, 1)</f>
        <v>127.716594991393</v>
      </c>
      <c r="X71" s="2" t="n">
        <f aca="false">$X$8 * $W$71 + $X$9</f>
        <v>127.194749438103</v>
      </c>
    </row>
    <row r="72" customFormat="false" ht="15.8" hidden="false" customHeight="false" outlineLevel="0" collapsed="false">
      <c r="A72" s="9" t="n">
        <v>39722</v>
      </c>
      <c r="B72" s="10" t="n">
        <v>133.737978098105</v>
      </c>
      <c r="C72" s="11" t="n">
        <v>115.726687115252</v>
      </c>
      <c r="D72" s="11" t="n">
        <v>146.211653311868</v>
      </c>
      <c r="E72" s="11" t="n">
        <v>122.537217005026</v>
      </c>
      <c r="F72" s="11" t="n">
        <v>118.564266312606</v>
      </c>
      <c r="G72" s="11" t="n">
        <v>164.012882771739</v>
      </c>
      <c r="H72" s="11" t="n">
        <v>128.653869351429</v>
      </c>
      <c r="I72" s="12" t="n">
        <v>122.044385685918</v>
      </c>
      <c r="J72" s="11" t="n">
        <v>111.212631185805</v>
      </c>
      <c r="K72" s="11" t="n">
        <v>111.809703441349</v>
      </c>
      <c r="L72" s="11" t="n">
        <v>111.427659941053</v>
      </c>
      <c r="M72" s="11" t="n">
        <v>121.413306453948</v>
      </c>
      <c r="N72" s="11" t="n">
        <v>125.487229208996</v>
      </c>
      <c r="O72" s="12" t="n">
        <v>122.044385685918</v>
      </c>
      <c r="Q72" s="13" t="n">
        <f aca="false">INDEX($C$3:$C$164, 62, 1)</f>
        <v>110.704069345344</v>
      </c>
      <c r="R72" s="2" t="n">
        <f aca="false">$R$8 * $Q$72 + $R$9</f>
        <v>121.80121575542</v>
      </c>
      <c r="T72" s="13" t="n">
        <f aca="false">INDEX($H$3:$H$164, 62, 1)</f>
        <v>114.572719008728</v>
      </c>
      <c r="U72" s="2" t="n">
        <f aca="false">$U$8 * $T$72 + $U$9</f>
        <v>118.455340449466</v>
      </c>
      <c r="W72" s="13" t="n">
        <f aca="false">INDEX($H$3:$H$164, 62, 1)</f>
        <v>114.572719008728</v>
      </c>
      <c r="X72" s="2" t="n">
        <f aca="false">$X$8 * $W$72 + $X$9</f>
        <v>118.455340449466</v>
      </c>
    </row>
    <row r="73" customFormat="false" ht="15.8" hidden="false" customHeight="false" outlineLevel="0" collapsed="false">
      <c r="A73" s="9" t="n">
        <v>39753</v>
      </c>
      <c r="B73" s="10" t="n">
        <v>126.913049655218</v>
      </c>
      <c r="C73" s="11" t="n">
        <v>115.649827565526</v>
      </c>
      <c r="D73" s="11" t="n">
        <v>132.489095488255</v>
      </c>
      <c r="E73" s="11" t="n">
        <v>119.405258412814</v>
      </c>
      <c r="F73" s="11" t="n">
        <v>118.151740703766</v>
      </c>
      <c r="G73" s="11" t="n">
        <v>147.329266021007</v>
      </c>
      <c r="H73" s="11" t="n">
        <v>124.614477608654</v>
      </c>
      <c r="I73" s="12" t="n">
        <v>117.404209222973</v>
      </c>
      <c r="J73" s="11" t="n">
        <v>113.686928207562</v>
      </c>
      <c r="K73" s="11" t="n">
        <v>102.500040064236</v>
      </c>
      <c r="L73" s="11" t="n">
        <v>109.658098178655</v>
      </c>
      <c r="M73" s="11" t="n">
        <v>117.86434031784</v>
      </c>
      <c r="N73" s="11" t="n">
        <v>114.893970762447</v>
      </c>
      <c r="O73" s="12" t="n">
        <v>117.404209222973</v>
      </c>
      <c r="Q73" s="13" t="n">
        <f aca="false">INDEX($C$3:$C$164, 63, 1)</f>
        <v>116.020790989026</v>
      </c>
      <c r="R73" s="2" t="n">
        <f aca="false">$R$8 * $Q$73 + $R$9</f>
        <v>125.108096521138</v>
      </c>
      <c r="T73" s="13" t="n">
        <f aca="false">INDEX($H$3:$H$164, 63, 1)</f>
        <v>123.328072271849</v>
      </c>
      <c r="U73" s="2" t="n">
        <f aca="false">$U$8 * $T$73 + $U$9</f>
        <v>124.276805374069</v>
      </c>
      <c r="W73" s="13" t="n">
        <f aca="false">INDEX($H$3:$H$164, 63, 1)</f>
        <v>123.328072271849</v>
      </c>
      <c r="X73" s="2" t="n">
        <f aca="false">$X$8 * $W$73 + $X$9</f>
        <v>124.276805374069</v>
      </c>
    </row>
    <row r="74" customFormat="false" ht="15.8" hidden="false" customHeight="false" outlineLevel="0" collapsed="false">
      <c r="A74" s="9" t="n">
        <v>39783</v>
      </c>
      <c r="B74" s="10" t="n">
        <v>124.232738120385</v>
      </c>
      <c r="C74" s="11" t="n">
        <v>135.329778414424</v>
      </c>
      <c r="D74" s="11" t="n">
        <v>128.068842704687</v>
      </c>
      <c r="E74" s="11" t="n">
        <v>133.69997664944</v>
      </c>
      <c r="F74" s="11" t="n">
        <v>134.874624193304</v>
      </c>
      <c r="G74" s="11" t="n">
        <v>140.425898745946</v>
      </c>
      <c r="H74" s="11" t="n">
        <v>136.092124410295</v>
      </c>
      <c r="I74" s="12" t="n">
        <v>129.238378838402</v>
      </c>
      <c r="J74" s="11" t="n">
        <v>155.292015637465</v>
      </c>
      <c r="K74" s="11" t="n">
        <v>100.440735358525</v>
      </c>
      <c r="L74" s="11" t="n">
        <v>135.537953356649</v>
      </c>
      <c r="M74" s="11" t="n">
        <v>131.14251893471</v>
      </c>
      <c r="N74" s="11" t="n">
        <v>118.8503703832</v>
      </c>
      <c r="O74" s="12" t="n">
        <v>129.238378838402</v>
      </c>
      <c r="Q74" s="13" t="n">
        <f aca="false">INDEX($C$3:$C$164, 64, 1)</f>
        <v>109.665603814533</v>
      </c>
      <c r="R74" s="2" t="n">
        <f aca="false">$R$8 * $Q$74 + $R$9</f>
        <v>121.155313652612</v>
      </c>
      <c r="T74" s="13" t="n">
        <f aca="false">INDEX($H$3:$H$164, 64, 1)</f>
        <v>120.375943582763</v>
      </c>
      <c r="U74" s="2" t="n">
        <f aca="false">$U$8 * $T$74 + $U$9</f>
        <v>122.313924711238</v>
      </c>
      <c r="W74" s="13" t="n">
        <f aca="false">INDEX($H$3:$H$164, 64, 1)</f>
        <v>120.375943582763</v>
      </c>
      <c r="X74" s="2" t="n">
        <f aca="false">$X$8 * $W$74 + $X$9</f>
        <v>122.313924711238</v>
      </c>
    </row>
    <row r="75" customFormat="false" ht="15.8" hidden="false" customHeight="false" outlineLevel="0" collapsed="false">
      <c r="A75" s="9" t="n">
        <v>39814</v>
      </c>
      <c r="B75" s="10" t="n">
        <v>122.19516143376</v>
      </c>
      <c r="C75" s="11" t="n">
        <v>130.452460141129</v>
      </c>
      <c r="D75" s="11" t="n">
        <v>117.620042898014</v>
      </c>
      <c r="E75" s="11" t="n">
        <v>127.574275110874</v>
      </c>
      <c r="F75" s="11" t="n">
        <v>127.156815169467</v>
      </c>
      <c r="G75" s="11" t="n">
        <v>128.213270296405</v>
      </c>
      <c r="H75" s="11" t="n">
        <v>127.370015104234</v>
      </c>
      <c r="I75" s="12" t="n">
        <v>122.899660514285</v>
      </c>
      <c r="J75" s="11" t="n">
        <v>154.92277088044</v>
      </c>
      <c r="K75" s="11" t="n">
        <v>94.7615036932358</v>
      </c>
      <c r="L75" s="11" t="n">
        <v>133.256377445952</v>
      </c>
      <c r="M75" s="11" t="n">
        <v>125.258703688831</v>
      </c>
      <c r="N75" s="11" t="n">
        <v>110.029934966839</v>
      </c>
      <c r="O75" s="12" t="n">
        <v>122.899660514285</v>
      </c>
      <c r="Q75" s="13" t="n">
        <f aca="false">INDEX($C$3:$C$164, 65, 1)</f>
        <v>114.630963686729</v>
      </c>
      <c r="R75" s="2" t="n">
        <f aca="false">$R$8 * $Q$75 + $R$9</f>
        <v>124.243655333194</v>
      </c>
      <c r="T75" s="13" t="n">
        <f aca="false">INDEX($H$3:$H$164, 65, 1)</f>
        <v>124.226407342959</v>
      </c>
      <c r="U75" s="2" t="n">
        <f aca="false">$U$8 * $T$75 + $U$9</f>
        <v>124.874111496374</v>
      </c>
      <c r="W75" s="13" t="n">
        <f aca="false">INDEX($H$3:$H$164, 65, 1)</f>
        <v>124.226407342959</v>
      </c>
      <c r="X75" s="2" t="n">
        <f aca="false">$X$8 * $W$75 + $X$9</f>
        <v>124.874111496374</v>
      </c>
    </row>
    <row r="76" customFormat="false" ht="15.8" hidden="false" customHeight="false" outlineLevel="0" collapsed="false">
      <c r="A76" s="9" t="n">
        <v>39845</v>
      </c>
      <c r="B76" s="10" t="n">
        <v>118.661572067185</v>
      </c>
      <c r="C76" s="11" t="n">
        <v>114.176306371489</v>
      </c>
      <c r="D76" s="11" t="n">
        <v>113.097842354501</v>
      </c>
      <c r="E76" s="11" t="n">
        <v>113.923736486895</v>
      </c>
      <c r="F76" s="11" t="n">
        <v>111.650050954854</v>
      </c>
      <c r="G76" s="11" t="n">
        <v>122.490181403342</v>
      </c>
      <c r="H76" s="11" t="n">
        <v>114.036345269315</v>
      </c>
      <c r="I76" s="12" t="n">
        <v>111.959510457349</v>
      </c>
      <c r="J76" s="11" t="n">
        <v>121.205799499849</v>
      </c>
      <c r="K76" s="11" t="n">
        <v>98.896163512914</v>
      </c>
      <c r="L76" s="11" t="n">
        <v>113.171238838601</v>
      </c>
      <c r="M76" s="11" t="n">
        <v>113.775951777753</v>
      </c>
      <c r="N76" s="11" t="n">
        <v>102.049941391857</v>
      </c>
      <c r="O76" s="12" t="n">
        <v>111.959510457349</v>
      </c>
      <c r="Q76" s="13" t="n">
        <f aca="false">INDEX($C$3:$C$164, 66, 1)</f>
        <v>107.195467542913</v>
      </c>
      <c r="R76" s="2" t="n">
        <f aca="false">$R$8 * $Q$76 + $R$9</f>
        <v>119.618944688284</v>
      </c>
      <c r="T76" s="13" t="n">
        <f aca="false">INDEX($H$3:$H$164, 66, 1)</f>
        <v>118.57462078504</v>
      </c>
      <c r="U76" s="2" t="n">
        <f aca="false">$U$8 * $T$76 + $U$9</f>
        <v>121.116218899755</v>
      </c>
      <c r="W76" s="13" t="n">
        <f aca="false">INDEX($H$3:$H$164, 66, 1)</f>
        <v>118.57462078504</v>
      </c>
      <c r="X76" s="2" t="n">
        <f aca="false">$X$8 * $W$76 + $X$9</f>
        <v>121.116218899755</v>
      </c>
    </row>
    <row r="77" customFormat="false" ht="15.8" hidden="false" customHeight="false" outlineLevel="0" collapsed="false">
      <c r="A77" s="9" t="n">
        <v>39873</v>
      </c>
      <c r="B77" s="10" t="n">
        <v>125.65931924922</v>
      </c>
      <c r="C77" s="11" t="n">
        <v>113.228121655861</v>
      </c>
      <c r="D77" s="11" t="n">
        <v>134.766002611096</v>
      </c>
      <c r="E77" s="11" t="n">
        <v>118.045777527329</v>
      </c>
      <c r="F77" s="11" t="n">
        <v>116.1061915444</v>
      </c>
      <c r="G77" s="11" t="n">
        <v>146.400854281</v>
      </c>
      <c r="H77" s="11" t="n">
        <v>122.836896773109</v>
      </c>
      <c r="I77" s="12" t="n">
        <v>119.473870324772</v>
      </c>
      <c r="J77" s="11" t="n">
        <v>110.247336613733</v>
      </c>
      <c r="K77" s="11" t="n">
        <v>120.097846316965</v>
      </c>
      <c r="L77" s="11" t="n">
        <v>113.79488520669</v>
      </c>
      <c r="M77" s="11" t="n">
        <v>119.72727783436</v>
      </c>
      <c r="N77" s="11" t="n">
        <v>118.091409361254</v>
      </c>
      <c r="O77" s="12" t="n">
        <v>119.473870324772</v>
      </c>
      <c r="Q77" s="13" t="n">
        <f aca="false">INDEX($C$3:$C$164, 67, 1)</f>
        <v>120.924854574081</v>
      </c>
      <c r="R77" s="2" t="n">
        <f aca="false">$R$8 * $Q$77 + $R$9</f>
        <v>128.158313295708</v>
      </c>
      <c r="T77" s="13" t="n">
        <f aca="false">INDEX($H$3:$H$164, 67, 1)</f>
        <v>131.804785924361</v>
      </c>
      <c r="U77" s="2" t="n">
        <f aca="false">$U$8 * $T$77 + $U$9</f>
        <v>129.913001849641</v>
      </c>
      <c r="W77" s="13" t="n">
        <f aca="false">INDEX($H$3:$H$164, 67, 1)</f>
        <v>131.804785924361</v>
      </c>
      <c r="X77" s="2" t="n">
        <f aca="false">$X$8 * $W$77 + $X$9</f>
        <v>129.913001849641</v>
      </c>
    </row>
    <row r="78" customFormat="false" ht="15.8" hidden="false" customHeight="false" outlineLevel="0" collapsed="false">
      <c r="A78" s="9" t="n">
        <v>39904</v>
      </c>
      <c r="B78" s="10" t="n">
        <v>122.500317241464</v>
      </c>
      <c r="C78" s="11" t="n">
        <v>117.868608909843</v>
      </c>
      <c r="D78" s="11" t="n">
        <v>129.670210142211</v>
      </c>
      <c r="E78" s="11" t="n">
        <v>120.489049542635</v>
      </c>
      <c r="F78" s="11" t="n">
        <v>120.92435992406</v>
      </c>
      <c r="G78" s="11" t="n">
        <v>140.736180407471</v>
      </c>
      <c r="H78" s="11" t="n">
        <v>125.294913973023</v>
      </c>
      <c r="I78" s="12" t="n">
        <v>115.307885308806</v>
      </c>
      <c r="J78" s="11" t="n">
        <v>117.754713088337</v>
      </c>
      <c r="K78" s="11" t="n">
        <v>113.907507797428</v>
      </c>
      <c r="L78" s="11" t="n">
        <v>116.36918603159</v>
      </c>
      <c r="M78" s="11" t="n">
        <v>116.403297614627</v>
      </c>
      <c r="N78" s="11" t="n">
        <v>109.331879490291</v>
      </c>
      <c r="O78" s="12" t="n">
        <v>115.307885308806</v>
      </c>
      <c r="Q78" s="13" t="n">
        <f aca="false">INDEX($C$3:$C$164, 68, 1)</f>
        <v>113.71657990183</v>
      </c>
      <c r="R78" s="2" t="n">
        <f aca="false">$R$8 * $Q$78 + $R$9</f>
        <v>123.674929273525</v>
      </c>
      <c r="T78" s="13" t="n">
        <f aca="false">INDEX($H$3:$H$164, 68, 1)</f>
        <v>124.949908247966</v>
      </c>
      <c r="U78" s="2" t="n">
        <f aca="false">$U$8 * $T$78 + $U$9</f>
        <v>125.35516977179</v>
      </c>
      <c r="W78" s="13" t="n">
        <f aca="false">INDEX($H$3:$H$164, 68, 1)</f>
        <v>124.949908247966</v>
      </c>
      <c r="X78" s="2" t="n">
        <f aca="false">$X$8 * $W$78 + $X$9</f>
        <v>125.35516977179</v>
      </c>
    </row>
    <row r="79" customFormat="false" ht="15.8" hidden="false" customHeight="false" outlineLevel="0" collapsed="false">
      <c r="A79" s="9" t="n">
        <v>39934</v>
      </c>
      <c r="B79" s="10" t="n">
        <v>127.424735320501</v>
      </c>
      <c r="C79" s="11" t="n">
        <v>116.527230000731</v>
      </c>
      <c r="D79" s="11" t="n">
        <v>134.031806336995</v>
      </c>
      <c r="E79" s="11" t="n">
        <v>120.432624880471</v>
      </c>
      <c r="F79" s="11" t="n">
        <v>119.019670547042</v>
      </c>
      <c r="G79" s="11" t="n">
        <v>147.073539253674</v>
      </c>
      <c r="H79" s="11" t="n">
        <v>125.237383270271</v>
      </c>
      <c r="I79" s="12" t="n">
        <v>120.13765575724</v>
      </c>
      <c r="J79" s="11" t="n">
        <v>112.598311949184</v>
      </c>
      <c r="K79" s="11" t="n">
        <v>111.844737056711</v>
      </c>
      <c r="L79" s="11" t="n">
        <v>112.326920556249</v>
      </c>
      <c r="M79" s="11" t="n">
        <v>120.803804620793</v>
      </c>
      <c r="N79" s="11" t="n">
        <v>116.503490371809</v>
      </c>
      <c r="O79" s="12" t="n">
        <v>120.13765575724</v>
      </c>
      <c r="Q79" s="13" t="n">
        <f aca="false">INDEX($C$3:$C$164, 69, 1)</f>
        <v>110.829932926233</v>
      </c>
      <c r="R79" s="2" t="n">
        <f aca="false">$R$8 * $Q$79 + $R$9</f>
        <v>121.879500059667</v>
      </c>
      <c r="T79" s="13" t="n">
        <f aca="false">INDEX($H$3:$H$164, 69, 1)</f>
        <v>123.130492344704</v>
      </c>
      <c r="U79" s="2" t="n">
        <f aca="false">$U$8 * $T$79 + $U$9</f>
        <v>124.145433791322</v>
      </c>
      <c r="W79" s="13" t="n">
        <f aca="false">INDEX($H$3:$H$164, 69, 1)</f>
        <v>123.130492344704</v>
      </c>
      <c r="X79" s="2" t="n">
        <f aca="false">$X$8 * $W$79 + $X$9</f>
        <v>124.145433791322</v>
      </c>
    </row>
    <row r="80" customFormat="false" ht="15.8" hidden="false" customHeight="false" outlineLevel="0" collapsed="false">
      <c r="A80" s="9" t="n">
        <v>39965</v>
      </c>
      <c r="B80" s="10" t="n">
        <v>129.844948888219</v>
      </c>
      <c r="C80" s="11" t="n">
        <v>110.843825912916</v>
      </c>
      <c r="D80" s="11" t="n">
        <v>131.04016190083</v>
      </c>
      <c r="E80" s="11" t="n">
        <v>115.344095595565</v>
      </c>
      <c r="F80" s="11" t="n">
        <v>112.592090660183</v>
      </c>
      <c r="G80" s="11" t="n">
        <v>144.390880603528</v>
      </c>
      <c r="H80" s="11" t="n">
        <v>119.630441692085</v>
      </c>
      <c r="I80" s="12" t="n">
        <v>115.979993604865</v>
      </c>
      <c r="J80" s="11" t="n">
        <v>106.817949296696</v>
      </c>
      <c r="K80" s="11" t="n">
        <v>109.394143660704</v>
      </c>
      <c r="L80" s="11" t="n">
        <v>107.74573628098</v>
      </c>
      <c r="M80" s="11" t="n">
        <v>116.147889231948</v>
      </c>
      <c r="N80" s="11" t="n">
        <v>115.064041466095</v>
      </c>
      <c r="O80" s="12" t="n">
        <v>115.979993604865</v>
      </c>
      <c r="Q80" s="13" t="n">
        <f aca="false">INDEX($C$3:$C$164, 70, 1)</f>
        <v>115.726687115252</v>
      </c>
      <c r="R80" s="2" t="n">
        <f aca="false">$R$8 * $Q$80 + $R$9</f>
        <v>124.92517055501</v>
      </c>
      <c r="T80" s="13" t="n">
        <f aca="false">INDEX($H$3:$H$164, 70, 1)</f>
        <v>128.653869351429</v>
      </c>
      <c r="U80" s="2" t="n">
        <f aca="false">$U$8 * $T$80 + $U$9</f>
        <v>127.817946429441</v>
      </c>
      <c r="W80" s="13" t="n">
        <f aca="false">INDEX($H$3:$H$164, 70, 1)</f>
        <v>128.653869351429</v>
      </c>
      <c r="X80" s="2" t="n">
        <f aca="false">$X$8 * $W$80 + $X$9</f>
        <v>127.817946429441</v>
      </c>
    </row>
    <row r="81" customFormat="false" ht="15.8" hidden="false" customHeight="false" outlineLevel="0" collapsed="false">
      <c r="A81" s="9" t="n">
        <v>39995</v>
      </c>
      <c r="B81" s="10" t="n">
        <v>131.10752760485</v>
      </c>
      <c r="C81" s="11" t="n">
        <v>121.815774024579</v>
      </c>
      <c r="D81" s="11" t="n">
        <v>136.096433483658</v>
      </c>
      <c r="E81" s="11" t="n">
        <v>124.991432291859</v>
      </c>
      <c r="F81" s="11" t="n">
        <v>123.796356781984</v>
      </c>
      <c r="G81" s="11" t="n">
        <v>149.781384035258</v>
      </c>
      <c r="H81" s="11" t="n">
        <v>129.553385744126</v>
      </c>
      <c r="I81" s="12" t="n">
        <v>125.572136248862</v>
      </c>
      <c r="J81" s="11" t="n">
        <v>123.210699789112</v>
      </c>
      <c r="K81" s="11" t="n">
        <v>111.640614256704</v>
      </c>
      <c r="L81" s="11" t="n">
        <v>119.043865596013</v>
      </c>
      <c r="M81" s="11" t="n">
        <v>126.2329117521</v>
      </c>
      <c r="N81" s="11" t="n">
        <v>121.967285152065</v>
      </c>
      <c r="O81" s="12" t="n">
        <v>125.572136248862</v>
      </c>
      <c r="Q81" s="13" t="n">
        <f aca="false">INDEX($C$3:$C$164, 71, 1)</f>
        <v>115.649827565526</v>
      </c>
      <c r="R81" s="2" t="n">
        <f aca="false">$R$8 * $Q$81 + $R$9</f>
        <v>124.877365651221</v>
      </c>
      <c r="T81" s="13" t="n">
        <f aca="false">INDEX($H$3:$H$164, 71, 1)</f>
        <v>124.614477608654</v>
      </c>
      <c r="U81" s="2" t="n">
        <f aca="false">$U$8 * $T$81 + $U$9</f>
        <v>125.13214076968</v>
      </c>
      <c r="W81" s="13" t="n">
        <f aca="false">INDEX($H$3:$H$164, 71, 1)</f>
        <v>124.614477608654</v>
      </c>
      <c r="X81" s="2" t="n">
        <f aca="false">$X$8 * $W$81 + $X$9</f>
        <v>125.13214076968</v>
      </c>
    </row>
    <row r="82" customFormat="false" ht="15.8" hidden="false" customHeight="false" outlineLevel="0" collapsed="false">
      <c r="A82" s="9" t="n">
        <v>40026</v>
      </c>
      <c r="B82" s="10" t="n">
        <v>131.916336645903</v>
      </c>
      <c r="C82" s="11" t="n">
        <v>117.710951272873</v>
      </c>
      <c r="D82" s="11" t="n">
        <v>135.498532303427</v>
      </c>
      <c r="E82" s="11" t="n">
        <v>121.656476305919</v>
      </c>
      <c r="F82" s="11" t="n">
        <v>120.292134273321</v>
      </c>
      <c r="G82" s="11" t="n">
        <v>150.884448407058</v>
      </c>
      <c r="H82" s="11" t="n">
        <v>127.046054368304</v>
      </c>
      <c r="I82" s="12" t="n">
        <v>122.398795666053</v>
      </c>
      <c r="J82" s="11" t="n">
        <v>109.620643955727</v>
      </c>
      <c r="K82" s="11" t="n">
        <v>107.584286828147</v>
      </c>
      <c r="L82" s="11" t="n">
        <v>108.887273188087</v>
      </c>
      <c r="M82" s="11" t="n">
        <v>122.973986493262</v>
      </c>
      <c r="N82" s="11" t="n">
        <v>119.26085051801</v>
      </c>
      <c r="O82" s="12" t="n">
        <v>122.398795666053</v>
      </c>
      <c r="Q82" s="13" t="n">
        <f aca="false">INDEX($C$3:$C$164, 72, 1)</f>
        <v>135.329778414424</v>
      </c>
      <c r="R82" s="2" t="n">
        <f aca="false">$R$8 * $Q$82 + $R$9</f>
        <v>137.11785053909</v>
      </c>
      <c r="T82" s="13" t="n">
        <f aca="false">INDEX($H$3:$H$164, 72, 1)</f>
        <v>136.092124410295</v>
      </c>
      <c r="U82" s="2" t="n">
        <f aca="false">$U$8 * $T$82 + $U$9</f>
        <v>132.763668163803</v>
      </c>
      <c r="W82" s="13" t="n">
        <f aca="false">INDEX($H$3:$H$164, 72, 1)</f>
        <v>136.092124410295</v>
      </c>
      <c r="X82" s="2" t="n">
        <f aca="false">$X$8 * $W$82 + $X$9</f>
        <v>132.763668163803</v>
      </c>
    </row>
    <row r="83" customFormat="false" ht="15.8" hidden="false" customHeight="false" outlineLevel="0" collapsed="false">
      <c r="A83" s="9" t="n">
        <v>40057</v>
      </c>
      <c r="B83" s="10" t="n">
        <v>134.391975301391</v>
      </c>
      <c r="C83" s="11" t="n">
        <v>118.408712294155</v>
      </c>
      <c r="D83" s="11" t="n">
        <v>137.279836012845</v>
      </c>
      <c r="E83" s="11" t="n">
        <v>122.614196233809</v>
      </c>
      <c r="F83" s="11" t="n">
        <v>120.178629636489</v>
      </c>
      <c r="G83" s="11" t="n">
        <v>153.153819473284</v>
      </c>
      <c r="H83" s="11" t="n">
        <v>127.49410216163</v>
      </c>
      <c r="I83" s="12" t="n">
        <v>121.892705640929</v>
      </c>
      <c r="J83" s="11" t="n">
        <v>120.897390240059</v>
      </c>
      <c r="K83" s="11" t="n">
        <v>104.926424538821</v>
      </c>
      <c r="L83" s="11" t="n">
        <v>115.145629304988</v>
      </c>
      <c r="M83" s="11" t="n">
        <v>121.796763865886</v>
      </c>
      <c r="N83" s="11" t="n">
        <v>122.416114591926</v>
      </c>
      <c r="O83" s="12" t="n">
        <v>121.892705640929</v>
      </c>
      <c r="Q83" s="13" t="n">
        <f aca="false">INDEX($C$3:$C$164, 73, 1)</f>
        <v>130.452460141129</v>
      </c>
      <c r="R83" s="2" t="n">
        <f aca="false">$R$8 * $Q$83 + $R$9</f>
        <v>134.084268744299</v>
      </c>
      <c r="T83" s="13" t="n">
        <f aca="false">INDEX($H$3:$H$164, 73, 1)</f>
        <v>127.370015104234</v>
      </c>
      <c r="U83" s="2" t="n">
        <f aca="false">$U$8 * $T$83 + $U$9</f>
        <v>126.964307262209</v>
      </c>
      <c r="W83" s="13" t="n">
        <f aca="false">INDEX($H$3:$H$164, 73, 1)</f>
        <v>127.370015104234</v>
      </c>
      <c r="X83" s="2" t="n">
        <f aca="false">$X$8 * $W$83 + $X$9</f>
        <v>126.964307262209</v>
      </c>
    </row>
    <row r="84" customFormat="false" ht="15.8" hidden="false" customHeight="false" outlineLevel="0" collapsed="false">
      <c r="A84" s="9" t="n">
        <v>40087</v>
      </c>
      <c r="B84" s="10" t="n">
        <v>134.419845601653</v>
      </c>
      <c r="C84" s="11" t="n">
        <v>127.586171363632</v>
      </c>
      <c r="D84" s="11" t="n">
        <v>143.169825875605</v>
      </c>
      <c r="E84" s="11" t="n">
        <v>131.043104118204</v>
      </c>
      <c r="F84" s="11" t="n">
        <v>129.892153685719</v>
      </c>
      <c r="G84" s="11" t="n">
        <v>160.055639149955</v>
      </c>
      <c r="H84" s="11" t="n">
        <v>136.557318707164</v>
      </c>
      <c r="I84" s="12" t="n">
        <v>126.658231583469</v>
      </c>
      <c r="J84" s="11" t="n">
        <v>127.21617855629</v>
      </c>
      <c r="K84" s="11" t="n">
        <v>108.863360392348</v>
      </c>
      <c r="L84" s="11" t="n">
        <v>120.606620653624</v>
      </c>
      <c r="M84" s="11" t="n">
        <v>126.801363948364</v>
      </c>
      <c r="N84" s="11" t="n">
        <v>125.877375059507</v>
      </c>
      <c r="O84" s="12" t="n">
        <v>126.658231583469</v>
      </c>
      <c r="Q84" s="13" t="n">
        <f aca="false">INDEX($C$3:$C$164, 74, 1)</f>
        <v>114.176306371489</v>
      </c>
      <c r="R84" s="2" t="n">
        <f aca="false">$R$8 * $Q$84 + $R$9</f>
        <v>123.960868753131</v>
      </c>
      <c r="T84" s="13" t="n">
        <f aca="false">INDEX($H$3:$H$164, 74, 1)</f>
        <v>114.036345269315</v>
      </c>
      <c r="U84" s="2" t="n">
        <f aca="false">$U$8 * $T$84 + $U$9</f>
        <v>118.09870367918</v>
      </c>
      <c r="W84" s="13" t="n">
        <f aca="false">INDEX($H$3:$H$164, 74, 1)</f>
        <v>114.036345269315</v>
      </c>
      <c r="X84" s="2" t="n">
        <f aca="false">$X$8 * $W$84 + $X$9</f>
        <v>118.09870367918</v>
      </c>
    </row>
    <row r="85" customFormat="false" ht="15.8" hidden="false" customHeight="false" outlineLevel="0" collapsed="false">
      <c r="A85" s="9" t="n">
        <v>40118</v>
      </c>
      <c r="B85" s="10" t="n">
        <v>132.718009036951</v>
      </c>
      <c r="C85" s="11" t="n">
        <v>121.858862068002</v>
      </c>
      <c r="D85" s="11" t="n">
        <v>137.554448327576</v>
      </c>
      <c r="E85" s="11" t="n">
        <v>125.355826799457</v>
      </c>
      <c r="F85" s="11" t="n">
        <v>124.184400861223</v>
      </c>
      <c r="G85" s="11" t="n">
        <v>153.306297221071</v>
      </c>
      <c r="H85" s="11" t="n">
        <v>130.631784698648</v>
      </c>
      <c r="I85" s="12" t="n">
        <v>123.62013057593</v>
      </c>
      <c r="J85" s="11" t="n">
        <v>120.419619998079</v>
      </c>
      <c r="K85" s="11" t="n">
        <v>105.54551171439</v>
      </c>
      <c r="L85" s="11" t="n">
        <v>115.062879737626</v>
      </c>
      <c r="M85" s="11" t="n">
        <v>123.776977819525</v>
      </c>
      <c r="N85" s="11" t="n">
        <v>122.764452731742</v>
      </c>
      <c r="O85" s="12" t="n">
        <v>123.62013057593</v>
      </c>
      <c r="Q85" s="13" t="n">
        <f aca="false">INDEX($C$3:$C$164, 75, 1)</f>
        <v>113.228121655861</v>
      </c>
      <c r="R85" s="2" t="n">
        <f aca="false">$R$8 * $Q$85 + $R$9</f>
        <v>123.371119278061</v>
      </c>
      <c r="T85" s="13" t="n">
        <f aca="false">INDEX($H$3:$H$164, 75, 1)</f>
        <v>122.836896773109</v>
      </c>
      <c r="U85" s="2" t="n">
        <f aca="false">$U$8 * $T$85 + $U$9</f>
        <v>123.950221071665</v>
      </c>
      <c r="W85" s="13" t="n">
        <f aca="false">INDEX($H$3:$H$164, 75, 1)</f>
        <v>122.836896773109</v>
      </c>
      <c r="X85" s="2" t="n">
        <f aca="false">$X$8 * $W$85 + $X$9</f>
        <v>123.950221071665</v>
      </c>
    </row>
    <row r="86" customFormat="false" ht="15.8" hidden="false" customHeight="false" outlineLevel="0" collapsed="false">
      <c r="A86" s="9" t="n">
        <v>40148</v>
      </c>
      <c r="B86" s="10" t="n">
        <v>135.204454040909</v>
      </c>
      <c r="C86" s="11" t="n">
        <v>142.612049481033</v>
      </c>
      <c r="D86" s="11" t="n">
        <v>138.787551096101</v>
      </c>
      <c r="E86" s="11" t="n">
        <v>141.754252154054</v>
      </c>
      <c r="F86" s="11" t="n">
        <v>141.559271191814</v>
      </c>
      <c r="G86" s="11" t="n">
        <v>152.212341080579</v>
      </c>
      <c r="H86" s="11" t="n">
        <v>143.915843351136</v>
      </c>
      <c r="I86" s="12" t="n">
        <v>135.247837342303</v>
      </c>
      <c r="J86" s="11" t="n">
        <v>167.436995814017</v>
      </c>
      <c r="K86" s="11" t="n">
        <v>106.298494488396</v>
      </c>
      <c r="L86" s="11" t="n">
        <v>145.41866266299</v>
      </c>
      <c r="M86" s="11" t="n">
        <v>136.321137407938</v>
      </c>
      <c r="N86" s="11" t="n">
        <v>129.392464526818</v>
      </c>
      <c r="O86" s="12" t="n">
        <v>135.247837342303</v>
      </c>
      <c r="Q86" s="13" t="n">
        <f aca="false">INDEX($C$3:$C$164, 76, 1)</f>
        <v>117.868608909843</v>
      </c>
      <c r="R86" s="2" t="n">
        <f aca="false">$R$8 * $Q$86 + $R$9</f>
        <v>126.257397528491</v>
      </c>
      <c r="T86" s="13" t="n">
        <f aca="false">INDEX($H$3:$H$164, 76, 1)</f>
        <v>125.294913973023</v>
      </c>
      <c r="U86" s="2" t="n">
        <f aca="false">$U$8 * $T$86 + $U$9</f>
        <v>125.584565281811</v>
      </c>
      <c r="W86" s="13" t="n">
        <f aca="false">INDEX($H$3:$H$164, 76, 1)</f>
        <v>125.294913973023</v>
      </c>
      <c r="X86" s="2" t="n">
        <f aca="false">$X$8 * $W$86 + $X$9</f>
        <v>125.584565281811</v>
      </c>
    </row>
    <row r="87" customFormat="false" ht="15.8" hidden="false" customHeight="false" outlineLevel="0" collapsed="false">
      <c r="A87" s="9" t="n">
        <v>40179</v>
      </c>
      <c r="B87" s="10" t="n">
        <v>131.770071431287</v>
      </c>
      <c r="C87" s="11" t="n">
        <v>137.557653913702</v>
      </c>
      <c r="D87" s="11" t="n">
        <v>126.216753083112</v>
      </c>
      <c r="E87" s="11" t="n">
        <v>135.026250458958</v>
      </c>
      <c r="F87" s="11" t="n">
        <v>131.693675623419</v>
      </c>
      <c r="G87" s="11" t="n">
        <v>136.274254465861</v>
      </c>
      <c r="H87" s="11" t="n">
        <v>132.704989409905</v>
      </c>
      <c r="I87" s="12" t="n">
        <v>130.205534696345</v>
      </c>
      <c r="J87" s="11" t="n">
        <v>171.803195765841</v>
      </c>
      <c r="K87" s="11" t="n">
        <v>101.574928659503</v>
      </c>
      <c r="L87" s="11" t="n">
        <v>146.511287259103</v>
      </c>
      <c r="M87" s="11" t="n">
        <v>132.661874205583</v>
      </c>
      <c r="N87" s="11" t="n">
        <v>116.805010417545</v>
      </c>
      <c r="O87" s="12" t="n">
        <v>130.205534696345</v>
      </c>
      <c r="Q87" s="13" t="n">
        <f aca="false">INDEX($C$3:$C$164, 77, 1)</f>
        <v>116.527230000731</v>
      </c>
      <c r="R87" s="2" t="n">
        <f aca="false">$R$8 * $Q$87 + $R$9</f>
        <v>125.423090146733</v>
      </c>
      <c r="T87" s="13" t="n">
        <f aca="false">INDEX($H$3:$H$164, 77, 1)</f>
        <v>125.237383270271</v>
      </c>
      <c r="U87" s="2" t="n">
        <f aca="false">$U$8 * $T$87 + $U$9</f>
        <v>125.546312916876</v>
      </c>
      <c r="W87" s="13" t="n">
        <f aca="false">INDEX($H$3:$H$164, 77, 1)</f>
        <v>125.237383270271</v>
      </c>
      <c r="X87" s="2" t="n">
        <f aca="false">$X$8 * $W$87 + $X$9</f>
        <v>125.546312916876</v>
      </c>
    </row>
    <row r="88" customFormat="false" ht="15.8" hidden="false" customHeight="false" outlineLevel="0" collapsed="false">
      <c r="A88" s="9" t="n">
        <v>40210</v>
      </c>
      <c r="B88" s="10" t="n">
        <v>130.277604424303</v>
      </c>
      <c r="C88" s="11" t="n">
        <v>118.380820662905</v>
      </c>
      <c r="D88" s="11" t="n">
        <v>126.78588898266</v>
      </c>
      <c r="E88" s="11" t="n">
        <v>120.318335040376</v>
      </c>
      <c r="F88" s="11" t="n">
        <v>114.355761205702</v>
      </c>
      <c r="G88" s="11" t="n">
        <v>136.580811010202</v>
      </c>
      <c r="H88" s="11" t="n">
        <v>119.324375839292</v>
      </c>
      <c r="I88" s="12" t="n">
        <v>114.955520362636</v>
      </c>
      <c r="J88" s="11" t="n">
        <v>129.654310420589</v>
      </c>
      <c r="K88" s="11" t="n">
        <v>115.962546613902</v>
      </c>
      <c r="L88" s="11" t="n">
        <v>124.723378023093</v>
      </c>
      <c r="M88" s="11" t="n">
        <v>116.340934006883</v>
      </c>
      <c r="N88" s="11" t="n">
        <v>107.397416482415</v>
      </c>
      <c r="O88" s="12" t="n">
        <v>114.955520362636</v>
      </c>
      <c r="Q88" s="13" t="n">
        <f aca="false">INDEX($C$3:$C$164, 78, 1)</f>
        <v>110.843825912916</v>
      </c>
      <c r="R88" s="2" t="n">
        <f aca="false">$R$8 * $Q$88 + $R$9</f>
        <v>121.888141183562</v>
      </c>
      <c r="T88" s="13" t="n">
        <f aca="false">INDEX($H$3:$H$164, 78, 1)</f>
        <v>119.630441692085</v>
      </c>
      <c r="U88" s="2" t="n">
        <f aca="false">$U$8 * $T$88 + $U$9</f>
        <v>121.818237903707</v>
      </c>
      <c r="W88" s="13" t="n">
        <f aca="false">INDEX($H$3:$H$164, 78, 1)</f>
        <v>119.630441692085</v>
      </c>
      <c r="X88" s="2" t="n">
        <f aca="false">$X$8 * $W$88 + $X$9</f>
        <v>121.818237903707</v>
      </c>
    </row>
    <row r="89" customFormat="false" ht="15.8" hidden="false" customHeight="false" outlineLevel="0" collapsed="false">
      <c r="A89" s="9" t="n">
        <v>40238</v>
      </c>
      <c r="B89" s="10" t="n">
        <v>140.537001361613</v>
      </c>
      <c r="C89" s="11" t="n">
        <v>120.370805522479</v>
      </c>
      <c r="D89" s="11" t="n">
        <v>153.957241428382</v>
      </c>
      <c r="E89" s="11" t="n">
        <v>128.010073257308</v>
      </c>
      <c r="F89" s="11" t="n">
        <v>121.390653512832</v>
      </c>
      <c r="G89" s="11" t="n">
        <v>168.472793026816</v>
      </c>
      <c r="H89" s="11" t="n">
        <v>131.978676792609</v>
      </c>
      <c r="I89" s="12" t="n">
        <v>124.065644082355</v>
      </c>
      <c r="J89" s="11" t="n">
        <v>119.728251822267</v>
      </c>
      <c r="K89" s="11" t="n">
        <v>131.316326436581</v>
      </c>
      <c r="L89" s="11" t="n">
        <v>123.904205634441</v>
      </c>
      <c r="M89" s="11" t="n">
        <v>122.811975356947</v>
      </c>
      <c r="N89" s="11" t="n">
        <v>130.368395222372</v>
      </c>
      <c r="O89" s="12" t="n">
        <v>124.065644082355</v>
      </c>
      <c r="Q89" s="13" t="n">
        <f aca="false">INDEX($C$3:$C$164, 79, 1)</f>
        <v>121.815774024579</v>
      </c>
      <c r="R89" s="2" t="n">
        <f aca="false">$R$8 * $Q$89 + $R$9</f>
        <v>128.712445069403</v>
      </c>
      <c r="T89" s="13" t="n">
        <f aca="false">INDEX($H$3:$H$164, 79, 1)</f>
        <v>129.553385744126</v>
      </c>
      <c r="U89" s="2" t="n">
        <f aca="false">$U$8 * $T$89 + $U$9</f>
        <v>128.41603801659</v>
      </c>
      <c r="W89" s="13" t="n">
        <f aca="false">INDEX($H$3:$H$164, 79, 1)</f>
        <v>129.553385744126</v>
      </c>
      <c r="X89" s="2" t="n">
        <f aca="false">$X$8 * $W$89 + $X$9</f>
        <v>128.41603801659</v>
      </c>
    </row>
    <row r="90" customFormat="false" ht="15.8" hidden="false" customHeight="false" outlineLevel="0" collapsed="false">
      <c r="A90" s="9" t="n">
        <v>40269</v>
      </c>
      <c r="B90" s="10" t="n">
        <v>135.027535240874</v>
      </c>
      <c r="C90" s="11" t="n">
        <v>121.795780874176</v>
      </c>
      <c r="D90" s="11" t="n">
        <v>143.60069638988</v>
      </c>
      <c r="E90" s="11" t="n">
        <v>126.843124956296</v>
      </c>
      <c r="F90" s="11" t="n">
        <v>127.32071907915</v>
      </c>
      <c r="G90" s="11" t="n">
        <v>162.229856388218</v>
      </c>
      <c r="H90" s="11" t="n">
        <v>135.196621412012</v>
      </c>
      <c r="I90" s="12" t="n">
        <v>115.642613737769</v>
      </c>
      <c r="J90" s="11" t="n">
        <v>130.313007636585</v>
      </c>
      <c r="K90" s="11" t="n">
        <v>119.918666994215</v>
      </c>
      <c r="L90" s="11" t="n">
        <v>126.443402319983</v>
      </c>
      <c r="M90" s="11" t="n">
        <v>115.684135609897</v>
      </c>
      <c r="N90" s="11" t="n">
        <v>115.038777626962</v>
      </c>
      <c r="O90" s="12" t="n">
        <v>115.642613737769</v>
      </c>
      <c r="Q90" s="13" t="n">
        <f aca="false">INDEX($C$3:$C$164, 80, 1)</f>
        <v>117.710951272873</v>
      </c>
      <c r="R90" s="2" t="n">
        <f aca="false">$R$8 * $Q$90 + $R$9</f>
        <v>126.159338039542</v>
      </c>
      <c r="T90" s="13" t="n">
        <f aca="false">INDEX($H$3:$H$164, 80, 1)</f>
        <v>127.046054368304</v>
      </c>
      <c r="U90" s="2" t="n">
        <f aca="false">$U$8 * $T$90 + $U$9</f>
        <v>126.748904638867</v>
      </c>
      <c r="W90" s="13" t="n">
        <f aca="false">INDEX($H$3:$H$164, 80, 1)</f>
        <v>127.046054368304</v>
      </c>
      <c r="X90" s="2" t="n">
        <f aca="false">$X$8 * $W$90 + $X$9</f>
        <v>126.748904638867</v>
      </c>
    </row>
    <row r="91" customFormat="false" ht="15.8" hidden="false" customHeight="false" outlineLevel="0" collapsed="false">
      <c r="A91" s="9" t="n">
        <v>40299</v>
      </c>
      <c r="B91" s="10" t="n">
        <v>138.990855663146</v>
      </c>
      <c r="C91" s="11" t="n">
        <v>123.126607783326</v>
      </c>
      <c r="D91" s="11" t="n">
        <v>152.696715399051</v>
      </c>
      <c r="E91" s="11" t="n">
        <v>129.973945612565</v>
      </c>
      <c r="F91" s="11" t="n">
        <v>128.040172768054</v>
      </c>
      <c r="G91" s="11" t="n">
        <v>174.583547660975</v>
      </c>
      <c r="H91" s="11" t="n">
        <v>138.551020075159</v>
      </c>
      <c r="I91" s="12" t="n">
        <v>125.515980693805</v>
      </c>
      <c r="J91" s="11" t="n">
        <v>123.737585706595</v>
      </c>
      <c r="K91" s="11" t="n">
        <v>122.552076695295</v>
      </c>
      <c r="L91" s="11" t="n">
        <v>123.301997134306</v>
      </c>
      <c r="M91" s="11" t="n">
        <v>124.78653397</v>
      </c>
      <c r="N91" s="11" t="n">
        <v>128.492055785367</v>
      </c>
      <c r="O91" s="12" t="n">
        <v>125.515980693805</v>
      </c>
      <c r="Q91" s="13" t="n">
        <f aca="false">INDEX($C$3:$C$164, 81, 1)</f>
        <v>118.408712294155</v>
      </c>
      <c r="R91" s="2" t="n">
        <f aca="false">$R$8 * $Q$91 + $R$9</f>
        <v>126.59332963342</v>
      </c>
      <c r="T91" s="13" t="n">
        <f aca="false">INDEX($H$3:$H$164, 81, 1)</f>
        <v>127.49410216163</v>
      </c>
      <c r="U91" s="2" t="n">
        <f aca="false">$U$8 * $T$91 + $U$9</f>
        <v>127.046813179506</v>
      </c>
      <c r="W91" s="13" t="n">
        <f aca="false">INDEX($H$3:$H$164, 81, 1)</f>
        <v>127.49410216163</v>
      </c>
      <c r="X91" s="2" t="n">
        <f aca="false">$X$8 * $W$91 + $X$9</f>
        <v>127.046813179506</v>
      </c>
    </row>
    <row r="92" customFormat="false" ht="15.8" hidden="false" customHeight="false" outlineLevel="0" collapsed="false">
      <c r="A92" s="9" t="n">
        <v>40330</v>
      </c>
      <c r="B92" s="10" t="n">
        <v>138.864173920016</v>
      </c>
      <c r="C92" s="11" t="n">
        <v>117.056804046096</v>
      </c>
      <c r="D92" s="11" t="n">
        <v>146.270398748106</v>
      </c>
      <c r="E92" s="11" t="n">
        <v>123.748467486815</v>
      </c>
      <c r="F92" s="11" t="n">
        <v>120.994393788949</v>
      </c>
      <c r="G92" s="11" t="n">
        <v>166.81772556895</v>
      </c>
      <c r="H92" s="11" t="n">
        <v>131.276380662861</v>
      </c>
      <c r="I92" s="12" t="n">
        <v>117.748042078259</v>
      </c>
      <c r="J92" s="11" t="n">
        <v>118.913821147146</v>
      </c>
      <c r="K92" s="11" t="n">
        <v>119.568637269846</v>
      </c>
      <c r="L92" s="11" t="n">
        <v>119.097318962916</v>
      </c>
      <c r="M92" s="11" t="n">
        <v>116.834417118067</v>
      </c>
      <c r="N92" s="11" t="n">
        <v>121.817993045755</v>
      </c>
      <c r="O92" s="12" t="n">
        <v>117.748042078259</v>
      </c>
      <c r="Q92" s="13" t="n">
        <f aca="false">INDEX($C$3:$C$164, 82, 1)</f>
        <v>127.586171363632</v>
      </c>
      <c r="R92" s="2" t="n">
        <f aca="false">$R$8 * $Q$92 + $R$9</f>
        <v>132.301501869798</v>
      </c>
      <c r="T92" s="13" t="n">
        <f aca="false">INDEX($H$3:$H$164, 82, 1)</f>
        <v>136.557318707164</v>
      </c>
      <c r="U92" s="2" t="n">
        <f aca="false">$U$8 * $T$92 + $U$9</f>
        <v>133.072977474457</v>
      </c>
      <c r="W92" s="13" t="n">
        <f aca="false">INDEX($H$3:$H$164, 82, 1)</f>
        <v>136.557318707164</v>
      </c>
      <c r="X92" s="2" t="n">
        <f aca="false">$X$8 * $W$92 + $X$9</f>
        <v>133.072977474457</v>
      </c>
    </row>
    <row r="93" customFormat="false" ht="15.8" hidden="false" customHeight="false" outlineLevel="0" collapsed="false">
      <c r="A93" s="9" t="n">
        <v>40360</v>
      </c>
      <c r="B93" s="10" t="n">
        <v>140.985725784882</v>
      </c>
      <c r="C93" s="11" t="n">
        <v>131.889785473548</v>
      </c>
      <c r="D93" s="11" t="n">
        <v>151.034989293939</v>
      </c>
      <c r="E93" s="11" t="n">
        <v>136.229946749056</v>
      </c>
      <c r="F93" s="11" t="n">
        <v>135.9302448164</v>
      </c>
      <c r="G93" s="11" t="n">
        <v>170.658401949554</v>
      </c>
      <c r="H93" s="11" t="n">
        <v>143.692611927848</v>
      </c>
      <c r="I93" s="12" t="n">
        <v>131.809938956299</v>
      </c>
      <c r="J93" s="11" t="n">
        <v>139.731927597898</v>
      </c>
      <c r="K93" s="11" t="n">
        <v>124.358659400747</v>
      </c>
      <c r="L93" s="11" t="n">
        <v>134.13868150573</v>
      </c>
      <c r="M93" s="11" t="n">
        <v>131.970819436787</v>
      </c>
      <c r="N93" s="11" t="n">
        <v>130.497631657167</v>
      </c>
      <c r="O93" s="12" t="n">
        <v>131.809938956299</v>
      </c>
      <c r="Q93" s="13" t="n">
        <f aca="false">INDEX($C$3:$C$164, 83, 1)</f>
        <v>121.858862068002</v>
      </c>
      <c r="R93" s="2" t="n">
        <f aca="false">$R$8 * $Q$93 + $R$9</f>
        <v>128.739244859119</v>
      </c>
      <c r="T93" s="13" t="n">
        <f aca="false">INDEX($H$3:$H$164, 83, 1)</f>
        <v>130.631784698648</v>
      </c>
      <c r="U93" s="2" t="n">
        <f aca="false">$U$8 * $T$93 + $U$9</f>
        <v>129.133069243065</v>
      </c>
      <c r="W93" s="13" t="n">
        <f aca="false">INDEX($H$3:$H$164, 83, 1)</f>
        <v>130.631784698648</v>
      </c>
      <c r="X93" s="2" t="n">
        <f aca="false">$X$8 * $W$93 + $X$9</f>
        <v>129.133069243065</v>
      </c>
    </row>
    <row r="94" customFormat="false" ht="15.8" hidden="false" customHeight="false" outlineLevel="0" collapsed="false">
      <c r="A94" s="9" t="n">
        <v>40391</v>
      </c>
      <c r="B94" s="10" t="n">
        <v>142.24647851076</v>
      </c>
      <c r="C94" s="11" t="n">
        <v>127.230426744633</v>
      </c>
      <c r="D94" s="11" t="n">
        <v>156.868591042808</v>
      </c>
      <c r="E94" s="11" t="n">
        <v>134.072887174724</v>
      </c>
      <c r="F94" s="11" t="n">
        <v>131.638056302632</v>
      </c>
      <c r="G94" s="11" t="n">
        <v>179.962337902103</v>
      </c>
      <c r="H94" s="11" t="n">
        <v>142.510105562058</v>
      </c>
      <c r="I94" s="12" t="n">
        <v>130.791168436004</v>
      </c>
      <c r="J94" s="11" t="n">
        <v>128.654970567738</v>
      </c>
      <c r="K94" s="11" t="n">
        <v>127.738877647577</v>
      </c>
      <c r="L94" s="11" t="n">
        <v>128.366190719235</v>
      </c>
      <c r="M94" s="11" t="n">
        <v>130.11816255742</v>
      </c>
      <c r="N94" s="11" t="n">
        <v>133.195067356898</v>
      </c>
      <c r="O94" s="12" t="n">
        <v>130.791168436004</v>
      </c>
      <c r="Q94" s="13" t="n">
        <f aca="false">INDEX($C$3:$C$164, 84, 1)</f>
        <v>142.612049481033</v>
      </c>
      <c r="R94" s="2" t="n">
        <f aca="false">$R$8 * $Q$94 + $R$9</f>
        <v>141.647258647098</v>
      </c>
      <c r="T94" s="13" t="n">
        <f aca="false">INDEX($H$3:$H$164, 84, 1)</f>
        <v>143.915843351136</v>
      </c>
      <c r="U94" s="2" t="n">
        <f aca="false">$U$8 * $T$94 + $U$9</f>
        <v>137.965686177844</v>
      </c>
      <c r="W94" s="13" t="n">
        <f aca="false">INDEX($H$3:$H$164, 84, 1)</f>
        <v>143.915843351136</v>
      </c>
      <c r="X94" s="2" t="n">
        <f aca="false">$X$8 * $W$94 + $X$9</f>
        <v>137.965686177844</v>
      </c>
    </row>
    <row r="95" customFormat="false" ht="15.8" hidden="false" customHeight="false" outlineLevel="0" collapsed="false">
      <c r="A95" s="9" t="n">
        <v>40422</v>
      </c>
      <c r="B95" s="10" t="n">
        <v>142.398173245431</v>
      </c>
      <c r="C95" s="11" t="n">
        <v>127.6569598274</v>
      </c>
      <c r="D95" s="11" t="n">
        <v>155.394754341989</v>
      </c>
      <c r="E95" s="11" t="n">
        <v>134.014791116473</v>
      </c>
      <c r="F95" s="11" t="n">
        <v>131.193179217064</v>
      </c>
      <c r="G95" s="11" t="n">
        <v>178.414838148163</v>
      </c>
      <c r="H95" s="11" t="n">
        <v>141.804333339927</v>
      </c>
      <c r="I95" s="12" t="n">
        <v>128.488861187238</v>
      </c>
      <c r="J95" s="11" t="n">
        <v>135.113111103755</v>
      </c>
      <c r="K95" s="11" t="n">
        <v>125.542345498526</v>
      </c>
      <c r="L95" s="11" t="n">
        <v>131.933031513795</v>
      </c>
      <c r="M95" s="11" t="n">
        <v>127.661137464611</v>
      </c>
      <c r="N95" s="11" t="n">
        <v>132.241959810728</v>
      </c>
      <c r="O95" s="12" t="n">
        <v>128.488861187238</v>
      </c>
      <c r="Q95" s="13" t="n">
        <f aca="false">INDEX($C$3:$C$164, 85, 1)</f>
        <v>137.557653913702</v>
      </c>
      <c r="R95" s="2" t="n">
        <f aca="false">$R$8 * $Q$95 + $R$9</f>
        <v>138.503538775323</v>
      </c>
      <c r="T95" s="13" t="n">
        <f aca="false">INDEX($H$3:$H$164, 85, 1)</f>
        <v>132.704989409905</v>
      </c>
      <c r="U95" s="2" t="n">
        <f aca="false">$U$8 * $T$95 + $U$9</f>
        <v>130.511550287221</v>
      </c>
      <c r="W95" s="13" t="n">
        <f aca="false">INDEX($H$3:$H$164, 85, 1)</f>
        <v>132.704989409905</v>
      </c>
      <c r="X95" s="2" t="n">
        <f aca="false">$X$8 * $W$95 + $X$9</f>
        <v>130.511550287221</v>
      </c>
    </row>
    <row r="96" customFormat="false" ht="15.8" hidden="false" customHeight="false" outlineLevel="0" collapsed="false">
      <c r="A96" s="9" t="n">
        <v>40452</v>
      </c>
      <c r="B96" s="10" t="n">
        <v>141.268337060922</v>
      </c>
      <c r="C96" s="11" t="n">
        <v>133.397472027683</v>
      </c>
      <c r="D96" s="11" t="n">
        <v>156.293396091265</v>
      </c>
      <c r="E96" s="11" t="n">
        <v>138.644407769913</v>
      </c>
      <c r="F96" s="11" t="n">
        <v>137.813663822523</v>
      </c>
      <c r="G96" s="11" t="n">
        <v>178.153417352425</v>
      </c>
      <c r="H96" s="11" t="n">
        <v>146.842067207984</v>
      </c>
      <c r="I96" s="12" t="n">
        <v>132.38547571575</v>
      </c>
      <c r="J96" s="11" t="n">
        <v>136.207232261138</v>
      </c>
      <c r="K96" s="11" t="n">
        <v>120.279335229142</v>
      </c>
      <c r="L96" s="11" t="n">
        <v>130.592868453122</v>
      </c>
      <c r="M96" s="11" t="n">
        <v>132.299827695659</v>
      </c>
      <c r="N96" s="11" t="n">
        <v>132.602772914495</v>
      </c>
      <c r="O96" s="12" t="n">
        <v>132.38547571575</v>
      </c>
      <c r="Q96" s="13" t="n">
        <f aca="false">INDEX($C$3:$C$164, 86, 1)</f>
        <v>118.380820662905</v>
      </c>
      <c r="R96" s="2" t="n">
        <f aca="false">$R$8 * $Q$96 + $R$9</f>
        <v>126.575981668812</v>
      </c>
      <c r="T96" s="13" t="n">
        <f aca="false">INDEX($H$3:$H$164, 86, 1)</f>
        <v>119.324375839292</v>
      </c>
      <c r="U96" s="2" t="n">
        <f aca="false">$U$8 * $T$96 + $U$9</f>
        <v>121.614733650583</v>
      </c>
      <c r="W96" s="13" t="n">
        <f aca="false">INDEX($H$3:$H$164, 86, 1)</f>
        <v>119.324375839292</v>
      </c>
      <c r="X96" s="2" t="n">
        <f aca="false">$X$8 * $W$96 + $X$9</f>
        <v>121.614733650583</v>
      </c>
    </row>
    <row r="97" customFormat="false" ht="15.8" hidden="false" customHeight="false" outlineLevel="0" collapsed="false">
      <c r="A97" s="9" t="n">
        <v>40483</v>
      </c>
      <c r="B97" s="10" t="n">
        <v>142.387520931219</v>
      </c>
      <c r="C97" s="11" t="n">
        <v>132.638235939066</v>
      </c>
      <c r="D97" s="11" t="n">
        <v>150.962457834466</v>
      </c>
      <c r="E97" s="11" t="n">
        <v>136.754997458039</v>
      </c>
      <c r="F97" s="11" t="n">
        <v>138.450718773417</v>
      </c>
      <c r="G97" s="11" t="n">
        <v>172.633335215483</v>
      </c>
      <c r="H97" s="11" t="n">
        <v>146.046288449889</v>
      </c>
      <c r="I97" s="12" t="n">
        <v>125.473025630533</v>
      </c>
      <c r="J97" s="11" t="n">
        <v>136.566403991669</v>
      </c>
      <c r="K97" s="11" t="n">
        <v>117.543049203533</v>
      </c>
      <c r="L97" s="11" t="n">
        <v>129.646876492615</v>
      </c>
      <c r="M97" s="11" t="n">
        <v>124.078268330992</v>
      </c>
      <c r="N97" s="11" t="n">
        <v>131.453043247988</v>
      </c>
      <c r="O97" s="12" t="n">
        <v>125.473025630533</v>
      </c>
      <c r="Q97" s="13" t="n">
        <f aca="false">INDEX($C$3:$C$164, 87, 1)</f>
        <v>120.370805522479</v>
      </c>
      <c r="R97" s="2" t="n">
        <f aca="false">$R$8 * $Q$97 + $R$9</f>
        <v>127.813707300737</v>
      </c>
      <c r="T97" s="13" t="n">
        <f aca="false">INDEX($H$3:$H$164, 87, 1)</f>
        <v>131.978676792609</v>
      </c>
      <c r="U97" s="2" t="n">
        <f aca="false">$U$8 * $T$97 + $U$9</f>
        <v>130.028622494496</v>
      </c>
      <c r="W97" s="13" t="n">
        <f aca="false">INDEX($H$3:$H$164, 87, 1)</f>
        <v>131.978676792609</v>
      </c>
      <c r="X97" s="2" t="n">
        <f aca="false">$X$8 * $W$97 + $X$9</f>
        <v>130.028622494496</v>
      </c>
    </row>
    <row r="98" customFormat="false" ht="15.8" hidden="false" customHeight="false" outlineLevel="0" collapsed="false">
      <c r="A98" s="9" t="n">
        <v>40513</v>
      </c>
      <c r="B98" s="10" t="n">
        <v>143.554032311007</v>
      </c>
      <c r="C98" s="11" t="n">
        <v>154.176013567629</v>
      </c>
      <c r="D98" s="11" t="n">
        <v>152.298946303168</v>
      </c>
      <c r="E98" s="11" t="n">
        <v>153.809451638937</v>
      </c>
      <c r="F98" s="11" t="n">
        <v>157.521474434785</v>
      </c>
      <c r="G98" s="11" t="n">
        <v>172.30358346527</v>
      </c>
      <c r="H98" s="11" t="n">
        <v>160.837414573245</v>
      </c>
      <c r="I98" s="12" t="n">
        <v>142.794434153626</v>
      </c>
      <c r="J98" s="11" t="n">
        <v>176.856505022113</v>
      </c>
      <c r="K98" s="11" t="n">
        <v>114.108435753715</v>
      </c>
      <c r="L98" s="11" t="n">
        <v>154.32461462017</v>
      </c>
      <c r="M98" s="11" t="n">
        <v>142.97855214252</v>
      </c>
      <c r="N98" s="11" t="n">
        <v>140.860219054937</v>
      </c>
      <c r="O98" s="12" t="n">
        <v>142.794434153626</v>
      </c>
      <c r="Q98" s="13" t="n">
        <f aca="false">INDEX($C$3:$C$164, 88, 1)</f>
        <v>121.795780874176</v>
      </c>
      <c r="R98" s="2" t="n">
        <f aca="false">$R$8 * $Q$98 + $R$9</f>
        <v>128.700009781467</v>
      </c>
      <c r="T98" s="13" t="n">
        <f aca="false">INDEX($H$3:$H$164, 88, 1)</f>
        <v>135.196621412012</v>
      </c>
      <c r="U98" s="2" t="n">
        <f aca="false">$U$8 * $T$98 + $U$9</f>
        <v>132.168245096599</v>
      </c>
      <c r="W98" s="13" t="n">
        <f aca="false">INDEX($H$3:$H$164, 88, 1)</f>
        <v>135.196621412012</v>
      </c>
      <c r="X98" s="2" t="n">
        <f aca="false">$X$8 * $W$98 + $X$9</f>
        <v>132.168245096599</v>
      </c>
    </row>
    <row r="99" customFormat="false" ht="15.8" hidden="false" customHeight="false" outlineLevel="0" collapsed="false">
      <c r="A99" s="9" t="n">
        <v>40544</v>
      </c>
      <c r="B99" s="10" t="n">
        <v>138.879745393332</v>
      </c>
      <c r="C99" s="11" t="n">
        <v>151.620150753044</v>
      </c>
      <c r="D99" s="11" t="n">
        <v>139.797439715719</v>
      </c>
      <c r="E99" s="11" t="n">
        <v>148.998311357477</v>
      </c>
      <c r="F99" s="11" t="n">
        <v>149.906442677869</v>
      </c>
      <c r="G99" s="11" t="n">
        <v>155.15472354574</v>
      </c>
      <c r="H99" s="11" t="n">
        <v>151.065816419566</v>
      </c>
      <c r="I99" s="12" t="n">
        <v>134.876439759377</v>
      </c>
      <c r="J99" s="11" t="n">
        <v>195.325066147768</v>
      </c>
      <c r="K99" s="11" t="n">
        <v>123.018197028156</v>
      </c>
      <c r="L99" s="11" t="n">
        <v>169.421753647232</v>
      </c>
      <c r="M99" s="11" t="n">
        <v>136.681433889943</v>
      </c>
      <c r="N99" s="11" t="n">
        <v>124.32201955053</v>
      </c>
      <c r="O99" s="12" t="n">
        <v>134.876439759377</v>
      </c>
      <c r="Q99" s="13" t="n">
        <f aca="false">INDEX($C$3:$C$164, 89, 1)</f>
        <v>123.126607783326</v>
      </c>
      <c r="R99" s="2" t="n">
        <f aca="false">$R$8 * $Q$99 + $R$9</f>
        <v>129.527754057604</v>
      </c>
      <c r="T99" s="13" t="n">
        <f aca="false">INDEX($H$3:$H$164, 89, 1)</f>
        <v>138.551020075159</v>
      </c>
      <c r="U99" s="2" t="n">
        <f aca="false">$U$8 * $T$99 + $U$9</f>
        <v>134.398596468358</v>
      </c>
      <c r="W99" s="13" t="n">
        <f aca="false">INDEX($H$3:$H$164, 89, 1)</f>
        <v>138.551020075159</v>
      </c>
      <c r="X99" s="2" t="n">
        <f aca="false">$X$8 * $W$99 + $X$9</f>
        <v>134.398596468358</v>
      </c>
    </row>
    <row r="100" customFormat="false" ht="15.8" hidden="false" customHeight="false" outlineLevel="0" collapsed="false">
      <c r="A100" s="9" t="n">
        <v>40575</v>
      </c>
      <c r="B100" s="10" t="n">
        <v>138.556773651204</v>
      </c>
      <c r="C100" s="11" t="n">
        <v>123.399748655057</v>
      </c>
      <c r="D100" s="11" t="n">
        <v>142.541206191791</v>
      </c>
      <c r="E100" s="11" t="n">
        <v>128.004153674134</v>
      </c>
      <c r="F100" s="11" t="n">
        <v>124.312354902037</v>
      </c>
      <c r="G100" s="11" t="n">
        <v>159.597951674905</v>
      </c>
      <c r="H100" s="11" t="n">
        <v>132.367643740442</v>
      </c>
      <c r="I100" s="12" t="n">
        <v>119.481335030785</v>
      </c>
      <c r="J100" s="11" t="n">
        <v>127.022559725576</v>
      </c>
      <c r="K100" s="11" t="n">
        <v>120.117246585166</v>
      </c>
      <c r="L100" s="11" t="n">
        <v>124.69669023861</v>
      </c>
      <c r="M100" s="11" t="n">
        <v>118.637818800297</v>
      </c>
      <c r="N100" s="11" t="n">
        <v>121.903039851683</v>
      </c>
      <c r="O100" s="12" t="n">
        <v>119.481335030785</v>
      </c>
      <c r="Q100" s="13" t="n">
        <f aca="false">INDEX($C$3:$C$164, 90, 1)</f>
        <v>117.056804046096</v>
      </c>
      <c r="R100" s="2" t="n">
        <f aca="false">$R$8 * $Q$100 + $R$9</f>
        <v>125.752473240677</v>
      </c>
      <c r="T100" s="13" t="n">
        <f aca="false">INDEX($H$3:$H$164, 90, 1)</f>
        <v>131.276380662861</v>
      </c>
      <c r="U100" s="2" t="n">
        <f aca="false">$U$8 * $T$100 + $U$9</f>
        <v>129.561663348115</v>
      </c>
      <c r="W100" s="13" t="n">
        <f aca="false">INDEX($H$3:$H$164, 90, 1)</f>
        <v>131.276380662861</v>
      </c>
      <c r="X100" s="2" t="n">
        <f aca="false">$X$8 * $W$100 + $X$9</f>
        <v>129.561663348115</v>
      </c>
    </row>
    <row r="101" customFormat="false" ht="15.8" hidden="false" customHeight="false" outlineLevel="0" collapsed="false">
      <c r="A101" s="9" t="n">
        <v>40603</v>
      </c>
      <c r="B101" s="10" t="n">
        <v>141.027668916329</v>
      </c>
      <c r="C101" s="11" t="n">
        <v>135.197799834928</v>
      </c>
      <c r="D101" s="11" t="n">
        <v>157.436825827907</v>
      </c>
      <c r="E101" s="11" t="n">
        <v>139.926577091131</v>
      </c>
      <c r="F101" s="11" t="n">
        <v>139.002911278288</v>
      </c>
      <c r="G101" s="11" t="n">
        <v>176.174780874888</v>
      </c>
      <c r="H101" s="11" t="n">
        <v>147.135710715229</v>
      </c>
      <c r="I101" s="12" t="n">
        <v>130.04874508311</v>
      </c>
      <c r="J101" s="11" t="n">
        <v>142.754056542215</v>
      </c>
      <c r="K101" s="11" t="n">
        <v>137.536398976706</v>
      </c>
      <c r="L101" s="11" t="n">
        <v>140.42272261486</v>
      </c>
      <c r="M101" s="11" t="n">
        <v>130.882020075829</v>
      </c>
      <c r="N101" s="11" t="n">
        <v>127.222334192595</v>
      </c>
      <c r="O101" s="12" t="n">
        <v>130.04874508311</v>
      </c>
      <c r="Q101" s="13" t="n">
        <f aca="false">INDEX($C$3:$C$164, 91, 1)</f>
        <v>131.889785473548</v>
      </c>
      <c r="R101" s="2" t="n">
        <f aca="false">$R$8 * $Q$101 + $R$9</f>
        <v>134.978252634072</v>
      </c>
      <c r="T101" s="13" t="n">
        <f aca="false">INDEX($H$3:$H$164, 91, 1)</f>
        <v>143.692611927848</v>
      </c>
      <c r="U101" s="2" t="n">
        <f aca="false">$U$8 * $T$101 + $U$9</f>
        <v>137.817258825836</v>
      </c>
      <c r="W101" s="13" t="n">
        <f aca="false">INDEX($H$3:$H$164, 91, 1)</f>
        <v>143.692611927848</v>
      </c>
      <c r="X101" s="2" t="n">
        <f aca="false">$X$8 * $W$101 + $X$9</f>
        <v>137.817258825836</v>
      </c>
    </row>
    <row r="102" customFormat="false" ht="15.8" hidden="false" customHeight="false" outlineLevel="0" collapsed="false">
      <c r="A102" s="9" t="n">
        <v>40634</v>
      </c>
      <c r="B102" s="10" t="n">
        <v>138.182573718127</v>
      </c>
      <c r="C102" s="11" t="n">
        <v>136.190325903729</v>
      </c>
      <c r="D102" s="11" t="n">
        <v>150.80888956788</v>
      </c>
      <c r="E102" s="11" t="n">
        <v>139.425229851392</v>
      </c>
      <c r="F102" s="11" t="n">
        <v>142.588004775001</v>
      </c>
      <c r="G102" s="11" t="n">
        <v>169.073421162089</v>
      </c>
      <c r="H102" s="11" t="n">
        <v>148.415279435104</v>
      </c>
      <c r="I102" s="12" t="n">
        <v>128.280209291019</v>
      </c>
      <c r="J102" s="11" t="n">
        <v>146.137681669459</v>
      </c>
      <c r="K102" s="11" t="n">
        <v>126.09851323747</v>
      </c>
      <c r="L102" s="11" t="n">
        <v>138.606891034956</v>
      </c>
      <c r="M102" s="11" t="n">
        <v>129.181997138469</v>
      </c>
      <c r="N102" s="11" t="n">
        <v>123.849990793478</v>
      </c>
      <c r="O102" s="12" t="n">
        <v>128.280209291019</v>
      </c>
      <c r="Q102" s="13" t="n">
        <f aca="false">INDEX($C$3:$C$164, 92, 1)</f>
        <v>127.230426744633</v>
      </c>
      <c r="R102" s="2" t="n">
        <f aca="false">$R$8 * $Q$102 + $R$9</f>
        <v>132.080236752511</v>
      </c>
      <c r="T102" s="13" t="n">
        <f aca="false">INDEX($H$3:$H$164, 92, 1)</f>
        <v>142.510105562058</v>
      </c>
      <c r="U102" s="2" t="n">
        <f aca="false">$U$8 * $T$102 + $U$9</f>
        <v>137.031006218467</v>
      </c>
      <c r="W102" s="13" t="n">
        <f aca="false">INDEX($H$3:$H$164, 92, 1)</f>
        <v>142.510105562058</v>
      </c>
      <c r="X102" s="2" t="n">
        <f aca="false">$X$8 * $W$102 + $X$9</f>
        <v>137.031006218467</v>
      </c>
    </row>
    <row r="103" customFormat="false" ht="15.8" hidden="false" customHeight="false" outlineLevel="0" collapsed="false">
      <c r="A103" s="9" t="n">
        <v>40664</v>
      </c>
      <c r="B103" s="10" t="n">
        <v>146.060284943947</v>
      </c>
      <c r="C103" s="11" t="n">
        <v>129.090006462274</v>
      </c>
      <c r="D103" s="11" t="n">
        <v>162.91012550877</v>
      </c>
      <c r="E103" s="11" t="n">
        <v>136.970788096533</v>
      </c>
      <c r="F103" s="11" t="n">
        <v>135.237414775275</v>
      </c>
      <c r="G103" s="11" t="n">
        <v>184.441500664204</v>
      </c>
      <c r="H103" s="11" t="n">
        <v>146.349661849778</v>
      </c>
      <c r="I103" s="12" t="n">
        <v>129.700855634297</v>
      </c>
      <c r="J103" s="11" t="n">
        <v>127.694711972183</v>
      </c>
      <c r="K103" s="11" t="n">
        <v>137.626992205818</v>
      </c>
      <c r="L103" s="11" t="n">
        <v>131.532521361659</v>
      </c>
      <c r="M103" s="11" t="n">
        <v>128.354632578839</v>
      </c>
      <c r="N103" s="11" t="n">
        <v>135.371569556024</v>
      </c>
      <c r="O103" s="12" t="n">
        <v>129.700855634297</v>
      </c>
      <c r="Q103" s="13" t="n">
        <f aca="false">INDEX($C$3:$C$164, 93, 1)</f>
        <v>127.6569598274</v>
      </c>
      <c r="R103" s="2" t="n">
        <f aca="false">$R$8 * $Q$103 + $R$9</f>
        <v>132.345530695258</v>
      </c>
      <c r="T103" s="13" t="n">
        <f aca="false">INDEX($H$3:$H$164, 93, 1)</f>
        <v>141.804333339927</v>
      </c>
      <c r="U103" s="2" t="n">
        <f aca="false">$U$8 * $T$103 + $U$9</f>
        <v>136.561735806136</v>
      </c>
      <c r="W103" s="13" t="n">
        <f aca="false">INDEX($H$3:$H$164, 93, 1)</f>
        <v>141.804333339927</v>
      </c>
      <c r="X103" s="2" t="n">
        <f aca="false">$X$8 * $W$103 + $X$9</f>
        <v>136.561735806136</v>
      </c>
    </row>
    <row r="104" customFormat="false" ht="15.8" hidden="false" customHeight="false" outlineLevel="0" collapsed="false">
      <c r="A104" s="9" t="n">
        <v>40695</v>
      </c>
      <c r="B104" s="10" t="n">
        <v>145.144382558075</v>
      </c>
      <c r="C104" s="11" t="n">
        <v>129.179313761342</v>
      </c>
      <c r="D104" s="11" t="n">
        <v>155.889325307842</v>
      </c>
      <c r="E104" s="11" t="n">
        <v>135.187960110907</v>
      </c>
      <c r="F104" s="11" t="n">
        <v>134.149650495196</v>
      </c>
      <c r="G104" s="11" t="n">
        <v>177.33386094367</v>
      </c>
      <c r="H104" s="11" t="n">
        <v>143.743604292583</v>
      </c>
      <c r="I104" s="12" t="n">
        <v>128.572877856836</v>
      </c>
      <c r="J104" s="11" t="n">
        <v>129.909753782219</v>
      </c>
      <c r="K104" s="11" t="n">
        <v>131.575318394346</v>
      </c>
      <c r="L104" s="11" t="n">
        <v>130.474889027628</v>
      </c>
      <c r="M104" s="11" t="n">
        <v>128.163037408237</v>
      </c>
      <c r="N104" s="11" t="n">
        <v>130.443772298887</v>
      </c>
      <c r="O104" s="12" t="n">
        <v>128.572877856836</v>
      </c>
      <c r="Q104" s="13" t="n">
        <f aca="false">INDEX($C$3:$C$164, 94, 1)</f>
        <v>133.397472027683</v>
      </c>
      <c r="R104" s="2" t="n">
        <f aca="false">$R$8 * $Q$104 + $R$9</f>
        <v>135.915999614398</v>
      </c>
      <c r="T104" s="13" t="n">
        <f aca="false">INDEX($H$3:$H$164, 94, 1)</f>
        <v>146.842067207984</v>
      </c>
      <c r="U104" s="2" t="n">
        <f aca="false">$U$8 * $T$104 + $U$9</f>
        <v>139.91134262736</v>
      </c>
      <c r="W104" s="13" t="n">
        <f aca="false">INDEX($H$3:$H$164, 94, 1)</f>
        <v>146.842067207984</v>
      </c>
      <c r="X104" s="2" t="n">
        <f aca="false">$X$8 * $W$104 + $X$9</f>
        <v>139.91134262736</v>
      </c>
    </row>
    <row r="105" customFormat="false" ht="15.8" hidden="false" customHeight="false" outlineLevel="0" collapsed="false">
      <c r="A105" s="9" t="n">
        <v>40725</v>
      </c>
      <c r="B105" s="10" t="n">
        <v>146.446184782719</v>
      </c>
      <c r="C105" s="11" t="n">
        <v>140.054681579126</v>
      </c>
      <c r="D105" s="11" t="n">
        <v>161.023766639412</v>
      </c>
      <c r="E105" s="11" t="n">
        <v>144.821663648172</v>
      </c>
      <c r="F105" s="11" t="n">
        <v>144.713649821353</v>
      </c>
      <c r="G105" s="11" t="n">
        <v>182.575699825743</v>
      </c>
      <c r="H105" s="11" t="n">
        <v>153.187644336847</v>
      </c>
      <c r="I105" s="12" t="n">
        <v>139.364248190549</v>
      </c>
      <c r="J105" s="11" t="n">
        <v>147.840316127064</v>
      </c>
      <c r="K105" s="11" t="n">
        <v>134.384178429665</v>
      </c>
      <c r="L105" s="11" t="n">
        <v>143.004995871018</v>
      </c>
      <c r="M105" s="11" t="n">
        <v>140.167547717501</v>
      </c>
      <c r="N105" s="11" t="n">
        <v>135.182892647786</v>
      </c>
      <c r="O105" s="12" t="n">
        <v>139.364248190549</v>
      </c>
      <c r="Q105" s="13" t="n">
        <f aca="false">INDEX($C$3:$C$164, 95, 1)</f>
        <v>132.638235939066</v>
      </c>
      <c r="R105" s="2" t="n">
        <f aca="false">$R$8 * $Q$105 + $R$9</f>
        <v>135.443771917267</v>
      </c>
      <c r="T105" s="13" t="n">
        <f aca="false">INDEX($H$3:$H$164, 95, 1)</f>
        <v>146.046288449889</v>
      </c>
      <c r="U105" s="2" t="n">
        <f aca="false">$U$8 * $T$105 + $U$9</f>
        <v>139.382226555309</v>
      </c>
      <c r="W105" s="13" t="n">
        <f aca="false">INDEX($H$3:$H$164, 95, 1)</f>
        <v>146.046288449889</v>
      </c>
      <c r="X105" s="2" t="n">
        <f aca="false">$X$8 * $W$105 + $X$9</f>
        <v>139.382226555309</v>
      </c>
    </row>
    <row r="106" customFormat="false" ht="15.8" hidden="false" customHeight="false" outlineLevel="0" collapsed="false">
      <c r="A106" s="9" t="n">
        <v>40756</v>
      </c>
      <c r="B106" s="10" t="n">
        <v>148.011371892758</v>
      </c>
      <c r="C106" s="11" t="n">
        <v>132.566715749839</v>
      </c>
      <c r="D106" s="11" t="n">
        <v>167.650905652387</v>
      </c>
      <c r="E106" s="11" t="n">
        <v>140.7504964527</v>
      </c>
      <c r="F106" s="11" t="n">
        <v>138.139443541482</v>
      </c>
      <c r="G106" s="11" t="n">
        <v>192.721285514406</v>
      </c>
      <c r="H106" s="11" t="n">
        <v>150.471742397121</v>
      </c>
      <c r="I106" s="12" t="n">
        <v>136.129706233171</v>
      </c>
      <c r="J106" s="11" t="n">
        <v>129.253337895352</v>
      </c>
      <c r="K106" s="11" t="n">
        <v>136.789380397352</v>
      </c>
      <c r="L106" s="11" t="n">
        <v>132.24473790615</v>
      </c>
      <c r="M106" s="11" t="n">
        <v>135.073754931644</v>
      </c>
      <c r="N106" s="11" t="n">
        <v>140.183151488425</v>
      </c>
      <c r="O106" s="12" t="n">
        <v>136.129706233171</v>
      </c>
      <c r="Q106" s="13" t="n">
        <f aca="false">INDEX($C$3:$C$164, 96, 1)</f>
        <v>154.176013567629</v>
      </c>
      <c r="R106" s="2" t="n">
        <f aca="false">$R$8 * $Q$106 + $R$9</f>
        <v>148.839783096607</v>
      </c>
      <c r="T106" s="13" t="n">
        <f aca="false">INDEX($H$3:$H$164, 96, 1)</f>
        <v>160.837414573245</v>
      </c>
      <c r="U106" s="2" t="n">
        <f aca="false">$U$8 * $T$106 + $U$9</f>
        <v>149.216897908341</v>
      </c>
      <c r="W106" s="13" t="n">
        <f aca="false">INDEX($H$3:$H$164, 96, 1)</f>
        <v>160.837414573245</v>
      </c>
      <c r="X106" s="2" t="n">
        <f aca="false">$X$8 * $W$106 + $X$9</f>
        <v>149.216897908341</v>
      </c>
    </row>
    <row r="107" customFormat="false" ht="15.8" hidden="false" customHeight="false" outlineLevel="0" collapsed="false">
      <c r="A107" s="9" t="n">
        <v>40787</v>
      </c>
      <c r="B107" s="10" t="n">
        <v>146.719115654853</v>
      </c>
      <c r="C107" s="11" t="n">
        <v>131.780771229805</v>
      </c>
      <c r="D107" s="11" t="n">
        <v>162.968620804731</v>
      </c>
      <c r="E107" s="11" t="n">
        <v>138.981645598688</v>
      </c>
      <c r="F107" s="11" t="n">
        <v>136.747720825168</v>
      </c>
      <c r="G107" s="11" t="n">
        <v>187.177899453741</v>
      </c>
      <c r="H107" s="11" t="n">
        <v>148.095081880131</v>
      </c>
      <c r="I107" s="12" t="n">
        <v>133.092083180157</v>
      </c>
      <c r="J107" s="11" t="n">
        <v>134.060895400369</v>
      </c>
      <c r="K107" s="11" t="n">
        <v>131.60597514734</v>
      </c>
      <c r="L107" s="11" t="n">
        <v>133.668300587469</v>
      </c>
      <c r="M107" s="11" t="n">
        <v>131.842964021085</v>
      </c>
      <c r="N107" s="11" t="n">
        <v>138.705658140932</v>
      </c>
      <c r="O107" s="12" t="n">
        <v>133.092083180157</v>
      </c>
      <c r="Q107" s="13" t="n">
        <f aca="false">INDEX($C$3:$C$164, 97, 1)</f>
        <v>151.620150753044</v>
      </c>
      <c r="R107" s="2" t="n">
        <f aca="false">$R$8 * $Q$107 + $R$9</f>
        <v>147.250094158987</v>
      </c>
      <c r="T107" s="13" t="n">
        <f aca="false">INDEX($H$3:$H$164, 97, 1)</f>
        <v>151.065816419566</v>
      </c>
      <c r="U107" s="2" t="n">
        <f aca="false">$U$8 * $T$107 + $U$9</f>
        <v>142.719728211196</v>
      </c>
      <c r="W107" s="13" t="n">
        <f aca="false">INDEX($H$3:$H$164, 97, 1)</f>
        <v>151.065816419566</v>
      </c>
      <c r="X107" s="2" t="n">
        <f aca="false">$X$8 * $W$107 + $X$9</f>
        <v>142.719728211196</v>
      </c>
    </row>
    <row r="108" customFormat="false" ht="15.8" hidden="false" customHeight="false" outlineLevel="0" collapsed="false">
      <c r="A108" s="9" t="n">
        <v>40817</v>
      </c>
      <c r="B108" s="10" t="n">
        <v>145.015060907716</v>
      </c>
      <c r="C108" s="11" t="n">
        <v>137.974502425038</v>
      </c>
      <c r="D108" s="11" t="n">
        <v>162.973817414975</v>
      </c>
      <c r="E108" s="11" t="n">
        <v>143.729987622721</v>
      </c>
      <c r="F108" s="11" t="n">
        <v>143.76710641947</v>
      </c>
      <c r="G108" s="11" t="n">
        <v>185.429090795591</v>
      </c>
      <c r="H108" s="11" t="n">
        <v>153.085938404114</v>
      </c>
      <c r="I108" s="12" t="n">
        <v>136.818741235739</v>
      </c>
      <c r="J108" s="11" t="n">
        <v>136.518873591681</v>
      </c>
      <c r="K108" s="11" t="n">
        <v>131.847342480853</v>
      </c>
      <c r="L108" s="11" t="n">
        <v>135.328450938249</v>
      </c>
      <c r="M108" s="11" t="n">
        <v>136.65845213773</v>
      </c>
      <c r="N108" s="11" t="n">
        <v>137.358613105338</v>
      </c>
      <c r="O108" s="12" t="n">
        <v>136.818741235739</v>
      </c>
      <c r="Q108" s="13" t="n">
        <f aca="false">INDEX($C$3:$C$164, 98, 1)</f>
        <v>123.399748655057</v>
      </c>
      <c r="R108" s="2" t="n">
        <f aca="false">$R$8 * $Q$108 + $R$9</f>
        <v>129.697641509984</v>
      </c>
      <c r="T108" s="13" t="n">
        <f aca="false">INDEX($H$3:$H$164, 98, 1)</f>
        <v>132.367643740442</v>
      </c>
      <c r="U108" s="2" t="n">
        <f aca="false">$U$8 * $T$108 + $U$9</f>
        <v>130.287247974884</v>
      </c>
      <c r="W108" s="13" t="n">
        <f aca="false">INDEX($H$3:$H$164, 98, 1)</f>
        <v>132.367643740442</v>
      </c>
      <c r="X108" s="2" t="n">
        <f aca="false">$X$8 * $W$108 + $X$9</f>
        <v>130.287247974884</v>
      </c>
    </row>
    <row r="109" customFormat="false" ht="15.8" hidden="false" customHeight="false" outlineLevel="0" collapsed="false">
      <c r="A109" s="9" t="n">
        <v>40848</v>
      </c>
      <c r="B109" s="10" t="n">
        <v>145.458935024529</v>
      </c>
      <c r="C109" s="11" t="n">
        <v>137.075311968905</v>
      </c>
      <c r="D109" s="11" t="n">
        <v>159.294503100826</v>
      </c>
      <c r="E109" s="11" t="n">
        <v>142.151593176717</v>
      </c>
      <c r="F109" s="11" t="n">
        <v>141.964596161219</v>
      </c>
      <c r="G109" s="11" t="n">
        <v>181.83525417359</v>
      </c>
      <c r="H109" s="11" t="n">
        <v>150.896775827275</v>
      </c>
      <c r="I109" s="12" t="n">
        <v>132.678745418416</v>
      </c>
      <c r="J109" s="11" t="n">
        <v>142.376729206214</v>
      </c>
      <c r="K109" s="11" t="n">
        <v>128.930106341461</v>
      </c>
      <c r="L109" s="11" t="n">
        <v>137.665644996976</v>
      </c>
      <c r="M109" s="11" t="n">
        <v>132.140985872332</v>
      </c>
      <c r="N109" s="11" t="n">
        <v>134.872257674374</v>
      </c>
      <c r="O109" s="12" t="n">
        <v>132.678745418416</v>
      </c>
      <c r="Q109" s="13" t="n">
        <f aca="false">INDEX($C$3:$C$164, 99, 1)</f>
        <v>135.197799834928</v>
      </c>
      <c r="R109" s="2" t="n">
        <f aca="false">$R$8 * $Q$109 + $R$9</f>
        <v>137.035762843839</v>
      </c>
      <c r="T109" s="13" t="n">
        <f aca="false">INDEX($H$3:$H$164, 99, 1)</f>
        <v>147.135710715229</v>
      </c>
      <c r="U109" s="2" t="n">
        <f aca="false">$U$8 * $T$109 + $U$9</f>
        <v>140.106587219599</v>
      </c>
      <c r="W109" s="13" t="n">
        <f aca="false">INDEX($H$3:$H$164, 99, 1)</f>
        <v>147.135710715229</v>
      </c>
      <c r="X109" s="2" t="n">
        <f aca="false">$X$8 * $W$109 + $X$9</f>
        <v>140.106587219599</v>
      </c>
    </row>
    <row r="110" customFormat="false" ht="15.8" hidden="false" customHeight="false" outlineLevel="0" collapsed="false">
      <c r="A110" s="9" t="n">
        <v>40878</v>
      </c>
      <c r="B110" s="10" t="n">
        <v>146.92852725594</v>
      </c>
      <c r="C110" s="11" t="n">
        <v>158.505685065946</v>
      </c>
      <c r="D110" s="11" t="n">
        <v>157.53432719927</v>
      </c>
      <c r="E110" s="11" t="n">
        <v>158.367599184987</v>
      </c>
      <c r="F110" s="11" t="n">
        <v>160.895889223368</v>
      </c>
      <c r="G110" s="11" t="n">
        <v>176.253106921059</v>
      </c>
      <c r="H110" s="11" t="n">
        <v>164.344198881395</v>
      </c>
      <c r="I110" s="12" t="n">
        <v>144.711958636963</v>
      </c>
      <c r="J110" s="11" t="n">
        <v>187.16906877033</v>
      </c>
      <c r="K110" s="11" t="n">
        <v>126.260213434209</v>
      </c>
      <c r="L110" s="11" t="n">
        <v>165.502038238206</v>
      </c>
      <c r="M110" s="11" t="n">
        <v>145.250637748914</v>
      </c>
      <c r="N110" s="11" t="n">
        <v>141.175880791085</v>
      </c>
      <c r="O110" s="12" t="n">
        <v>144.711958636963</v>
      </c>
      <c r="Q110" s="13" t="n">
        <f aca="false">INDEX($C$3:$C$164, 100, 1)</f>
        <v>136.190325903729</v>
      </c>
      <c r="R110" s="2" t="n">
        <f aca="false">$R$8 * $Q$110 + $R$9</f>
        <v>137.653091638979</v>
      </c>
      <c r="T110" s="13" t="n">
        <f aca="false">INDEX($H$3:$H$164, 100, 1)</f>
        <v>148.415279435104</v>
      </c>
      <c r="U110" s="2" t="n">
        <f aca="false">$U$8 * $T$110 + $U$9</f>
        <v>140.957376924766</v>
      </c>
      <c r="W110" s="13" t="n">
        <f aca="false">INDEX($H$3:$H$164, 100, 1)</f>
        <v>148.415279435104</v>
      </c>
      <c r="X110" s="2" t="n">
        <f aca="false">$X$8 * $W$110 + $X$9</f>
        <v>140.957376924766</v>
      </c>
    </row>
    <row r="111" customFormat="false" ht="15.8" hidden="false" customHeight="false" outlineLevel="0" collapsed="false">
      <c r="A111" s="9" t="n">
        <v>40909</v>
      </c>
      <c r="B111" s="10" t="n">
        <v>140.577311857694</v>
      </c>
      <c r="C111" s="11" t="n">
        <v>156.740332256523</v>
      </c>
      <c r="D111" s="11" t="n">
        <v>146.514930347899</v>
      </c>
      <c r="E111" s="11" t="n">
        <v>154.532416526859</v>
      </c>
      <c r="F111" s="11" t="n">
        <v>154.403163262546</v>
      </c>
      <c r="G111" s="11" t="n">
        <v>160.383849475487</v>
      </c>
      <c r="H111" s="11" t="n">
        <v>155.749089383408</v>
      </c>
      <c r="I111" s="12" t="n">
        <v>140.383742651587</v>
      </c>
      <c r="J111" s="11" t="n">
        <v>203.387228582231</v>
      </c>
      <c r="K111" s="11" t="n">
        <v>133.008172534335</v>
      </c>
      <c r="L111" s="11" t="n">
        <v>178.273273554328</v>
      </c>
      <c r="M111" s="11" t="n">
        <v>141.884966333663</v>
      </c>
      <c r="N111" s="11" t="n">
        <v>131.096602013216</v>
      </c>
      <c r="O111" s="12" t="n">
        <v>140.383742651587</v>
      </c>
      <c r="Q111" s="13" t="n">
        <f aca="false">INDEX($C$3:$C$164, 101, 1)</f>
        <v>129.090006462274</v>
      </c>
      <c r="R111" s="2" t="n">
        <f aca="false">$R$8 * $Q$111 + $R$9</f>
        <v>133.236853331807</v>
      </c>
      <c r="T111" s="13" t="n">
        <f aca="false">INDEX($H$3:$H$164, 101, 1)</f>
        <v>146.349661849778</v>
      </c>
      <c r="U111" s="2" t="n">
        <f aca="false">$U$8 * $T$111 + $U$9</f>
        <v>139.583940587107</v>
      </c>
      <c r="W111" s="13" t="n">
        <f aca="false">INDEX($H$3:$H$164, 101, 1)</f>
        <v>146.349661849778</v>
      </c>
      <c r="X111" s="2" t="n">
        <f aca="false">$X$8 * $W$111 + $X$9</f>
        <v>139.583940587107</v>
      </c>
    </row>
    <row r="112" customFormat="false" ht="15.8" hidden="false" customHeight="false" outlineLevel="0" collapsed="false">
      <c r="A112" s="9" t="n">
        <v>40940</v>
      </c>
      <c r="B112" s="10" t="n">
        <v>139.043723141347</v>
      </c>
      <c r="C112" s="11" t="n">
        <v>140.203427623846</v>
      </c>
      <c r="D112" s="11" t="n">
        <v>144.600713010772</v>
      </c>
      <c r="E112" s="11" t="n">
        <v>140.973965874316</v>
      </c>
      <c r="F112" s="11" t="n">
        <v>139.34550169947</v>
      </c>
      <c r="G112" s="11" t="n">
        <v>160.150755339477</v>
      </c>
      <c r="H112" s="11" t="n">
        <v>143.974179937291</v>
      </c>
      <c r="I112" s="12" t="n">
        <v>131.118019296504</v>
      </c>
      <c r="J112" s="11" t="n">
        <v>155.493881130069</v>
      </c>
      <c r="K112" s="11" t="n">
        <v>127.9960344627</v>
      </c>
      <c r="L112" s="11" t="n">
        <v>145.316827049076</v>
      </c>
      <c r="M112" s="11" t="n">
        <v>132.64992402296</v>
      </c>
      <c r="N112" s="11" t="n">
        <v>122.714627005103</v>
      </c>
      <c r="O112" s="12" t="n">
        <v>131.118019296504</v>
      </c>
      <c r="Q112" s="13" t="n">
        <f aca="false">INDEX($C$3:$C$164, 102, 1)</f>
        <v>129.179313761342</v>
      </c>
      <c r="R112" s="2" t="n">
        <f aca="false">$R$8 * $Q$112 + $R$9</f>
        <v>133.292400454511</v>
      </c>
      <c r="T112" s="13" t="n">
        <f aca="false">INDEX($H$3:$H$164, 102, 1)</f>
        <v>143.743604292583</v>
      </c>
      <c r="U112" s="2" t="n">
        <f aca="false">$U$8 * $T$112 + $U$9</f>
        <v>137.851163827018</v>
      </c>
      <c r="W112" s="13" t="n">
        <f aca="false">INDEX($H$3:$H$164, 102, 1)</f>
        <v>143.743604292583</v>
      </c>
      <c r="X112" s="2" t="n">
        <f aca="false">$X$8 * $W$112 + $X$9</f>
        <v>137.851163827018</v>
      </c>
    </row>
    <row r="113" customFormat="false" ht="15.8" hidden="false" customHeight="false" outlineLevel="0" collapsed="false">
      <c r="A113" s="9" t="n">
        <v>40969</v>
      </c>
      <c r="B113" s="10" t="n">
        <v>143.592025839478</v>
      </c>
      <c r="C113" s="11" t="n">
        <v>138.217999014302</v>
      </c>
      <c r="D113" s="11" t="n">
        <v>167.883131840539</v>
      </c>
      <c r="E113" s="11" t="n">
        <v>144.747373512477</v>
      </c>
      <c r="F113" s="11" t="n">
        <v>142.012744576357</v>
      </c>
      <c r="G113" s="11" t="n">
        <v>186.515274536612</v>
      </c>
      <c r="H113" s="11" t="n">
        <v>151.874436638093</v>
      </c>
      <c r="I113" s="12" t="n">
        <v>138.247228548306</v>
      </c>
      <c r="J113" s="11" t="n">
        <v>138.526737474135</v>
      </c>
      <c r="K113" s="11" t="n">
        <v>145.755397585734</v>
      </c>
      <c r="L113" s="11" t="n">
        <v>140.985281245831</v>
      </c>
      <c r="M113" s="11" t="n">
        <v>137.671518763092</v>
      </c>
      <c r="N113" s="11" t="n">
        <v>141.66278634273</v>
      </c>
      <c r="O113" s="12" t="n">
        <v>138.247228548306</v>
      </c>
      <c r="Q113" s="13" t="n">
        <f aca="false">INDEX($C$3:$C$164, 103, 1)</f>
        <v>140.054681579126</v>
      </c>
      <c r="R113" s="2" t="n">
        <f aca="false">$R$8 * $Q$113 + $R$9</f>
        <v>140.056633579161</v>
      </c>
      <c r="T113" s="13" t="n">
        <f aca="false">INDEX($H$3:$H$164, 103, 1)</f>
        <v>153.187644336847</v>
      </c>
      <c r="U113" s="2" t="n">
        <f aca="false">$U$8 * $T$113 + $U$9</f>
        <v>144.130538994642</v>
      </c>
      <c r="W113" s="13" t="n">
        <f aca="false">INDEX($H$3:$H$164, 103, 1)</f>
        <v>153.187644336847</v>
      </c>
      <c r="X113" s="2" t="n">
        <f aca="false">$X$8 * $W$113 + $X$9</f>
        <v>144.130538994642</v>
      </c>
    </row>
    <row r="114" customFormat="false" ht="15.8" hidden="false" customHeight="false" outlineLevel="0" collapsed="false">
      <c r="A114" s="9" t="n">
        <v>41000</v>
      </c>
      <c r="B114" s="10" t="n">
        <v>139.078101103106</v>
      </c>
      <c r="C114" s="11" t="n">
        <v>140.027544047238</v>
      </c>
      <c r="D114" s="11" t="n">
        <v>152.97232573993</v>
      </c>
      <c r="E114" s="11" t="n">
        <v>142.730654796274</v>
      </c>
      <c r="F114" s="11" t="n">
        <v>145.342714998293</v>
      </c>
      <c r="G114" s="11" t="n">
        <v>169.984126337409</v>
      </c>
      <c r="H114" s="11" t="n">
        <v>150.746590453759</v>
      </c>
      <c r="I114" s="12" t="n">
        <v>132.059694748206</v>
      </c>
      <c r="J114" s="11" t="n">
        <v>148.409817679285</v>
      </c>
      <c r="K114" s="11" t="n">
        <v>131.605136494193</v>
      </c>
      <c r="L114" s="11" t="n">
        <v>142.11193353214</v>
      </c>
      <c r="M114" s="11" t="n">
        <v>133.42648945123</v>
      </c>
      <c r="N114" s="11" t="n">
        <v>125.572288721469</v>
      </c>
      <c r="O114" s="12" t="n">
        <v>132.059694748206</v>
      </c>
      <c r="Q114" s="13" t="n">
        <f aca="false">INDEX($C$3:$C$164, 104, 1)</f>
        <v>132.566715749839</v>
      </c>
      <c r="R114" s="2" t="n">
        <f aca="false">$R$8 * $Q$114 + $R$9</f>
        <v>135.399287975099</v>
      </c>
      <c r="T114" s="13" t="n">
        <f aca="false">INDEX($H$3:$H$164, 104, 1)</f>
        <v>150.471742397121</v>
      </c>
      <c r="U114" s="2" t="n">
        <f aca="false">$U$8 * $T$114 + $U$9</f>
        <v>142.324726321455</v>
      </c>
      <c r="W114" s="13" t="n">
        <f aca="false">INDEX($H$3:$H$164, 104, 1)</f>
        <v>150.471742397121</v>
      </c>
      <c r="X114" s="2" t="n">
        <f aca="false">$X$8 * $W$114 + $X$9</f>
        <v>142.324726321455</v>
      </c>
    </row>
    <row r="115" customFormat="false" ht="15.8" hidden="false" customHeight="false" outlineLevel="0" collapsed="false">
      <c r="A115" s="9" t="n">
        <v>41030</v>
      </c>
      <c r="B115" s="10" t="n">
        <v>148.48507381734</v>
      </c>
      <c r="C115" s="11" t="n">
        <v>135.110911268813</v>
      </c>
      <c r="D115" s="11" t="n">
        <v>164.620895762693</v>
      </c>
      <c r="E115" s="11" t="n">
        <v>141.885825174344</v>
      </c>
      <c r="F115" s="11" t="n">
        <v>140.615811009737</v>
      </c>
      <c r="G115" s="11" t="n">
        <v>184.690703075038</v>
      </c>
      <c r="H115" s="11" t="n">
        <v>150.330495667113</v>
      </c>
      <c r="I115" s="12" t="n">
        <v>135.323470016773</v>
      </c>
      <c r="J115" s="11" t="n">
        <v>134.384889375574</v>
      </c>
      <c r="K115" s="11" t="n">
        <v>140.058419119517</v>
      </c>
      <c r="L115" s="11" t="n">
        <v>136.587070292017</v>
      </c>
      <c r="M115" s="11" t="n">
        <v>134.349722449879</v>
      </c>
      <c r="N115" s="11" t="n">
        <v>139.35262287983</v>
      </c>
      <c r="O115" s="12" t="n">
        <v>135.323470016773</v>
      </c>
      <c r="Q115" s="13" t="n">
        <f aca="false">INDEX($C$3:$C$164, 105, 1)</f>
        <v>131.780771229805</v>
      </c>
      <c r="R115" s="2" t="n">
        <f aca="false">$R$8 * $Q$115 + $R$9</f>
        <v>134.910448236929</v>
      </c>
      <c r="T115" s="13" t="n">
        <f aca="false">INDEX($H$3:$H$164, 105, 1)</f>
        <v>148.095081880131</v>
      </c>
      <c r="U115" s="2" t="n">
        <f aca="false">$U$8 * $T$115 + $U$9</f>
        <v>140.744476453568</v>
      </c>
      <c r="W115" s="13" t="n">
        <f aca="false">INDEX($H$3:$H$164, 105, 1)</f>
        <v>148.095081880131</v>
      </c>
      <c r="X115" s="2" t="n">
        <f aca="false">$X$8 * $W$115 + $X$9</f>
        <v>140.744476453568</v>
      </c>
    </row>
    <row r="116" customFormat="false" ht="15.8" hidden="false" customHeight="false" outlineLevel="0" collapsed="false">
      <c r="A116" s="9" t="n">
        <v>41061</v>
      </c>
      <c r="B116" s="10" t="n">
        <v>148.175757348184</v>
      </c>
      <c r="C116" s="11" t="n">
        <v>132.629394709744</v>
      </c>
      <c r="D116" s="11" t="n">
        <v>156.19533341512</v>
      </c>
      <c r="E116" s="11" t="n">
        <v>137.836985160254</v>
      </c>
      <c r="F116" s="11" t="n">
        <v>137.032180953542</v>
      </c>
      <c r="G116" s="11" t="n">
        <v>176.322980071926</v>
      </c>
      <c r="H116" s="11" t="n">
        <v>145.500807258405</v>
      </c>
      <c r="I116" s="12" t="n">
        <v>131.333407839516</v>
      </c>
      <c r="J116" s="11" t="n">
        <v>131.855505088628</v>
      </c>
      <c r="K116" s="11" t="n">
        <v>129.820696308799</v>
      </c>
      <c r="L116" s="11" t="n">
        <v>130.999391680764</v>
      </c>
      <c r="M116" s="11" t="n">
        <v>131.205330213031</v>
      </c>
      <c r="N116" s="11" t="n">
        <v>131.972422955089</v>
      </c>
      <c r="O116" s="12" t="n">
        <v>131.333407839516</v>
      </c>
      <c r="Q116" s="13" t="n">
        <f aca="false">INDEX($C$3:$C$164, 106, 1)</f>
        <v>137.974502425038</v>
      </c>
      <c r="R116" s="2" t="n">
        <f aca="false">$R$8 * $Q$116 + $R$9</f>
        <v>138.7628091334</v>
      </c>
      <c r="T116" s="13" t="n">
        <f aca="false">INDEX($H$3:$H$164, 106, 1)</f>
        <v>153.085938404114</v>
      </c>
      <c r="U116" s="2" t="n">
        <f aca="false">$U$8 * $T$116 + $U$9</f>
        <v>144.062914365203</v>
      </c>
      <c r="W116" s="13" t="n">
        <f aca="false">INDEX($H$3:$H$164, 106, 1)</f>
        <v>153.085938404114</v>
      </c>
      <c r="X116" s="2" t="n">
        <f aca="false">$X$8 * $W$116 + $X$9</f>
        <v>144.062914365203</v>
      </c>
    </row>
    <row r="117" customFormat="false" ht="15.8" hidden="false" customHeight="false" outlineLevel="0" collapsed="false">
      <c r="A117" s="9" t="n">
        <v>41091</v>
      </c>
      <c r="B117" s="10" t="n">
        <v>150.759307100788</v>
      </c>
      <c r="C117" s="11" t="n">
        <v>147.181894345063</v>
      </c>
      <c r="D117" s="11" t="n">
        <v>162.467795483271</v>
      </c>
      <c r="E117" s="11" t="n">
        <v>150.513667366604</v>
      </c>
      <c r="F117" s="11" t="n">
        <v>152.16537420078</v>
      </c>
      <c r="G117" s="11" t="n">
        <v>183.015900861343</v>
      </c>
      <c r="H117" s="11" t="n">
        <v>158.969377738646</v>
      </c>
      <c r="I117" s="12" t="n">
        <v>143.694164303634</v>
      </c>
      <c r="J117" s="11" t="n">
        <v>155.694353734945</v>
      </c>
      <c r="K117" s="11" t="n">
        <v>138.299719524846</v>
      </c>
      <c r="L117" s="11" t="n">
        <v>149.35997207583</v>
      </c>
      <c r="M117" s="11" t="n">
        <v>145.075933629427</v>
      </c>
      <c r="N117" s="11" t="n">
        <v>136.940658893626</v>
      </c>
      <c r="O117" s="12" t="n">
        <v>143.694164303634</v>
      </c>
      <c r="Q117" s="13" t="n">
        <f aca="false">INDEX($C$3:$C$164, 107, 1)</f>
        <v>137.075311968905</v>
      </c>
      <c r="R117" s="2" t="n">
        <f aca="false">$R$8 * $Q$117 + $R$9</f>
        <v>138.20353298103</v>
      </c>
      <c r="T117" s="13" t="n">
        <f aca="false">INDEX($H$3:$H$164, 107, 1)</f>
        <v>150.896775827275</v>
      </c>
      <c r="U117" s="2" t="n">
        <f aca="false">$U$8 * $T$117 + $U$9</f>
        <v>142.607332531744</v>
      </c>
      <c r="W117" s="13" t="n">
        <f aca="false">INDEX($H$3:$H$164, 107, 1)</f>
        <v>150.896775827275</v>
      </c>
      <c r="X117" s="2" t="n">
        <f aca="false">$X$8 * $W$117 + $X$9</f>
        <v>142.607332531744</v>
      </c>
    </row>
    <row r="118" customFormat="false" ht="15.8" hidden="false" customHeight="false" outlineLevel="0" collapsed="false">
      <c r="A118" s="9" t="n">
        <v>41122</v>
      </c>
      <c r="B118" s="10" t="n">
        <v>153.800291304961</v>
      </c>
      <c r="C118" s="11" t="n">
        <v>139.787434419181</v>
      </c>
      <c r="D118" s="11" t="n">
        <v>176.358558210452</v>
      </c>
      <c r="E118" s="11" t="n">
        <v>148.310647278801</v>
      </c>
      <c r="F118" s="11" t="n">
        <v>145.3562803573</v>
      </c>
      <c r="G118" s="11" t="n">
        <v>201.220443723736</v>
      </c>
      <c r="H118" s="11" t="n">
        <v>157.939160741504</v>
      </c>
      <c r="I118" s="12" t="n">
        <v>142.082294524252</v>
      </c>
      <c r="J118" s="11" t="n">
        <v>136.735154350124</v>
      </c>
      <c r="K118" s="11" t="n">
        <v>150.344843423618</v>
      </c>
      <c r="L118" s="11" t="n">
        <v>142.087325738101</v>
      </c>
      <c r="M118" s="11" t="n">
        <v>140.440764047374</v>
      </c>
      <c r="N118" s="11" t="n">
        <v>148.66715111865</v>
      </c>
      <c r="O118" s="12" t="n">
        <v>142.082294524252</v>
      </c>
      <c r="Q118" s="13" t="n">
        <f aca="false">INDEX($C$3:$C$164, 108, 1)</f>
        <v>158.505685065946</v>
      </c>
      <c r="R118" s="2" t="n">
        <f aca="false">$R$8 * $Q$118 + $R$9</f>
        <v>151.532740967869</v>
      </c>
      <c r="T118" s="13" t="n">
        <f aca="false">INDEX($H$3:$H$164, 108, 1)</f>
        <v>164.344198881395</v>
      </c>
      <c r="U118" s="2" t="n">
        <f aca="false">$U$8 * $T$118 + $U$9</f>
        <v>151.548571027007</v>
      </c>
      <c r="W118" s="13" t="n">
        <f aca="false">INDEX($H$3:$H$164, 108, 1)</f>
        <v>164.344198881395</v>
      </c>
      <c r="X118" s="2" t="n">
        <f aca="false">$X$8 * $W$118 + $X$9</f>
        <v>151.548571027007</v>
      </c>
    </row>
    <row r="119" customFormat="false" ht="15.8" hidden="false" customHeight="false" outlineLevel="0" collapsed="false">
      <c r="A119" s="9" t="n">
        <v>41153</v>
      </c>
      <c r="B119" s="10" t="n">
        <v>147.886699314772</v>
      </c>
      <c r="C119" s="11" t="n">
        <v>143.275681243592</v>
      </c>
      <c r="D119" s="11" t="n">
        <v>163.95496825166</v>
      </c>
      <c r="E119" s="11" t="n">
        <v>147.802880307526</v>
      </c>
      <c r="F119" s="11" t="n">
        <v>148.563285808534</v>
      </c>
      <c r="G119" s="11" t="n">
        <v>187.548227717387</v>
      </c>
      <c r="H119" s="11" t="n">
        <v>157.111501352047</v>
      </c>
      <c r="I119" s="12" t="n">
        <v>138.873107820901</v>
      </c>
      <c r="J119" s="11" t="n">
        <v>150.411172510855</v>
      </c>
      <c r="K119" s="11" t="n">
        <v>138.592930697049</v>
      </c>
      <c r="L119" s="11" t="n">
        <v>146.414390601712</v>
      </c>
      <c r="M119" s="11" t="n">
        <v>139.365478055931</v>
      </c>
      <c r="N119" s="11" t="n">
        <v>136.818432723604</v>
      </c>
      <c r="O119" s="12" t="n">
        <v>138.873107820901</v>
      </c>
      <c r="Q119" s="13" t="n">
        <f aca="false">INDEX($C$3:$C$164, 109, 1)</f>
        <v>156.740332256523</v>
      </c>
      <c r="R119" s="2" t="n">
        <f aca="false">$R$8 * $Q$119 + $R$9</f>
        <v>150.434731397042</v>
      </c>
      <c r="T119" s="13" t="n">
        <f aca="false">INDEX($H$3:$H$164, 109, 1)</f>
        <v>155.749089383408</v>
      </c>
      <c r="U119" s="2" t="n">
        <f aca="false">$U$8 * $T$119 + $U$9</f>
        <v>145.833652740796</v>
      </c>
      <c r="W119" s="13" t="n">
        <f aca="false">INDEX($H$3:$H$164, 109, 1)</f>
        <v>155.749089383408</v>
      </c>
      <c r="X119" s="2" t="n">
        <f aca="false">$X$8 * $W$119 + $X$9</f>
        <v>145.833652740796</v>
      </c>
    </row>
    <row r="120" customFormat="false" ht="15.8" hidden="false" customHeight="false" outlineLevel="0" collapsed="false">
      <c r="A120" s="9" t="n">
        <v>41183</v>
      </c>
      <c r="B120" s="10" t="n">
        <v>152.57851151856</v>
      </c>
      <c r="C120" s="11" t="n">
        <v>145.178044813038</v>
      </c>
      <c r="D120" s="11" t="n">
        <v>174.397557885752</v>
      </c>
      <c r="E120" s="11" t="n">
        <v>151.963930421255</v>
      </c>
      <c r="F120" s="11" t="n">
        <v>150.066178255743</v>
      </c>
      <c r="G120" s="11" t="n">
        <v>198.935361154675</v>
      </c>
      <c r="H120" s="11" t="n">
        <v>160.956107110796</v>
      </c>
      <c r="I120" s="12" t="n">
        <v>144.289959544191</v>
      </c>
      <c r="J120" s="11" t="n">
        <v>148.573917215346</v>
      </c>
      <c r="K120" s="11" t="n">
        <v>142.042083608051</v>
      </c>
      <c r="L120" s="11" t="n">
        <v>146.709559396908</v>
      </c>
      <c r="M120" s="11" t="n">
        <v>143.535438879711</v>
      </c>
      <c r="N120" s="11" t="n">
        <v>147.431315223768</v>
      </c>
      <c r="O120" s="12" t="n">
        <v>144.289959544191</v>
      </c>
      <c r="Q120" s="13" t="n">
        <f aca="false">INDEX($C$3:$C$164, 110, 1)</f>
        <v>140.203427623846</v>
      </c>
      <c r="R120" s="2" t="n">
        <f aca="false">$R$8 * $Q$120 + $R$9</f>
        <v>140.14915025903</v>
      </c>
      <c r="T120" s="13" t="n">
        <f aca="false">INDEX($H$3:$H$164, 110, 1)</f>
        <v>143.974179937291</v>
      </c>
      <c r="U120" s="2" t="n">
        <f aca="false">$U$8 * $T$120 + $U$9</f>
        <v>138.004474377466</v>
      </c>
      <c r="W120" s="13" t="n">
        <f aca="false">INDEX($H$3:$H$164, 110, 1)</f>
        <v>143.974179937291</v>
      </c>
      <c r="X120" s="2" t="n">
        <f aca="false">$X$8 * $W$120 + $X$9</f>
        <v>138.004474377466</v>
      </c>
    </row>
    <row r="121" customFormat="false" ht="15.8" hidden="false" customHeight="false" outlineLevel="0" collapsed="false">
      <c r="A121" s="9" t="n">
        <v>41214</v>
      </c>
      <c r="B121" s="10" t="n">
        <v>148.879350726848</v>
      </c>
      <c r="C121" s="11" t="n">
        <v>147.14508295111</v>
      </c>
      <c r="D121" s="11" t="n">
        <v>164.512284117291</v>
      </c>
      <c r="E121" s="11" t="n">
        <v>150.961436312983</v>
      </c>
      <c r="F121" s="11" t="n">
        <v>151.583549488732</v>
      </c>
      <c r="G121" s="11" t="n">
        <v>187.733264204299</v>
      </c>
      <c r="H121" s="11" t="n">
        <v>159.711191595422</v>
      </c>
      <c r="I121" s="12" t="n">
        <v>138.473182679238</v>
      </c>
      <c r="J121" s="11" t="n">
        <v>154.989644901312</v>
      </c>
      <c r="K121" s="11" t="n">
        <v>134.641275944666</v>
      </c>
      <c r="L121" s="11" t="n">
        <v>147.623140496037</v>
      </c>
      <c r="M121" s="11" t="n">
        <v>138.230570554149</v>
      </c>
      <c r="N121" s="11" t="n">
        <v>139.358227611594</v>
      </c>
      <c r="O121" s="12" t="n">
        <v>138.473182679238</v>
      </c>
      <c r="Q121" s="13" t="n">
        <f aca="false">INDEX($C$3:$C$164, 111, 1)</f>
        <v>138.217999014302</v>
      </c>
      <c r="R121" s="2" t="n">
        <f aca="false">$R$8 * $Q$121 + $R$9</f>
        <v>138.914258511705</v>
      </c>
      <c r="T121" s="13" t="n">
        <f aca="false">INDEX($H$3:$H$164, 111, 1)</f>
        <v>151.874436638093</v>
      </c>
      <c r="U121" s="2" t="n">
        <f aca="false">$U$8 * $T$121 + $U$9</f>
        <v>143.25738261508</v>
      </c>
      <c r="W121" s="13" t="n">
        <f aca="false">INDEX($H$3:$H$164, 111, 1)</f>
        <v>151.874436638093</v>
      </c>
      <c r="X121" s="2" t="n">
        <f aca="false">$X$8 * $W$121 + $X$9</f>
        <v>143.25738261508</v>
      </c>
    </row>
    <row r="122" customFormat="false" ht="15.8" hidden="false" customHeight="false" outlineLevel="0" collapsed="false">
      <c r="A122" s="9" t="n">
        <v>41244</v>
      </c>
      <c r="B122" s="10" t="n">
        <v>147.485476478056</v>
      </c>
      <c r="C122" s="11" t="n">
        <v>166.63893932329</v>
      </c>
      <c r="D122" s="11" t="n">
        <v>153.327287926065</v>
      </c>
      <c r="E122" s="11" t="n">
        <v>163.404743032464</v>
      </c>
      <c r="F122" s="11" t="n">
        <v>167.626126581399</v>
      </c>
      <c r="G122" s="11" t="n">
        <v>171.795570691393</v>
      </c>
      <c r="H122" s="11" t="n">
        <v>168.649499684729</v>
      </c>
      <c r="I122" s="12" t="n">
        <v>151.211624170168</v>
      </c>
      <c r="J122" s="11" t="n">
        <v>200.255779569193</v>
      </c>
      <c r="K122" s="11" t="n">
        <v>123.851995005499</v>
      </c>
      <c r="L122" s="11" t="n">
        <v>172.621267702207</v>
      </c>
      <c r="M122" s="11" t="n">
        <v>154.024212241464</v>
      </c>
      <c r="N122" s="11" t="n">
        <v>137.447386182079</v>
      </c>
      <c r="O122" s="12" t="n">
        <v>151.211624170168</v>
      </c>
      <c r="Q122" s="13" t="n">
        <f aca="false">INDEX($C$3:$C$164, 112, 1)</f>
        <v>140.027544047238</v>
      </c>
      <c r="R122" s="2" t="n">
        <f aca="false">$R$8 * $Q$122 + $R$9</f>
        <v>140.039754647323</v>
      </c>
      <c r="T122" s="13" t="n">
        <f aca="false">INDEX($H$3:$H$164, 112, 1)</f>
        <v>150.746590453759</v>
      </c>
      <c r="U122" s="2" t="n">
        <f aca="false">$U$8 * $T$122 + $U$9</f>
        <v>142.507473753024</v>
      </c>
      <c r="W122" s="13" t="n">
        <f aca="false">INDEX($H$3:$H$164, 112, 1)</f>
        <v>150.746590453759</v>
      </c>
      <c r="X122" s="2" t="n">
        <f aca="false">$X$8 * $W$122 + $X$9</f>
        <v>142.507473753024</v>
      </c>
    </row>
    <row r="123" customFormat="false" ht="15.8" hidden="false" customHeight="false" outlineLevel="0" collapsed="false">
      <c r="A123" s="9" t="n">
        <v>41275</v>
      </c>
      <c r="B123" s="10" t="n">
        <v>147.750740692303</v>
      </c>
      <c r="C123" s="11" t="n">
        <v>163.17805761266</v>
      </c>
      <c r="D123" s="11" t="n">
        <v>156.782289818015</v>
      </c>
      <c r="E123" s="11" t="n">
        <v>161.944951679954</v>
      </c>
      <c r="F123" s="11" t="n">
        <v>161.219152921748</v>
      </c>
      <c r="G123" s="11" t="n">
        <v>173.96463153838</v>
      </c>
      <c r="H123" s="11" t="n">
        <v>164.377217717704</v>
      </c>
      <c r="I123" s="12" t="n">
        <v>144.953986407022</v>
      </c>
      <c r="J123" s="11" t="n">
        <v>208.92863574365</v>
      </c>
      <c r="K123" s="11" t="n">
        <v>142.039470769759</v>
      </c>
      <c r="L123" s="11" t="n">
        <v>185.176280245468</v>
      </c>
      <c r="M123" s="11" t="n">
        <v>146.167707384621</v>
      </c>
      <c r="N123" s="11" t="n">
        <v>136.877845967329</v>
      </c>
      <c r="O123" s="12" t="n">
        <v>144.953986407022</v>
      </c>
      <c r="Q123" s="13" t="n">
        <f aca="false">INDEX($C$3:$C$164, 113, 1)</f>
        <v>135.110911268813</v>
      </c>
      <c r="R123" s="2" t="n">
        <f aca="false">$R$8 * $Q$123 + $R$9</f>
        <v>136.981720118396</v>
      </c>
      <c r="T123" s="13" t="n">
        <f aca="false">INDEX($H$3:$H$164, 113, 1)</f>
        <v>150.330495667113</v>
      </c>
      <c r="U123" s="2" t="n">
        <f aca="false">$U$8 * $T$123 + $U$9</f>
        <v>142.230810877983</v>
      </c>
      <c r="W123" s="13" t="n">
        <f aca="false">INDEX($H$3:$H$164, 113, 1)</f>
        <v>150.330495667113</v>
      </c>
      <c r="X123" s="2" t="n">
        <f aca="false">$X$8 * $W$123 + $X$9</f>
        <v>142.230810877983</v>
      </c>
    </row>
    <row r="124" customFormat="false" ht="15.8" hidden="false" customHeight="false" outlineLevel="0" collapsed="false">
      <c r="A124" s="9" t="n">
        <v>41306</v>
      </c>
      <c r="B124" s="10" t="n">
        <v>142.396275248947</v>
      </c>
      <c r="C124" s="11" t="n">
        <v>137.194340423726</v>
      </c>
      <c r="D124" s="11" t="n">
        <v>144.418906573119</v>
      </c>
      <c r="E124" s="11" t="n">
        <v>138.680210063326</v>
      </c>
      <c r="F124" s="11" t="n">
        <v>135.700293147707</v>
      </c>
      <c r="G124" s="11" t="n">
        <v>160.722536433884</v>
      </c>
      <c r="H124" s="11" t="n">
        <v>141.555872639251</v>
      </c>
      <c r="I124" s="12" t="n">
        <v>128.520594135392</v>
      </c>
      <c r="J124" s="11" t="n">
        <v>151.30418559576</v>
      </c>
      <c r="K124" s="11" t="n">
        <v>131.376806520684</v>
      </c>
      <c r="L124" s="11" t="n">
        <v>144.029873479457</v>
      </c>
      <c r="M124" s="11" t="n">
        <v>130.014746045867</v>
      </c>
      <c r="N124" s="11" t="n">
        <v>120.317004451805</v>
      </c>
      <c r="O124" s="12" t="n">
        <v>128.520594135392</v>
      </c>
      <c r="Q124" s="13" t="n">
        <f aca="false">INDEX($C$3:$C$164, 114, 1)</f>
        <v>132.629394709744</v>
      </c>
      <c r="R124" s="2" t="n">
        <f aca="false">$R$8 * $Q$124 + $R$9</f>
        <v>135.438272872338</v>
      </c>
      <c r="T124" s="13" t="n">
        <f aca="false">INDEX($H$3:$H$164, 114, 1)</f>
        <v>145.500807258405</v>
      </c>
      <c r="U124" s="2" t="n">
        <f aca="false">$U$8 * $T$124 + $U$9</f>
        <v>139.019534208373</v>
      </c>
      <c r="W124" s="13" t="n">
        <f aca="false">INDEX($H$3:$H$164, 114, 1)</f>
        <v>145.500807258405</v>
      </c>
      <c r="X124" s="2" t="n">
        <f aca="false">$X$8 * $W$124 + $X$9</f>
        <v>139.019534208373</v>
      </c>
    </row>
    <row r="125" customFormat="false" ht="15.8" hidden="false" customHeight="false" outlineLevel="0" collapsed="false">
      <c r="A125" s="9" t="n">
        <v>41334</v>
      </c>
      <c r="B125" s="10" t="n">
        <v>148.445557266284</v>
      </c>
      <c r="C125" s="11" t="n">
        <v>148.837956928691</v>
      </c>
      <c r="D125" s="11" t="n">
        <v>163.906391262272</v>
      </c>
      <c r="E125" s="11" t="n">
        <v>151.650407664581</v>
      </c>
      <c r="F125" s="11" t="n">
        <v>152.079931296965</v>
      </c>
      <c r="G125" s="11" t="n">
        <v>182.315042617994</v>
      </c>
      <c r="H125" s="11" t="n">
        <v>158.953398817316</v>
      </c>
      <c r="I125" s="12" t="n">
        <v>140.477891396903</v>
      </c>
      <c r="J125" s="11" t="n">
        <v>158.365247989696</v>
      </c>
      <c r="K125" s="11" t="n">
        <v>143.047471261082</v>
      </c>
      <c r="L125" s="11" t="n">
        <v>152.119016662303</v>
      </c>
      <c r="M125" s="11" t="n">
        <v>141.506294993716</v>
      </c>
      <c r="N125" s="11" t="n">
        <v>136.861201118142</v>
      </c>
      <c r="O125" s="12" t="n">
        <v>140.477891396903</v>
      </c>
      <c r="Q125" s="13" t="n">
        <f aca="false">INDEX($C$3:$C$164, 115, 1)</f>
        <v>147.181894345063</v>
      </c>
      <c r="R125" s="2" t="n">
        <f aca="false">$R$8 * $Q$125 + $R$9</f>
        <v>144.489598926682</v>
      </c>
      <c r="T125" s="13" t="n">
        <f aca="false">INDEX($H$3:$H$164, 115, 1)</f>
        <v>158.969377738646</v>
      </c>
      <c r="U125" s="2" t="n">
        <f aca="false">$U$8 * $T$125 + $U$9</f>
        <v>147.974833701031</v>
      </c>
      <c r="W125" s="13" t="n">
        <f aca="false">INDEX($H$3:$H$164, 115, 1)</f>
        <v>158.969377738646</v>
      </c>
      <c r="X125" s="2" t="n">
        <f aca="false">$X$8 * $W$125 + $X$9</f>
        <v>147.974833701031</v>
      </c>
    </row>
    <row r="126" customFormat="false" ht="15.8" hidden="false" customHeight="false" outlineLevel="0" collapsed="false">
      <c r="A126" s="9" t="n">
        <v>41365</v>
      </c>
      <c r="B126" s="10" t="n">
        <v>150.270441736226</v>
      </c>
      <c r="C126" s="11" t="n">
        <v>136.982321428228</v>
      </c>
      <c r="D126" s="11" t="n">
        <v>169.775657583658</v>
      </c>
      <c r="E126" s="11" t="n">
        <v>144.627756097138</v>
      </c>
      <c r="F126" s="11" t="n">
        <v>142.541516838354</v>
      </c>
      <c r="G126" s="11" t="n">
        <v>188.888642133087</v>
      </c>
      <c r="H126" s="11" t="n">
        <v>153.016829672875</v>
      </c>
      <c r="I126" s="12" t="n">
        <v>134.547662390848</v>
      </c>
      <c r="J126" s="11" t="n">
        <v>137.605624975109</v>
      </c>
      <c r="K126" s="11" t="n">
        <v>146.836169249042</v>
      </c>
      <c r="L126" s="11" t="n">
        <v>141.212177385721</v>
      </c>
      <c r="M126" s="11" t="n">
        <v>134.089579423368</v>
      </c>
      <c r="N126" s="11" t="n">
        <v>136.070393563548</v>
      </c>
      <c r="O126" s="12" t="n">
        <v>134.547662390848</v>
      </c>
      <c r="Q126" s="13" t="n">
        <f aca="false">INDEX($C$3:$C$164, 116, 1)</f>
        <v>139.787434419181</v>
      </c>
      <c r="R126" s="2" t="n">
        <f aca="false">$R$8 * $Q$126 + $R$9</f>
        <v>139.890411882382</v>
      </c>
      <c r="T126" s="13" t="n">
        <f aca="false">INDEX($H$3:$H$164, 116, 1)</f>
        <v>157.939160741504</v>
      </c>
      <c r="U126" s="2" t="n">
        <f aca="false">$U$8 * $T$126 + $U$9</f>
        <v>147.289838826083</v>
      </c>
      <c r="W126" s="13" t="n">
        <f aca="false">INDEX($H$3:$H$164, 116, 1)</f>
        <v>157.939160741504</v>
      </c>
      <c r="X126" s="2" t="n">
        <f aca="false">$X$8 * $W$126 + $X$9</f>
        <v>147.289838826083</v>
      </c>
    </row>
    <row r="127" customFormat="false" ht="15.8" hidden="false" customHeight="false" outlineLevel="0" collapsed="false">
      <c r="A127" s="9" t="n">
        <v>41395</v>
      </c>
      <c r="B127" s="10" t="n">
        <v>152.118070031464</v>
      </c>
      <c r="C127" s="11" t="n">
        <v>144.328924282748</v>
      </c>
      <c r="D127" s="11" t="n">
        <v>169.924529362037</v>
      </c>
      <c r="E127" s="11" t="n">
        <v>150.085026323035</v>
      </c>
      <c r="F127" s="11" t="n">
        <v>149.981884393052</v>
      </c>
      <c r="G127" s="11" t="n">
        <v>191.165525347759</v>
      </c>
      <c r="H127" s="11" t="n">
        <v>159.206873552483</v>
      </c>
      <c r="I127" s="12" t="n">
        <v>141.732200643459</v>
      </c>
      <c r="J127" s="11" t="n">
        <v>146.806176942206</v>
      </c>
      <c r="K127" s="11" t="n">
        <v>146.871923286732</v>
      </c>
      <c r="L127" s="11" t="n">
        <v>146.855200230583</v>
      </c>
      <c r="M127" s="11" t="n">
        <v>142.031254141875</v>
      </c>
      <c r="N127" s="11" t="n">
        <v>140.174297457046</v>
      </c>
      <c r="O127" s="12" t="n">
        <v>141.732200643459</v>
      </c>
      <c r="Q127" s="13" t="n">
        <f aca="false">INDEX($C$3:$C$164, 117, 1)</f>
        <v>143.275681243592</v>
      </c>
      <c r="R127" s="2" t="n">
        <f aca="false">$R$8 * $Q$127 + $R$9</f>
        <v>142.060022612978</v>
      </c>
      <c r="T127" s="13" t="n">
        <f aca="false">INDEX($H$3:$H$164, 117, 1)</f>
        <v>157.111501352047</v>
      </c>
      <c r="U127" s="2" t="n">
        <f aca="false">$U$8 * $T$127 + $U$9</f>
        <v>146.739525211036</v>
      </c>
      <c r="W127" s="13" t="n">
        <f aca="false">INDEX($H$3:$H$164, 117, 1)</f>
        <v>157.111501352047</v>
      </c>
      <c r="X127" s="2" t="n">
        <f aca="false">$X$8 * $W$127 + $X$9</f>
        <v>146.739525211036</v>
      </c>
    </row>
    <row r="128" customFormat="false" ht="15.8" hidden="false" customHeight="false" outlineLevel="0" collapsed="false">
      <c r="A128" s="9" t="n">
        <v>41426</v>
      </c>
      <c r="B128" s="10" t="n">
        <v>150.347476231697</v>
      </c>
      <c r="C128" s="11" t="n">
        <v>137.23440117589</v>
      </c>
      <c r="D128" s="11" t="n">
        <v>163.381158224709</v>
      </c>
      <c r="E128" s="11" t="n">
        <v>143.062226326955</v>
      </c>
      <c r="F128" s="11" t="n">
        <v>143.060779463167</v>
      </c>
      <c r="G128" s="11" t="n">
        <v>183.869908820081</v>
      </c>
      <c r="H128" s="11" t="n">
        <v>151.785565134249</v>
      </c>
      <c r="I128" s="12" t="n">
        <v>135.034025099423</v>
      </c>
      <c r="J128" s="11" t="n">
        <v>136.223831284267</v>
      </c>
      <c r="K128" s="11" t="n">
        <v>140.581082091311</v>
      </c>
      <c r="L128" s="11" t="n">
        <v>137.818388462966</v>
      </c>
      <c r="M128" s="11" t="n">
        <v>135.491042340864</v>
      </c>
      <c r="N128" s="11" t="n">
        <v>133.11376856176</v>
      </c>
      <c r="O128" s="12" t="n">
        <v>135.034025099423</v>
      </c>
      <c r="Q128" s="13" t="n">
        <f aca="false">INDEX($C$3:$C$164, 118, 1)</f>
        <v>145.178044813038</v>
      </c>
      <c r="R128" s="2" t="n">
        <f aca="false">$R$8 * $Q$128 + $R$9</f>
        <v>143.243249781675</v>
      </c>
      <c r="T128" s="13" t="n">
        <f aca="false">INDEX($H$3:$H$164, 118, 1)</f>
        <v>160.956107110796</v>
      </c>
      <c r="U128" s="2" t="n">
        <f aca="false">$U$8 * $T$128 + $U$9</f>
        <v>149.295816990575</v>
      </c>
      <c r="W128" s="13" t="n">
        <f aca="false">INDEX($H$3:$H$164, 118, 1)</f>
        <v>160.956107110796</v>
      </c>
      <c r="X128" s="2" t="n">
        <f aca="false">$X$8 * $W$128 + $X$9</f>
        <v>149.295816990575</v>
      </c>
    </row>
    <row r="129" customFormat="false" ht="15.8" hidden="false" customHeight="false" outlineLevel="0" collapsed="false">
      <c r="A129" s="9" t="n">
        <v>41456</v>
      </c>
      <c r="B129" s="10" t="n">
        <v>154.412815513473</v>
      </c>
      <c r="C129" s="11" t="n">
        <v>153.640861023758</v>
      </c>
      <c r="D129" s="11" t="n">
        <v>171.770223960898</v>
      </c>
      <c r="E129" s="11" t="n">
        <v>157.660153471032</v>
      </c>
      <c r="F129" s="11" t="n">
        <v>158.242046799711</v>
      </c>
      <c r="G129" s="11" t="n">
        <v>192.36768424971</v>
      </c>
      <c r="H129" s="11" t="n">
        <v>165.942096798961</v>
      </c>
      <c r="I129" s="12" t="n">
        <v>148.242757525295</v>
      </c>
      <c r="J129" s="11" t="n">
        <v>162.940773767063</v>
      </c>
      <c r="K129" s="11" t="n">
        <v>149.474668756355</v>
      </c>
      <c r="L129" s="11" t="n">
        <v>158.137343214601</v>
      </c>
      <c r="M129" s="11" t="n">
        <v>148.992125745959</v>
      </c>
      <c r="N129" s="11" t="n">
        <v>144.258780127392</v>
      </c>
      <c r="O129" s="12" t="n">
        <v>148.242757525295</v>
      </c>
      <c r="Q129" s="13" t="n">
        <f aca="false">INDEX($C$3:$C$164, 119, 1)</f>
        <v>147.14508295111</v>
      </c>
      <c r="R129" s="2" t="n">
        <f aca="false">$R$8 * $Q$129 + $R$9</f>
        <v>144.466703071157</v>
      </c>
      <c r="T129" s="13" t="n">
        <f aca="false">INDEX($H$3:$H$164, 119, 1)</f>
        <v>159.711191595422</v>
      </c>
      <c r="U129" s="2" t="n">
        <f aca="false">$U$8 * $T$129 + $U$9</f>
        <v>148.468068321956</v>
      </c>
      <c r="W129" s="13" t="n">
        <f aca="false">INDEX($H$3:$H$164, 119, 1)</f>
        <v>159.711191595422</v>
      </c>
      <c r="X129" s="2" t="n">
        <f aca="false">$X$8 * $W$129 + $X$9</f>
        <v>148.468068321956</v>
      </c>
    </row>
    <row r="130" customFormat="false" ht="15.8" hidden="false" customHeight="false" outlineLevel="0" collapsed="false">
      <c r="A130" s="9" t="n">
        <v>41487</v>
      </c>
      <c r="B130" s="10" t="n">
        <v>155.543933443946</v>
      </c>
      <c r="C130" s="11" t="n">
        <v>149.186555731827</v>
      </c>
      <c r="D130" s="11" t="n">
        <v>176.94813739438</v>
      </c>
      <c r="E130" s="11" t="n">
        <v>155.441405418299</v>
      </c>
      <c r="F130" s="11" t="n">
        <v>154.999768142021</v>
      </c>
      <c r="G130" s="11" t="n">
        <v>199.749474934577</v>
      </c>
      <c r="H130" s="11" t="n">
        <v>165.009877333142</v>
      </c>
      <c r="I130" s="12" t="n">
        <v>148.408402359252</v>
      </c>
      <c r="J130" s="11" t="n">
        <v>146.633994317501</v>
      </c>
      <c r="K130" s="11" t="n">
        <v>154.693026052819</v>
      </c>
      <c r="L130" s="11" t="n">
        <v>149.837353906418</v>
      </c>
      <c r="M130" s="11" t="n">
        <v>148.142477244538</v>
      </c>
      <c r="N130" s="11" t="n">
        <v>148.963808776153</v>
      </c>
      <c r="O130" s="12" t="n">
        <v>148.408402359252</v>
      </c>
      <c r="Q130" s="13" t="n">
        <f aca="false">INDEX($C$3:$C$164, 120, 1)</f>
        <v>166.63893932329</v>
      </c>
      <c r="R130" s="2" t="n">
        <f aca="false">$R$8 * $Q$130 + $R$9</f>
        <v>156.591441398099</v>
      </c>
      <c r="T130" s="13" t="n">
        <f aca="false">INDEX($H$3:$H$164, 120, 1)</f>
        <v>168.649499684729</v>
      </c>
      <c r="U130" s="2" t="n">
        <f aca="false">$U$8 * $T$130 + $U$9</f>
        <v>154.411180548663</v>
      </c>
      <c r="W130" s="13" t="n">
        <f aca="false">INDEX($H$3:$H$164, 120, 1)</f>
        <v>168.649499684729</v>
      </c>
      <c r="X130" s="2" t="n">
        <f aca="false">$X$8 * $W$130 + $X$9</f>
        <v>154.411180548663</v>
      </c>
    </row>
    <row r="131" customFormat="false" ht="15.8" hidden="false" customHeight="false" outlineLevel="0" collapsed="false">
      <c r="A131" s="9" t="n">
        <v>41518</v>
      </c>
      <c r="B131" s="10" t="n">
        <v>153.116562461413</v>
      </c>
      <c r="C131" s="11" t="n">
        <v>147.006319149295</v>
      </c>
      <c r="D131" s="11" t="n">
        <v>171.209047845575</v>
      </c>
      <c r="E131" s="11" t="n">
        <v>152.39803872572</v>
      </c>
      <c r="F131" s="11" t="n">
        <v>152.445475382314</v>
      </c>
      <c r="G131" s="11" t="n">
        <v>194.406105777912</v>
      </c>
      <c r="H131" s="11" t="n">
        <v>161.386176800082</v>
      </c>
      <c r="I131" s="12" t="n">
        <v>144.029867281807</v>
      </c>
      <c r="J131" s="11" t="n">
        <v>146.568276699275</v>
      </c>
      <c r="K131" s="11" t="n">
        <v>144.137924257569</v>
      </c>
      <c r="L131" s="11" t="n">
        <v>146.23855747002</v>
      </c>
      <c r="M131" s="11" t="n">
        <v>143.903223598005</v>
      </c>
      <c r="N131" s="11" t="n">
        <v>144.706835425371</v>
      </c>
      <c r="O131" s="12" t="n">
        <v>144.029867281807</v>
      </c>
      <c r="Q131" s="13" t="n">
        <f aca="false">INDEX($C$3:$C$164, 121, 1)</f>
        <v>163.17805761266</v>
      </c>
      <c r="R131" s="2" t="n">
        <f aca="false">$R$8 * $Q$131 + $R$9</f>
        <v>154.438851150139</v>
      </c>
      <c r="T131" s="13" t="n">
        <f aca="false">INDEX($H$3:$H$164, 121, 1)</f>
        <v>164.377217717704</v>
      </c>
      <c r="U131" s="2" t="n">
        <f aca="false">$U$8 * $T$131 + $U$9</f>
        <v>151.570525366443</v>
      </c>
      <c r="W131" s="13" t="n">
        <f aca="false">INDEX($H$3:$H$164, 121, 1)</f>
        <v>164.377217717704</v>
      </c>
      <c r="X131" s="2" t="n">
        <f aca="false">$X$8 * $W$131 + $X$9</f>
        <v>151.570525366443</v>
      </c>
    </row>
    <row r="132" customFormat="false" ht="15.8" hidden="false" customHeight="false" outlineLevel="0" collapsed="false">
      <c r="A132" s="9" t="n">
        <v>41548</v>
      </c>
      <c r="B132" s="10" t="n">
        <v>155.650003976681</v>
      </c>
      <c r="C132" s="11" t="n">
        <v>153.265797416115</v>
      </c>
      <c r="D132" s="11" t="n">
        <v>179.707338819629</v>
      </c>
      <c r="E132" s="11" t="n">
        <v>159.325107182153</v>
      </c>
      <c r="F132" s="11" t="n">
        <v>158.854933410473</v>
      </c>
      <c r="G132" s="11" t="n">
        <v>202.777758949065</v>
      </c>
      <c r="H132" s="11" t="n">
        <v>168.293798508102</v>
      </c>
      <c r="I132" s="12" t="n">
        <v>149.424783896631</v>
      </c>
      <c r="J132" s="11" t="n">
        <v>153.598321684969</v>
      </c>
      <c r="K132" s="11" t="n">
        <v>151.011619873765</v>
      </c>
      <c r="L132" s="11" t="n">
        <v>153.307687830499</v>
      </c>
      <c r="M132" s="11" t="n">
        <v>148.738117629599</v>
      </c>
      <c r="N132" s="11" t="n">
        <v>152.261890431953</v>
      </c>
      <c r="O132" s="12" t="n">
        <v>149.424783896631</v>
      </c>
      <c r="Q132" s="13" t="n">
        <f aca="false">INDEX($C$3:$C$164, 122, 1)</f>
        <v>137.194340423726</v>
      </c>
      <c r="R132" s="2" t="n">
        <f aca="false">$R$8 * $Q$132 + $R$9</f>
        <v>138.277565991257</v>
      </c>
      <c r="T132" s="13" t="n">
        <f aca="false">INDEX($H$3:$H$164, 122, 1)</f>
        <v>141.555872639251</v>
      </c>
      <c r="U132" s="2" t="n">
        <f aca="false">$U$8 * $T$132 + $U$9</f>
        <v>136.396533419589</v>
      </c>
      <c r="W132" s="13" t="n">
        <f aca="false">INDEX($H$3:$H$164, 122, 1)</f>
        <v>141.555872639251</v>
      </c>
      <c r="X132" s="2" t="n">
        <f aca="false">$X$8 * $W$132 + $X$9</f>
        <v>136.396533419589</v>
      </c>
    </row>
    <row r="133" customFormat="false" ht="15.8" hidden="false" customHeight="false" outlineLevel="0" collapsed="false">
      <c r="A133" s="9" t="n">
        <v>41579</v>
      </c>
      <c r="B133" s="10" t="n">
        <v>152.631854320959</v>
      </c>
      <c r="C133" s="11" t="n">
        <v>157.373726437887</v>
      </c>
      <c r="D133" s="11" t="n">
        <v>164.557148896771</v>
      </c>
      <c r="E133" s="11" t="n">
        <v>158.583464468205</v>
      </c>
      <c r="F133" s="11" t="n">
        <v>161.87428343061</v>
      </c>
      <c r="G133" s="11" t="n">
        <v>184.94489082056</v>
      </c>
      <c r="H133" s="11" t="n">
        <v>166.542035935678</v>
      </c>
      <c r="I133" s="12" t="n">
        <v>145.912832940062</v>
      </c>
      <c r="J133" s="11" t="n">
        <v>165.826959086005</v>
      </c>
      <c r="K133" s="11" t="n">
        <v>139.023836824147</v>
      </c>
      <c r="L133" s="11" t="n">
        <v>155.973249634224</v>
      </c>
      <c r="M133" s="11" t="n">
        <v>146.818878927823</v>
      </c>
      <c r="N133" s="11" t="n">
        <v>141.725669269059</v>
      </c>
      <c r="O133" s="12" t="n">
        <v>145.912832940062</v>
      </c>
      <c r="Q133" s="13" t="n">
        <f aca="false">INDEX($C$3:$C$164, 123, 1)</f>
        <v>148.837956928691</v>
      </c>
      <c r="R133" s="2" t="n">
        <f aca="false">$R$8 * $Q$133 + $R$9</f>
        <v>145.519632445765</v>
      </c>
      <c r="T133" s="13" t="n">
        <f aca="false">INDEX($H$3:$H$164, 123, 1)</f>
        <v>158.953398817316</v>
      </c>
      <c r="U133" s="2" t="n">
        <f aca="false">$U$8 * $T$133 + $U$9</f>
        <v>147.964209260501</v>
      </c>
      <c r="W133" s="13" t="n">
        <f aca="false">INDEX($H$3:$H$164, 123, 1)</f>
        <v>158.953398817316</v>
      </c>
      <c r="X133" s="2" t="n">
        <f aca="false">$X$8 * $W$133 + $X$9</f>
        <v>147.964209260501</v>
      </c>
    </row>
    <row r="134" customFormat="false" ht="15.8" hidden="false" customHeight="false" outlineLevel="0" collapsed="false">
      <c r="A134" s="9" t="n">
        <v>41609</v>
      </c>
      <c r="B134" s="10" t="n">
        <v>149.090980643553</v>
      </c>
      <c r="C134" s="11" t="n">
        <v>174.376660190726</v>
      </c>
      <c r="D134" s="11" t="n">
        <v>154.951772899595</v>
      </c>
      <c r="E134" s="11" t="n">
        <v>169.609789997877</v>
      </c>
      <c r="F134" s="11" t="n">
        <v>176.973968137486</v>
      </c>
      <c r="G134" s="11" t="n">
        <v>172.735114112688</v>
      </c>
      <c r="H134" s="11" t="n">
        <v>175.804521183774</v>
      </c>
      <c r="I134" s="12" t="n">
        <v>153.047261236877</v>
      </c>
      <c r="J134" s="11" t="n">
        <v>210.205745487737</v>
      </c>
      <c r="K134" s="11" t="n">
        <v>128.945544458631</v>
      </c>
      <c r="L134" s="11" t="n">
        <v>180.778057318548</v>
      </c>
      <c r="M134" s="11" t="n">
        <v>155.586895043759</v>
      </c>
      <c r="N134" s="11" t="n">
        <v>140.4904491851</v>
      </c>
      <c r="O134" s="12" t="n">
        <v>153.047261236877</v>
      </c>
      <c r="Q134" s="13" t="n">
        <f aca="false">INDEX($C$3:$C$164, 124, 1)</f>
        <v>136.982321428228</v>
      </c>
      <c r="R134" s="2" t="n">
        <f aca="false">$R$8 * $Q$134 + $R$9</f>
        <v>138.145694965244</v>
      </c>
      <c r="T134" s="13" t="n">
        <f aca="false">INDEX($H$3:$H$164, 124, 1)</f>
        <v>153.016829672875</v>
      </c>
      <c r="U134" s="2" t="n">
        <f aca="false">$U$8 * $T$134 + $U$9</f>
        <v>144.016963728741</v>
      </c>
      <c r="W134" s="13" t="n">
        <f aca="false">INDEX($H$3:$H$164, 124, 1)</f>
        <v>153.016829672875</v>
      </c>
      <c r="X134" s="2" t="n">
        <f aca="false">$X$8 * $W$134 + $X$9</f>
        <v>144.016963728741</v>
      </c>
    </row>
    <row r="135" customFormat="false" ht="15.8" hidden="false" customHeight="false" outlineLevel="0" collapsed="false">
      <c r="A135" s="9" t="n">
        <v>41640</v>
      </c>
      <c r="B135" s="10" t="n">
        <v>150.655932828072</v>
      </c>
      <c r="C135" s="11" t="n">
        <v>174.955108592855</v>
      </c>
      <c r="D135" s="11" t="n">
        <v>156.102388789916</v>
      </c>
      <c r="E135" s="11" t="n">
        <v>170.617637399064</v>
      </c>
      <c r="F135" s="11" t="n">
        <v>173.036564913188</v>
      </c>
      <c r="G135" s="11" t="n">
        <v>171.541274549666</v>
      </c>
      <c r="H135" s="11" t="n">
        <v>172.506283113688</v>
      </c>
      <c r="I135" s="12" t="n">
        <v>154.007081326546</v>
      </c>
      <c r="J135" s="11" t="n">
        <v>220.030383435008</v>
      </c>
      <c r="K135" s="11" t="n">
        <v>146.087100931075</v>
      </c>
      <c r="L135" s="11" t="n">
        <v>193.691770473445</v>
      </c>
      <c r="M135" s="11" t="n">
        <v>156.685583893833</v>
      </c>
      <c r="N135" s="11" t="n">
        <v>139.177560983359</v>
      </c>
      <c r="O135" s="12" t="n">
        <v>154.007081326546</v>
      </c>
      <c r="Q135" s="13" t="n">
        <f aca="false">INDEX($C$3:$C$164, 125, 1)</f>
        <v>144.328924282748</v>
      </c>
      <c r="R135" s="2" t="n">
        <f aca="false">$R$8 * $Q$135 + $R$9</f>
        <v>142.715115992175</v>
      </c>
      <c r="T135" s="13" t="n">
        <f aca="false">INDEX($H$3:$H$164, 125, 1)</f>
        <v>159.206873552483</v>
      </c>
      <c r="U135" s="2" t="n">
        <f aca="false">$U$8 * $T$135 + $U$9</f>
        <v>148.132745496071</v>
      </c>
      <c r="W135" s="13" t="n">
        <f aca="false">INDEX($H$3:$H$164, 125, 1)</f>
        <v>159.206873552483</v>
      </c>
      <c r="X135" s="2" t="n">
        <f aca="false">$X$8 * $W$135 + $X$9</f>
        <v>148.132745496071</v>
      </c>
    </row>
    <row r="136" customFormat="false" ht="15.8" hidden="false" customHeight="false" outlineLevel="0" collapsed="false">
      <c r="A136" s="9" t="n">
        <v>41671</v>
      </c>
      <c r="B136" s="10" t="n">
        <v>148.485029597566</v>
      </c>
      <c r="C136" s="11" t="n">
        <v>144.816429499571</v>
      </c>
      <c r="D136" s="11" t="n">
        <v>158.470866218944</v>
      </c>
      <c r="E136" s="11" t="n">
        <v>147.900508743211</v>
      </c>
      <c r="F136" s="11" t="n">
        <v>144.890614611764</v>
      </c>
      <c r="G136" s="11" t="n">
        <v>174.997066674695</v>
      </c>
      <c r="H136" s="11" t="n">
        <v>151.577316304597</v>
      </c>
      <c r="I136" s="12" t="n">
        <v>134.185819212593</v>
      </c>
      <c r="J136" s="11" t="n">
        <v>149.352705157692</v>
      </c>
      <c r="K136" s="11" t="n">
        <v>147.254631944784</v>
      </c>
      <c r="L136" s="11" t="n">
        <v>148.935355981962</v>
      </c>
      <c r="M136" s="11" t="n">
        <v>134.149623400373</v>
      </c>
      <c r="N136" s="11" t="n">
        <v>132.804776030699</v>
      </c>
      <c r="O136" s="12" t="n">
        <v>134.185819212593</v>
      </c>
      <c r="Q136" s="13" t="n">
        <f aca="false">INDEX($C$3:$C$164, 126, 1)</f>
        <v>137.23440117589</v>
      </c>
      <c r="R136" s="2" t="n">
        <f aca="false">$R$8 * $Q$136 + $R$9</f>
        <v>138.302482874191</v>
      </c>
      <c r="T136" s="13" t="n">
        <f aca="false">INDEX($H$3:$H$164, 126, 1)</f>
        <v>151.785565134249</v>
      </c>
      <c r="U136" s="2" t="n">
        <f aca="false">$U$8 * $T$136 + $U$9</f>
        <v>143.198291642177</v>
      </c>
      <c r="W136" s="13" t="n">
        <f aca="false">INDEX($H$3:$H$164, 126, 1)</f>
        <v>151.785565134249</v>
      </c>
      <c r="X136" s="2" t="n">
        <f aca="false">$X$8 * $W$136 + $X$9</f>
        <v>143.198291642177</v>
      </c>
    </row>
    <row r="137" customFormat="false" ht="15.8" hidden="false" customHeight="false" outlineLevel="0" collapsed="false">
      <c r="A137" s="9" t="n">
        <v>41699</v>
      </c>
      <c r="B137" s="10" t="n">
        <v>150.489809457646</v>
      </c>
      <c r="C137" s="11" t="n">
        <v>155.453728224467</v>
      </c>
      <c r="D137" s="11" t="n">
        <v>161.321677959034</v>
      </c>
      <c r="E137" s="11" t="n">
        <v>155.914160470825</v>
      </c>
      <c r="F137" s="11" t="n">
        <v>158.851245102174</v>
      </c>
      <c r="G137" s="11" t="n">
        <v>176.871500844754</v>
      </c>
      <c r="H137" s="11" t="n">
        <v>162.660651698896</v>
      </c>
      <c r="I137" s="12" t="n">
        <v>142.671536416328</v>
      </c>
      <c r="J137" s="11" t="n">
        <v>163.398504450214</v>
      </c>
      <c r="K137" s="11" t="n">
        <v>147.891834533034</v>
      </c>
      <c r="L137" s="11" t="n">
        <v>157.0681818152</v>
      </c>
      <c r="M137" s="11" t="n">
        <v>144.714974093109</v>
      </c>
      <c r="N137" s="11" t="n">
        <v>134.610069708144</v>
      </c>
      <c r="O137" s="12" t="n">
        <v>142.671536416328</v>
      </c>
      <c r="Q137" s="13" t="n">
        <f aca="false">INDEX($C$3:$C$164, 127, 1)</f>
        <v>153.640861023758</v>
      </c>
      <c r="R137" s="2" t="n">
        <f aca="false">$R$8 * $Q$137 + $R$9</f>
        <v>148.506930302601</v>
      </c>
      <c r="T137" s="13" t="n">
        <f aca="false">INDEX($H$3:$H$164, 127, 1)</f>
        <v>165.942096798961</v>
      </c>
      <c r="U137" s="2" t="n">
        <f aca="false">$U$8 * $T$137 + $U$9</f>
        <v>152.611018926098</v>
      </c>
      <c r="W137" s="13" t="n">
        <f aca="false">INDEX($H$3:$H$164, 127, 1)</f>
        <v>165.942096798961</v>
      </c>
      <c r="X137" s="2" t="n">
        <f aca="false">$X$8 * $W$137 + $X$9</f>
        <v>152.611018926098</v>
      </c>
    </row>
    <row r="138" customFormat="false" ht="15.8" hidden="false" customHeight="false" outlineLevel="0" collapsed="false">
      <c r="A138" s="9" t="n">
        <v>41730</v>
      </c>
      <c r="B138" s="10" t="n">
        <v>149.609736696034</v>
      </c>
      <c r="C138" s="11" t="n">
        <v>153.857578978786</v>
      </c>
      <c r="D138" s="11" t="n">
        <v>159.915188311397</v>
      </c>
      <c r="E138" s="11" t="n">
        <v>154.796344092596</v>
      </c>
      <c r="F138" s="11" t="n">
        <v>161.749554202066</v>
      </c>
      <c r="G138" s="11" t="n">
        <v>174.928193547246</v>
      </c>
      <c r="H138" s="11" t="n">
        <v>164.352158201515</v>
      </c>
      <c r="I138" s="12" t="n">
        <v>139.065967624926</v>
      </c>
      <c r="J138" s="11" t="n">
        <v>169.392275241614</v>
      </c>
      <c r="K138" s="11" t="n">
        <v>143.721494321061</v>
      </c>
      <c r="L138" s="11" t="n">
        <v>159.733135490972</v>
      </c>
      <c r="M138" s="11" t="n">
        <v>140.829570725333</v>
      </c>
      <c r="N138" s="11" t="n">
        <v>130.809306268987</v>
      </c>
      <c r="O138" s="12" t="n">
        <v>139.065967624926</v>
      </c>
      <c r="Q138" s="13" t="n">
        <f aca="false">INDEX($C$3:$C$164, 128, 1)</f>
        <v>149.186555731827</v>
      </c>
      <c r="R138" s="2" t="n">
        <f aca="false">$R$8 * $Q$138 + $R$9</f>
        <v>145.736453026999</v>
      </c>
      <c r="T138" s="13" t="n">
        <f aca="false">INDEX($H$3:$H$164, 128, 1)</f>
        <v>165.009877333142</v>
      </c>
      <c r="U138" s="2" t="n">
        <f aca="false">$U$8 * $T$138 + $U$9</f>
        <v>151.991182951557</v>
      </c>
      <c r="W138" s="13" t="n">
        <f aca="false">INDEX($H$3:$H$164, 128, 1)</f>
        <v>165.009877333142</v>
      </c>
      <c r="X138" s="2" t="n">
        <f aca="false">$X$8 * $W$138 + $X$9</f>
        <v>151.991182951557</v>
      </c>
    </row>
    <row r="139" customFormat="false" ht="15.8" hidden="false" customHeight="false" outlineLevel="0" collapsed="false">
      <c r="A139" s="9" t="n">
        <v>41760</v>
      </c>
      <c r="B139" s="10" t="n">
        <v>152.77875599292</v>
      </c>
      <c r="C139" s="11" t="n">
        <v>149.676956137933</v>
      </c>
      <c r="D139" s="11" t="n">
        <v>165.524494865039</v>
      </c>
      <c r="E139" s="11" t="n">
        <v>152.967346015495</v>
      </c>
      <c r="F139" s="11" t="n">
        <v>154.980400019837</v>
      </c>
      <c r="G139" s="11" t="n">
        <v>181.954924648217</v>
      </c>
      <c r="H139" s="11" t="n">
        <v>160.563082262932</v>
      </c>
      <c r="I139" s="12" t="n">
        <v>145.712767067023</v>
      </c>
      <c r="J139" s="11" t="n">
        <v>150.833798840057</v>
      </c>
      <c r="K139" s="11" t="n">
        <v>150.098137460034</v>
      </c>
      <c r="L139" s="11" t="n">
        <v>150.57547909647</v>
      </c>
      <c r="M139" s="11" t="n">
        <v>146.444577358344</v>
      </c>
      <c r="N139" s="11" t="n">
        <v>142.252095326868</v>
      </c>
      <c r="O139" s="12" t="n">
        <v>145.712767067023</v>
      </c>
      <c r="Q139" s="13" t="n">
        <f aca="false">INDEX($C$3:$C$164, 129, 1)</f>
        <v>147.006319149295</v>
      </c>
      <c r="R139" s="2" t="n">
        <f aca="false">$R$8 * $Q$139 + $R$9</f>
        <v>144.380395120891</v>
      </c>
      <c r="T139" s="13" t="n">
        <f aca="false">INDEX($H$3:$H$164, 129, 1)</f>
        <v>161.386176800082</v>
      </c>
      <c r="U139" s="2" t="n">
        <f aca="false">$U$8 * $T$139 + $U$9</f>
        <v>149.581771827128</v>
      </c>
      <c r="W139" s="13" t="n">
        <f aca="false">INDEX($H$3:$H$164, 129, 1)</f>
        <v>161.386176800082</v>
      </c>
      <c r="X139" s="2" t="n">
        <f aca="false">$X$8 * $W$139 + $X$9</f>
        <v>149.581771827128</v>
      </c>
    </row>
    <row r="140" customFormat="false" ht="15.8" hidden="false" customHeight="false" outlineLevel="0" collapsed="false">
      <c r="A140" s="9" t="n">
        <v>41791</v>
      </c>
      <c r="B140" s="10" t="n">
        <v>147.454723275389</v>
      </c>
      <c r="C140" s="11" t="n">
        <v>143.251524888359</v>
      </c>
      <c r="D140" s="11" t="n">
        <v>150.65201179135</v>
      </c>
      <c r="E140" s="11" t="n">
        <v>144.37580333964</v>
      </c>
      <c r="F140" s="11" t="n">
        <v>147.910943701068</v>
      </c>
      <c r="G140" s="11" t="n">
        <v>165.62963686661</v>
      </c>
      <c r="H140" s="11" t="n">
        <v>151.063278929213</v>
      </c>
      <c r="I140" s="12" t="n">
        <v>134.12146739173</v>
      </c>
      <c r="J140" s="11" t="n">
        <v>143.930351647237</v>
      </c>
      <c r="K140" s="11" t="n">
        <v>137.203350687231</v>
      </c>
      <c r="L140" s="11" t="n">
        <v>141.266570740881</v>
      </c>
      <c r="M140" s="11" t="n">
        <v>135.571266562066</v>
      </c>
      <c r="N140" s="11" t="n">
        <v>127.854381541867</v>
      </c>
      <c r="O140" s="12" t="n">
        <v>134.12146739173</v>
      </c>
      <c r="Q140" s="13" t="n">
        <f aca="false">INDEX($C$3:$C$164, 130, 1)</f>
        <v>153.265797416115</v>
      </c>
      <c r="R140" s="2" t="n">
        <f aca="false">$R$8 * $Q$140 + $R$9</f>
        <v>148.273649210764</v>
      </c>
      <c r="T140" s="13" t="n">
        <f aca="false">INDEX($H$3:$H$164, 130, 1)</f>
        <v>168.293798508102</v>
      </c>
      <c r="U140" s="2" t="n">
        <f aca="false">$U$8 * $T$140 + $U$9</f>
        <v>154.174673595586</v>
      </c>
      <c r="W140" s="13" t="n">
        <f aca="false">INDEX($H$3:$H$164, 130, 1)</f>
        <v>168.293798508102</v>
      </c>
      <c r="X140" s="2" t="n">
        <f aca="false">$X$8 * $W$140 + $X$9</f>
        <v>154.174673595586</v>
      </c>
    </row>
    <row r="141" customFormat="false" ht="15.8" hidden="false" customHeight="false" outlineLevel="0" collapsed="false">
      <c r="A141" s="9" t="n">
        <v>41821</v>
      </c>
      <c r="B141" s="10" t="n">
        <v>152.002111486241</v>
      </c>
      <c r="C141" s="11" t="n">
        <v>150.548149456353</v>
      </c>
      <c r="D141" s="11" t="n">
        <v>165.575470810212</v>
      </c>
      <c r="E141" s="11" t="n">
        <v>153.804713081555</v>
      </c>
      <c r="F141" s="11" t="n">
        <v>154.342648249322</v>
      </c>
      <c r="G141" s="11" t="n">
        <v>181.78813032517</v>
      </c>
      <c r="H141" s="11" t="n">
        <v>159.980111742175</v>
      </c>
      <c r="I141" s="12" t="n">
        <v>144.022683148099</v>
      </c>
      <c r="J141" s="11" t="n">
        <v>160.34424914502</v>
      </c>
      <c r="K141" s="11" t="n">
        <v>152.241893271886</v>
      </c>
      <c r="L141" s="11" t="n">
        <v>157.601521754429</v>
      </c>
      <c r="M141" s="11" t="n">
        <v>144.413085807855</v>
      </c>
      <c r="N141" s="11" t="n">
        <v>141.641843774327</v>
      </c>
      <c r="O141" s="12" t="n">
        <v>144.022683148099</v>
      </c>
      <c r="Q141" s="13" t="n">
        <f aca="false">INDEX($C$3:$C$164, 131, 1)</f>
        <v>157.373726437887</v>
      </c>
      <c r="R141" s="2" t="n">
        <f aca="false">$R$8 * $Q$141 + $R$9</f>
        <v>150.828688270439</v>
      </c>
      <c r="T141" s="13" t="n">
        <f aca="false">INDEX($H$3:$H$164, 131, 1)</f>
        <v>166.542035935678</v>
      </c>
      <c r="U141" s="2" t="n">
        <f aca="false">$U$8 * $T$141 + $U$9</f>
        <v>153.009920550777</v>
      </c>
      <c r="W141" s="13" t="n">
        <f aca="false">INDEX($H$3:$H$164, 131, 1)</f>
        <v>166.542035935678</v>
      </c>
      <c r="X141" s="2" t="n">
        <f aca="false">$X$8 * $W$141 + $X$9</f>
        <v>153.009920550777</v>
      </c>
    </row>
    <row r="142" customFormat="false" ht="15.8" hidden="false" customHeight="false" outlineLevel="0" collapsed="false">
      <c r="A142" s="9" t="n">
        <v>41852</v>
      </c>
      <c r="B142" s="10" t="n">
        <v>153.041871727124</v>
      </c>
      <c r="C142" s="11" t="n">
        <v>157.102422712018</v>
      </c>
      <c r="D142" s="11" t="n">
        <v>165.43118382334</v>
      </c>
      <c r="E142" s="11" t="n">
        <v>158.420326655059</v>
      </c>
      <c r="F142" s="11" t="n">
        <v>162.929960443615</v>
      </c>
      <c r="G142" s="11" t="n">
        <v>183.948398492463</v>
      </c>
      <c r="H142" s="11" t="n">
        <v>167.066654904737</v>
      </c>
      <c r="I142" s="12" t="n">
        <v>147.952025187436</v>
      </c>
      <c r="J142" s="11" t="n">
        <v>157.244442968967</v>
      </c>
      <c r="K142" s="11" t="n">
        <v>145.066550487245</v>
      </c>
      <c r="L142" s="11" t="n">
        <v>152.600321858024</v>
      </c>
      <c r="M142" s="11" t="n">
        <v>149.571504395719</v>
      </c>
      <c r="N142" s="11" t="n">
        <v>140.280687321585</v>
      </c>
      <c r="O142" s="12" t="n">
        <v>147.952025187436</v>
      </c>
      <c r="Q142" s="13" t="n">
        <f aca="false">INDEX($C$3:$C$164, 132, 1)</f>
        <v>174.376660190726</v>
      </c>
      <c r="R142" s="2" t="n">
        <f aca="false">$R$8 * $Q$142 + $R$9</f>
        <v>161.404128994303</v>
      </c>
      <c r="T142" s="13" t="n">
        <f aca="false">INDEX($H$3:$H$164, 132, 1)</f>
        <v>175.804521183774</v>
      </c>
      <c r="U142" s="2" t="n">
        <f aca="false">$U$8 * $T$142 + $U$9</f>
        <v>159.16857930114</v>
      </c>
      <c r="W142" s="13" t="n">
        <f aca="false">INDEX($H$3:$H$164, 132, 1)</f>
        <v>175.804521183774</v>
      </c>
      <c r="X142" s="2" t="n">
        <f aca="false">$X$8 * $W$142 + $X$9</f>
        <v>159.16857930114</v>
      </c>
    </row>
    <row r="143" customFormat="false" ht="15.8" hidden="false" customHeight="false" outlineLevel="0" collapsed="false">
      <c r="A143" s="9" t="n">
        <v>41883</v>
      </c>
      <c r="B143" s="10" t="n">
        <v>152.406134639267</v>
      </c>
      <c r="C143" s="11" t="n">
        <v>150.243812488271</v>
      </c>
      <c r="D143" s="11" t="n">
        <v>165.346302174441</v>
      </c>
      <c r="E143" s="11" t="n">
        <v>153.343369805611</v>
      </c>
      <c r="F143" s="11" t="n">
        <v>155.182749884956</v>
      </c>
      <c r="G143" s="11" t="n">
        <v>184.730578218039</v>
      </c>
      <c r="H143" s="11" t="n">
        <v>161.621852967738</v>
      </c>
      <c r="I143" s="12" t="n">
        <v>144.459069915939</v>
      </c>
      <c r="J143" s="11" t="n">
        <v>153.13888389626</v>
      </c>
      <c r="K143" s="11" t="n">
        <v>137.951615530799</v>
      </c>
      <c r="L143" s="11" t="n">
        <v>147.831845490476</v>
      </c>
      <c r="M143" s="11" t="n">
        <v>144.7513770069</v>
      </c>
      <c r="N143" s="11" t="n">
        <v>143.290489916665</v>
      </c>
      <c r="O143" s="12" t="n">
        <v>144.459069915939</v>
      </c>
      <c r="Q143" s="13" t="n">
        <f aca="false">INDEX($C$3:$C$164, 133, 1)</f>
        <v>174.955108592855</v>
      </c>
      <c r="R143" s="2" t="n">
        <f aca="false">$R$8 * $Q$143 + $R$9</f>
        <v>161.763910834158</v>
      </c>
      <c r="T143" s="13" t="n">
        <f aca="false">INDEX($H$3:$H$164, 133, 1)</f>
        <v>172.506283113688</v>
      </c>
      <c r="U143" s="2" t="n">
        <f aca="false">$U$8 * $T$143 + $U$9</f>
        <v>156.975569303603</v>
      </c>
      <c r="W143" s="13" t="n">
        <f aca="false">INDEX($H$3:$H$164, 133, 1)</f>
        <v>172.506283113688</v>
      </c>
      <c r="X143" s="2" t="n">
        <f aca="false">$X$8 * $W$143 + $X$9</f>
        <v>156.975569303603</v>
      </c>
    </row>
    <row r="144" customFormat="false" ht="15.8" hidden="false" customHeight="false" outlineLevel="0" collapsed="false">
      <c r="A144" s="9" t="n">
        <v>41913</v>
      </c>
      <c r="B144" s="10" t="n">
        <v>154.888617973387</v>
      </c>
      <c r="C144" s="11" t="n">
        <v>158.518922753428</v>
      </c>
      <c r="D144" s="11" t="n">
        <v>174.271700819578</v>
      </c>
      <c r="E144" s="11" t="n">
        <v>161.881329577497</v>
      </c>
      <c r="F144" s="11" t="n">
        <v>164.708963621798</v>
      </c>
      <c r="G144" s="11" t="n">
        <v>195.264651012535</v>
      </c>
      <c r="H144" s="11" t="n">
        <v>170.608520202793</v>
      </c>
      <c r="I144" s="12" t="n">
        <v>150.249035961368</v>
      </c>
      <c r="J144" s="11" t="n">
        <v>159.384167121303</v>
      </c>
      <c r="K144" s="11" t="n">
        <v>144.258655187207</v>
      </c>
      <c r="L144" s="11" t="n">
        <v>154.194544087207</v>
      </c>
      <c r="M144" s="11" t="n">
        <v>150.585085734658</v>
      </c>
      <c r="N144" s="11" t="n">
        <v>148.592369604356</v>
      </c>
      <c r="O144" s="12" t="n">
        <v>150.249035961368</v>
      </c>
      <c r="Q144" s="13" t="n">
        <f aca="false">INDEX($C$3:$C$164, 134, 1)</f>
        <v>144.816429499571</v>
      </c>
      <c r="R144" s="2" t="n">
        <f aca="false">$R$8 * $Q$144 + $R$9</f>
        <v>143.018333225038</v>
      </c>
      <c r="T144" s="13" t="n">
        <f aca="false">INDEX($H$3:$H$164, 134, 1)</f>
        <v>151.577316304597</v>
      </c>
      <c r="U144" s="2" t="n">
        <f aca="false">$U$8 * $T$144 + $U$9</f>
        <v>143.059826268939</v>
      </c>
      <c r="W144" s="13" t="n">
        <f aca="false">INDEX($H$3:$H$164, 134, 1)</f>
        <v>151.577316304597</v>
      </c>
      <c r="X144" s="2" t="n">
        <f aca="false">$X$8 * $W$144 + $X$9</f>
        <v>143.059826268939</v>
      </c>
    </row>
    <row r="145" customFormat="false" ht="15.8" hidden="false" customHeight="false" outlineLevel="0" collapsed="false">
      <c r="A145" s="9" t="n">
        <v>41944</v>
      </c>
      <c r="B145" s="10" t="n">
        <v>150.399851411922</v>
      </c>
      <c r="C145" s="11" t="n">
        <v>157.981757334604</v>
      </c>
      <c r="D145" s="11" t="n">
        <v>159.688037420633</v>
      </c>
      <c r="E145" s="11" t="n">
        <v>157.807739832286</v>
      </c>
      <c r="F145" s="11" t="n">
        <v>163.405245219377</v>
      </c>
      <c r="G145" s="11" t="n">
        <v>177.266853598995</v>
      </c>
      <c r="H145" s="11" t="n">
        <v>165.665894949822</v>
      </c>
      <c r="I145" s="12" t="n">
        <v>145.466933579874</v>
      </c>
      <c r="J145" s="11" t="n">
        <v>161.482732770092</v>
      </c>
      <c r="K145" s="11" t="n">
        <v>135.939086188184</v>
      </c>
      <c r="L145" s="11" t="n">
        <v>152.105583462912</v>
      </c>
      <c r="M145" s="11" t="n">
        <v>146.933254743369</v>
      </c>
      <c r="N145" s="11" t="n">
        <v>138.811144078263</v>
      </c>
      <c r="O145" s="12" t="n">
        <v>145.466933579874</v>
      </c>
      <c r="Q145" s="13" t="n">
        <f aca="false">INDEX($C$3:$C$164, 135, 1)</f>
        <v>155.453728224467</v>
      </c>
      <c r="R145" s="2" t="n">
        <f aca="false">$R$8 * $Q$145 + $R$9</f>
        <v>149.63449275153</v>
      </c>
      <c r="T145" s="13" t="n">
        <f aca="false">INDEX($H$3:$H$164, 135, 1)</f>
        <v>162.660651698896</v>
      </c>
      <c r="U145" s="2" t="n">
        <f aca="false">$U$8 * $T$145 + $U$9</f>
        <v>150.429174632904</v>
      </c>
      <c r="W145" s="13" t="n">
        <f aca="false">INDEX($H$3:$H$164, 135, 1)</f>
        <v>162.660651698896</v>
      </c>
      <c r="X145" s="2" t="n">
        <f aca="false">$X$8 * $W$145 + $X$9</f>
        <v>150.429174632904</v>
      </c>
    </row>
    <row r="146" customFormat="false" ht="15.8" hidden="false" customHeight="false" outlineLevel="0" collapsed="false">
      <c r="A146" s="9" t="n">
        <v>41974</v>
      </c>
      <c r="B146" s="10" t="n">
        <v>148.980280585218</v>
      </c>
      <c r="C146" s="11" t="n">
        <v>182.15801275575</v>
      </c>
      <c r="D146" s="11" t="n">
        <v>153.085310862147</v>
      </c>
      <c r="E146" s="11" t="n">
        <v>174.969210592868</v>
      </c>
      <c r="F146" s="11" t="n">
        <v>183.71814925285</v>
      </c>
      <c r="G146" s="11" t="n">
        <v>168.94582232916</v>
      </c>
      <c r="H146" s="11" t="n">
        <v>179.564830843557</v>
      </c>
      <c r="I146" s="12" t="n">
        <v>158.808490797132</v>
      </c>
      <c r="J146" s="11" t="n">
        <v>216.891737798306</v>
      </c>
      <c r="K146" s="11" t="n">
        <v>128.286090355144</v>
      </c>
      <c r="L146" s="11" t="n">
        <v>184.641496874575</v>
      </c>
      <c r="M146" s="11" t="n">
        <v>162.642171569159</v>
      </c>
      <c r="N146" s="11" t="n">
        <v>140.414954963868</v>
      </c>
      <c r="O146" s="12" t="n">
        <v>158.808490797132</v>
      </c>
      <c r="Q146" s="13" t="n">
        <f aca="false">INDEX($C$3:$C$164, 136, 1)</f>
        <v>153.857578978786</v>
      </c>
      <c r="R146" s="2" t="n">
        <f aca="false">$R$8 * $Q$146 + $R$9</f>
        <v>148.6417239753</v>
      </c>
      <c r="T146" s="13" t="n">
        <f aca="false">INDEX($H$3:$H$164, 136, 1)</f>
        <v>164.352158201515</v>
      </c>
      <c r="U146" s="2" t="n">
        <f aca="false">$U$8 * $T$146 + $U$9</f>
        <v>151.553863206718</v>
      </c>
      <c r="W146" s="13" t="n">
        <f aca="false">INDEX($H$3:$H$164, 136, 1)</f>
        <v>164.352158201515</v>
      </c>
      <c r="X146" s="2" t="n">
        <f aca="false">$X$8 * $W$146 + $X$9</f>
        <v>151.553863206718</v>
      </c>
    </row>
    <row r="147" customFormat="false" ht="15.8" hidden="false" customHeight="false" outlineLevel="0" collapsed="false">
      <c r="A147" s="9" t="n">
        <v>42005</v>
      </c>
      <c r="B147" s="10" t="n">
        <v>148.845984494394</v>
      </c>
      <c r="C147" s="11" t="n">
        <v>177.838601614387</v>
      </c>
      <c r="D147" s="11" t="n">
        <v>147.921162075177</v>
      </c>
      <c r="E147" s="11" t="n">
        <v>170.726322619994</v>
      </c>
      <c r="F147" s="11" t="n">
        <v>175.219012468053</v>
      </c>
      <c r="G147" s="11" t="n">
        <v>161.168636356361</v>
      </c>
      <c r="H147" s="11" t="n">
        <v>171.349640775627</v>
      </c>
      <c r="I147" s="12" t="n">
        <v>152.90947189507</v>
      </c>
      <c r="J147" s="11" t="n">
        <v>226.952590025379</v>
      </c>
      <c r="K147" s="11" t="n">
        <v>141.160054400511</v>
      </c>
      <c r="L147" s="11" t="n">
        <v>196.182425818176</v>
      </c>
      <c r="M147" s="11" t="n">
        <v>156.897754333229</v>
      </c>
      <c r="N147" s="11" t="n">
        <v>132.207086369113</v>
      </c>
      <c r="O147" s="12" t="n">
        <v>152.90947189507</v>
      </c>
      <c r="Q147" s="13" t="n">
        <f aca="false">INDEX($C$3:$C$164, 137, 1)</f>
        <v>149.676956137933</v>
      </c>
      <c r="R147" s="2" t="n">
        <f aca="false">$R$8 * $Q$147 + $R$9</f>
        <v>146.041471002198</v>
      </c>
      <c r="T147" s="13" t="n">
        <f aca="false">INDEX($H$3:$H$164, 137, 1)</f>
        <v>160.563082262932</v>
      </c>
      <c r="U147" s="2" t="n">
        <f aca="false">$U$8 * $T$147 + $U$9</f>
        <v>149.034493398303</v>
      </c>
      <c r="W147" s="13" t="n">
        <f aca="false">INDEX($H$3:$H$164, 137, 1)</f>
        <v>160.563082262932</v>
      </c>
      <c r="X147" s="2" t="n">
        <f aca="false">$X$8 * $W$147 + $X$9</f>
        <v>149.034493398303</v>
      </c>
    </row>
    <row r="148" customFormat="false" ht="15.8" hidden="false" customHeight="false" outlineLevel="0" collapsed="false">
      <c r="A148" s="9" t="n">
        <v>42036</v>
      </c>
      <c r="B148" s="10" t="n">
        <v>144.250019258804</v>
      </c>
      <c r="C148" s="11" t="n">
        <v>147.352697249278</v>
      </c>
      <c r="D148" s="11" t="n">
        <v>133.732205986848</v>
      </c>
      <c r="E148" s="11" t="n">
        <v>143.573256258281</v>
      </c>
      <c r="F148" s="11" t="n">
        <v>147.81294575972</v>
      </c>
      <c r="G148" s="11" t="n">
        <v>148.955883296951</v>
      </c>
      <c r="H148" s="11" t="n">
        <v>147.535343479507</v>
      </c>
      <c r="I148" s="12" t="n">
        <v>129.702931818325</v>
      </c>
      <c r="J148" s="11" t="n">
        <v>157.302833911676</v>
      </c>
      <c r="K148" s="11" t="n">
        <v>115.102452813411</v>
      </c>
      <c r="L148" s="11" t="n">
        <v>141.471861885836</v>
      </c>
      <c r="M148" s="11" t="n">
        <v>132.481126611469</v>
      </c>
      <c r="N148" s="11" t="n">
        <v>115.706566555477</v>
      </c>
      <c r="O148" s="12" t="n">
        <v>129.702931818325</v>
      </c>
      <c r="Q148" s="13" t="n">
        <f aca="false">INDEX($C$3:$C$164, 138, 1)</f>
        <v>143.251524888359</v>
      </c>
      <c r="R148" s="2" t="n">
        <f aca="false">$R$8 * $Q$148 + $R$9</f>
        <v>142.044997905678</v>
      </c>
      <c r="T148" s="13" t="n">
        <f aca="false">INDEX($H$3:$H$164, 138, 1)</f>
        <v>151.063278929213</v>
      </c>
      <c r="U148" s="2" t="n">
        <f aca="false">$U$8 * $T$148 + $U$9</f>
        <v>142.718041025009</v>
      </c>
      <c r="W148" s="13" t="n">
        <f aca="false">INDEX($H$3:$H$164, 138, 1)</f>
        <v>151.063278929213</v>
      </c>
      <c r="X148" s="2" t="n">
        <f aca="false">$X$8 * $W$148 + $X$9</f>
        <v>142.718041025009</v>
      </c>
    </row>
    <row r="149" customFormat="false" ht="15.8" hidden="false" customHeight="false" outlineLevel="0" collapsed="false">
      <c r="A149" s="9" t="n">
        <v>42064</v>
      </c>
      <c r="B149" s="10" t="n">
        <v>149.864846231748</v>
      </c>
      <c r="C149" s="11" t="n">
        <v>149.640482428134</v>
      </c>
      <c r="D149" s="11" t="n">
        <v>163.272239161402</v>
      </c>
      <c r="E149" s="11" t="n">
        <v>152.088386197002</v>
      </c>
      <c r="F149" s="11" t="n">
        <v>154.870012944066</v>
      </c>
      <c r="G149" s="11" t="n">
        <v>179.065768500857</v>
      </c>
      <c r="H149" s="11" t="n">
        <v>159.557234449682</v>
      </c>
      <c r="I149" s="12" t="n">
        <v>140.469750773148</v>
      </c>
      <c r="J149" s="11" t="n">
        <v>147.280749862525</v>
      </c>
      <c r="K149" s="11" t="n">
        <v>153.954108407649</v>
      </c>
      <c r="L149" s="11" t="n">
        <v>149.50594417632</v>
      </c>
      <c r="M149" s="11" t="n">
        <v>141.805751472165</v>
      </c>
      <c r="N149" s="11" t="n">
        <v>135.501794964883</v>
      </c>
      <c r="O149" s="12" t="n">
        <v>140.469750773148</v>
      </c>
      <c r="Q149" s="13" t="n">
        <f aca="false">INDEX($C$3:$C$164, 139, 1)</f>
        <v>150.548149456353</v>
      </c>
      <c r="R149" s="2" t="n">
        <f aca="false">$R$8 * $Q$149 + $R$9</f>
        <v>146.583333567323</v>
      </c>
      <c r="T149" s="13" t="n">
        <f aca="false">INDEX($H$3:$H$164, 139, 1)</f>
        <v>159.980111742175</v>
      </c>
      <c r="U149" s="2" t="n">
        <f aca="false">$U$8 * $T$149 + $U$9</f>
        <v>148.646874265565</v>
      </c>
      <c r="W149" s="13" t="n">
        <f aca="false">INDEX($H$3:$H$164, 139, 1)</f>
        <v>159.980111742175</v>
      </c>
      <c r="X149" s="2" t="n">
        <f aca="false">$X$8 * $W$149 + $X$9</f>
        <v>148.646874265565</v>
      </c>
    </row>
    <row r="150" customFormat="false" ht="15.8" hidden="false" customHeight="false" outlineLevel="0" collapsed="false">
      <c r="A150" s="9" t="n">
        <v>42095</v>
      </c>
      <c r="B150" s="10" t="n">
        <v>145.532771417978</v>
      </c>
      <c r="C150" s="11" t="n">
        <v>153.80609130044</v>
      </c>
      <c r="D150" s="11" t="n">
        <v>149.927701468412</v>
      </c>
      <c r="E150" s="11" t="n">
        <v>152.276144357507</v>
      </c>
      <c r="F150" s="11" t="n">
        <v>161.212412769874</v>
      </c>
      <c r="G150" s="11" t="n">
        <v>164.737132814516</v>
      </c>
      <c r="H150" s="11" t="n">
        <v>161.164093166506</v>
      </c>
      <c r="I150" s="12" t="n">
        <v>135.896914219505</v>
      </c>
      <c r="J150" s="11" t="n">
        <v>162.209638812293</v>
      </c>
      <c r="K150" s="11" t="n">
        <v>136.554234028235</v>
      </c>
      <c r="L150" s="11" t="n">
        <v>152.551526963868</v>
      </c>
      <c r="M150" s="11" t="n">
        <v>138.931853300918</v>
      </c>
      <c r="N150" s="11" t="n">
        <v>122.065068933862</v>
      </c>
      <c r="O150" s="12" t="n">
        <v>135.896914219505</v>
      </c>
      <c r="Q150" s="13" t="n">
        <f aca="false">INDEX($C$3:$C$164, 140, 1)</f>
        <v>157.102422712018</v>
      </c>
      <c r="R150" s="2" t="n">
        <f aca="false">$R$8 * $Q$150 + $R$9</f>
        <v>150.659943481287</v>
      </c>
      <c r="T150" s="13" t="n">
        <f aca="false">INDEX($H$3:$H$164, 140, 1)</f>
        <v>167.066654904737</v>
      </c>
      <c r="U150" s="2" t="n">
        <f aca="false">$U$8 * $T$150 + $U$9</f>
        <v>153.358741533252</v>
      </c>
      <c r="W150" s="13" t="n">
        <f aca="false">INDEX($H$3:$H$164, 140, 1)</f>
        <v>167.066654904737</v>
      </c>
      <c r="X150" s="2" t="n">
        <f aca="false">$X$8 * $W$150 + $X$9</f>
        <v>153.358741533252</v>
      </c>
    </row>
    <row r="151" customFormat="false" ht="15.8" hidden="false" customHeight="false" outlineLevel="0" collapsed="false">
      <c r="A151" s="9" t="n">
        <v>42125</v>
      </c>
      <c r="B151" s="10" t="n">
        <v>146.7794061764</v>
      </c>
      <c r="C151" s="11" t="n">
        <v>149.660263515654</v>
      </c>
      <c r="D151" s="11" t="n">
        <v>153.025412983835</v>
      </c>
      <c r="E151" s="11" t="n">
        <v>149.824845111605</v>
      </c>
      <c r="F151" s="11" t="n">
        <v>157.032384469062</v>
      </c>
      <c r="G151" s="11" t="n">
        <v>169.391393396502</v>
      </c>
      <c r="H151" s="11" t="n">
        <v>158.763227326616</v>
      </c>
      <c r="I151" s="12" t="n">
        <v>138.266896162166</v>
      </c>
      <c r="J151" s="11" t="n">
        <v>149.061448149228</v>
      </c>
      <c r="K151" s="11" t="n">
        <v>141.908117533729</v>
      </c>
      <c r="L151" s="11" t="n">
        <v>146.336420939195</v>
      </c>
      <c r="M151" s="11" t="n">
        <v>141.027831360062</v>
      </c>
      <c r="N151" s="11" t="n">
        <v>125.930111292765</v>
      </c>
      <c r="O151" s="12" t="n">
        <v>138.266896162166</v>
      </c>
      <c r="Q151" s="13" t="n">
        <f aca="false">INDEX($C$3:$C$164, 141, 1)</f>
        <v>150.243812488271</v>
      </c>
      <c r="R151" s="2" t="n">
        <f aca="false">$R$8 * $Q$151 + $R$9</f>
        <v>146.394042847686</v>
      </c>
      <c r="T151" s="13" t="n">
        <f aca="false">INDEX($H$3:$H$164, 141, 1)</f>
        <v>161.621852967738</v>
      </c>
      <c r="U151" s="2" t="n">
        <f aca="false">$U$8 * $T$151 + $U$9</f>
        <v>149.738473733076</v>
      </c>
      <c r="W151" s="13" t="n">
        <f aca="false">INDEX($H$3:$H$164, 141, 1)</f>
        <v>161.621852967738</v>
      </c>
      <c r="X151" s="2" t="n">
        <f aca="false">$X$8 * $W$151 + $X$9</f>
        <v>149.738473733076</v>
      </c>
    </row>
    <row r="152" customFormat="false" ht="15.8" hidden="false" customHeight="false" outlineLevel="0" collapsed="false">
      <c r="A152" s="9" t="n">
        <v>42156</v>
      </c>
      <c r="B152" s="10" t="n">
        <v>145.616942200588</v>
      </c>
      <c r="C152" s="11" t="n">
        <v>146.128318082041</v>
      </c>
      <c r="D152" s="11" t="n">
        <v>147.981201104242</v>
      </c>
      <c r="E152" s="11" t="n">
        <v>145.844160135249</v>
      </c>
      <c r="F152" s="11" t="n">
        <v>152.956194773241</v>
      </c>
      <c r="G152" s="11" t="n">
        <v>162.920935634771</v>
      </c>
      <c r="H152" s="11" t="n">
        <v>153.861580509363</v>
      </c>
      <c r="I152" s="12" t="n">
        <v>132.40366596703</v>
      </c>
      <c r="J152" s="11" t="n">
        <v>144.140014570212</v>
      </c>
      <c r="K152" s="11" t="n">
        <v>142.115268645884</v>
      </c>
      <c r="L152" s="11" t="n">
        <v>143.280758010124</v>
      </c>
      <c r="M152" s="11" t="n">
        <v>134.796286479442</v>
      </c>
      <c r="N152" s="11" t="n">
        <v>122.007992396411</v>
      </c>
      <c r="O152" s="12" t="n">
        <v>132.40366596703</v>
      </c>
      <c r="Q152" s="13" t="n">
        <f aca="false">INDEX($C$3:$C$164, 142, 1)</f>
        <v>158.518922753428</v>
      </c>
      <c r="R152" s="2" t="n">
        <f aca="false">$R$8 * $Q$152 + $R$9</f>
        <v>151.540974510464</v>
      </c>
      <c r="T152" s="13" t="n">
        <f aca="false">INDEX($H$3:$H$164, 142, 1)</f>
        <v>170.608520202793</v>
      </c>
      <c r="U152" s="2" t="n">
        <f aca="false">$U$8 * $T$152 + $U$9</f>
        <v>155.713740124474</v>
      </c>
      <c r="W152" s="13" t="n">
        <f aca="false">INDEX($H$3:$H$164, 142, 1)</f>
        <v>170.608520202793</v>
      </c>
      <c r="X152" s="2" t="n">
        <f aca="false">$X$8 * $W$152 + $X$9</f>
        <v>155.713740124474</v>
      </c>
    </row>
    <row r="153" customFormat="false" ht="15.8" hidden="false" customHeight="false" outlineLevel="0" collapsed="false">
      <c r="A153" s="9" t="n">
        <v>42186</v>
      </c>
      <c r="B153" s="10" t="n">
        <v>147.46759675468</v>
      </c>
      <c r="C153" s="11" t="n">
        <v>158.023573930544</v>
      </c>
      <c r="D153" s="11" t="n">
        <v>156.403336656654</v>
      </c>
      <c r="E153" s="11" t="n">
        <v>157.083141710375</v>
      </c>
      <c r="F153" s="11" t="n">
        <v>164.242962563418</v>
      </c>
      <c r="G153" s="11" t="n">
        <v>172.52739974556</v>
      </c>
      <c r="H153" s="11" t="n">
        <v>164.998420197619</v>
      </c>
      <c r="I153" s="12" t="n">
        <v>145.871739569864</v>
      </c>
      <c r="J153" s="11" t="n">
        <v>159.731255132705</v>
      </c>
      <c r="K153" s="11" t="n">
        <v>142.997323746763</v>
      </c>
      <c r="L153" s="11" t="n">
        <v>153.661018281177</v>
      </c>
      <c r="M153" s="11" t="n">
        <v>148.684250719164</v>
      </c>
      <c r="N153" s="11" t="n">
        <v>132.795476096208</v>
      </c>
      <c r="O153" s="12" t="n">
        <v>145.871739569864</v>
      </c>
      <c r="Q153" s="13" t="n">
        <f aca="false">INDEX($C$3:$C$164, 143, 1)</f>
        <v>157.981757334604</v>
      </c>
      <c r="R153" s="2" t="n">
        <f aca="false">$R$8 * $Q$153 + $R$9</f>
        <v>151.206869753705</v>
      </c>
      <c r="T153" s="13" t="n">
        <f aca="false">INDEX($H$3:$H$164, 143, 1)</f>
        <v>165.665894949822</v>
      </c>
      <c r="U153" s="2" t="n">
        <f aca="false">$U$8 * $T$153 + $U$9</f>
        <v>152.427371353173</v>
      </c>
      <c r="W153" s="13" t="n">
        <f aca="false">INDEX($H$3:$H$164, 143, 1)</f>
        <v>165.665894949822</v>
      </c>
      <c r="X153" s="2" t="n">
        <f aca="false">$X$8 * $W$153 + $X$9</f>
        <v>152.427371353173</v>
      </c>
    </row>
    <row r="154" customFormat="false" ht="15.8" hidden="false" customHeight="false" outlineLevel="0" collapsed="false">
      <c r="A154" s="9" t="n">
        <v>42217</v>
      </c>
      <c r="B154" s="10" t="n">
        <v>147.11463518152</v>
      </c>
      <c r="C154" s="11" t="n">
        <v>152.84397080291</v>
      </c>
      <c r="D154" s="11" t="n">
        <v>157.021732094249</v>
      </c>
      <c r="E154" s="11" t="n">
        <v>153.129479723644</v>
      </c>
      <c r="F154" s="11" t="n">
        <v>160.402238365774</v>
      </c>
      <c r="G154" s="11" t="n">
        <v>175.614356538987</v>
      </c>
      <c r="H154" s="11" t="n">
        <v>163.169232383899</v>
      </c>
      <c r="I154" s="12" t="n">
        <v>141.694404732084</v>
      </c>
      <c r="J154" s="11" t="n">
        <v>148.283401303355</v>
      </c>
      <c r="K154" s="11" t="n">
        <v>143.764597916836</v>
      </c>
      <c r="L154" s="11" t="n">
        <v>146.606759813973</v>
      </c>
      <c r="M154" s="11" t="n">
        <v>144.53074869862</v>
      </c>
      <c r="N154" s="11" t="n">
        <v>128.737734455607</v>
      </c>
      <c r="O154" s="12" t="n">
        <v>141.694404732084</v>
      </c>
      <c r="Q154" s="13" t="n">
        <f aca="false">INDEX($C$3:$C$164, 144, 1)</f>
        <v>182.15801275575</v>
      </c>
      <c r="R154" s="2" t="n">
        <f aca="false">$R$8 * $Q$154 + $R$9</f>
        <v>166.243954520833</v>
      </c>
      <c r="T154" s="13" t="n">
        <f aca="false">INDEX($H$3:$H$164, 144, 1)</f>
        <v>179.564830843557</v>
      </c>
      <c r="U154" s="2" t="n">
        <f aca="false">$U$8 * $T$154 + $U$9</f>
        <v>161.66882231044</v>
      </c>
      <c r="W154" s="13" t="n">
        <f aca="false">INDEX($H$3:$H$164, 144, 1)</f>
        <v>179.564830843557</v>
      </c>
      <c r="X154" s="2" t="n">
        <f aca="false">$X$8 * $W$154 + $X$9</f>
        <v>161.66882231044</v>
      </c>
    </row>
    <row r="155" customFormat="false" ht="15.8" hidden="false" customHeight="false" outlineLevel="0" collapsed="false">
      <c r="A155" s="9" t="n">
        <v>42248</v>
      </c>
      <c r="B155" s="10" t="n">
        <v>144.836126279832</v>
      </c>
      <c r="C155" s="11" t="n">
        <v>151.03962910894</v>
      </c>
      <c r="D155" s="11" t="n">
        <v>154.263306725405</v>
      </c>
      <c r="E155" s="11" t="n">
        <v>151.141211500582</v>
      </c>
      <c r="F155" s="11" t="n">
        <v>158.175730334367</v>
      </c>
      <c r="G155" s="11" t="n">
        <v>173.791520761045</v>
      </c>
      <c r="H155" s="11" t="n">
        <v>161.316874016087</v>
      </c>
      <c r="I155" s="12" t="n">
        <v>134.714640625689</v>
      </c>
      <c r="J155" s="11" t="n">
        <v>155.927814125453</v>
      </c>
      <c r="K155" s="11" t="n">
        <v>137.022411782227</v>
      </c>
      <c r="L155" s="11" t="n">
        <v>149.173804478683</v>
      </c>
      <c r="M155" s="11" t="n">
        <v>136.39295028724</v>
      </c>
      <c r="N155" s="11" t="n">
        <v>127.431265595537</v>
      </c>
      <c r="O155" s="12" t="n">
        <v>134.714640625689</v>
      </c>
      <c r="Q155" s="13" t="n">
        <f aca="false">INDEX($C$3:$C$164, 145, 1)</f>
        <v>177.838601614387</v>
      </c>
      <c r="R155" s="2" t="n">
        <f aca="false">$R$8 * $Q$155 + $R$9</f>
        <v>163.557378359831</v>
      </c>
      <c r="T155" s="13" t="n">
        <f aca="false">INDEX($H$3:$H$164, 145, 1)</f>
        <v>171.349640775627</v>
      </c>
      <c r="U155" s="2" t="n">
        <f aca="false">$U$8 * $T$155 + $U$9</f>
        <v>156.206513778488</v>
      </c>
      <c r="W155" s="13" t="n">
        <f aca="false">INDEX($H$3:$H$164, 145, 1)</f>
        <v>171.349640775627</v>
      </c>
      <c r="X155" s="2" t="n">
        <f aca="false">$X$8 * $W$155 + $X$9</f>
        <v>156.206513778488</v>
      </c>
    </row>
    <row r="156" customFormat="false" ht="15.8" hidden="false" customHeight="false" outlineLevel="0" collapsed="false">
      <c r="A156" s="9" t="n">
        <v>42278</v>
      </c>
      <c r="B156" s="10" t="n">
        <v>146.842945154908</v>
      </c>
      <c r="C156" s="11" t="n">
        <v>160.218388433087</v>
      </c>
      <c r="D156" s="11" t="n">
        <v>160.104615931371</v>
      </c>
      <c r="E156" s="11" t="n">
        <v>159.570685162239</v>
      </c>
      <c r="F156" s="11" t="n">
        <v>168.21764951731</v>
      </c>
      <c r="G156" s="11" t="n">
        <v>180.169637003764</v>
      </c>
      <c r="H156" s="11" t="n">
        <v>169.69952757209</v>
      </c>
      <c r="I156" s="12" t="n">
        <v>143.144825009861</v>
      </c>
      <c r="J156" s="11" t="n">
        <v>159.841106860306</v>
      </c>
      <c r="K156" s="11" t="n">
        <v>139.20734998551</v>
      </c>
      <c r="L156" s="11" t="n">
        <v>152.489530087157</v>
      </c>
      <c r="M156" s="11" t="n">
        <v>145.718410852022</v>
      </c>
      <c r="N156" s="11" t="n">
        <v>131.667210908512</v>
      </c>
      <c r="O156" s="12" t="n">
        <v>143.144825009861</v>
      </c>
      <c r="Q156" s="13" t="n">
        <f aca="false">INDEX($C$3:$C$164, 146, 1)</f>
        <v>147.352697249278</v>
      </c>
      <c r="R156" s="2" t="n">
        <f aca="false">$R$8 * $Q$156 + $R$9</f>
        <v>144.595834474926</v>
      </c>
      <c r="T156" s="13" t="n">
        <f aca="false">INDEX($H$3:$H$164, 146, 1)</f>
        <v>147.535343479507</v>
      </c>
      <c r="U156" s="2" t="n">
        <f aca="false">$U$8 * $T$156 + $U$9</f>
        <v>140.372304438544</v>
      </c>
      <c r="W156" s="13" t="n">
        <f aca="false">INDEX($H$3:$H$164, 146, 1)</f>
        <v>147.535343479507</v>
      </c>
      <c r="X156" s="2" t="n">
        <f aca="false">$X$8 * $W$156 + $X$9</f>
        <v>140.372304438544</v>
      </c>
    </row>
    <row r="157" customFormat="false" ht="15.8" hidden="false" customHeight="false" outlineLevel="0" collapsed="false">
      <c r="A157" s="9" t="n">
        <v>42309</v>
      </c>
      <c r="B157" s="10" t="n">
        <v>142.496742632663</v>
      </c>
      <c r="C157" s="11" t="n">
        <v>148.579640077773</v>
      </c>
      <c r="D157" s="11" t="n">
        <v>147.862356061972</v>
      </c>
      <c r="E157" s="11" t="n">
        <v>147.825553361954</v>
      </c>
      <c r="F157" s="11" t="n">
        <v>154.686343731861</v>
      </c>
      <c r="G157" s="11" t="n">
        <v>165.176870892704</v>
      </c>
      <c r="H157" s="11" t="n">
        <v>156.203419991234</v>
      </c>
      <c r="I157" s="12" t="n">
        <v>134.935408272745</v>
      </c>
      <c r="J157" s="11" t="n">
        <v>146.076538561686</v>
      </c>
      <c r="K157" s="11" t="n">
        <v>129.239096808195</v>
      </c>
      <c r="L157" s="11" t="n">
        <v>140.051047938317</v>
      </c>
      <c r="M157" s="11" t="n">
        <v>137.493636212427</v>
      </c>
      <c r="N157" s="11" t="n">
        <v>123.481425614526</v>
      </c>
      <c r="O157" s="12" t="n">
        <v>134.935408272745</v>
      </c>
      <c r="Q157" s="13" t="n">
        <f aca="false">INDEX($C$3:$C$164, 147, 1)</f>
        <v>149.640482428134</v>
      </c>
      <c r="R157" s="2" t="n">
        <f aca="false">$R$8 * $Q$157 + $R$9</f>
        <v>146.018785178588</v>
      </c>
      <c r="T157" s="13" t="n">
        <f aca="false">INDEX($H$3:$H$164, 147, 1)</f>
        <v>159.557234449682</v>
      </c>
      <c r="U157" s="2" t="n">
        <f aca="false">$U$8 * $T$157 + $U$9</f>
        <v>148.365701678728</v>
      </c>
      <c r="W157" s="13" t="n">
        <f aca="false">INDEX($H$3:$H$164, 147, 1)</f>
        <v>159.557234449682</v>
      </c>
      <c r="X157" s="2" t="n">
        <f aca="false">$X$8 * $W$157 + $X$9</f>
        <v>148.365701678728</v>
      </c>
    </row>
    <row r="158" customFormat="false" ht="15.8" hidden="false" customHeight="false" outlineLevel="0" collapsed="false">
      <c r="A158" s="9" t="n">
        <v>42339</v>
      </c>
      <c r="B158" s="10" t="n">
        <v>141.345827962033</v>
      </c>
      <c r="C158" s="11" t="n">
        <v>175.568397918954</v>
      </c>
      <c r="D158" s="11" t="n">
        <v>144.614591205131</v>
      </c>
      <c r="E158" s="11" t="n">
        <v>167.895527429079</v>
      </c>
      <c r="F158" s="11" t="n">
        <v>179.814735165981</v>
      </c>
      <c r="G158" s="11" t="n">
        <v>159.453114889394</v>
      </c>
      <c r="H158" s="11" t="n">
        <v>174.348185758166</v>
      </c>
      <c r="I158" s="12" t="n">
        <v>149.122354389028</v>
      </c>
      <c r="J158" s="11" t="n">
        <v>204.343248463771</v>
      </c>
      <c r="K158" s="11" t="n">
        <v>130.047320969511</v>
      </c>
      <c r="L158" s="11" t="n">
        <v>177.597930461759</v>
      </c>
      <c r="M158" s="11" t="n">
        <v>152.932637840548</v>
      </c>
      <c r="N158" s="11" t="n">
        <v>130.908844422234</v>
      </c>
      <c r="O158" s="12" t="n">
        <v>149.122354389028</v>
      </c>
      <c r="Q158" s="13" t="n">
        <f aca="false">INDEX($C$3:$C$164, 148, 1)</f>
        <v>153.80609130044</v>
      </c>
      <c r="R158" s="2" t="n">
        <f aca="false">$R$8 * $Q$158 + $R$9</f>
        <v>148.609699802397</v>
      </c>
      <c r="T158" s="13" t="n">
        <f aca="false">INDEX($H$3:$H$164, 148, 1)</f>
        <v>161.164093166506</v>
      </c>
      <c r="U158" s="2" t="n">
        <f aca="false">$U$8 * $T$158 + $U$9</f>
        <v>149.434107644503</v>
      </c>
      <c r="W158" s="13" t="n">
        <f aca="false">INDEX($H$3:$H$164, 148, 1)</f>
        <v>161.164093166506</v>
      </c>
      <c r="X158" s="2" t="n">
        <f aca="false">$X$8 * $W$158 + $X$9</f>
        <v>149.434107644503</v>
      </c>
    </row>
    <row r="159" customFormat="false" ht="15.8" hidden="false" customHeight="false" outlineLevel="0" collapsed="false">
      <c r="A159" s="9" t="n">
        <v>42370</v>
      </c>
      <c r="B159" s="10" t="n">
        <v>140.498323205159</v>
      </c>
      <c r="C159" s="11" t="n">
        <v>170.639870298177</v>
      </c>
      <c r="D159" s="11" t="n">
        <v>133.042556801194</v>
      </c>
      <c r="E159" s="11" t="n">
        <v>161.567491531805</v>
      </c>
      <c r="F159" s="11" t="n">
        <v>169.505362476872</v>
      </c>
      <c r="G159" s="11" t="n">
        <v>143.284361409871</v>
      </c>
      <c r="H159" s="11" t="n">
        <v>162.754404060344</v>
      </c>
      <c r="I159" s="12" t="n">
        <v>142.741678894672</v>
      </c>
      <c r="J159" s="11" t="n">
        <v>214.675080148874</v>
      </c>
      <c r="K159" s="11" t="n">
        <v>140.427909601181</v>
      </c>
      <c r="L159" s="11" t="n">
        <v>188.181647439705</v>
      </c>
      <c r="M159" s="11" t="n">
        <v>148.062577848595</v>
      </c>
      <c r="N159" s="11" t="n">
        <v>116.227354421424</v>
      </c>
      <c r="O159" s="12" t="n">
        <v>142.741678894672</v>
      </c>
      <c r="Q159" s="13" t="n">
        <f aca="false">INDEX($C$3:$C$164, 149, 1)</f>
        <v>149.660263515654</v>
      </c>
      <c r="R159" s="2" t="n">
        <f aca="false">$R$8 * $Q$159 + $R$9</f>
        <v>146.031088568201</v>
      </c>
      <c r="T159" s="13" t="n">
        <f aca="false">INDEX($H$3:$H$164, 149, 1)</f>
        <v>158.763227326616</v>
      </c>
      <c r="U159" s="2" t="n">
        <f aca="false">$U$8 * $T$159 + $U$9</f>
        <v>147.837763572989</v>
      </c>
      <c r="W159" s="13" t="n">
        <f aca="false">INDEX($H$3:$H$164, 149, 1)</f>
        <v>158.763227326616</v>
      </c>
      <c r="X159" s="2" t="n">
        <f aca="false">$X$8 * $W$159 + $X$9</f>
        <v>147.837763572989</v>
      </c>
    </row>
    <row r="160" customFormat="false" ht="15.8" hidden="false" customHeight="false" outlineLevel="0" collapsed="false">
      <c r="A160" s="9" t="n">
        <v>42401</v>
      </c>
      <c r="B160" s="10" t="n">
        <v>139.10314348345</v>
      </c>
      <c r="C160" s="11" t="n">
        <v>149.605415021657</v>
      </c>
      <c r="D160" s="11" t="n">
        <v>134.931634118921</v>
      </c>
      <c r="E160" s="11" t="n">
        <v>145.554068165758</v>
      </c>
      <c r="F160" s="11" t="n">
        <v>150.664080359324</v>
      </c>
      <c r="G160" s="11" t="n">
        <v>148.722227438845</v>
      </c>
      <c r="H160" s="11" t="n">
        <v>149.64324363966</v>
      </c>
      <c r="I160" s="12" t="n">
        <v>129.083488578311</v>
      </c>
      <c r="J160" s="11" t="n">
        <v>159.876159643748</v>
      </c>
      <c r="K160" s="11" t="n">
        <v>135.046290817298</v>
      </c>
      <c r="L160" s="11" t="n">
        <v>150.737392158187</v>
      </c>
      <c r="M160" s="11" t="n">
        <v>133.225749312096</v>
      </c>
      <c r="N160" s="11" t="n">
        <v>108.954914415432</v>
      </c>
      <c r="O160" s="12" t="n">
        <v>129.083488578311</v>
      </c>
      <c r="Q160" s="13" t="n">
        <f aca="false">INDEX($C$3:$C$164, 150, 1)</f>
        <v>146.128318082041</v>
      </c>
      <c r="R160" s="2" t="n">
        <f aca="false">$R$8 * $Q$160 + $R$9</f>
        <v>143.834298289767</v>
      </c>
      <c r="T160" s="13" t="n">
        <f aca="false">INDEX($H$3:$H$164, 150, 1)</f>
        <v>153.861580509363</v>
      </c>
      <c r="U160" s="2" t="n">
        <f aca="false">$U$8 * $T$160 + $U$9</f>
        <v>144.578641506536</v>
      </c>
      <c r="W160" s="13" t="n">
        <f aca="false">INDEX($H$3:$H$164, 150, 1)</f>
        <v>153.861580509363</v>
      </c>
      <c r="X160" s="2" t="n">
        <f aca="false">$X$8 * $W$160 + $X$9</f>
        <v>144.578641506536</v>
      </c>
    </row>
    <row r="161" customFormat="false" ht="15.8" hidden="false" customHeight="false" outlineLevel="0" collapsed="false">
      <c r="A161" s="9" t="n">
        <v>42430</v>
      </c>
      <c r="B161" s="10" t="n">
        <v>143.011986962393</v>
      </c>
      <c r="C161" s="11" t="n">
        <v>151.651166744338</v>
      </c>
      <c r="D161" s="11" t="n">
        <v>151.260386502937</v>
      </c>
      <c r="E161" s="11" t="n">
        <v>150.535878067254</v>
      </c>
      <c r="F161" s="11" t="n">
        <v>156.650899539707</v>
      </c>
      <c r="G161" s="11" t="n">
        <v>166.634455344747</v>
      </c>
      <c r="H161" s="11" t="n">
        <v>157.939416092304</v>
      </c>
      <c r="I161" s="12" t="n">
        <v>136.78538276629</v>
      </c>
      <c r="J161" s="11" t="n">
        <v>157.172690441177</v>
      </c>
      <c r="K161" s="11" t="n">
        <v>149.24425359317</v>
      </c>
      <c r="L161" s="11" t="n">
        <v>153.767173429131</v>
      </c>
      <c r="M161" s="11" t="n">
        <v>140.540389463242</v>
      </c>
      <c r="N161" s="11" t="n">
        <v>121.16758350642</v>
      </c>
      <c r="O161" s="12" t="n">
        <v>136.78538276629</v>
      </c>
      <c r="Q161" s="13" t="n">
        <f aca="false">INDEX($C$3:$C$164, 151, 1)</f>
        <v>158.023573930544</v>
      </c>
      <c r="R161" s="2" t="n">
        <f aca="false">$R$8 * $Q$161 + $R$9</f>
        <v>151.232878731806</v>
      </c>
      <c r="T161" s="13" t="n">
        <f aca="false">INDEX($H$3:$H$164, 151, 1)</f>
        <v>164.998420197619</v>
      </c>
      <c r="U161" s="2" t="n">
        <f aca="false">$U$8 * $T$161 + $U$9</f>
        <v>151.983565062184</v>
      </c>
      <c r="W161" s="13" t="n">
        <f aca="false">INDEX($H$3:$H$164, 151, 1)</f>
        <v>164.998420197619</v>
      </c>
      <c r="X161" s="2" t="n">
        <f aca="false">$X$8 * $W$161 + $X$9</f>
        <v>151.983565062184</v>
      </c>
    </row>
    <row r="162" customFormat="false" ht="15.8" hidden="false" customHeight="false" outlineLevel="0" collapsed="false">
      <c r="A162" s="9" t="n">
        <v>42461</v>
      </c>
      <c r="B162" s="10" t="n">
        <v>140.753943892969</v>
      </c>
      <c r="C162" s="11" t="n">
        <v>147.006515205319</v>
      </c>
      <c r="D162" s="11" t="n">
        <v>145.201244147342</v>
      </c>
      <c r="E162" s="11" t="n">
        <v>146.02073036551</v>
      </c>
      <c r="F162" s="11" t="n">
        <v>155.47547424543</v>
      </c>
      <c r="G162" s="11" t="n">
        <v>159.568686225698</v>
      </c>
      <c r="H162" s="11" t="n">
        <v>155.593493452545</v>
      </c>
      <c r="I162" s="12" t="n">
        <v>132.670581698032</v>
      </c>
      <c r="J162" s="11" t="n">
        <v>146.86130788519</v>
      </c>
      <c r="K162" s="11" t="n">
        <v>140.204515385594</v>
      </c>
      <c r="L162" s="11" t="n">
        <v>144.425717804013</v>
      </c>
      <c r="M162" s="11" t="n">
        <v>137.128304036205</v>
      </c>
      <c r="N162" s="11" t="n">
        <v>112.598244579243</v>
      </c>
      <c r="O162" s="12" t="n">
        <v>132.670581698032</v>
      </c>
      <c r="Q162" s="13" t="n">
        <f aca="false">INDEX($C$3:$C$164, 152, 1)</f>
        <v>152.84397080291</v>
      </c>
      <c r="R162" s="2" t="n">
        <f aca="false">$R$8 * $Q$162 + $R$9</f>
        <v>148.011282585771</v>
      </c>
      <c r="T162" s="13" t="n">
        <f aca="false">INDEX($H$3:$H$164, 152, 1)</f>
        <v>163.169232383899</v>
      </c>
      <c r="U162" s="2" t="n">
        <f aca="false">$U$8 * $T$162 + $U$9</f>
        <v>150.767331704367</v>
      </c>
      <c r="W162" s="13" t="n">
        <f aca="false">INDEX($H$3:$H$164, 152, 1)</f>
        <v>163.169232383899</v>
      </c>
      <c r="X162" s="2" t="n">
        <f aca="false">$X$8 * $W$162 + $X$9</f>
        <v>150.767331704367</v>
      </c>
    </row>
    <row r="163" customFormat="false" ht="15.8" hidden="false" customHeight="false" outlineLevel="0" collapsed="false">
      <c r="A163" s="9" t="n">
        <v>42491</v>
      </c>
      <c r="B163" s="10" t="n">
        <v>141.589905760212</v>
      </c>
      <c r="C163" s="11" t="n">
        <v>145.847725780877</v>
      </c>
      <c r="D163" s="11" t="n">
        <v>143.922117343176</v>
      </c>
      <c r="E163" s="11" t="n">
        <v>144.693964509288</v>
      </c>
      <c r="F163" s="11" t="n">
        <v>152.819180358912</v>
      </c>
      <c r="G163" s="11" t="n">
        <v>158.796936461029</v>
      </c>
      <c r="H163" s="11" t="n">
        <v>153.071429387093</v>
      </c>
      <c r="I163" s="12" t="n">
        <v>134.756584334513</v>
      </c>
      <c r="J163" s="11" t="n">
        <v>145.490535136736</v>
      </c>
      <c r="K163" s="11" t="n">
        <v>135.364304741082</v>
      </c>
      <c r="L163" s="11" t="n">
        <v>141.62239357149</v>
      </c>
      <c r="M163" s="11" t="n">
        <v>139.003184913268</v>
      </c>
      <c r="N163" s="11" t="n">
        <v>115.917576932753</v>
      </c>
      <c r="O163" s="12" t="n">
        <v>134.756584334513</v>
      </c>
      <c r="Q163" s="13" t="n">
        <f aca="false">INDEX($C$3:$C$164, 153, 1)</f>
        <v>151.03962910894</v>
      </c>
      <c r="R163" s="2" t="n">
        <f aca="false">$R$8 * $Q$163 + $R$9</f>
        <v>146.889022809455</v>
      </c>
      <c r="T163" s="13" t="n">
        <f aca="false">INDEX($H$3:$H$164, 153, 1)</f>
        <v>161.316874016087</v>
      </c>
      <c r="U163" s="2" t="n">
        <f aca="false">$U$8 * $T$163 + $U$9</f>
        <v>149.535692164312</v>
      </c>
      <c r="W163" s="13" t="n">
        <f aca="false">INDEX($H$3:$H$164, 153, 1)</f>
        <v>161.316874016087</v>
      </c>
      <c r="X163" s="2" t="n">
        <f aca="false">$X$8 * $W$163 + $X$9</f>
        <v>149.535692164312</v>
      </c>
    </row>
    <row r="164" customFormat="false" ht="15.8" hidden="false" customHeight="false" outlineLevel="0" collapsed="false">
      <c r="A164" s="9" t="n">
        <v>42522</v>
      </c>
      <c r="B164" s="10" t="n">
        <v>141.966526117964</v>
      </c>
      <c r="C164" s="11" t="n">
        <v>136.022945892062</v>
      </c>
      <c r="D164" s="11" t="n">
        <v>143.644514031787</v>
      </c>
      <c r="E164" s="11" t="n">
        <v>137.241700943762</v>
      </c>
      <c r="F164" s="11" t="n">
        <v>141.358149842511</v>
      </c>
      <c r="G164" s="11" t="n">
        <v>159.181188830718</v>
      </c>
      <c r="H164" s="11" t="n">
        <v>144.227791042348</v>
      </c>
      <c r="I164" s="12" t="n">
        <v>127.40184177471</v>
      </c>
      <c r="J164" s="11" t="n">
        <v>131.715997986388</v>
      </c>
      <c r="K164" s="11" t="n">
        <v>135.594524076796</v>
      </c>
      <c r="L164" s="11" t="n">
        <v>133.129399464732</v>
      </c>
      <c r="M164" s="11" t="n">
        <v>130.388958835481</v>
      </c>
      <c r="N164" s="11" t="n">
        <v>114.40054834692</v>
      </c>
      <c r="O164" s="12" t="n">
        <v>127.40184177471</v>
      </c>
      <c r="Q164" s="13" t="n">
        <f aca="false">INDEX($C$3:$C$164, 154, 1)</f>
        <v>160.218388433087</v>
      </c>
      <c r="R164" s="2" t="n">
        <f aca="false">$R$8 * $Q$164 + $R$9</f>
        <v>152.598003774867</v>
      </c>
      <c r="T164" s="13" t="n">
        <f aca="false">INDEX($H$3:$H$164, 154, 1)</f>
        <v>169.69952757209</v>
      </c>
      <c r="U164" s="2" t="n">
        <f aca="false">$U$8 * $T$164 + $U$9</f>
        <v>155.10934775362</v>
      </c>
      <c r="W164" s="13" t="n">
        <f aca="false">INDEX($H$3:$H$164, 154, 1)</f>
        <v>169.69952757209</v>
      </c>
      <c r="X164" s="2" t="n">
        <f aca="false">$X$8 * $W$164 + $X$9</f>
        <v>155.10934775362</v>
      </c>
    </row>
    <row r="165" customFormat="false" ht="15.8" hidden="false" customHeight="false" outlineLevel="0" collapsed="false">
      <c r="A165" s="9" t="s">
        <v>22</v>
      </c>
      <c r="B165" s="10"/>
      <c r="C165" s="11"/>
      <c r="D165" s="11"/>
      <c r="E165" s="11"/>
      <c r="F165" s="11"/>
      <c r="G165" s="11"/>
      <c r="H165" s="11"/>
      <c r="I165" s="12"/>
      <c r="J165" s="11"/>
      <c r="K165" s="11"/>
      <c r="L165" s="11"/>
      <c r="M165" s="11"/>
      <c r="N165" s="11"/>
      <c r="O165" s="12"/>
      <c r="Q165" s="13" t="n">
        <f aca="false">INDEX($C$3:$C$164, 155, 1)</f>
        <v>148.579640077773</v>
      </c>
      <c r="R165" s="2" t="n">
        <f aca="false">$R$8 * $Q$165 + $R$9</f>
        <v>145.358965199479</v>
      </c>
      <c r="T165" s="13" t="n">
        <f aca="false">INDEX($H$3:$H$164, 155, 1)</f>
        <v>156.203419991234</v>
      </c>
      <c r="U165" s="2" t="n">
        <f aca="false">$U$8 * $T$165 + $U$9</f>
        <v>146.135738746711</v>
      </c>
      <c r="W165" s="13" t="n">
        <f aca="false">INDEX($H$3:$H$164, 155, 1)</f>
        <v>156.203419991234</v>
      </c>
      <c r="X165" s="2" t="n">
        <f aca="false">$X$8 * $W$165 + $X$9</f>
        <v>146.135738746711</v>
      </c>
    </row>
    <row r="166" customFormat="false" ht="15.8" hidden="false" customHeight="false" outlineLevel="0" collapsed="false">
      <c r="A166" s="9" t="n">
        <v>42552</v>
      </c>
      <c r="B166" s="10" t="n">
        <v>143.094994998839</v>
      </c>
      <c r="C166" s="11" t="n">
        <v>157.038486891732</v>
      </c>
      <c r="D166" s="11" t="n">
        <v>143.756557522406</v>
      </c>
      <c r="E166" s="11" t="n">
        <v>153.175000981101</v>
      </c>
      <c r="F166" s="11" t="n">
        <v>163.60654059621</v>
      </c>
      <c r="G166" s="11" t="n">
        <v>157.595008033422</v>
      </c>
      <c r="H166" s="11" t="n">
        <v>161.001292529544</v>
      </c>
      <c r="I166" s="12" t="n">
        <v>139.312926699793</v>
      </c>
      <c r="J166" s="11" t="n">
        <v>166.752373049987</v>
      </c>
      <c r="K166" s="11" t="n">
        <v>134.706486608027</v>
      </c>
      <c r="L166" s="11" t="n">
        <v>154.798498004375</v>
      </c>
      <c r="M166" s="11" t="n">
        <v>144.107262001436</v>
      </c>
      <c r="N166" s="11" t="n">
        <v>117.52231780443</v>
      </c>
      <c r="O166" s="12" t="n">
        <v>139.312926699793</v>
      </c>
      <c r="Q166" s="13" t="n">
        <f aca="false">INDEX($C$3:$C$164, 156, 1)</f>
        <v>175.568397918954</v>
      </c>
      <c r="R166" s="2" t="n">
        <f aca="false">$R$8 * $Q$166 + $R$9</f>
        <v>162.145362941718</v>
      </c>
      <c r="T166" s="13" t="n">
        <f aca="false">INDEX($H$3:$H$164, 156, 1)</f>
        <v>174.348185758166</v>
      </c>
      <c r="U166" s="2" t="n">
        <f aca="false">$U$8 * $T$166 + $U$9</f>
        <v>158.200256796742</v>
      </c>
      <c r="W166" s="13" t="n">
        <f aca="false">INDEX($H$3:$H$164, 156, 1)</f>
        <v>174.348185758166</v>
      </c>
      <c r="X166" s="2" t="n">
        <f aca="false">$X$8 * $W$166 + $X$9</f>
        <v>158.200256796742</v>
      </c>
    </row>
    <row r="167" customFormat="false" ht="15.8" hidden="false" customHeight="false" outlineLevel="0" collapsed="false">
      <c r="A167" s="9" t="n">
        <v>42583</v>
      </c>
      <c r="B167" s="10" t="n">
        <v>143.822188770285</v>
      </c>
      <c r="C167" s="11" t="n">
        <v>145.226791176964</v>
      </c>
      <c r="D167" s="11" t="n">
        <v>147.552408976775</v>
      </c>
      <c r="E167" s="11" t="n">
        <v>145.080652777217</v>
      </c>
      <c r="F167" s="11" t="n">
        <v>151.996131433048</v>
      </c>
      <c r="G167" s="11" t="n">
        <v>165.35550765611</v>
      </c>
      <c r="H167" s="11" t="n">
        <v>154.366664932259</v>
      </c>
      <c r="I167" s="12" t="n">
        <v>133.761965481835</v>
      </c>
      <c r="J167" s="11" t="n">
        <v>142.761592891479</v>
      </c>
      <c r="K167" s="11" t="n">
        <v>132.730109366029</v>
      </c>
      <c r="L167" s="11" t="n">
        <v>138.942880603865</v>
      </c>
      <c r="M167" s="11" t="n">
        <v>137.673786647067</v>
      </c>
      <c r="N167" s="11" t="n">
        <v>116.143860349978</v>
      </c>
      <c r="O167" s="12" t="n">
        <v>133.761965481835</v>
      </c>
      <c r="Q167" s="13" t="n">
        <f aca="false">INDEX($C$3:$C$164, 157, 1)</f>
        <v>170.639870298177</v>
      </c>
      <c r="R167" s="2" t="n">
        <f aca="false">$R$8 * $Q$167 + $R$9</f>
        <v>159.079930089535</v>
      </c>
      <c r="T167" s="13" t="n">
        <f aca="false">INDEX($H$3:$H$164, 157, 1)</f>
        <v>162.754404060344</v>
      </c>
      <c r="U167" s="2" t="n">
        <f aca="false">$U$8 * $T$167 + $U$9</f>
        <v>150.491510905053</v>
      </c>
      <c r="W167" s="13" t="n">
        <f aca="false">INDEX($H$3:$H$164, 157, 1)</f>
        <v>162.754404060344</v>
      </c>
      <c r="X167" s="2" t="n">
        <f aca="false">$X$8 * $W$167 + $X$9</f>
        <v>150.491510905053</v>
      </c>
    </row>
    <row r="168" customFormat="false" ht="15.8" hidden="false" customHeight="false" outlineLevel="0" collapsed="false">
      <c r="A168" s="9" t="n">
        <v>42614</v>
      </c>
      <c r="B168" s="10" t="n">
        <v>141.203253609448</v>
      </c>
      <c r="C168" s="11" t="n">
        <v>143.309522293278</v>
      </c>
      <c r="D168" s="11" t="n">
        <v>143.328540488238</v>
      </c>
      <c r="E168" s="11" t="n">
        <v>142.639711424047</v>
      </c>
      <c r="F168" s="11" t="n">
        <v>148.835082499048</v>
      </c>
      <c r="G168" s="11" t="n">
        <v>160.905568465178</v>
      </c>
      <c r="H168" s="11" t="n">
        <v>151.171724637468</v>
      </c>
      <c r="I168" s="12" t="n">
        <v>131.498998654393</v>
      </c>
      <c r="J168" s="11" t="n">
        <v>147.938135823008</v>
      </c>
      <c r="K168" s="11" t="n">
        <v>127.957427155363</v>
      </c>
      <c r="L168" s="11" t="n">
        <v>140.728213326985</v>
      </c>
      <c r="M168" s="11" t="n">
        <v>135.250646493413</v>
      </c>
      <c r="N168" s="11" t="n">
        <v>115.077811812674</v>
      </c>
      <c r="O168" s="12" t="n">
        <v>131.498998654393</v>
      </c>
      <c r="Q168" s="13" t="n">
        <f aca="false">INDEX($C$3:$C$164, 158, 1)</f>
        <v>149.605415021657</v>
      </c>
      <c r="R168" s="2" t="n">
        <f aca="false">$R$8 * $Q$168 + $R$9</f>
        <v>145.996974043879</v>
      </c>
      <c r="T168" s="13" t="n">
        <f aca="false">INDEX($H$3:$H$164, 158, 1)</f>
        <v>149.64324363966</v>
      </c>
      <c r="U168" s="2" t="n">
        <f aca="false">$U$8 * $T$168 + $U$9</f>
        <v>141.773854607694</v>
      </c>
      <c r="W168" s="13" t="n">
        <f aca="false">INDEX($H$3:$H$164, 158, 1)</f>
        <v>149.64324363966</v>
      </c>
      <c r="X168" s="2" t="n">
        <f aca="false">$X$8 * $W$168 + $X$9</f>
        <v>141.773854607694</v>
      </c>
    </row>
    <row r="169" customFormat="false" ht="15.8" hidden="false" customHeight="false" outlineLevel="0" collapsed="false">
      <c r="A169" s="9" t="n">
        <v>42644</v>
      </c>
      <c r="B169" s="10" t="n">
        <v>140.827544074965</v>
      </c>
      <c r="C169" s="11" t="n">
        <v>150.374383264604</v>
      </c>
      <c r="D169" s="11" t="n">
        <v>141.754156140406</v>
      </c>
      <c r="E169" s="11" t="n">
        <v>147.618311565066</v>
      </c>
      <c r="F169" s="11" t="n">
        <v>156.879397221831</v>
      </c>
      <c r="G169" s="11" t="n">
        <v>157.975860725938</v>
      </c>
      <c r="H169" s="11" t="n">
        <v>155.88999254275</v>
      </c>
      <c r="I169" s="12" t="n">
        <v>135.910074293565</v>
      </c>
      <c r="J169" s="11" t="n">
        <v>152.630086160937</v>
      </c>
      <c r="K169" s="11" t="n">
        <v>123.261544892329</v>
      </c>
      <c r="L169" s="11" t="n">
        <v>141.812667612644</v>
      </c>
      <c r="M169" s="11" t="n">
        <v>140.829797644903</v>
      </c>
      <c r="N169" s="11" t="n">
        <v>114.134583944346</v>
      </c>
      <c r="O169" s="12" t="n">
        <v>135.910074293565</v>
      </c>
      <c r="Q169" s="13" t="n">
        <f aca="false">INDEX($C$3:$C$164, 159, 1)</f>
        <v>151.651166744338</v>
      </c>
      <c r="R169" s="2" t="n">
        <f aca="false">$R$8 * $Q$169 + $R$9</f>
        <v>147.269385404968</v>
      </c>
      <c r="T169" s="13" t="n">
        <f aca="false">INDEX($H$3:$H$164, 159, 1)</f>
        <v>157.939416092304</v>
      </c>
      <c r="U169" s="2" t="n">
        <f aca="false">$U$8 * $T$169 + $U$9</f>
        <v>147.290008609721</v>
      </c>
      <c r="W169" s="13" t="n">
        <f aca="false">INDEX($H$3:$H$164, 159, 1)</f>
        <v>157.939416092304</v>
      </c>
      <c r="X169" s="2" t="n">
        <f aca="false">$X$8 * $W$169 + $X$9</f>
        <v>147.290008609721</v>
      </c>
    </row>
    <row r="170" customFormat="false" ht="15.8" hidden="false" customHeight="false" outlineLevel="0" collapsed="false">
      <c r="A170" s="9" t="n">
        <v>42675</v>
      </c>
      <c r="B170" s="10" t="n">
        <v>139.741252998285</v>
      </c>
      <c r="C170" s="11" t="n">
        <v>148.474715399539</v>
      </c>
      <c r="D170" s="11" t="n">
        <v>139.493812209846</v>
      </c>
      <c r="E170" s="11" t="n">
        <v>145.619818800476</v>
      </c>
      <c r="F170" s="11" t="n">
        <v>154.033953838651</v>
      </c>
      <c r="G170" s="11" t="n">
        <v>155.771771642443</v>
      </c>
      <c r="H170" s="11" t="n">
        <v>153.483059374583</v>
      </c>
      <c r="I170" s="12" t="n">
        <v>130.269470361538</v>
      </c>
      <c r="J170" s="11" t="n">
        <v>155.041971075489</v>
      </c>
      <c r="K170" s="11" t="n">
        <v>122.675165476144</v>
      </c>
      <c r="L170" s="11" t="n">
        <v>142.965403619296</v>
      </c>
      <c r="M170" s="11" t="n">
        <v>133.995396623226</v>
      </c>
      <c r="N170" s="11" t="n">
        <v>113.67546768598</v>
      </c>
      <c r="O170" s="12" t="n">
        <v>130.269470361538</v>
      </c>
      <c r="Q170" s="13" t="n">
        <f aca="false">INDEX($C$3:$C$164, 160, 1)</f>
        <v>147.006515205319</v>
      </c>
      <c r="R170" s="2" t="n">
        <f aca="false">$R$8 * $Q$170 + $R$9</f>
        <v>144.38051706331</v>
      </c>
      <c r="T170" s="13" t="n">
        <f aca="false">INDEX($H$3:$H$164, 160, 1)</f>
        <v>155.593493452545</v>
      </c>
      <c r="U170" s="2" t="n">
        <f aca="false">$U$8 * $T$170 + $U$9</f>
        <v>145.730196463623</v>
      </c>
      <c r="W170" s="13" t="n">
        <f aca="false">INDEX($H$3:$H$164, 160, 1)</f>
        <v>155.593493452545</v>
      </c>
      <c r="X170" s="2" t="n">
        <f aca="false">$X$8 * $W$170 + $X$9</f>
        <v>145.730196463623</v>
      </c>
    </row>
    <row r="171" customFormat="false" ht="15.8" hidden="false" customHeight="false" outlineLevel="0" collapsed="false">
      <c r="A171" s="9" t="n">
        <v>42705</v>
      </c>
      <c r="B171" s="10" t="n">
        <v>138.887527012231</v>
      </c>
      <c r="C171" s="11" t="n">
        <v>173.347812624421</v>
      </c>
      <c r="D171" s="11" t="n">
        <v>139.581322674888</v>
      </c>
      <c r="E171" s="11" t="n">
        <v>164.959010604205</v>
      </c>
      <c r="F171" s="11" t="n">
        <v>177.447431551829</v>
      </c>
      <c r="G171" s="11" t="n">
        <v>153.379405314902</v>
      </c>
      <c r="H171" s="11" t="n">
        <v>171.109266603144</v>
      </c>
      <c r="I171" s="12" t="n">
        <v>147.130671280412</v>
      </c>
      <c r="J171" s="11" t="n">
        <v>202.175075747254</v>
      </c>
      <c r="K171" s="11" t="n">
        <v>125.019586807211</v>
      </c>
      <c r="L171" s="11" t="n">
        <v>174.268007729177</v>
      </c>
      <c r="M171" s="11" t="n">
        <v>153.269510411626</v>
      </c>
      <c r="N171" s="11" t="n">
        <v>118.510426493559</v>
      </c>
      <c r="O171" s="12" t="n">
        <v>147.130671280412</v>
      </c>
      <c r="Q171" s="13" t="n">
        <f aca="false">INDEX($C$3:$C$164, 161, 1)</f>
        <v>145.847725780877</v>
      </c>
      <c r="R171" s="2" t="n">
        <f aca="false">$R$8 * $Q$171 + $R$9</f>
        <v>143.659776216597</v>
      </c>
      <c r="T171" s="13" t="n">
        <f aca="false">INDEX($H$3:$H$164, 161, 1)</f>
        <v>153.071429387093</v>
      </c>
      <c r="U171" s="2" t="n">
        <f aca="false">$U$8 * $T$171 + $U$9</f>
        <v>144.053267269176</v>
      </c>
      <c r="W171" s="13" t="n">
        <f aca="false">INDEX($H$3:$H$164, 161, 1)</f>
        <v>153.071429387093</v>
      </c>
      <c r="X171" s="2" t="n">
        <f aca="false">$X$8 * $W$171 + $X$9</f>
        <v>144.053267269176</v>
      </c>
    </row>
    <row r="172" customFormat="false" ht="15.8" hidden="false" customHeight="false" outlineLevel="0" collapsed="false">
      <c r="A172" s="9" t="n">
        <v>42736</v>
      </c>
      <c r="B172" s="10" t="n">
        <v>141.252685976178</v>
      </c>
      <c r="C172" s="11" t="n">
        <v>172.353764634126</v>
      </c>
      <c r="D172" s="11" t="n">
        <v>130.009649518072</v>
      </c>
      <c r="E172" s="11" t="n">
        <v>162.085550023925</v>
      </c>
      <c r="F172" s="11" t="n">
        <v>169.646629449198</v>
      </c>
      <c r="G172" s="11" t="n">
        <v>139.733931756426</v>
      </c>
      <c r="H172" s="11" t="n">
        <v>162.016008753819</v>
      </c>
      <c r="I172" s="12" t="n">
        <v>142.852876558981</v>
      </c>
      <c r="J172" s="11" t="n">
        <v>219.449936473897</v>
      </c>
      <c r="K172" s="11" t="n">
        <v>135.288173478601</v>
      </c>
      <c r="L172" s="11" t="n">
        <v>189.240936161804</v>
      </c>
      <c r="M172" s="11" t="n">
        <v>150.120693678723</v>
      </c>
      <c r="N172" s="11" t="n">
        <v>107.577403159313</v>
      </c>
      <c r="O172" s="12" t="n">
        <v>142.852876558981</v>
      </c>
      <c r="Q172" s="13" t="n">
        <f aca="false">INDEX($C$3:$C$164, 162, 1)</f>
        <v>136.022945892062</v>
      </c>
      <c r="R172" s="2" t="n">
        <f aca="false">$R$8 * $Q$172 + $R$9</f>
        <v>137.548985052582</v>
      </c>
      <c r="T172" s="13" t="n">
        <f aca="false">INDEX($H$3:$H$164, 162, 1)</f>
        <v>144.227791042348</v>
      </c>
      <c r="U172" s="2" t="n">
        <f aca="false">$U$8 * $T$172 + $U$9</f>
        <v>138.173101285851</v>
      </c>
      <c r="W172" s="13" t="n">
        <f aca="false">INDEX($H$3:$H$164, 162, 1)</f>
        <v>144.227791042348</v>
      </c>
      <c r="X172" s="2" t="n">
        <f aca="false">$X$8 * $W$172 + $X$9</f>
        <v>138.173101285851</v>
      </c>
    </row>
    <row r="173" customFormat="false" ht="15.8" hidden="false" customHeight="false" outlineLevel="0" collapsed="false">
      <c r="A173" s="9" t="n">
        <v>42767</v>
      </c>
      <c r="B173" s="10" t="n">
        <v>137.881335562606</v>
      </c>
      <c r="C173" s="11" t="n">
        <v>144.512902161447</v>
      </c>
      <c r="D173" s="11" t="n">
        <v>128.286035582631</v>
      </c>
      <c r="E173" s="11" t="n">
        <v>140.079368836888</v>
      </c>
      <c r="F173" s="11" t="n">
        <v>145.723633469818</v>
      </c>
      <c r="G173" s="11" t="n">
        <v>139.699676693704</v>
      </c>
      <c r="H173" s="11" t="n">
        <v>143.751640275621</v>
      </c>
      <c r="I173" s="12" t="n">
        <v>122.251323954678</v>
      </c>
      <c r="J173" s="11" t="n">
        <v>161.903264790452</v>
      </c>
      <c r="K173" s="11" t="n">
        <v>133.200375796633</v>
      </c>
      <c r="L173" s="11" t="n">
        <v>151.279162549277</v>
      </c>
      <c r="M173" s="11" t="n">
        <v>127.282917172629</v>
      </c>
      <c r="N173" s="11" t="n">
        <v>98.1986872604515</v>
      </c>
      <c r="O173" s="12" t="n">
        <v>122.251323954678</v>
      </c>
    </row>
    <row r="174" customFormat="false" ht="15.8" hidden="false" customHeight="false" outlineLevel="0" collapsed="false">
      <c r="A174" s="9" t="n">
        <v>42795</v>
      </c>
      <c r="B174" s="10" t="n">
        <v>143.416601476992</v>
      </c>
      <c r="C174" s="11" t="n">
        <v>150.421319312026</v>
      </c>
      <c r="D174" s="11" t="n">
        <v>150.15414679673</v>
      </c>
      <c r="E174" s="11" t="n">
        <v>149.345563581123</v>
      </c>
      <c r="F174" s="11" t="n">
        <v>155.586626253375</v>
      </c>
      <c r="G174" s="11" t="n">
        <v>164.658426972974</v>
      </c>
      <c r="H174" s="11" t="n">
        <v>156.665307894982</v>
      </c>
      <c r="I174" s="12" t="n">
        <v>133.606012700306</v>
      </c>
      <c r="J174" s="11" t="n">
        <v>154.570507535357</v>
      </c>
      <c r="K174" s="11" t="n">
        <v>149.344620235544</v>
      </c>
      <c r="L174" s="11" t="n">
        <v>152.208910731093</v>
      </c>
      <c r="M174" s="11" t="n">
        <v>138.315387804386</v>
      </c>
      <c r="N174" s="11" t="n">
        <v>113.775472227152</v>
      </c>
      <c r="O174" s="12" t="n">
        <v>133.606012700306</v>
      </c>
    </row>
    <row r="175" customFormat="false" ht="15.8" hidden="false" customHeight="false" outlineLevel="0" collapsed="false">
      <c r="A175" s="9" t="n">
        <v>42826</v>
      </c>
      <c r="B175" s="10" t="n">
        <v>138.917479667193</v>
      </c>
      <c r="C175" s="11" t="n">
        <v>151.420163472087</v>
      </c>
      <c r="D175" s="11" t="n">
        <v>133.190796036936</v>
      </c>
      <c r="E175" s="11" t="n">
        <v>146.302752377533</v>
      </c>
      <c r="F175" s="11" t="n">
        <v>159.440658663857</v>
      </c>
      <c r="G175" s="11" t="n">
        <v>144.566847937856</v>
      </c>
      <c r="H175" s="11" t="n">
        <v>155.037379984385</v>
      </c>
      <c r="I175" s="12" t="n">
        <v>126.133213816089</v>
      </c>
      <c r="J175" s="11" t="n">
        <v>163.236234335564</v>
      </c>
      <c r="K175" s="11" t="n">
        <v>127.954724405463</v>
      </c>
      <c r="L175" s="11" t="n">
        <v>149.914122462473</v>
      </c>
      <c r="M175" s="11" t="n">
        <v>131.580986561627</v>
      </c>
      <c r="N175" s="11" t="n">
        <v>101.734041285407</v>
      </c>
      <c r="O175" s="12" t="n">
        <v>126.133213816089</v>
      </c>
    </row>
    <row r="176" customFormat="false" ht="15.8" hidden="false" customHeight="false" outlineLevel="0" collapsed="false">
      <c r="A176" s="9" t="n">
        <v>42856</v>
      </c>
      <c r="B176" s="10" t="n">
        <v>144.188724738453</v>
      </c>
      <c r="C176" s="11" t="n">
        <v>146.260971204907</v>
      </c>
      <c r="D176" s="11" t="n">
        <v>149.641390055947</v>
      </c>
      <c r="E176" s="11" t="n">
        <v>146.444967568043</v>
      </c>
      <c r="F176" s="11" t="n">
        <v>154.313504796681</v>
      </c>
      <c r="G176" s="11" t="n">
        <v>166.285510050329</v>
      </c>
      <c r="H176" s="11" t="n">
        <v>155.973420471497</v>
      </c>
      <c r="I176" s="12" t="n">
        <v>131.020916652317</v>
      </c>
      <c r="J176" s="11" t="n">
        <v>145.78689524062</v>
      </c>
      <c r="K176" s="11" t="n">
        <v>142.194326754178</v>
      </c>
      <c r="L176" s="11" t="n">
        <v>144.429800279972</v>
      </c>
      <c r="M176" s="11" t="n">
        <v>134.893778710191</v>
      </c>
      <c r="N176" s="11" t="n">
        <v>113.825704046096</v>
      </c>
      <c r="O176" s="12" t="n">
        <v>131.020916652317</v>
      </c>
    </row>
    <row r="177" customFormat="false" ht="15.8" hidden="false" customHeight="false" outlineLevel="0" collapsed="false">
      <c r="A177" s="9" t="n">
        <v>42887</v>
      </c>
      <c r="B177" s="10" t="n">
        <v>143.68631840251</v>
      </c>
      <c r="C177" s="11" t="n">
        <v>145.733566986372</v>
      </c>
      <c r="D177" s="11" t="n">
        <v>142.512464889594</v>
      </c>
      <c r="E177" s="11" t="n">
        <v>144.175145859113</v>
      </c>
      <c r="F177" s="11" t="n">
        <v>152.583702750049</v>
      </c>
      <c r="G177" s="11" t="n">
        <v>157.102544363561</v>
      </c>
      <c r="H177" s="11" t="n">
        <v>152.20735914481</v>
      </c>
      <c r="I177" s="12" t="n">
        <v>127.47095711067</v>
      </c>
      <c r="J177" s="11" t="n">
        <v>146.888320575129</v>
      </c>
      <c r="K177" s="11" t="n">
        <v>139.478474234385</v>
      </c>
      <c r="L177" s="11" t="n">
        <v>143.960788710117</v>
      </c>
      <c r="M177" s="11" t="n">
        <v>131.993770151263</v>
      </c>
      <c r="N177" s="11" t="n">
        <v>107.746604349363</v>
      </c>
      <c r="O177" s="12" t="n">
        <v>127.47095711067</v>
      </c>
    </row>
    <row r="178" customFormat="false" ht="15.8" hidden="false" customHeight="false" outlineLevel="0" collapsed="false">
      <c r="A178" s="9" t="n">
        <v>42917</v>
      </c>
      <c r="B178" s="10" t="n">
        <v>145.126377293811</v>
      </c>
      <c r="C178" s="11" t="n">
        <v>160.404721445087</v>
      </c>
      <c r="D178" s="11" t="n">
        <v>148.168588110709</v>
      </c>
      <c r="E178" s="11" t="n">
        <v>156.792295150235</v>
      </c>
      <c r="F178" s="11" t="n">
        <v>167.059065791997</v>
      </c>
      <c r="G178" s="11" t="n">
        <v>161.77099528603</v>
      </c>
      <c r="H178" s="11" t="n">
        <v>164.59900957304</v>
      </c>
      <c r="I178" s="12" t="n">
        <v>138.061598305627</v>
      </c>
      <c r="J178" s="11" t="n">
        <v>173.479472108633</v>
      </c>
      <c r="K178" s="11" t="n">
        <v>148.929122009806</v>
      </c>
      <c r="L178" s="11" t="n">
        <v>164.429816543403</v>
      </c>
      <c r="M178" s="11" t="n">
        <v>143.738232268651</v>
      </c>
      <c r="N178" s="11" t="n">
        <v>112.383777644914</v>
      </c>
      <c r="O178" s="12" t="n">
        <v>138.061598305627</v>
      </c>
    </row>
    <row r="179" customFormat="false" ht="15.8" hidden="false" customHeight="false" outlineLevel="0" collapsed="false">
      <c r="A179" s="9" t="n">
        <v>42948</v>
      </c>
      <c r="B179" s="10" t="n">
        <v>146.243543329809</v>
      </c>
      <c r="C179" s="11" t="n">
        <v>147.405228077854</v>
      </c>
      <c r="D179" s="11" t="n">
        <v>155.117690814531</v>
      </c>
      <c r="E179" s="11" t="n">
        <v>148.615833246608</v>
      </c>
      <c r="F179" s="11" t="n">
        <v>154.511211142342</v>
      </c>
      <c r="G179" s="11" t="n">
        <v>172.859467438901</v>
      </c>
      <c r="H179" s="11" t="n">
        <v>158.056778953912</v>
      </c>
      <c r="I179" s="12" t="n">
        <v>131.06584880919</v>
      </c>
      <c r="J179" s="11" t="n">
        <v>147.130098038962</v>
      </c>
      <c r="K179" s="11" t="n">
        <v>149.458763748612</v>
      </c>
      <c r="L179" s="11" t="n">
        <v>148.110033839997</v>
      </c>
      <c r="M179" s="11" t="n">
        <v>134.355685541069</v>
      </c>
      <c r="N179" s="11" t="n">
        <v>116.173309358644</v>
      </c>
      <c r="O179" s="12" t="n">
        <v>131.06584880919</v>
      </c>
    </row>
    <row r="180" customFormat="false" ht="15.8" hidden="false" customHeight="false" outlineLevel="0" collapsed="false">
      <c r="A180" s="9" t="n">
        <v>42979</v>
      </c>
      <c r="B180" s="10" t="n">
        <v>144.160448264151</v>
      </c>
      <c r="C180" s="11" t="n">
        <v>153.601747202279</v>
      </c>
      <c r="D180" s="11" t="n">
        <v>149.424201808017</v>
      </c>
      <c r="E180" s="11" t="n">
        <v>151.825682086531</v>
      </c>
      <c r="F180" s="11" t="n">
        <v>160.762182690299</v>
      </c>
      <c r="G180" s="11" t="n">
        <v>166.696725978223</v>
      </c>
      <c r="H180" s="11" t="n">
        <v>161.609862172613</v>
      </c>
      <c r="I180" s="12" t="n">
        <v>133.987026189469</v>
      </c>
      <c r="J180" s="11" t="n">
        <v>162.52396955584</v>
      </c>
      <c r="K180" s="11" t="n">
        <v>139.682515717966</v>
      </c>
      <c r="L180" s="11" t="n">
        <v>154.253691851601</v>
      </c>
      <c r="M180" s="11" t="n">
        <v>138.322794659367</v>
      </c>
      <c r="N180" s="11" t="n">
        <v>114.994251294958</v>
      </c>
      <c r="O180" s="12" t="n">
        <v>133.987026189469</v>
      </c>
    </row>
    <row r="181" customFormat="false" ht="15.8" hidden="false" customHeight="false" outlineLevel="0" collapsed="false">
      <c r="A181" s="9" t="n">
        <v>43009</v>
      </c>
      <c r="B181" s="10" t="n">
        <v>144.792383513083</v>
      </c>
      <c r="C181" s="11" t="n">
        <v>155.338623754455</v>
      </c>
      <c r="D181" s="11" t="n">
        <v>153.017798667286</v>
      </c>
      <c r="E181" s="11" t="n">
        <v>154.152876305598</v>
      </c>
      <c r="F181" s="11" t="n">
        <v>162.580287503385</v>
      </c>
      <c r="G181" s="11" t="n">
        <v>171.693225298688</v>
      </c>
      <c r="H181" s="11" t="n">
        <v>163.437108829802</v>
      </c>
      <c r="I181" s="12" t="n">
        <v>135.44833217477</v>
      </c>
      <c r="J181" s="11" t="n">
        <v>156.973926091837</v>
      </c>
      <c r="K181" s="11" t="n">
        <v>135.697896756377</v>
      </c>
      <c r="L181" s="11" t="n">
        <v>149.356464011375</v>
      </c>
      <c r="M181" s="11" t="n">
        <v>140.361720302851</v>
      </c>
      <c r="N181" s="11" t="n">
        <v>113.701226818563</v>
      </c>
      <c r="O181" s="12" t="n">
        <v>135.44833217477</v>
      </c>
    </row>
    <row r="182" customFormat="false" ht="15.8" hidden="false" customHeight="false" outlineLevel="0" collapsed="false">
      <c r="A182" s="9" t="n">
        <v>43040</v>
      </c>
      <c r="B182" s="10" t="n">
        <v>143.428519605402</v>
      </c>
      <c r="C182" s="11" t="n">
        <v>151.971893231345</v>
      </c>
      <c r="D182" s="11" t="n">
        <v>145.377892487545</v>
      </c>
      <c r="E182" s="11" t="n">
        <v>149.710464657058</v>
      </c>
      <c r="F182" s="11" t="n">
        <v>158.369067518187</v>
      </c>
      <c r="G182" s="11" t="n">
        <v>162.470572371784</v>
      </c>
      <c r="H182" s="11" t="n">
        <v>158.350650791975</v>
      </c>
      <c r="I182" s="12" t="n">
        <v>129.88689689678</v>
      </c>
      <c r="J182" s="11" t="n">
        <v>155.936533982431</v>
      </c>
      <c r="K182" s="11" t="n">
        <v>131.397211265508</v>
      </c>
      <c r="L182" s="11" t="n">
        <v>146.931227154227</v>
      </c>
      <c r="M182" s="11" t="n">
        <v>134.303452394516</v>
      </c>
      <c r="N182" s="11" t="n">
        <v>110.249693755546</v>
      </c>
      <c r="O182" s="12" t="n">
        <v>129.88689689678</v>
      </c>
    </row>
    <row r="183" customFormat="false" ht="15.8" hidden="false" customHeight="false" outlineLevel="0" collapsed="false">
      <c r="A183" s="9" t="n">
        <v>43070</v>
      </c>
      <c r="B183" s="10" t="n">
        <v>141.978300623884</v>
      </c>
      <c r="C183" s="11" t="n">
        <v>178.342125872635</v>
      </c>
      <c r="D183" s="11" t="n">
        <v>141.692143392095</v>
      </c>
      <c r="E183" s="11" t="n">
        <v>169.226857951346</v>
      </c>
      <c r="F183" s="11" t="n">
        <v>182.609619961234</v>
      </c>
      <c r="G183" s="11" t="n">
        <v>156.829852405511</v>
      </c>
      <c r="H183" s="11" t="n">
        <v>175.846911216256</v>
      </c>
      <c r="I183" s="12" t="n">
        <v>144.726317866538</v>
      </c>
      <c r="J183" s="11" t="n">
        <v>210.971921792565</v>
      </c>
      <c r="K183" s="11" t="n">
        <v>127.385537380138</v>
      </c>
      <c r="L183" s="11" t="n">
        <v>180.632552730336</v>
      </c>
      <c r="M183" s="11" t="n">
        <v>151.472535293702</v>
      </c>
      <c r="N183" s="11" t="n">
        <v>113.40624350375</v>
      </c>
      <c r="O183" s="12" t="n">
        <v>144.726317866538</v>
      </c>
    </row>
    <row r="184" customFormat="false" ht="15.8" hidden="false" customHeight="false" outlineLevel="0" collapsed="false">
      <c r="A184" s="9" t="n">
        <v>43101</v>
      </c>
      <c r="B184" s="10" t="n">
        <v>143.187308353046</v>
      </c>
      <c r="C184" s="11" t="n">
        <v>174.653008577294</v>
      </c>
      <c r="D184" s="11" t="n">
        <v>138.608954237893</v>
      </c>
      <c r="E184" s="11" t="n">
        <v>165.98356234393</v>
      </c>
      <c r="F184" s="11" t="n">
        <v>173.402833335042</v>
      </c>
      <c r="G184" s="11" t="n">
        <v>149.849638526371</v>
      </c>
      <c r="H184" s="11" t="n">
        <v>167.275624452705</v>
      </c>
      <c r="I184" s="12" t="n">
        <v>139.554153782126</v>
      </c>
      <c r="J184" s="11" t="n">
        <v>221.612071472605</v>
      </c>
      <c r="K184" s="11" t="n">
        <v>142.540314480341</v>
      </c>
      <c r="L184" s="11" t="n">
        <v>193.344915818215</v>
      </c>
      <c r="M184" s="11" t="n">
        <v>145.293427145858</v>
      </c>
      <c r="N184" s="11" t="n">
        <v>111.215089559202</v>
      </c>
      <c r="O184" s="12" t="n">
        <v>139.554153782126</v>
      </c>
    </row>
    <row r="185" customFormat="false" ht="15.8" hidden="false" customHeight="false" outlineLevel="0" collapsed="false">
      <c r="A185" s="9" t="n">
        <v>43132</v>
      </c>
      <c r="B185" s="10" t="n">
        <v>138.861313424892</v>
      </c>
      <c r="C185" s="11" t="n">
        <v>145.22695843533</v>
      </c>
      <c r="D185" s="11" t="n">
        <v>130.598509947649</v>
      </c>
      <c r="E185" s="11" t="n">
        <v>141.19685053084</v>
      </c>
      <c r="F185" s="11" t="n">
        <v>145.952388091494</v>
      </c>
      <c r="G185" s="11" t="n">
        <v>142.942777158674</v>
      </c>
      <c r="H185" s="11" t="n">
        <v>144.695458330378</v>
      </c>
      <c r="I185" s="12" t="n">
        <v>117.043788923009</v>
      </c>
      <c r="J185" s="11" t="n">
        <v>162.946896604112</v>
      </c>
      <c r="K185" s="11" t="n">
        <v>132.60847440694</v>
      </c>
      <c r="L185" s="11" t="n">
        <v>151.696044148277</v>
      </c>
      <c r="M185" s="11" t="n">
        <v>121.149424368256</v>
      </c>
      <c r="N185" s="11" t="n">
        <v>97.218586141098</v>
      </c>
      <c r="O185" s="12" t="n">
        <v>117.043788923009</v>
      </c>
    </row>
    <row r="186" customFormat="false" ht="15.8" hidden="false" customHeight="false" outlineLevel="0" collapsed="false">
      <c r="A186" s="9" t="n">
        <v>43160</v>
      </c>
      <c r="B186" s="10" t="n">
        <v>145.039964604925</v>
      </c>
      <c r="C186" s="11" t="n">
        <v>155.140990793135</v>
      </c>
      <c r="D186" s="11" t="n">
        <v>151.651595547182</v>
      </c>
      <c r="E186" s="11" t="n">
        <v>153.21791848</v>
      </c>
      <c r="F186" s="11" t="n">
        <v>161.542643840386</v>
      </c>
      <c r="G186" s="11" t="n">
        <v>166.037372553238</v>
      </c>
      <c r="H186" s="11" t="n">
        <v>161.489304178665</v>
      </c>
      <c r="I186" s="12" t="n">
        <v>130.345402674864</v>
      </c>
      <c r="J186" s="11" t="n">
        <v>159.777450456772</v>
      </c>
      <c r="K186" s="11" t="n">
        <v>149.726270826933</v>
      </c>
      <c r="L186" s="11" t="n">
        <v>155.550690203887</v>
      </c>
      <c r="M186" s="11" t="n">
        <v>134.549356100881</v>
      </c>
      <c r="N186" s="11" t="n">
        <v>112.714169552776</v>
      </c>
      <c r="O186" s="12" t="n">
        <v>130.345402674864</v>
      </c>
    </row>
    <row r="187" customFormat="false" ht="15.8" hidden="false" customHeight="false" outlineLevel="0" collapsed="false">
      <c r="A187" s="9" t="n">
        <v>43191</v>
      </c>
      <c r="B187" s="10" t="n">
        <v>144.825447728872</v>
      </c>
      <c r="C187" s="11" t="n">
        <v>151.118370034227</v>
      </c>
      <c r="D187" s="11" t="n">
        <v>147.04973167873</v>
      </c>
      <c r="E187" s="11" t="n">
        <v>149.550502305963</v>
      </c>
      <c r="F187" s="11" t="n">
        <v>159.916249563524</v>
      </c>
      <c r="G187" s="11" t="n">
        <v>161.528737637054</v>
      </c>
      <c r="H187" s="11" t="n">
        <v>159.421402923095</v>
      </c>
      <c r="I187" s="12" t="n">
        <v>126.331628243679</v>
      </c>
      <c r="J187" s="11" t="n">
        <v>158.257470826198</v>
      </c>
      <c r="K187" s="11" t="n">
        <v>144.001172302002</v>
      </c>
      <c r="L187" s="11" t="n">
        <v>152.936380713009</v>
      </c>
      <c r="M187" s="11" t="n">
        <v>131.321213098135</v>
      </c>
      <c r="N187" s="11" t="n">
        <v>103.945183642176</v>
      </c>
      <c r="O187" s="12" t="n">
        <v>126.331628243679</v>
      </c>
    </row>
    <row r="188" customFormat="false" ht="15.8" hidden="false" customHeight="false" outlineLevel="0" collapsed="false">
      <c r="B188" s="2" t="n">
        <f aca="false">0.6344*G188+45.8</f>
        <v>126.862885638838</v>
      </c>
      <c r="C188" s="11" t="n">
        <v>131.971180338863</v>
      </c>
      <c r="D188" s="11" t="n">
        <v>113.968696184641</v>
      </c>
      <c r="E188" s="11" t="n">
        <v>126.821896930665</v>
      </c>
      <c r="F188" s="11" t="n">
        <v>137.408322269434</v>
      </c>
      <c r="G188" s="11" t="n">
        <v>127.778823516453</v>
      </c>
      <c r="H188" s="11" t="n">
        <v>134.083085540081</v>
      </c>
      <c r="I188" s="12" t="n">
        <v>115.955906148227</v>
      </c>
      <c r="J188" s="11" t="n">
        <v>133.485742084154</v>
      </c>
      <c r="K188" s="11" t="n">
        <v>104.540116573129</v>
      </c>
      <c r="L188" s="11" t="n">
        <v>122.38304070145</v>
      </c>
      <c r="M188" s="11" t="n">
        <v>123.032285868001</v>
      </c>
      <c r="N188" s="11" t="n">
        <v>84.7531563417692</v>
      </c>
      <c r="O188" s="12" t="n">
        <v>115.955906148227</v>
      </c>
    </row>
    <row r="189" customFormat="false" ht="15.8" hidden="false" customHeight="false" outlineLevel="0" collapsed="false">
      <c r="B189" s="2" t="n">
        <f aca="false">0.6344*G189+45.8</f>
        <v>156.370389816284</v>
      </c>
      <c r="C189" s="11" t="n">
        <v>134.874001464557</v>
      </c>
      <c r="D189" s="11" t="n">
        <v>155.630306851626</v>
      </c>
      <c r="E189" s="11" t="n">
        <v>139.402514265083</v>
      </c>
      <c r="F189" s="11" t="n">
        <v>141.491557043653</v>
      </c>
      <c r="G189" s="11" t="n">
        <v>174.291282812553</v>
      </c>
      <c r="H189" s="11" t="n">
        <v>147.894488038989</v>
      </c>
      <c r="I189" s="12" t="n">
        <v>120.25264535786</v>
      </c>
      <c r="J189" s="11" t="n">
        <v>135.273831363129</v>
      </c>
      <c r="K189" s="11" t="n">
        <v>152.0613249659</v>
      </c>
      <c r="L189" s="11" t="n">
        <v>141.639441803536</v>
      </c>
      <c r="M189" s="11" t="n">
        <v>122.657754362599</v>
      </c>
      <c r="N189" s="11" t="n">
        <v>109.795053701189</v>
      </c>
      <c r="O189" s="12" t="n">
        <v>120.25264535786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3.2591093117409"/>
    <col collapsed="false" hidden="false" max="1025" min="2" style="0" width="9.1417004048583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</row>
    <row r="2" customFormat="false" ht="12.8" hidden="false" customHeight="false" outlineLevel="0" collapsed="false">
      <c r="A2" s="0" t="s">
        <v>27</v>
      </c>
      <c r="B2" s="0" t="n">
        <v>0.898</v>
      </c>
      <c r="C2" s="0" t="s">
        <v>28</v>
      </c>
      <c r="D2" s="0" t="n">
        <v>5.368</v>
      </c>
    </row>
    <row r="3" customFormat="false" ht="12.8" hidden="false" customHeight="false" outlineLevel="0" collapsed="false">
      <c r="A3" s="0" t="s">
        <v>29</v>
      </c>
      <c r="B3" s="0" t="n">
        <v>0.885</v>
      </c>
      <c r="C3" s="0" t="s">
        <v>28</v>
      </c>
      <c r="D3" s="0" t="n">
        <v>5.706</v>
      </c>
    </row>
    <row r="4" customFormat="false" ht="12.8" hidden="false" customHeight="false" outlineLevel="0" collapsed="false">
      <c r="A4" s="0" t="s">
        <v>30</v>
      </c>
      <c r="B4" s="0" t="n">
        <v>0.585</v>
      </c>
      <c r="C4" s="0" t="s">
        <v>28</v>
      </c>
      <c r="D4" s="0" t="n">
        <v>10.8326</v>
      </c>
    </row>
    <row r="5" customFormat="false" ht="12.8" hidden="false" customHeight="false" outlineLevel="0" collapsed="false">
      <c r="A5" s="0" t="s">
        <v>31</v>
      </c>
      <c r="B5" s="0" t="n">
        <v>0.9475</v>
      </c>
      <c r="C5" s="0" t="s">
        <v>28</v>
      </c>
      <c r="D5" s="0" t="n">
        <v>3.866</v>
      </c>
    </row>
    <row r="6" customFormat="false" ht="12.8" hidden="false" customHeight="false" outlineLevel="0" collapsed="false">
      <c r="A6" s="0" t="s">
        <v>32</v>
      </c>
    </row>
    <row r="9" customFormat="false" ht="13.8" hidden="false" customHeight="false" outlineLevel="0" collapsed="false">
      <c r="B9" s="2" t="s">
        <v>18</v>
      </c>
      <c r="C9" s="2" t="n">
        <v>898</v>
      </c>
    </row>
    <row r="10" customFormat="false" ht="13.8" hidden="false" customHeight="false" outlineLevel="0" collapsed="false">
      <c r="B10" s="2" t="s">
        <v>19</v>
      </c>
      <c r="C10" s="2" t="e">
        <f aca="false" t="array" ref="C10:C10">STEYX($B$3:$B$164 , $H$3:$H$164)</f>
        <v>#VALUE!</v>
      </c>
    </row>
    <row r="11" customFormat="false" ht="13.8" hidden="false" customHeight="false" outlineLevel="0" collapsed="false">
      <c r="B11" s="2"/>
      <c r="C11" s="2"/>
    </row>
    <row r="12" customFormat="false" ht="13.8" hidden="false" customHeight="false" outlineLevel="0" collapsed="false">
      <c r="B12" s="2" t="s">
        <v>20</v>
      </c>
      <c r="C12" s="2" t="e">
        <f aca="false" t="array" ref="C12:C12">SLOPE($B$3:$B$164 , $H$3:$H$164)</f>
        <v>#VALUE!</v>
      </c>
    </row>
    <row r="13" customFormat="false" ht="13.8" hidden="false" customHeight="false" outlineLevel="0" collapsed="false">
      <c r="B13" s="2" t="s">
        <v>21</v>
      </c>
      <c r="C13" s="2" t="e">
        <f aca="false" t="array" ref="C13:C13">INTERCEPT($B$3:$B$164 , $H$3:$H$164)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2625</TotalTime>
  <Application>LibreOffice/5.1.6.2$Linux_X86_64 LibreOffice_project/10m0$Build-2</Application>
  <Company>Banco Itaú-Unibanco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2014-12-12T16:53:48Z</dcterms:created>
  <dc:creator>Rodrigo Toshiaki Miyamoto</dc:creator>
  <dc:description/>
  <dc:language>en-US</dc:language>
  <cp:lastModifiedBy/>
  <dcterms:modified xsi:type="dcterms:W3CDTF">2018-07-12T18:34:19Z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Itaú-Unibanco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