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t626\Downloads\"/>
    </mc:Choice>
  </mc:AlternateContent>
  <xr:revisionPtr revIDLastSave="0" documentId="13_ncr:1_{3A709FF1-2FFE-4CB0-AAA6-223CD7BB8EF4}" xr6:coauthVersionLast="47" xr6:coauthVersionMax="47" xr10:uidLastSave="{00000000-0000-0000-0000-000000000000}"/>
  <bookViews>
    <workbookView xWindow="-120" yWindow="-120" windowWidth="29040" windowHeight="15720" xr2:uid="{378D2E93-98C3-4147-B0ED-8ADDF28A9052}"/>
  </bookViews>
  <sheets>
    <sheet name="Linear regression" sheetId="1" r:id="rId1"/>
    <sheet name="Sheet7" sheetId="9" r:id="rId2"/>
    <sheet name="Sheet10" sheetId="12" r:id="rId3"/>
    <sheet name="Sheet11" sheetId="13" r:id="rId4"/>
    <sheet name="Finding r^2 and rxy" sheetId="5" r:id="rId5"/>
    <sheet name="Chi square table 1" sheetId="11" r:id="rId6"/>
    <sheet name="Lucas review sheet" sheetId="14" r:id="rId7"/>
    <sheet name="Simple linear regres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O17" i="10"/>
  <c r="B13" i="10"/>
  <c r="B12" i="10"/>
  <c r="B14" i="10" s="1"/>
  <c r="T11" i="10"/>
  <c r="S11" i="10"/>
  <c r="L9" i="10"/>
  <c r="Q6" i="10"/>
  <c r="P6" i="10"/>
  <c r="O6" i="10"/>
  <c r="R5" i="10"/>
  <c r="S5" i="10" s="1"/>
  <c r="Q5" i="10"/>
  <c r="B5" i="10"/>
  <c r="A4" i="10"/>
  <c r="D3" i="11"/>
  <c r="V11" i="5"/>
  <c r="V3" i="5"/>
  <c r="V2" i="5"/>
  <c r="B18" i="11"/>
  <c r="C5" i="11"/>
  <c r="B5" i="11"/>
  <c r="A5" i="11"/>
  <c r="D4" i="11"/>
  <c r="D2" i="11"/>
  <c r="G9" i="5"/>
  <c r="E7" i="5"/>
  <c r="B8" i="5"/>
  <c r="C8" i="5"/>
  <c r="E8" i="5"/>
  <c r="B9" i="5"/>
  <c r="C9" i="5"/>
  <c r="G10" i="5"/>
  <c r="I2" i="1"/>
  <c r="G2" i="1"/>
  <c r="G10" i="1"/>
  <c r="F10" i="1"/>
  <c r="D5" i="11" l="1"/>
  <c r="C9" i="11" s="1"/>
  <c r="C14" i="11" s="1"/>
  <c r="A9" i="11" l="1"/>
  <c r="A14" i="11" s="1"/>
  <c r="A10" i="11"/>
  <c r="A15" i="11" s="1"/>
  <c r="C10" i="11"/>
  <c r="C15" i="11" s="1"/>
  <c r="B9" i="11"/>
  <c r="B14" i="11" s="1"/>
  <c r="C8" i="11"/>
  <c r="C13" i="11" s="1"/>
  <c r="B8" i="11"/>
  <c r="B13" i="11" s="1"/>
  <c r="A8" i="11"/>
  <c r="A13" i="11" s="1"/>
  <c r="B10" i="11"/>
  <c r="B15" i="11" s="1"/>
  <c r="B17" i="11" l="1"/>
  <c r="F11" i="1"/>
  <c r="A21" i="1"/>
  <c r="A20" i="1"/>
  <c r="B20" i="1"/>
  <c r="F3" i="1"/>
  <c r="C3" i="1" l="1"/>
  <c r="R37" i="1"/>
  <c r="Q37" i="1"/>
  <c r="P37" i="1"/>
  <c r="D49" i="1"/>
  <c r="D31" i="1"/>
  <c r="D2" i="1"/>
  <c r="C5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G13" i="1"/>
  <c r="F13" i="1"/>
  <c r="D3" i="1" l="1"/>
  <c r="D5" i="1"/>
  <c r="D7" i="1"/>
  <c r="D8" i="1"/>
  <c r="D9" i="1"/>
  <c r="D11" i="1"/>
  <c r="D12" i="1"/>
  <c r="D15" i="1"/>
  <c r="D16" i="1"/>
  <c r="D17" i="1"/>
  <c r="D19" i="1"/>
  <c r="C4" i="1"/>
  <c r="D4" i="1" s="1"/>
  <c r="C6" i="1"/>
  <c r="D6" i="1" s="1"/>
  <c r="C7" i="1"/>
  <c r="C8" i="1"/>
  <c r="C9" i="1"/>
  <c r="C10" i="1"/>
  <c r="D10" i="1" s="1"/>
  <c r="C11" i="1"/>
  <c r="C12" i="1"/>
  <c r="C13" i="1"/>
  <c r="D13" i="1" s="1"/>
  <c r="C14" i="1"/>
  <c r="D14" i="1" s="1"/>
  <c r="C15" i="1"/>
  <c r="C16" i="1"/>
  <c r="C17" i="1"/>
  <c r="C18" i="1"/>
  <c r="D18" i="1" s="1"/>
  <c r="C19" i="1"/>
  <c r="G11" i="1"/>
  <c r="B21" i="1"/>
  <c r="G3" i="1"/>
  <c r="D20" i="1" l="1"/>
  <c r="D25" i="1" s="1"/>
  <c r="G4" i="1"/>
  <c r="F4" i="1"/>
  <c r="F2" i="1"/>
  <c r="F17" i="1"/>
  <c r="F8" i="1"/>
  <c r="F7" i="1"/>
  <c r="E25" i="1" l="1"/>
  <c r="F5" i="1" l="1"/>
  <c r="F22" i="1"/>
  <c r="F21" i="1"/>
  <c r="F25" i="1"/>
  <c r="F15" i="1" s="1"/>
  <c r="G15" i="1" s="1"/>
</calcChain>
</file>

<file path=xl/sharedStrings.xml><?xml version="1.0" encoding="utf-8"?>
<sst xmlns="http://schemas.openxmlformats.org/spreadsheetml/2006/main" count="160" uniqueCount="94">
  <si>
    <t>Weight (oz)</t>
  </si>
  <si>
    <t>Price ($)</t>
  </si>
  <si>
    <t>R</t>
  </si>
  <si>
    <t>R^2</t>
  </si>
  <si>
    <t>P-value</t>
  </si>
  <si>
    <t>r^2 adjust</t>
  </si>
  <si>
    <t>Price sum</t>
  </si>
  <si>
    <t>weight sum</t>
  </si>
  <si>
    <t>Intercept</t>
  </si>
  <si>
    <t>Slope</t>
  </si>
  <si>
    <t>Predict Value</t>
  </si>
  <si>
    <t>"Control, shift, enter"</t>
  </si>
  <si>
    <t>T-stat</t>
  </si>
  <si>
    <t>DF</t>
  </si>
  <si>
    <t>F=</t>
  </si>
  <si>
    <t>Lower=</t>
  </si>
  <si>
    <t>Upper=</t>
  </si>
  <si>
    <t>ssecomps</t>
  </si>
  <si>
    <t>stdev.s</t>
  </si>
  <si>
    <t>mean</t>
  </si>
  <si>
    <t>y-hats</t>
  </si>
  <si>
    <t>SE</t>
  </si>
  <si>
    <t>SE(b1)</t>
  </si>
  <si>
    <t>t-stat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</si>
  <si>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</si>
  <si>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</si>
  <si>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</si>
  <si>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</si>
  <si>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</si>
  <si>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</si>
  <si>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</si>
  <si>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</si>
  <si>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</si>
  <si>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</si>
  <si>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</si>
  <si>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</si>
  <si>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</si>
  <si>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</si>
  <si>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</si>
  <si>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</si>
  <si>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</si>
  <si>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</si>
  <si>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</si>
  <si>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</si>
  <si>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</si>
  <si>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</si>
  <si>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sstcomps</t>
  </si>
  <si>
    <t>H0: b1 = 0</t>
  </si>
  <si>
    <t>H1: Atleast one b term is useful, atleast one b term is not equal to zero</t>
  </si>
  <si>
    <t>H1: b1 is not = 0</t>
  </si>
  <si>
    <t>Price</t>
  </si>
  <si>
    <t>score</t>
  </si>
  <si>
    <t>bose</t>
  </si>
  <si>
    <t>brands</t>
  </si>
  <si>
    <t>scullcandy</t>
  </si>
  <si>
    <t>koss</t>
  </si>
  <si>
    <t>phillips</t>
  </si>
  <si>
    <t>denon</t>
  </si>
  <si>
    <t>jvc</t>
  </si>
  <si>
    <t>Rxy</t>
  </si>
  <si>
    <t>Rxy or also known as adjust</t>
  </si>
  <si>
    <t>OBSERVED</t>
  </si>
  <si>
    <t>EXPECTED</t>
  </si>
  <si>
    <t>T-ST COMPONENTS</t>
  </si>
  <si>
    <t>SUM</t>
  </si>
  <si>
    <t>Calculate Test statistic</t>
  </si>
  <si>
    <t>REJ REG</t>
  </si>
  <si>
    <t>reject the null hypothesis and can conclude</t>
  </si>
  <si>
    <t>working</t>
  </si>
  <si>
    <t xml:space="preserve">management </t>
  </si>
  <si>
    <t>y=mx+b</t>
  </si>
  <si>
    <t>m= Intercept</t>
  </si>
  <si>
    <t>b= slope</t>
  </si>
  <si>
    <t xml:space="preserve">precentage </t>
  </si>
  <si>
    <t>x in y=mx+b</t>
  </si>
  <si>
    <t>y-hat estimated means of y, given the x's for the output</t>
  </si>
  <si>
    <t>Anova</t>
  </si>
  <si>
    <t>T-score</t>
  </si>
  <si>
    <t>Xp</t>
  </si>
  <si>
    <t>n</t>
  </si>
  <si>
    <t>GPA</t>
  </si>
  <si>
    <t>Monthly Salary ($)</t>
  </si>
  <si>
    <t>ss</t>
  </si>
  <si>
    <t>ms</t>
  </si>
  <si>
    <t>f</t>
  </si>
  <si>
    <t>sign</t>
  </si>
  <si>
    <t>small=p-value 0 -</t>
  </si>
  <si>
    <t>Xbar</t>
  </si>
  <si>
    <t>var of X</t>
  </si>
  <si>
    <t>coefficients</t>
  </si>
  <si>
    <t>se</t>
  </si>
  <si>
    <t>p-vale</t>
  </si>
  <si>
    <t>Margin of error</t>
  </si>
  <si>
    <t>number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</si>
</sst>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E+00"/>
    <numFmt numFmtId="165" formatCode="0.00000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i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i/>
      <u/>
      <sz val="11"/>
      <color rgb="FF000000"/>
      <name val="Aptos Narrow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1" fontId="0" fillId="0" borderId="0" xfId="0" applyNumberFormat="1"/>
    <xf numFmtId="0" fontId="6" fillId="0" borderId="0" xfId="0" applyFont="1"/>
    <xf numFmtId="0" fontId="6" fillId="0" borderId="4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1" xfId="0" applyFont="1" applyBorder="1"/>
    <xf numFmtId="0" fontId="6" fillId="0" borderId="9" xfId="0" applyFont="1" applyBorder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3" fontId="9" fillId="2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097112860892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Price ($)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regression'!$A$2:$A$19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58</c:v>
                </c:pt>
                <c:pt idx="5">
                  <c:v>47</c:v>
                </c:pt>
                <c:pt idx="6">
                  <c:v>49</c:v>
                </c:pt>
                <c:pt idx="7">
                  <c:v>59</c:v>
                </c:pt>
                <c:pt idx="8">
                  <c:v>66</c:v>
                </c:pt>
                <c:pt idx="9">
                  <c:v>58</c:v>
                </c:pt>
                <c:pt idx="10">
                  <c:v>58</c:v>
                </c:pt>
                <c:pt idx="11">
                  <c:v>52</c:v>
                </c:pt>
                <c:pt idx="12">
                  <c:v>52</c:v>
                </c:pt>
                <c:pt idx="13">
                  <c:v>63</c:v>
                </c:pt>
                <c:pt idx="14">
                  <c:v>62</c:v>
                </c:pt>
                <c:pt idx="15">
                  <c:v>54</c:v>
                </c:pt>
                <c:pt idx="16">
                  <c:v>63</c:v>
                </c:pt>
                <c:pt idx="17">
                  <c:v>63</c:v>
                </c:pt>
              </c:numCache>
            </c:numRef>
          </c:xVal>
          <c:yVal>
            <c:numRef>
              <c:f>'Linear regression'!$B$2:$B$19</c:f>
              <c:numCache>
                <c:formatCode>General</c:formatCode>
                <c:ptCount val="18"/>
                <c:pt idx="0">
                  <c:v>246</c:v>
                </c:pt>
                <c:pt idx="1">
                  <c:v>281</c:v>
                </c:pt>
                <c:pt idx="2">
                  <c:v>201</c:v>
                </c:pt>
                <c:pt idx="3">
                  <c:v>210</c:v>
                </c:pt>
                <c:pt idx="4">
                  <c:v>306</c:v>
                </c:pt>
                <c:pt idx="5">
                  <c:v>705</c:v>
                </c:pt>
                <c:pt idx="6">
                  <c:v>902</c:v>
                </c:pt>
                <c:pt idx="7">
                  <c:v>339</c:v>
                </c:pt>
                <c:pt idx="8">
                  <c:v>207</c:v>
                </c:pt>
                <c:pt idx="9">
                  <c:v>299</c:v>
                </c:pt>
                <c:pt idx="10">
                  <c:v>290</c:v>
                </c:pt>
                <c:pt idx="11">
                  <c:v>489</c:v>
                </c:pt>
                <c:pt idx="12">
                  <c:v>486</c:v>
                </c:pt>
                <c:pt idx="13">
                  <c:v>372</c:v>
                </c:pt>
                <c:pt idx="14">
                  <c:v>365</c:v>
                </c:pt>
                <c:pt idx="15">
                  <c:v>555</c:v>
                </c:pt>
                <c:pt idx="16">
                  <c:v>253</c:v>
                </c:pt>
                <c:pt idx="17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C-4D08-9F0C-14F2A165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00975"/>
        <c:axId val="1596512015"/>
      </c:scatterChart>
      <c:valAx>
        <c:axId val="159650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12015"/>
        <c:crosses val="autoZero"/>
        <c:crossBetween val="midCat"/>
      </c:valAx>
      <c:valAx>
        <c:axId val="15965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'Finding r^2 and rxy'!$P$2:$T$2</c:f>
              <c:numCache>
                <c:formatCode>General</c:formatCode>
                <c:ptCount val="5"/>
                <c:pt idx="0">
                  <c:v>67</c:v>
                </c:pt>
                <c:pt idx="1">
                  <c:v>45</c:v>
                </c:pt>
                <c:pt idx="2">
                  <c:v>74</c:v>
                </c:pt>
                <c:pt idx="3">
                  <c:v>54</c:v>
                </c:pt>
                <c:pt idx="4">
                  <c:v>61</c:v>
                </c:pt>
              </c:numCache>
            </c:numRef>
          </c:xVal>
          <c:yVal>
            <c:numRef>
              <c:f>'Finding r^2 and rxy'!$P$3:$T$3</c:f>
              <c:numCache>
                <c:formatCode>General</c:formatCode>
                <c:ptCount val="5"/>
                <c:pt idx="0">
                  <c:v>50</c:v>
                </c:pt>
                <c:pt idx="1">
                  <c:v>21</c:v>
                </c:pt>
                <c:pt idx="2">
                  <c:v>66</c:v>
                </c:pt>
                <c:pt idx="3">
                  <c:v>47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6-4433-90E0-66917658D51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'Finding r^2 and rxy'!$P$2:$T$2</c:f>
              <c:numCache>
                <c:formatCode>General</c:formatCode>
                <c:ptCount val="5"/>
                <c:pt idx="0">
                  <c:v>67</c:v>
                </c:pt>
                <c:pt idx="1">
                  <c:v>45</c:v>
                </c:pt>
                <c:pt idx="2">
                  <c:v>74</c:v>
                </c:pt>
                <c:pt idx="3">
                  <c:v>54</c:v>
                </c:pt>
                <c:pt idx="4">
                  <c:v>61</c:v>
                </c:pt>
              </c:numCache>
            </c:numRef>
          </c:xVal>
          <c:yVal>
            <c:numRef>
              <c:f>'Finding r^2 and rxy'!$P$4:$T$4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6-4433-90E0-66917658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10431"/>
        <c:axId val="1878122431"/>
      </c:scatterChart>
      <c:valAx>
        <c:axId val="18781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22431"/>
        <c:crosses val="autoZero"/>
        <c:crossBetween val="midCat"/>
      </c:valAx>
      <c:valAx>
        <c:axId val="18781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0</xdr:rowOff>
    </xdr:from>
    <xdr:to>
      <xdr:col>20</xdr:col>
      <xdr:colOff>161925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98BB1-3826-AE73-78DD-D898B05CE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17</xdr:col>
      <xdr:colOff>571500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83DC3-CA5E-0947-1646-A266313F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D781-0BE6-4E9B-8C10-46E0B8BD726B}">
  <dimension ref="A1:T49"/>
  <sheetViews>
    <sheetView tabSelected="1" workbookViewId="0">
      <selection activeCell="I12" sqref="I12"/>
    </sheetView>
  </sheetViews>
  <sheetFormatPr defaultRowHeight="15" x14ac:dyDescent="0.25"/>
  <cols>
    <col min="5" max="5" width="13.85546875" bestFit="1" customWidth="1"/>
    <col min="6" max="6" width="16.7109375" bestFit="1" customWidth="1"/>
    <col min="7" max="7" width="16.42578125" bestFit="1" customWidth="1"/>
    <col min="18" max="18" width="11" bestFit="1" customWidth="1"/>
  </cols>
  <sheetData>
    <row r="1" spans="1:9" x14ac:dyDescent="0.25">
      <c r="A1" s="1" t="s">
        <v>0</v>
      </c>
      <c r="B1" s="1" t="s">
        <v>1</v>
      </c>
      <c r="C1" t="s">
        <v>20</v>
      </c>
      <c r="D1" t="s">
        <v>17</v>
      </c>
    </row>
    <row r="2" spans="1:9" x14ac:dyDescent="0.25">
      <c r="A2" s="2">
        <v>64</v>
      </c>
      <c r="B2" s="2">
        <v>246</v>
      </c>
      <c r="C2">
        <f>$F$11+A2*$F$10</f>
        <v>230.79158626013123</v>
      </c>
      <c r="D2">
        <f>(B2-C2)^2</f>
        <v>231.29584848302932</v>
      </c>
      <c r="E2" s="3" t="s">
        <v>2</v>
      </c>
      <c r="F2">
        <f>CORREL(A2:A19, B2:B19)</f>
        <v>-0.88235505037997586</v>
      </c>
      <c r="G2">
        <f>CORREL(A2:A19,B2:B19)</f>
        <v>-0.88235505037997586</v>
      </c>
      <c r="I2">
        <f>RSQ(A2:A19,B2:B19)</f>
        <v>0.77855043493104992</v>
      </c>
    </row>
    <row r="3" spans="1:9" x14ac:dyDescent="0.25">
      <c r="A3" s="2">
        <v>64</v>
      </c>
      <c r="B3" s="2">
        <v>281</v>
      </c>
      <c r="C3">
        <f>$F$11+A3*$F$10</f>
        <v>230.79158626013123</v>
      </c>
      <c r="D3">
        <f t="shared" ref="D3:D19" si="0">(B3-C3)^2</f>
        <v>2520.8848102738434</v>
      </c>
      <c r="E3" s="3" t="s">
        <v>3</v>
      </c>
      <c r="F3">
        <f>CORREL(A2:A19, B2:B19)^2</f>
        <v>0.7785504349310497</v>
      </c>
      <c r="G3">
        <f>G2^2</f>
        <v>0.7785504349310497</v>
      </c>
    </row>
    <row r="4" spans="1:9" x14ac:dyDescent="0.25">
      <c r="A4" s="2">
        <v>64</v>
      </c>
      <c r="B4" s="2">
        <v>201</v>
      </c>
      <c r="C4">
        <f t="shared" ref="C4:C19" si="1">$F$11+A4*$F$10</f>
        <v>230.79158626013123</v>
      </c>
      <c r="D4">
        <f t="shared" si="0"/>
        <v>887.53861189483962</v>
      </c>
      <c r="E4" s="3" t="s">
        <v>5</v>
      </c>
      <c r="F4">
        <f>1 - ((1 - 0.7786) * (18 - 1) / (18 - 1 - 1))</f>
        <v>0.76476250000000001</v>
      </c>
      <c r="G4">
        <f>1-(17/16)*(1-F3)</f>
        <v>0.76470983711424023</v>
      </c>
    </row>
    <row r="5" spans="1:9" x14ac:dyDescent="0.25">
      <c r="A5" s="2">
        <v>64</v>
      </c>
      <c r="B5" s="2">
        <v>210</v>
      </c>
      <c r="C5">
        <f>$F$11+A5*$F$10</f>
        <v>230.79158626013123</v>
      </c>
      <c r="D5">
        <f t="shared" si="0"/>
        <v>432.29005921247756</v>
      </c>
      <c r="E5" s="3" t="s">
        <v>12</v>
      </c>
      <c r="F5">
        <f>F10/E25</f>
        <v>-7.5000809581832071</v>
      </c>
      <c r="H5" s="20" t="s">
        <v>11</v>
      </c>
      <c r="I5" s="20"/>
    </row>
    <row r="6" spans="1:9" x14ac:dyDescent="0.25">
      <c r="A6" s="2">
        <v>58</v>
      </c>
      <c r="B6" s="2">
        <v>306</v>
      </c>
      <c r="C6">
        <f t="shared" si="1"/>
        <v>401.77537630258598</v>
      </c>
      <c r="D6">
        <f t="shared" si="0"/>
        <v>9172.9227059019486</v>
      </c>
    </row>
    <row r="7" spans="1:9" x14ac:dyDescent="0.25">
      <c r="A7" s="2">
        <v>47</v>
      </c>
      <c r="B7" s="2">
        <v>705</v>
      </c>
      <c r="C7">
        <f t="shared" si="1"/>
        <v>715.24565804708618</v>
      </c>
      <c r="D7">
        <f t="shared" si="0"/>
        <v>104.97350881782181</v>
      </c>
      <c r="E7" s="3" t="s">
        <v>6</v>
      </c>
      <c r="F7">
        <f>SUM(B2:B19)</f>
        <v>6776</v>
      </c>
    </row>
    <row r="8" spans="1:9" x14ac:dyDescent="0.25">
      <c r="A8" s="2">
        <v>49</v>
      </c>
      <c r="B8" s="2">
        <v>902</v>
      </c>
      <c r="C8">
        <f t="shared" si="1"/>
        <v>658.25106136626778</v>
      </c>
      <c r="D8">
        <f t="shared" si="0"/>
        <v>59413.54508507096</v>
      </c>
      <c r="E8" s="3" t="s">
        <v>7</v>
      </c>
      <c r="F8">
        <f>SUM(A2:A19)</f>
        <v>1060</v>
      </c>
    </row>
    <row r="9" spans="1:9" x14ac:dyDescent="0.25">
      <c r="A9" s="2">
        <v>59</v>
      </c>
      <c r="B9" s="2">
        <v>339</v>
      </c>
      <c r="C9">
        <f t="shared" si="1"/>
        <v>373.27807796217667</v>
      </c>
      <c r="D9">
        <f t="shared" si="0"/>
        <v>1174.9866287810617</v>
      </c>
    </row>
    <row r="10" spans="1:9" x14ac:dyDescent="0.25">
      <c r="A10" s="2">
        <v>66</v>
      </c>
      <c r="B10" s="2">
        <v>207</v>
      </c>
      <c r="C10">
        <f t="shared" si="1"/>
        <v>173.79698957931305</v>
      </c>
      <c r="D10">
        <f t="shared" si="0"/>
        <v>1102.4399009962463</v>
      </c>
      <c r="E10" s="3" t="s">
        <v>9</v>
      </c>
      <c r="F10">
        <f>SLOPE(B2:B19, A2:A19)</f>
        <v>-28.49729834040911</v>
      </c>
      <c r="G10">
        <f>G2*(B20/A20)</f>
        <v>-28.49729834040911</v>
      </c>
    </row>
    <row r="11" spans="1:9" x14ac:dyDescent="0.25">
      <c r="A11" s="2">
        <v>58</v>
      </c>
      <c r="B11" s="2">
        <v>299</v>
      </c>
      <c r="C11">
        <f t="shared" si="1"/>
        <v>401.77537630258598</v>
      </c>
      <c r="D11">
        <f t="shared" si="0"/>
        <v>10562.777974138153</v>
      </c>
      <c r="E11" s="3" t="s">
        <v>8</v>
      </c>
      <c r="F11">
        <f>INTERCEPT(B2:B19, A2:A19)</f>
        <v>2054.6186800463142</v>
      </c>
      <c r="G11">
        <f>B21-F10*A21</f>
        <v>2054.6186800463142</v>
      </c>
    </row>
    <row r="12" spans="1:9" x14ac:dyDescent="0.25">
      <c r="A12" s="2">
        <v>58</v>
      </c>
      <c r="B12" s="2">
        <v>290</v>
      </c>
      <c r="C12">
        <f t="shared" si="1"/>
        <v>401.77537630258598</v>
      </c>
      <c r="D12">
        <f t="shared" si="0"/>
        <v>12493.7347475847</v>
      </c>
    </row>
    <row r="13" spans="1:9" x14ac:dyDescent="0.25">
      <c r="A13" s="2">
        <v>52</v>
      </c>
      <c r="B13" s="2">
        <v>489</v>
      </c>
      <c r="C13">
        <f t="shared" si="1"/>
        <v>572.75916634504051</v>
      </c>
      <c r="D13">
        <f t="shared" si="0"/>
        <v>7015.5979468161668</v>
      </c>
      <c r="E13" s="3" t="s">
        <v>10</v>
      </c>
      <c r="F13">
        <f>INTERCEPT(B2:B19,A2:A19)+SLOPE(B2:B19,A2:A19)*60</f>
        <v>344.78077962176758</v>
      </c>
      <c r="G13">
        <f>F11+F10*60</f>
        <v>344.78077962176758</v>
      </c>
    </row>
    <row r="14" spans="1:9" x14ac:dyDescent="0.25">
      <c r="A14" s="2">
        <v>52</v>
      </c>
      <c r="B14" s="2">
        <v>486</v>
      </c>
      <c r="C14">
        <f t="shared" si="1"/>
        <v>572.75916634504051</v>
      </c>
      <c r="D14">
        <f t="shared" si="0"/>
        <v>7527.1529448864103</v>
      </c>
    </row>
    <row r="15" spans="1:9" x14ac:dyDescent="0.25">
      <c r="A15" s="2">
        <v>63</v>
      </c>
      <c r="B15" s="2">
        <v>372</v>
      </c>
      <c r="C15">
        <f t="shared" si="1"/>
        <v>259.28888460054031</v>
      </c>
      <c r="D15">
        <f t="shared" si="0"/>
        <v>12703.795534590319</v>
      </c>
      <c r="E15" s="3" t="s">
        <v>4</v>
      </c>
      <c r="F15" s="4">
        <f>_xlfn.T.DIST(F25,16,TRUE)</f>
        <v>6.3384921700921645E-7</v>
      </c>
      <c r="G15" s="4">
        <f>F15*2</f>
        <v>1.2676984340184329E-6</v>
      </c>
    </row>
    <row r="16" spans="1:9" x14ac:dyDescent="0.25">
      <c r="A16" s="2">
        <v>62</v>
      </c>
      <c r="B16" s="2">
        <v>365</v>
      </c>
      <c r="C16">
        <f t="shared" si="1"/>
        <v>287.7861829409494</v>
      </c>
      <c r="D16">
        <f t="shared" si="0"/>
        <v>5961.9735448285328</v>
      </c>
    </row>
    <row r="17" spans="1:13" x14ac:dyDescent="0.25">
      <c r="A17" s="2">
        <v>54</v>
      </c>
      <c r="B17" s="2">
        <v>555</v>
      </c>
      <c r="C17">
        <f t="shared" si="1"/>
        <v>515.76456966422234</v>
      </c>
      <c r="D17">
        <f t="shared" si="0"/>
        <v>1539.4189936336622</v>
      </c>
      <c r="E17" s="3" t="s">
        <v>13</v>
      </c>
      <c r="F17">
        <f>F8 - 2</f>
        <v>1058</v>
      </c>
    </row>
    <row r="18" spans="1:13" x14ac:dyDescent="0.25">
      <c r="A18" s="2">
        <v>63</v>
      </c>
      <c r="B18" s="2">
        <v>253</v>
      </c>
      <c r="C18">
        <f t="shared" si="1"/>
        <v>259.28888460054031</v>
      </c>
      <c r="D18">
        <f t="shared" si="0"/>
        <v>39.550069518913105</v>
      </c>
      <c r="F18" s="5"/>
    </row>
    <row r="19" spans="1:13" x14ac:dyDescent="0.25">
      <c r="A19" s="2">
        <v>63</v>
      </c>
      <c r="B19" s="2">
        <v>270</v>
      </c>
      <c r="C19">
        <f t="shared" si="1"/>
        <v>259.28888460054031</v>
      </c>
      <c r="D19">
        <f t="shared" si="0"/>
        <v>114.72799310054243</v>
      </c>
    </row>
    <row r="20" spans="1:13" x14ac:dyDescent="0.25">
      <c r="A20">
        <f>_xlfn.STDEV.S(A2:A19)</f>
        <v>5.8197320424355992</v>
      </c>
      <c r="B20">
        <f>_xlfn.STDEV.S(B2:B19)</f>
        <v>187.95907634132746</v>
      </c>
      <c r="C20" t="s">
        <v>18</v>
      </c>
      <c r="D20">
        <f>SUM(D2:D19)</f>
        <v>132999.60690852962</v>
      </c>
      <c r="E20" t="s">
        <v>14</v>
      </c>
    </row>
    <row r="21" spans="1:13" x14ac:dyDescent="0.25">
      <c r="A21">
        <f>AVERAGE(A2:A19)</f>
        <v>58.888888888888886</v>
      </c>
      <c r="B21">
        <f>AVERAGE(B2:B19)</f>
        <v>376.44444444444446</v>
      </c>
      <c r="C21" t="s">
        <v>19</v>
      </c>
      <c r="E21" t="s">
        <v>15</v>
      </c>
      <c r="F21">
        <f>F10-_xlfn.T.INV(0.975,16)*E25</f>
        <v>-36.552087895634955</v>
      </c>
    </row>
    <row r="22" spans="1:13" x14ac:dyDescent="0.25">
      <c r="E22" t="s">
        <v>16</v>
      </c>
      <c r="F22">
        <f>F10+_xlfn.T.INV(0.975,15)*E25</f>
        <v>-20.398645281061349</v>
      </c>
    </row>
    <row r="24" spans="1:13" x14ac:dyDescent="0.25">
      <c r="D24" t="s">
        <v>21</v>
      </c>
      <c r="E24" t="s">
        <v>22</v>
      </c>
      <c r="F24" t="s">
        <v>23</v>
      </c>
    </row>
    <row r="25" spans="1:13" x14ac:dyDescent="0.25">
      <c r="D25">
        <f>SQRT(D20/16)</f>
        <v>91.172777909763724</v>
      </c>
      <c r="E25">
        <f>D25/SQRT(17*A20^2)</f>
        <v>3.7995987642394988</v>
      </c>
      <c r="F25">
        <f>F10/E25</f>
        <v>-7.5000809581832071</v>
      </c>
      <c r="L25" t="s">
        <v>24</v>
      </c>
    </row>
    <row r="26" spans="1:13" ht="15.75" thickBot="1" x14ac:dyDescent="0.3"/>
    <row r="27" spans="1:13" x14ac:dyDescent="0.25">
      <c r="L27" s="8" t="s">
        <v>25</v>
      </c>
      <c r="M27" s="8"/>
    </row>
    <row r="28" spans="1:13" x14ac:dyDescent="0.25">
      <c r="L28" t="s">
        <v>26</v>
      </c>
      <c r="M28">
        <v>0.88235505037997586</v>
      </c>
    </row>
    <row r="29" spans="1:13" x14ac:dyDescent="0.25">
      <c r="L29" t="s">
        <v>27</v>
      </c>
      <c r="M29">
        <v>0.77855043493104981</v>
      </c>
    </row>
    <row r="30" spans="1:13" x14ac:dyDescent="0.25">
      <c r="C30" t="s">
        <v>20</v>
      </c>
      <c r="D30" t="s">
        <v>46</v>
      </c>
      <c r="L30" t="s">
        <v>28</v>
      </c>
      <c r="M30">
        <v>0.76470983711424045</v>
      </c>
    </row>
    <row r="31" spans="1:13" x14ac:dyDescent="0.25">
      <c r="C31">
        <v>230.79158626013123</v>
      </c>
      <c r="D31">
        <f>(C31-$B$21)^2</f>
        <v>21214.755097259662</v>
      </c>
      <c r="L31" t="s">
        <v>29</v>
      </c>
      <c r="M31">
        <v>91.172777909763681</v>
      </c>
    </row>
    <row r="32" spans="1:13" ht="15.75" thickBot="1" x14ac:dyDescent="0.3">
      <c r="C32">
        <v>230.79158626013123</v>
      </c>
      <c r="D32">
        <f t="shared" ref="D32:D48" si="2">(C32-$B$21)^2</f>
        <v>21214.755097259662</v>
      </c>
      <c r="L32" s="6" t="s">
        <v>30</v>
      </c>
      <c r="M32" s="6">
        <v>18</v>
      </c>
    </row>
    <row r="33" spans="3:20" x14ac:dyDescent="0.25">
      <c r="C33">
        <v>230.79158626013123</v>
      </c>
      <c r="D33">
        <f t="shared" si="2"/>
        <v>21214.755097259662</v>
      </c>
    </row>
    <row r="34" spans="3:20" ht="15.75" thickBot="1" x14ac:dyDescent="0.3">
      <c r="C34">
        <v>230.79158626013123</v>
      </c>
      <c r="D34">
        <f t="shared" si="2"/>
        <v>21214.755097259662</v>
      </c>
      <c r="L34" t="s">
        <v>31</v>
      </c>
    </row>
    <row r="35" spans="3:20" x14ac:dyDescent="0.25">
      <c r="C35">
        <v>401.77537630258598</v>
      </c>
      <c r="D35">
        <f t="shared" si="2"/>
        <v>641.6561088018093</v>
      </c>
      <c r="L35" s="7"/>
      <c r="M35" s="7" t="s">
        <v>35</v>
      </c>
      <c r="N35" s="7" t="s">
        <v>36</v>
      </c>
      <c r="O35" s="7" t="s">
        <v>37</v>
      </c>
      <c r="P35" s="7" t="s">
        <v>38</v>
      </c>
      <c r="Q35" s="7" t="s">
        <v>39</v>
      </c>
    </row>
    <row r="36" spans="3:20" x14ac:dyDescent="0.25">
      <c r="C36">
        <v>715.24565804708618</v>
      </c>
      <c r="D36">
        <f t="shared" si="2"/>
        <v>114786.26233862287</v>
      </c>
      <c r="L36" t="s">
        <v>32</v>
      </c>
      <c r="M36">
        <v>1</v>
      </c>
      <c r="N36">
        <v>467586.83753591502</v>
      </c>
      <c r="O36">
        <v>467586.83753591502</v>
      </c>
      <c r="P36">
        <v>56.251214379302404</v>
      </c>
      <c r="Q36">
        <v>1.2676984340184194E-6</v>
      </c>
    </row>
    <row r="37" spans="3:20" x14ac:dyDescent="0.25">
      <c r="C37">
        <v>658.25106136626778</v>
      </c>
      <c r="D37">
        <f t="shared" si="2"/>
        <v>79414.969340923271</v>
      </c>
      <c r="L37" t="s">
        <v>33</v>
      </c>
      <c r="M37">
        <v>16</v>
      </c>
      <c r="N37">
        <v>132999.60690852947</v>
      </c>
      <c r="O37">
        <v>8312.4754317830921</v>
      </c>
      <c r="P37">
        <f>O36/O37</f>
        <v>56.251214379302404</v>
      </c>
      <c r="Q37">
        <f>_xlfn.F.DIST(P37,1,16,TRUE)</f>
        <v>0.999998732301566</v>
      </c>
      <c r="R37">
        <f>1-Q37</f>
        <v>1.2676984340043163E-6</v>
      </c>
    </row>
    <row r="38" spans="3:20" ht="15.75" thickBot="1" x14ac:dyDescent="0.3">
      <c r="C38">
        <v>373.27807796217667</v>
      </c>
      <c r="D38">
        <f t="shared" si="2"/>
        <v>10.025876700028899</v>
      </c>
      <c r="L38" s="6" t="s">
        <v>34</v>
      </c>
      <c r="M38" s="6">
        <v>17</v>
      </c>
      <c r="N38" s="6">
        <v>600586.44444444403</v>
      </c>
      <c r="O38" s="6"/>
      <c r="P38" s="6"/>
      <c r="Q38" s="6"/>
    </row>
    <row r="39" spans="3:20" ht="15.75" thickBot="1" x14ac:dyDescent="0.3">
      <c r="C39">
        <v>173.79698957931305</v>
      </c>
      <c r="D39">
        <f t="shared" si="2"/>
        <v>41065.990963315475</v>
      </c>
    </row>
    <row r="40" spans="3:20" x14ac:dyDescent="0.25">
      <c r="C40">
        <v>401.77537630258598</v>
      </c>
      <c r="D40">
        <f t="shared" si="2"/>
        <v>641.6561088018093</v>
      </c>
      <c r="L40" s="7"/>
      <c r="M40" s="7" t="s">
        <v>40</v>
      </c>
      <c r="N40" s="7" t="s">
        <v>29</v>
      </c>
      <c r="O40" s="7" t="s">
        <v>41</v>
      </c>
      <c r="P40" s="7" t="s">
        <v>4</v>
      </c>
      <c r="Q40" s="7" t="s">
        <v>42</v>
      </c>
      <c r="R40" s="7" t="s">
        <v>43</v>
      </c>
      <c r="S40" s="7" t="s">
        <v>44</v>
      </c>
      <c r="T40" s="7" t="s">
        <v>45</v>
      </c>
    </row>
    <row r="41" spans="3:20" x14ac:dyDescent="0.25">
      <c r="C41">
        <v>401.77537630258598</v>
      </c>
      <c r="D41">
        <f t="shared" si="2"/>
        <v>641.6561088018093</v>
      </c>
      <c r="L41" t="s">
        <v>8</v>
      </c>
      <c r="M41">
        <v>2054.6186800463147</v>
      </c>
      <c r="N41">
        <v>224.78372624946644</v>
      </c>
      <c r="O41">
        <v>9.1404245063812404</v>
      </c>
      <c r="P41" s="9">
        <v>9.4482689755863704E-8</v>
      </c>
      <c r="Q41">
        <v>1578.098467591371</v>
      </c>
      <c r="R41">
        <v>2531.1388925012584</v>
      </c>
      <c r="S41">
        <v>1578.098467591371</v>
      </c>
      <c r="T41">
        <v>2531.1388925012584</v>
      </c>
    </row>
    <row r="42" spans="3:20" ht="15.75" thickBot="1" x14ac:dyDescent="0.3">
      <c r="C42">
        <v>572.75916634504051</v>
      </c>
      <c r="D42">
        <f t="shared" si="2"/>
        <v>38539.470034908365</v>
      </c>
      <c r="L42" s="6" t="s">
        <v>0</v>
      </c>
      <c r="M42" s="6">
        <v>-28.497298340409117</v>
      </c>
      <c r="N42" s="6">
        <v>3.7995987642394971</v>
      </c>
      <c r="O42" s="6">
        <v>-7.5000809581832124</v>
      </c>
      <c r="P42" s="6">
        <v>1.2676984340184194E-6</v>
      </c>
      <c r="Q42" s="6">
        <v>-36.552087895634955</v>
      </c>
      <c r="R42" s="6">
        <v>-20.442508785183275</v>
      </c>
      <c r="S42" s="6">
        <v>-36.552087895634955</v>
      </c>
      <c r="T42" s="6">
        <v>-20.442508785183275</v>
      </c>
    </row>
    <row r="43" spans="3:20" x14ac:dyDescent="0.25">
      <c r="C43">
        <v>572.75916634504051</v>
      </c>
      <c r="D43">
        <f t="shared" si="2"/>
        <v>38539.470034908365</v>
      </c>
    </row>
    <row r="44" spans="3:20" x14ac:dyDescent="0.25">
      <c r="C44">
        <v>259.28888460054031</v>
      </c>
      <c r="D44">
        <f t="shared" si="2"/>
        <v>13725.425202338605</v>
      </c>
      <c r="L44" t="s">
        <v>47</v>
      </c>
    </row>
    <row r="45" spans="3:20" x14ac:dyDescent="0.25">
      <c r="C45">
        <v>287.7861829409494</v>
      </c>
      <c r="D45">
        <f t="shared" si="2"/>
        <v>7860.2873328221131</v>
      </c>
      <c r="L45" t="s">
        <v>48</v>
      </c>
    </row>
    <row r="46" spans="3:20" x14ac:dyDescent="0.25">
      <c r="C46">
        <v>515.76456966422234</v>
      </c>
      <c r="D46">
        <f t="shared" si="2"/>
        <v>19410.097291254588</v>
      </c>
    </row>
    <row r="47" spans="3:20" x14ac:dyDescent="0.25">
      <c r="C47">
        <v>259.28888460054031</v>
      </c>
      <c r="D47">
        <f t="shared" si="2"/>
        <v>13725.425202338605</v>
      </c>
      <c r="L47" t="s">
        <v>47</v>
      </c>
    </row>
    <row r="48" spans="3:20" x14ac:dyDescent="0.25">
      <c r="C48">
        <v>259.28888460054031</v>
      </c>
      <c r="D48">
        <f t="shared" si="2"/>
        <v>13725.425202338605</v>
      </c>
      <c r="L48" t="s">
        <v>49</v>
      </c>
    </row>
    <row r="49" spans="4:4" x14ac:dyDescent="0.25">
      <c r="D49">
        <f>SUM(D31:D48)</f>
        <v>467586.83753591508</v>
      </c>
    </row>
  </sheetData>
  <mergeCells count="1">
    <mergeCell ref="H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A8E7-F2B5-422A-8D95-0485A593334E}">
  <dimension ref="A1:I18"/>
  <sheetViews>
    <sheetView workbookViewId="0">
      <selection activeCell="G26" sqref="G26"/>
    </sheetView>
  </sheetViews>
  <sheetFormatPr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8" t="s">
        <v>25</v>
      </c>
      <c r="B3" s="8"/>
    </row>
    <row r="4" spans="1:9" x14ac:dyDescent="0.25">
      <c r="A4" t="s">
        <v>26</v>
      </c>
      <c r="B4">
        <v>0.79855730421849935</v>
      </c>
    </row>
    <row r="5" spans="1:9" x14ac:dyDescent="0.25">
      <c r="A5" t="s">
        <v>27</v>
      </c>
      <c r="B5">
        <v>0.63769376812071688</v>
      </c>
    </row>
    <row r="6" spans="1:9" x14ac:dyDescent="0.25">
      <c r="A6" t="s">
        <v>28</v>
      </c>
      <c r="B6">
        <v>0.54711721015089609</v>
      </c>
    </row>
    <row r="7" spans="1:9" x14ac:dyDescent="0.25">
      <c r="A7" t="s">
        <v>29</v>
      </c>
      <c r="B7">
        <v>12.740219459723559</v>
      </c>
    </row>
    <row r="8" spans="1:9" ht="15.75" thickBot="1" x14ac:dyDescent="0.3">
      <c r="A8" s="6" t="s">
        <v>30</v>
      </c>
      <c r="B8" s="6">
        <v>6</v>
      </c>
    </row>
    <row r="10" spans="1:9" ht="15.75" thickBot="1" x14ac:dyDescent="0.3">
      <c r="A10" t="s">
        <v>31</v>
      </c>
    </row>
    <row r="11" spans="1:9" x14ac:dyDescent="0.25">
      <c r="A11" s="7"/>
      <c r="B11" s="7" t="s">
        <v>35</v>
      </c>
      <c r="C11" s="7" t="s">
        <v>36</v>
      </c>
      <c r="D11" s="7" t="s">
        <v>37</v>
      </c>
      <c r="E11" s="7" t="s">
        <v>38</v>
      </c>
      <c r="F11" s="7" t="s">
        <v>39</v>
      </c>
    </row>
    <row r="12" spans="1:9" x14ac:dyDescent="0.25">
      <c r="A12" t="s">
        <v>32</v>
      </c>
      <c r="B12">
        <v>1</v>
      </c>
      <c r="C12">
        <v>1142.7472324723246</v>
      </c>
      <c r="D12">
        <v>1142.7472324723246</v>
      </c>
      <c r="E12">
        <v>7.0403842055158483</v>
      </c>
      <c r="F12">
        <v>5.6781551865959248E-2</v>
      </c>
    </row>
    <row r="13" spans="1:9" x14ac:dyDescent="0.25">
      <c r="A13" t="s">
        <v>33</v>
      </c>
      <c r="B13">
        <v>4</v>
      </c>
      <c r="C13">
        <v>649.25276752767536</v>
      </c>
      <c r="D13">
        <v>162.31319188191884</v>
      </c>
    </row>
    <row r="14" spans="1:9" ht="15.75" thickBot="1" x14ac:dyDescent="0.3">
      <c r="A14" s="6" t="s">
        <v>34</v>
      </c>
      <c r="B14" s="6">
        <v>5</v>
      </c>
      <c r="C14" s="6">
        <v>1792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40</v>
      </c>
      <c r="C16" s="7" t="s">
        <v>29</v>
      </c>
      <c r="D16" s="7" t="s">
        <v>41</v>
      </c>
      <c r="E16" s="7" t="s">
        <v>4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25">
      <c r="A17" t="s">
        <v>8</v>
      </c>
      <c r="B17">
        <v>25.959409594095941</v>
      </c>
      <c r="C17">
        <v>12.117777524743451</v>
      </c>
      <c r="D17">
        <v>2.1422583094209378</v>
      </c>
      <c r="E17">
        <v>9.8836791597732135E-2</v>
      </c>
      <c r="F17">
        <v>-7.6849345003538438</v>
      </c>
      <c r="G17">
        <v>59.603753688545723</v>
      </c>
      <c r="H17">
        <v>-7.6849345003538438</v>
      </c>
      <c r="I17">
        <v>59.603753688545723</v>
      </c>
    </row>
    <row r="18" spans="1:9" ht="15.75" thickBot="1" x14ac:dyDescent="0.3">
      <c r="A18" s="6" t="s">
        <v>50</v>
      </c>
      <c r="B18" s="6">
        <v>0.2904059040590406</v>
      </c>
      <c r="C18" s="6">
        <v>0.10944785675936786</v>
      </c>
      <c r="D18" s="6">
        <v>2.6533722327475746</v>
      </c>
      <c r="E18" s="6">
        <v>5.6781551865959248E-2</v>
      </c>
      <c r="F18" s="6">
        <v>-1.3470062114895542E-2</v>
      </c>
      <c r="G18" s="6">
        <v>0.59428187023297674</v>
      </c>
      <c r="H18" s="6">
        <v>-1.3470062114895542E-2</v>
      </c>
      <c r="I18" s="6">
        <v>0.59428187023297674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4983-4FD7-4F50-A1F9-FF7BDB477C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63E9-A01D-45BF-BAFE-411A48657E7D}">
  <dimension ref="A1:I23"/>
  <sheetViews>
    <sheetView workbookViewId="0">
      <selection sqref="A1:I25"/>
    </sheetView>
  </sheetViews>
  <sheetFormatPr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8" t="s">
        <v>25</v>
      </c>
      <c r="B3" s="8"/>
    </row>
    <row r="4" spans="1:9" x14ac:dyDescent="0.25">
      <c r="A4" t="s">
        <v>26</v>
      </c>
      <c r="B4">
        <v>0.86302202522267335</v>
      </c>
    </row>
    <row r="5" spans="1:9" x14ac:dyDescent="0.25">
      <c r="A5" t="s">
        <v>27</v>
      </c>
      <c r="B5">
        <v>0.74480701601944455</v>
      </c>
    </row>
    <row r="6" spans="1:9" x14ac:dyDescent="0.25">
      <c r="A6" t="s">
        <v>28</v>
      </c>
      <c r="B6">
        <v>-1.6666666666666667</v>
      </c>
    </row>
    <row r="7" spans="1:9" x14ac:dyDescent="0.25">
      <c r="A7" t="s">
        <v>29</v>
      </c>
      <c r="B7">
        <v>6.5658663881558832</v>
      </c>
    </row>
    <row r="8" spans="1:9" ht="15.75" thickBot="1" x14ac:dyDescent="0.3">
      <c r="A8" s="6" t="s">
        <v>30</v>
      </c>
      <c r="B8" s="6">
        <v>1</v>
      </c>
    </row>
    <row r="10" spans="1:9" ht="15.75" thickBot="1" x14ac:dyDescent="0.3">
      <c r="A10" t="s">
        <v>31</v>
      </c>
    </row>
    <row r="11" spans="1:9" x14ac:dyDescent="0.25">
      <c r="A11" s="7"/>
      <c r="B11" s="7" t="s">
        <v>35</v>
      </c>
      <c r="C11" s="7" t="s">
        <v>36</v>
      </c>
      <c r="D11" s="7" t="s">
        <v>37</v>
      </c>
      <c r="E11" s="7" t="s">
        <v>38</v>
      </c>
      <c r="F11" s="7" t="s">
        <v>39</v>
      </c>
    </row>
    <row r="12" spans="1:9" x14ac:dyDescent="0.25">
      <c r="A12" t="s">
        <v>32</v>
      </c>
      <c r="B12">
        <v>5</v>
      </c>
      <c r="C12">
        <v>377.46819571865444</v>
      </c>
      <c r="D12">
        <v>75.493639143730888</v>
      </c>
      <c r="E12">
        <v>8.7558090869323646</v>
      </c>
      <c r="F12" t="e">
        <v>#NUM!</v>
      </c>
    </row>
    <row r="13" spans="1:9" x14ac:dyDescent="0.25">
      <c r="A13" t="s">
        <v>33</v>
      </c>
      <c r="B13">
        <v>3</v>
      </c>
      <c r="C13">
        <v>129.33180428134554</v>
      </c>
      <c r="D13">
        <v>43.110601427115178</v>
      </c>
    </row>
    <row r="14" spans="1:9" ht="15.75" thickBot="1" x14ac:dyDescent="0.3">
      <c r="A14" s="6" t="s">
        <v>34</v>
      </c>
      <c r="B14" s="6">
        <v>8</v>
      </c>
      <c r="C14" s="6">
        <v>506.79999999999995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40</v>
      </c>
      <c r="C16" s="7" t="s">
        <v>29</v>
      </c>
      <c r="D16" s="7" t="s">
        <v>41</v>
      </c>
      <c r="E16" s="7" t="s">
        <v>4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25">
      <c r="A17" t="s">
        <v>8</v>
      </c>
      <c r="H17">
        <v>0.19136694072729973</v>
      </c>
      <c r="I17">
        <v>0.19136694072729973</v>
      </c>
    </row>
    <row r="18" spans="1:9" x14ac:dyDescent="0.25">
      <c r="A18" t="s">
        <v>69</v>
      </c>
      <c r="H18">
        <v>0</v>
      </c>
      <c r="I18">
        <v>0</v>
      </c>
    </row>
    <row r="19" spans="1:9" x14ac:dyDescent="0.25">
      <c r="A19">
        <v>50</v>
      </c>
      <c r="H19">
        <v>0</v>
      </c>
      <c r="I19">
        <v>0</v>
      </c>
    </row>
    <row r="20" spans="1:9" x14ac:dyDescent="0.25">
      <c r="A20">
        <v>21</v>
      </c>
      <c r="H20">
        <v>0</v>
      </c>
      <c r="I20">
        <v>0</v>
      </c>
    </row>
    <row r="21" spans="1:9" x14ac:dyDescent="0.25">
      <c r="A21">
        <v>66</v>
      </c>
      <c r="B21">
        <v>35.624362895005099</v>
      </c>
      <c r="C21">
        <v>8.8091172895499277</v>
      </c>
      <c r="D21">
        <v>4.0440332128697545</v>
      </c>
      <c r="E21">
        <v>2.7216213607401892E-2</v>
      </c>
      <c r="F21">
        <v>7.5898201240660903</v>
      </c>
      <c r="G21">
        <v>63.658905665944104</v>
      </c>
      <c r="H21">
        <v>7.5898201240660903</v>
      </c>
      <c r="I21">
        <v>63.658905665944104</v>
      </c>
    </row>
    <row r="22" spans="1:9" ht="15.75" thickBot="1" x14ac:dyDescent="0.3">
      <c r="A22" s="6">
        <v>47</v>
      </c>
      <c r="B22" s="6">
        <v>0.56625891946992868</v>
      </c>
      <c r="C22" s="6">
        <v>0.19136694072729973</v>
      </c>
      <c r="D22" s="6">
        <v>2.9590216435390202</v>
      </c>
      <c r="E22" s="6">
        <v>5.9590796447132555E-2</v>
      </c>
      <c r="F22" s="6">
        <v>-4.275609400111291E-2</v>
      </c>
      <c r="G22" s="6">
        <v>1.1752739329409703</v>
      </c>
      <c r="H22" s="6">
        <v>-4.275609400111291E-2</v>
      </c>
      <c r="I22" s="6">
        <v>1.1752739329409703</v>
      </c>
    </row>
    <row r="23" spans="1:9" x14ac:dyDescent="0.25">
      <c r="A23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7525-918A-49B0-AC0C-2006BBCDB68F}">
  <dimension ref="A1:Y11"/>
  <sheetViews>
    <sheetView workbookViewId="0">
      <selection activeCell="G37" sqref="G37"/>
    </sheetView>
  </sheetViews>
  <sheetFormatPr defaultRowHeight="15" x14ac:dyDescent="0.25"/>
  <cols>
    <col min="15" max="15" width="13.140625" bestFit="1" customWidth="1"/>
  </cols>
  <sheetData>
    <row r="1" spans="1:25" x14ac:dyDescent="0.25">
      <c r="A1" t="s">
        <v>53</v>
      </c>
      <c r="B1" t="s">
        <v>50</v>
      </c>
      <c r="C1" t="s">
        <v>51</v>
      </c>
    </row>
    <row r="2" spans="1:25" x14ac:dyDescent="0.25">
      <c r="A2" t="s">
        <v>52</v>
      </c>
      <c r="B2">
        <v>180</v>
      </c>
      <c r="C2">
        <v>75</v>
      </c>
      <c r="O2" t="s">
        <v>68</v>
      </c>
      <c r="P2">
        <v>67</v>
      </c>
      <c r="Q2">
        <v>45</v>
      </c>
      <c r="R2">
        <v>74</v>
      </c>
      <c r="S2">
        <v>54</v>
      </c>
      <c r="T2">
        <v>61</v>
      </c>
      <c r="V2">
        <f>SLOPE(P3:T3,P2:T2)</f>
        <v>1.3153117600631414</v>
      </c>
    </row>
    <row r="3" spans="1:25" x14ac:dyDescent="0.25">
      <c r="A3" t="s">
        <v>54</v>
      </c>
      <c r="B3">
        <v>150</v>
      </c>
      <c r="C3">
        <v>72</v>
      </c>
      <c r="O3" t="s">
        <v>69</v>
      </c>
      <c r="P3">
        <v>50</v>
      </c>
      <c r="Q3">
        <v>21</v>
      </c>
      <c r="R3">
        <v>66</v>
      </c>
      <c r="S3">
        <v>47</v>
      </c>
      <c r="T3">
        <v>33</v>
      </c>
      <c r="V3">
        <f>INTERCEPT(P3:T3,P2:T2)</f>
        <v>-35.781767955801122</v>
      </c>
    </row>
    <row r="4" spans="1:25" x14ac:dyDescent="0.25">
      <c r="A4" t="s">
        <v>55</v>
      </c>
      <c r="B4">
        <v>85</v>
      </c>
      <c r="C4">
        <v>61</v>
      </c>
    </row>
    <row r="5" spans="1:25" x14ac:dyDescent="0.25">
      <c r="A5" t="s">
        <v>56</v>
      </c>
      <c r="B5">
        <v>60</v>
      </c>
      <c r="C5">
        <v>56</v>
      </c>
    </row>
    <row r="6" spans="1:25" x14ac:dyDescent="0.25">
      <c r="A6" t="s">
        <v>57</v>
      </c>
      <c r="B6">
        <v>60</v>
      </c>
      <c r="C6">
        <v>40</v>
      </c>
      <c r="V6" t="s">
        <v>70</v>
      </c>
    </row>
    <row r="7" spans="1:25" x14ac:dyDescent="0.25">
      <c r="A7" t="s">
        <v>58</v>
      </c>
      <c r="B7">
        <v>65</v>
      </c>
      <c r="C7">
        <v>26</v>
      </c>
      <c r="E7">
        <f>SLOPE(C2:C7,B2:B7)</f>
        <v>0.2904059040590406</v>
      </c>
      <c r="V7" t="s">
        <v>71</v>
      </c>
      <c r="X7">
        <v>1.3149999999999999</v>
      </c>
    </row>
    <row r="8" spans="1:25" x14ac:dyDescent="0.25">
      <c r="B8">
        <f>_xlfn.STDEV.S(B2:B7)</f>
        <v>52.057660339281483</v>
      </c>
      <c r="C8">
        <f>_xlfn.STDEV.S(C2:C7)</f>
        <v>18.931455305918771</v>
      </c>
      <c r="E8">
        <f>INTERCEPT(C2:C7,B2:B7)</f>
        <v>25.959409594095941</v>
      </c>
      <c r="V8" t="s">
        <v>72</v>
      </c>
      <c r="X8">
        <v>-35</v>
      </c>
    </row>
    <row r="9" spans="1:25" x14ac:dyDescent="0.25">
      <c r="B9">
        <f>AVERAGE(B2:B7)</f>
        <v>100</v>
      </c>
      <c r="C9">
        <f>AVERAGE(C2:C7)</f>
        <v>55</v>
      </c>
      <c r="F9" t="s">
        <v>3</v>
      </c>
      <c r="G9">
        <f>RSQ(B2:B7,C2:C7)</f>
        <v>0.63769376812071688</v>
      </c>
      <c r="V9" t="s">
        <v>73</v>
      </c>
      <c r="X9" s="19">
        <v>0.6</v>
      </c>
      <c r="Y9" t="s">
        <v>74</v>
      </c>
    </row>
    <row r="10" spans="1:25" x14ac:dyDescent="0.25">
      <c r="F10" t="s">
        <v>59</v>
      </c>
      <c r="G10">
        <f>CORREL(B2:B7,C2:C7)</f>
        <v>0.79855730421849935</v>
      </c>
      <c r="I10" s="21" t="s">
        <v>60</v>
      </c>
      <c r="J10" s="21"/>
      <c r="K10" s="21"/>
    </row>
    <row r="11" spans="1:25" x14ac:dyDescent="0.25">
      <c r="V11">
        <f>(V2*60)+V3</f>
        <v>43.136937647987359</v>
      </c>
    </row>
  </sheetData>
  <mergeCells count="1">
    <mergeCell ref="I10:K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49EE-2CE7-4BDA-A57A-76554B294929}">
  <dimension ref="A1:G19"/>
  <sheetViews>
    <sheetView workbookViewId="0">
      <selection activeCell="N36" sqref="N36"/>
    </sheetView>
  </sheetViews>
  <sheetFormatPr defaultRowHeight="15" x14ac:dyDescent="0.25"/>
  <sheetData>
    <row r="1" spans="1:7" ht="15.75" thickBot="1" x14ac:dyDescent="0.3">
      <c r="A1" s="10" t="s">
        <v>61</v>
      </c>
      <c r="B1" s="10"/>
      <c r="C1" s="10"/>
      <c r="D1" s="10"/>
      <c r="E1" s="10"/>
      <c r="F1" s="10"/>
      <c r="G1" s="10"/>
    </row>
    <row r="2" spans="1:7" x14ac:dyDescent="0.25">
      <c r="A2" s="11">
        <v>10</v>
      </c>
      <c r="B2" s="12">
        <v>30</v>
      </c>
      <c r="C2" s="13">
        <v>10</v>
      </c>
      <c r="D2" s="10">
        <f>SUM(A2:C2)</f>
        <v>50</v>
      </c>
      <c r="E2" s="10"/>
      <c r="F2" s="10"/>
      <c r="G2" s="10"/>
    </row>
    <row r="3" spans="1:7" x14ac:dyDescent="0.25">
      <c r="A3" s="14">
        <v>30</v>
      </c>
      <c r="B3" s="10">
        <v>65</v>
      </c>
      <c r="C3" s="15">
        <v>25</v>
      </c>
      <c r="D3" s="10">
        <f>SUM(A3:C3)</f>
        <v>120</v>
      </c>
      <c r="E3" s="10"/>
      <c r="F3" s="10"/>
      <c r="G3" s="10"/>
    </row>
    <row r="4" spans="1:7" ht="15.75" thickBot="1" x14ac:dyDescent="0.3">
      <c r="A4" s="16">
        <v>30</v>
      </c>
      <c r="B4" s="17">
        <v>25</v>
      </c>
      <c r="C4" s="18">
        <v>45</v>
      </c>
      <c r="D4" s="10">
        <f t="shared" ref="D3:D4" si="0">SUM(A4:C4)</f>
        <v>100</v>
      </c>
      <c r="E4" s="10"/>
      <c r="F4" s="10"/>
      <c r="G4" s="10"/>
    </row>
    <row r="5" spans="1:7" x14ac:dyDescent="0.25">
      <c r="A5" s="10">
        <f>SUM(A2:A4)</f>
        <v>70</v>
      </c>
      <c r="B5" s="10">
        <f t="shared" ref="B5:D5" si="1">SUM(B2:B4)</f>
        <v>120</v>
      </c>
      <c r="C5" s="10">
        <f t="shared" si="1"/>
        <v>80</v>
      </c>
      <c r="D5" s="10">
        <f t="shared" si="1"/>
        <v>270</v>
      </c>
      <c r="E5" s="10"/>
      <c r="F5" s="10"/>
      <c r="G5" s="10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10" t="s">
        <v>62</v>
      </c>
      <c r="B7" s="10"/>
      <c r="C7" s="10"/>
      <c r="D7" s="10"/>
      <c r="E7" s="10"/>
      <c r="F7" s="10"/>
      <c r="G7" s="10"/>
    </row>
    <row r="8" spans="1:7" x14ac:dyDescent="0.25">
      <c r="A8" s="10">
        <f>(A$5*$D2)/$D$5</f>
        <v>12.962962962962964</v>
      </c>
      <c r="B8" s="10">
        <f t="shared" ref="B8" si="2">(B$5*$D2)/$D$5</f>
        <v>22.222222222222221</v>
      </c>
      <c r="C8" s="10">
        <f>(C$5*$D2)/$D$5</f>
        <v>14.814814814814815</v>
      </c>
      <c r="D8" s="10"/>
      <c r="E8" s="10"/>
      <c r="F8" s="10"/>
      <c r="G8" s="10"/>
    </row>
    <row r="9" spans="1:7" x14ac:dyDescent="0.25">
      <c r="A9" s="10">
        <f t="shared" ref="A9:C10" si="3">(A$5*$D3)/$D$5</f>
        <v>31.111111111111111</v>
      </c>
      <c r="B9" s="10">
        <f t="shared" si="3"/>
        <v>53.333333333333336</v>
      </c>
      <c r="C9" s="10">
        <f t="shared" si="3"/>
        <v>35.555555555555557</v>
      </c>
      <c r="D9" s="10"/>
      <c r="E9" s="10"/>
      <c r="F9" s="10"/>
      <c r="G9" s="10"/>
    </row>
    <row r="10" spans="1:7" x14ac:dyDescent="0.25">
      <c r="A10" s="10">
        <f t="shared" si="3"/>
        <v>25.925925925925927</v>
      </c>
      <c r="B10" s="10">
        <f t="shared" si="3"/>
        <v>44.444444444444443</v>
      </c>
      <c r="C10" s="10">
        <f t="shared" si="3"/>
        <v>29.62962962962963</v>
      </c>
      <c r="D10" s="10"/>
      <c r="E10" s="10"/>
      <c r="F10" s="10"/>
      <c r="G10" s="10"/>
    </row>
    <row r="11" spans="1:7" x14ac:dyDescent="0.25">
      <c r="A11" s="10"/>
      <c r="B11" s="10"/>
      <c r="C11" s="10"/>
      <c r="D11" s="10"/>
      <c r="E11" s="10"/>
      <c r="F11" s="10"/>
      <c r="G11" s="10"/>
    </row>
    <row r="12" spans="1:7" x14ac:dyDescent="0.25">
      <c r="A12" s="10" t="s">
        <v>63</v>
      </c>
      <c r="B12" s="10"/>
      <c r="C12" s="10"/>
      <c r="D12" s="10"/>
      <c r="E12" s="10"/>
      <c r="F12" s="10"/>
      <c r="G12" s="10"/>
    </row>
    <row r="13" spans="1:7" x14ac:dyDescent="0.25">
      <c r="A13" s="10">
        <f>(A2-A8)^2/A8</f>
        <v>0.67724867724867754</v>
      </c>
      <c r="B13" s="10">
        <f t="shared" ref="A13:C15" si="4">(B2-B8)^2/B8</f>
        <v>2.7222222222222228</v>
      </c>
      <c r="C13" s="10">
        <f t="shared" si="4"/>
        <v>1.5648148148148147</v>
      </c>
      <c r="D13" s="10"/>
      <c r="E13" s="10"/>
      <c r="F13" s="10"/>
      <c r="G13" s="10"/>
    </row>
    <row r="14" spans="1:7" x14ac:dyDescent="0.25">
      <c r="A14" s="10">
        <f>(A3-A9)^2/A9</f>
        <v>3.9682539682539653E-2</v>
      </c>
      <c r="B14" s="10">
        <f>(B3-B9)^2/B9</f>
        <v>2.5520833333333321</v>
      </c>
      <c r="C14" s="10">
        <f t="shared" si="4"/>
        <v>3.1336805555555562</v>
      </c>
      <c r="D14" s="10"/>
      <c r="E14" s="10"/>
      <c r="F14" s="10"/>
      <c r="G14" s="10"/>
    </row>
    <row r="15" spans="1:7" x14ac:dyDescent="0.25">
      <c r="A15" s="10">
        <f t="shared" si="4"/>
        <v>0.64021164021163968</v>
      </c>
      <c r="B15" s="10">
        <f t="shared" si="4"/>
        <v>8.5069444444444429</v>
      </c>
      <c r="C15" s="10">
        <f>(C4-C10)^2/C10</f>
        <v>7.9733796296296289</v>
      </c>
      <c r="D15" s="10"/>
      <c r="E15" s="10"/>
      <c r="F15" s="10"/>
      <c r="G15" s="10"/>
    </row>
    <row r="16" spans="1:7" x14ac:dyDescent="0.25">
      <c r="A16" s="10"/>
      <c r="B16" s="10"/>
      <c r="C16" s="10"/>
      <c r="D16" s="10"/>
      <c r="E16" s="10"/>
      <c r="F16" s="10"/>
      <c r="G16" s="10"/>
    </row>
    <row r="17" spans="1:7" x14ac:dyDescent="0.25">
      <c r="A17" s="10" t="s">
        <v>64</v>
      </c>
      <c r="B17" s="10">
        <f>SUM(A13:C15)</f>
        <v>27.810267857142854</v>
      </c>
      <c r="C17" s="10"/>
      <c r="D17" s="10"/>
      <c r="E17" s="22" t="s">
        <v>65</v>
      </c>
      <c r="F17" s="22"/>
      <c r="G17" s="22"/>
    </row>
    <row r="18" spans="1:7" x14ac:dyDescent="0.25">
      <c r="A18" s="10" t="s">
        <v>66</v>
      </c>
      <c r="B18" s="10">
        <f>_xlfn.CHISQ.INV(0.95,4)</f>
        <v>9.4877290367811575</v>
      </c>
      <c r="C18" s="10"/>
      <c r="D18" s="10"/>
      <c r="E18" s="10"/>
      <c r="F18" s="10"/>
      <c r="G18" s="10"/>
    </row>
    <row r="19" spans="1:7" x14ac:dyDescent="0.25">
      <c r="A19" s="10"/>
      <c r="B19" s="10" t="s">
        <v>67</v>
      </c>
      <c r="C19" s="10"/>
      <c r="D19" s="10"/>
      <c r="E19" s="10"/>
      <c r="F19" s="10"/>
      <c r="G19" s="10"/>
    </row>
  </sheetData>
  <mergeCells count="1">
    <mergeCell ref="E17:G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6110-9A5B-4C90-BFF2-8AAED0A6EE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3BE5-AC50-42F0-A97D-C7A57FB8BC24}">
  <dimension ref="A1:T17"/>
  <sheetViews>
    <sheetView workbookViewId="0">
      <selection activeCell="O17" sqref="O17"/>
    </sheetView>
  </sheetViews>
  <sheetFormatPr defaultRowHeight="15" x14ac:dyDescent="0.25"/>
  <sheetData>
    <row r="1" spans="1:20" x14ac:dyDescent="0.25">
      <c r="A1" t="s">
        <v>75</v>
      </c>
    </row>
    <row r="3" spans="1:20" x14ac:dyDescent="0.25">
      <c r="N3" t="s">
        <v>76</v>
      </c>
    </row>
    <row r="4" spans="1:20" ht="33.75" x14ac:dyDescent="0.25">
      <c r="A4">
        <f>-534.6+130707*3</f>
        <v>391586.4</v>
      </c>
      <c r="B4" t="s">
        <v>77</v>
      </c>
      <c r="C4" t="s">
        <v>29</v>
      </c>
      <c r="E4" t="s">
        <v>78</v>
      </c>
      <c r="F4" t="s">
        <v>79</v>
      </c>
      <c r="H4" s="23" t="s">
        <v>80</v>
      </c>
      <c r="I4" s="23" t="s">
        <v>81</v>
      </c>
      <c r="O4" t="s">
        <v>35</v>
      </c>
      <c r="P4" t="s">
        <v>82</v>
      </c>
      <c r="Q4" t="s">
        <v>83</v>
      </c>
      <c r="R4" t="s">
        <v>84</v>
      </c>
      <c r="S4" t="s">
        <v>85</v>
      </c>
    </row>
    <row r="5" spans="1:20" x14ac:dyDescent="0.25">
      <c r="A5">
        <v>3388.5</v>
      </c>
      <c r="B5">
        <f>_xlfn.T.INV(0.975,4)</f>
        <v>2.776445105197793</v>
      </c>
      <c r="C5" s="21">
        <v>352.32799999999997</v>
      </c>
      <c r="D5" s="21"/>
      <c r="E5">
        <v>3</v>
      </c>
      <c r="F5">
        <v>6</v>
      </c>
      <c r="H5" s="24">
        <v>2.7</v>
      </c>
      <c r="I5" s="25">
        <v>3500</v>
      </c>
      <c r="N5" t="s">
        <v>32</v>
      </c>
      <c r="O5">
        <v>1</v>
      </c>
      <c r="P5">
        <v>7191.5</v>
      </c>
      <c r="Q5">
        <f>P5/1</f>
        <v>7191.5</v>
      </c>
      <c r="R5">
        <f>Q5/Q6</f>
        <v>73.576604996163383</v>
      </c>
      <c r="S5">
        <f>1-_xlfn.F.DIST(R5,O5,O6,TRUE)</f>
        <v>8.9887903786944889E-9</v>
      </c>
      <c r="T5" t="s">
        <v>86</v>
      </c>
    </row>
    <row r="6" spans="1:20" x14ac:dyDescent="0.25">
      <c r="H6" s="24">
        <v>3.5</v>
      </c>
      <c r="I6" s="25">
        <v>3900</v>
      </c>
      <c r="N6" t="s">
        <v>33</v>
      </c>
      <c r="O6">
        <f>26-1-1</f>
        <v>24</v>
      </c>
      <c r="P6">
        <f>P7-P5</f>
        <v>2345.7999999999993</v>
      </c>
      <c r="Q6">
        <f>P6/24</f>
        <v>97.741666666666632</v>
      </c>
    </row>
    <row r="7" spans="1:20" x14ac:dyDescent="0.25">
      <c r="A7" t="s">
        <v>87</v>
      </c>
      <c r="H7" s="24">
        <v>3.7</v>
      </c>
      <c r="I7" s="25">
        <v>4300</v>
      </c>
      <c r="N7" t="s">
        <v>34</v>
      </c>
      <c r="O7">
        <v>25</v>
      </c>
      <c r="P7">
        <v>9537.2999999999993</v>
      </c>
    </row>
    <row r="8" spans="1:20" x14ac:dyDescent="0.25">
      <c r="A8">
        <v>3.2</v>
      </c>
      <c r="B8" t="s">
        <v>88</v>
      </c>
      <c r="H8" s="24">
        <v>3.2</v>
      </c>
      <c r="I8" s="25">
        <v>3700</v>
      </c>
    </row>
    <row r="9" spans="1:20" x14ac:dyDescent="0.25">
      <c r="B9">
        <v>0.20799999999999999</v>
      </c>
      <c r="H9" s="24">
        <v>3.5</v>
      </c>
      <c r="I9" s="25">
        <v>4100</v>
      </c>
      <c r="L9">
        <f>P7-P5</f>
        <v>2345.7999999999993</v>
      </c>
    </row>
    <row r="10" spans="1:20" x14ac:dyDescent="0.25">
      <c r="H10" s="24">
        <v>2.6</v>
      </c>
      <c r="I10" s="25">
        <v>2400</v>
      </c>
      <c r="P10" t="s">
        <v>89</v>
      </c>
      <c r="R10" t="s">
        <v>90</v>
      </c>
      <c r="S10" t="s">
        <v>23</v>
      </c>
      <c r="T10" t="s">
        <v>91</v>
      </c>
    </row>
    <row r="11" spans="1:20" x14ac:dyDescent="0.25">
      <c r="N11" t="s">
        <v>8</v>
      </c>
      <c r="P11">
        <v>87</v>
      </c>
      <c r="R11">
        <v>11.976000000000001</v>
      </c>
      <c r="S11">
        <f>P12/R12</f>
        <v>9.4893029675638374</v>
      </c>
      <c r="T11">
        <f>1-_xlfn.T.DIST(S11,O6,TRUE)</f>
        <v>6.7728544994594131E-10</v>
      </c>
    </row>
    <row r="12" spans="1:20" x14ac:dyDescent="0.25">
      <c r="A12" t="s">
        <v>92</v>
      </c>
      <c r="B12">
        <f>B5*C5*SQRT(1+1/F5+((E5-A8)^2)/((F5-1)*B9))</f>
        <v>1073.8728812675047</v>
      </c>
      <c r="N12" t="s">
        <v>93</v>
      </c>
      <c r="P12">
        <v>55</v>
      </c>
      <c r="R12">
        <v>5.7960000000000003</v>
      </c>
    </row>
    <row r="13" spans="1:20" x14ac:dyDescent="0.25">
      <c r="B13">
        <f>A5-B12</f>
        <v>2314.6271187324955</v>
      </c>
    </row>
    <row r="14" spans="1:20" x14ac:dyDescent="0.25">
      <c r="B14">
        <f>A5+B12</f>
        <v>4462.3728812675045</v>
      </c>
    </row>
    <row r="17" spans="15:15" x14ac:dyDescent="0.25">
      <c r="O17">
        <f>P11+P12*12</f>
        <v>747</v>
      </c>
    </row>
  </sheetData>
  <mergeCells count="1"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 regression</vt:lpstr>
      <vt:lpstr>Sheet7</vt:lpstr>
      <vt:lpstr>Sheet10</vt:lpstr>
      <vt:lpstr>Sheet11</vt:lpstr>
      <vt:lpstr>Finding r^2 and rxy</vt:lpstr>
      <vt:lpstr>Chi square table 1</vt:lpstr>
      <vt:lpstr>Lucas review sheet</vt:lpstr>
      <vt:lpstr>Simple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Ton</dc:creator>
  <cp:lastModifiedBy>Henry Ton</cp:lastModifiedBy>
  <dcterms:created xsi:type="dcterms:W3CDTF">2025-04-20T18:04:29Z</dcterms:created>
  <dcterms:modified xsi:type="dcterms:W3CDTF">2025-04-30T17:08:01Z</dcterms:modified>
</cp:coreProperties>
</file>