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fer\Desktop\"/>
    </mc:Choice>
  </mc:AlternateContent>
  <xr:revisionPtr revIDLastSave="0" documentId="13_ncr:1_{A1BFF0FD-A6DD-4721-B58C-B5D6C9C96F73}" xr6:coauthVersionLast="47" xr6:coauthVersionMax="47" xr10:uidLastSave="{00000000-0000-0000-0000-000000000000}"/>
  <bookViews>
    <workbookView xWindow="-110" yWindow="-110" windowWidth="19420" windowHeight="10560" activeTab="1" xr2:uid="{4C849915-8F5F-476E-A5CD-E63D5F52FA3D}"/>
  </bookViews>
  <sheets>
    <sheet name="Property Analysis" sheetId="1" r:id="rId1"/>
    <sheet name="Personal Financial Analysis" sheetId="8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'Personal Financial Analysis'!$G$4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8" l="1"/>
  <c r="H4" i="1"/>
  <c r="H5" i="1" s="1"/>
  <c r="C5" i="1"/>
  <c r="C6" i="1" s="1"/>
  <c r="H21" i="1" s="1"/>
  <c r="H50" i="1"/>
  <c r="I50" i="1" s="1"/>
  <c r="H54" i="1"/>
  <c r="I54" i="1"/>
  <c r="J54" i="1" s="1"/>
  <c r="K54" i="1" s="1"/>
  <c r="H55" i="1"/>
  <c r="I55" i="1" s="1"/>
  <c r="J55" i="1" s="1"/>
  <c r="K55" i="1" s="1"/>
  <c r="L55" i="1" s="1"/>
  <c r="M55" i="1" s="1"/>
  <c r="N55" i="1" s="1"/>
  <c r="O55" i="1" s="1"/>
  <c r="P55" i="1" s="1"/>
  <c r="Q55" i="1" s="1"/>
  <c r="H57" i="1"/>
  <c r="I57" i="1" s="1"/>
  <c r="J57" i="1" s="1"/>
  <c r="K57" i="1" s="1"/>
  <c r="L57" i="1" s="1"/>
  <c r="M57" i="1" s="1"/>
  <c r="N57" i="1" s="1"/>
  <c r="O57" i="1" s="1"/>
  <c r="P57" i="1" s="1"/>
  <c r="Q57" i="1" s="1"/>
  <c r="I56" i="1"/>
  <c r="C38" i="1"/>
  <c r="C41" i="1" s="1"/>
  <c r="J56" i="1"/>
  <c r="K56" i="1"/>
  <c r="L56" i="1"/>
  <c r="M56" i="1"/>
  <c r="N56" i="1"/>
  <c r="O56" i="1"/>
  <c r="P56" i="1"/>
  <c r="Q56" i="1"/>
  <c r="H56" i="1"/>
  <c r="H37" i="8"/>
  <c r="P40" i="8"/>
  <c r="Q40" i="8"/>
  <c r="H40" i="8"/>
  <c r="I40" i="8"/>
  <c r="J40" i="8"/>
  <c r="K40" i="8"/>
  <c r="L40" i="8"/>
  <c r="M40" i="8"/>
  <c r="N40" i="8"/>
  <c r="O40" i="8"/>
  <c r="H21" i="8"/>
  <c r="I21" i="8" s="1"/>
  <c r="J21" i="8" s="1"/>
  <c r="K21" i="8" s="1"/>
  <c r="L21" i="8" s="1"/>
  <c r="M21" i="8" s="1"/>
  <c r="N21" i="8" s="1"/>
  <c r="O21" i="8" s="1"/>
  <c r="P21" i="8" s="1"/>
  <c r="Q21" i="8" s="1"/>
  <c r="H4" i="8"/>
  <c r="I4" i="8" s="1"/>
  <c r="J4" i="8" s="1"/>
  <c r="K4" i="8" s="1"/>
  <c r="L4" i="8" s="1"/>
  <c r="M4" i="8" s="1"/>
  <c r="N4" i="8" s="1"/>
  <c r="O4" i="8" s="1"/>
  <c r="P4" i="8" s="1"/>
  <c r="Q4" i="8" s="1"/>
  <c r="H8" i="1"/>
  <c r="I8" i="1" s="1"/>
  <c r="J8" i="1" s="1"/>
  <c r="K8" i="1" s="1"/>
  <c r="L8" i="1" s="1"/>
  <c r="H9" i="1"/>
  <c r="I9" i="1" s="1"/>
  <c r="J9" i="1" s="1"/>
  <c r="K9" i="1" s="1"/>
  <c r="L9" i="1" s="1"/>
  <c r="M9" i="1" s="1"/>
  <c r="N9" i="1" s="1"/>
  <c r="O9" i="1" s="1"/>
  <c r="P9" i="1" s="1"/>
  <c r="Q9" i="1" s="1"/>
  <c r="H10" i="1"/>
  <c r="H11" i="1"/>
  <c r="H10" i="8"/>
  <c r="I11" i="1"/>
  <c r="J11" i="1" s="1"/>
  <c r="K11" i="1" s="1"/>
  <c r="L11" i="1" s="1"/>
  <c r="M11" i="1" s="1"/>
  <c r="N11" i="1" s="1"/>
  <c r="O11" i="1" s="1"/>
  <c r="P11" i="1" s="1"/>
  <c r="Q11" i="1" s="1"/>
  <c r="I10" i="1"/>
  <c r="I10" i="8"/>
  <c r="J10" i="1"/>
  <c r="J10" i="8"/>
  <c r="K10" i="1"/>
  <c r="K10" i="8"/>
  <c r="L10" i="1"/>
  <c r="L10" i="8"/>
  <c r="M10" i="1"/>
  <c r="M10" i="8"/>
  <c r="N10" i="1"/>
  <c r="N10" i="8"/>
  <c r="O10" i="1"/>
  <c r="O10" i="8"/>
  <c r="P10" i="1"/>
  <c r="P10" i="8"/>
  <c r="Q10" i="1"/>
  <c r="Q10" i="8"/>
  <c r="C31" i="1"/>
  <c r="C40" i="1" l="1"/>
  <c r="H39" i="8" a="1"/>
  <c r="H39" i="8" s="1"/>
  <c r="I37" i="8"/>
  <c r="H51" i="1"/>
  <c r="H52" i="1" s="1"/>
  <c r="I4" i="1"/>
  <c r="I5" i="1" s="1"/>
  <c r="I6" i="1" s="1"/>
  <c r="H58" i="1"/>
  <c r="H12" i="1"/>
  <c r="H13" i="1" s="1"/>
  <c r="H6" i="1"/>
  <c r="O20" i="1"/>
  <c r="L65" i="1"/>
  <c r="H20" i="1"/>
  <c r="P20" i="1"/>
  <c r="K65" i="1"/>
  <c r="I20" i="1"/>
  <c r="Q20" i="1"/>
  <c r="J65" i="1"/>
  <c r="C42" i="1"/>
  <c r="J20" i="1"/>
  <c r="Q65" i="1"/>
  <c r="I65" i="1"/>
  <c r="K20" i="1"/>
  <c r="P65" i="1"/>
  <c r="H65" i="1"/>
  <c r="L20" i="1"/>
  <c r="O65" i="1"/>
  <c r="M20" i="1"/>
  <c r="N65" i="1"/>
  <c r="N20" i="1"/>
  <c r="M65" i="1"/>
  <c r="C39" i="1"/>
  <c r="I58" i="1"/>
  <c r="I51" i="1"/>
  <c r="I52" i="1" s="1"/>
  <c r="I60" i="1" s="1"/>
  <c r="J50" i="1"/>
  <c r="M8" i="1"/>
  <c r="L54" i="1"/>
  <c r="K58" i="1"/>
  <c r="H26" i="1"/>
  <c r="H66" i="1"/>
  <c r="H71" i="1" s="1"/>
  <c r="J58" i="1"/>
  <c r="H42" i="8" l="1"/>
  <c r="H44" i="8" s="1"/>
  <c r="I39" i="8" a="1"/>
  <c r="I39" i="8" s="1"/>
  <c r="I41" i="8" s="1"/>
  <c r="J37" i="8"/>
  <c r="H60" i="1"/>
  <c r="I12" i="1"/>
  <c r="I13" i="1" s="1"/>
  <c r="I15" i="1" s="1"/>
  <c r="J4" i="1"/>
  <c r="H5" i="8"/>
  <c r="H6" i="8" s="1"/>
  <c r="H8" i="8" s="1" a="1"/>
  <c r="H8" i="8" s="1"/>
  <c r="H15" i="1"/>
  <c r="C43" i="1"/>
  <c r="K72" i="1"/>
  <c r="L27" i="1"/>
  <c r="N27" i="1"/>
  <c r="P27" i="1"/>
  <c r="I27" i="1"/>
  <c r="L72" i="1"/>
  <c r="P72" i="1"/>
  <c r="J27" i="1"/>
  <c r="I72" i="1"/>
  <c r="M72" i="1"/>
  <c r="Q72" i="1"/>
  <c r="K27" i="1"/>
  <c r="M27" i="1"/>
  <c r="O27" i="1"/>
  <c r="Q27" i="1"/>
  <c r="H72" i="1"/>
  <c r="H73" i="1" s="1"/>
  <c r="H27" i="1"/>
  <c r="H28" i="1" s="1"/>
  <c r="J72" i="1"/>
  <c r="N72" i="1"/>
  <c r="O72" i="1"/>
  <c r="J51" i="1"/>
  <c r="J52" i="1" s="1"/>
  <c r="J60" i="1" s="1"/>
  <c r="K50" i="1"/>
  <c r="I5" i="8"/>
  <c r="I6" i="8" s="1"/>
  <c r="I8" i="8" s="1" a="1"/>
  <c r="I8" i="8" s="1"/>
  <c r="N8" i="1"/>
  <c r="M54" i="1"/>
  <c r="L58" i="1"/>
  <c r="I66" i="1"/>
  <c r="I71" i="1" s="1"/>
  <c r="H75" i="1"/>
  <c r="H30" i="1"/>
  <c r="I21" i="1"/>
  <c r="K37" i="8" l="1"/>
  <c r="J39" i="8" a="1"/>
  <c r="J39" i="8" s="1"/>
  <c r="J41" i="8" s="1"/>
  <c r="I42" i="8"/>
  <c r="I44" i="8" s="1"/>
  <c r="K4" i="1"/>
  <c r="J5" i="1"/>
  <c r="J6" i="1" s="1"/>
  <c r="J12" i="1"/>
  <c r="J13" i="1" s="1"/>
  <c r="J16" i="1"/>
  <c r="H61" i="1"/>
  <c r="H62" i="1" s="1"/>
  <c r="H16" i="1"/>
  <c r="L61" i="1"/>
  <c r="M16" i="1"/>
  <c r="K61" i="1"/>
  <c r="I16" i="1"/>
  <c r="I9" i="8" s="1"/>
  <c r="I11" i="8" s="1"/>
  <c r="D17" i="8" s="1"/>
  <c r="N16" i="1"/>
  <c r="P61" i="1"/>
  <c r="I61" i="1"/>
  <c r="I62" i="1" s="1"/>
  <c r="J61" i="1"/>
  <c r="J62" i="1" s="1"/>
  <c r="J63" i="1" s="1"/>
  <c r="O61" i="1"/>
  <c r="K16" i="1"/>
  <c r="M61" i="1"/>
  <c r="N61" i="1"/>
  <c r="L16" i="1"/>
  <c r="O16" i="1"/>
  <c r="Q61" i="1"/>
  <c r="Q16" i="1"/>
  <c r="P16" i="1"/>
  <c r="L50" i="1"/>
  <c r="K51" i="1"/>
  <c r="K52" i="1" s="1"/>
  <c r="K60" i="1" s="1"/>
  <c r="O8" i="1"/>
  <c r="I26" i="1"/>
  <c r="J66" i="1"/>
  <c r="J71" i="1" s="1"/>
  <c r="I75" i="1"/>
  <c r="I73" i="1"/>
  <c r="M58" i="1"/>
  <c r="N54" i="1"/>
  <c r="J42" i="8" l="1"/>
  <c r="J44" i="8" s="1"/>
  <c r="L37" i="8"/>
  <c r="K39" i="8" a="1"/>
  <c r="K39" i="8" s="1"/>
  <c r="K41" i="8" s="1"/>
  <c r="K12" i="1"/>
  <c r="K13" i="1" s="1"/>
  <c r="K9" i="8" s="1"/>
  <c r="K5" i="1"/>
  <c r="K6" i="1" s="1"/>
  <c r="L4" i="1"/>
  <c r="J9" i="8"/>
  <c r="J5" i="8"/>
  <c r="J6" i="8" s="1"/>
  <c r="J8" i="8" s="1" a="1"/>
  <c r="J8" i="8" s="1"/>
  <c r="J15" i="1"/>
  <c r="J17" i="1" s="1"/>
  <c r="J18" i="1" s="1"/>
  <c r="K62" i="1"/>
  <c r="K76" i="1" s="1"/>
  <c r="J26" i="8"/>
  <c r="J22" i="8"/>
  <c r="J23" i="8" s="1"/>
  <c r="J25" i="8" s="1" a="1"/>
  <c r="J25" i="8" s="1"/>
  <c r="J27" i="8" s="1"/>
  <c r="E18" i="8" s="1"/>
  <c r="I17" i="1"/>
  <c r="J67" i="1"/>
  <c r="H17" i="1"/>
  <c r="H9" i="8"/>
  <c r="H11" i="8" s="1"/>
  <c r="C17" i="8" s="1"/>
  <c r="I63" i="1"/>
  <c r="I67" i="1"/>
  <c r="J76" i="1"/>
  <c r="H76" i="1"/>
  <c r="H77" i="1" s="1"/>
  <c r="H79" i="1" s="1"/>
  <c r="H83" i="1" s="1"/>
  <c r="H67" i="1"/>
  <c r="H63" i="1"/>
  <c r="I76" i="1"/>
  <c r="I77" i="1" s="1"/>
  <c r="I79" i="1" s="1"/>
  <c r="L51" i="1"/>
  <c r="L52" i="1" s="1"/>
  <c r="L60" i="1" s="1"/>
  <c r="L62" i="1" s="1"/>
  <c r="M50" i="1"/>
  <c r="O54" i="1"/>
  <c r="N58" i="1"/>
  <c r="P8" i="1"/>
  <c r="K66" i="1"/>
  <c r="J75" i="1"/>
  <c r="J73" i="1"/>
  <c r="I28" i="1"/>
  <c r="I30" i="1"/>
  <c r="J21" i="1"/>
  <c r="K42" i="8" l="1"/>
  <c r="K44" i="8" s="1"/>
  <c r="M37" i="8"/>
  <c r="L39" i="8" a="1"/>
  <c r="L39" i="8" s="1"/>
  <c r="L41" i="8" s="1"/>
  <c r="K63" i="1"/>
  <c r="K22" i="8" s="1"/>
  <c r="K23" i="8" s="1"/>
  <c r="K25" i="8" s="1" a="1"/>
  <c r="K25" i="8" s="1"/>
  <c r="H80" i="1"/>
  <c r="H84" i="1"/>
  <c r="L12" i="1"/>
  <c r="L13" i="1" s="1"/>
  <c r="L9" i="8" s="1"/>
  <c r="M4" i="1"/>
  <c r="L5" i="1"/>
  <c r="L6" i="1" s="1"/>
  <c r="K15" i="1"/>
  <c r="K17" i="1" s="1"/>
  <c r="K18" i="1" s="1"/>
  <c r="K5" i="8"/>
  <c r="K6" i="8" s="1"/>
  <c r="K8" i="8" s="1" a="1"/>
  <c r="K8" i="8" s="1"/>
  <c r="J11" i="8"/>
  <c r="J22" i="1"/>
  <c r="J77" i="1"/>
  <c r="J79" i="1" s="1"/>
  <c r="J84" i="1" s="1"/>
  <c r="K67" i="1"/>
  <c r="I80" i="1"/>
  <c r="I84" i="1"/>
  <c r="I83" i="1"/>
  <c r="I26" i="8"/>
  <c r="I22" i="8"/>
  <c r="I23" i="8" s="1"/>
  <c r="I25" i="8" s="1" a="1"/>
  <c r="I25" i="8" s="1"/>
  <c r="H12" i="8"/>
  <c r="H14" i="8" s="1"/>
  <c r="I12" i="8"/>
  <c r="I14" i="8" s="1"/>
  <c r="H22" i="8"/>
  <c r="H23" i="8" s="1"/>
  <c r="H25" i="8" s="1" a="1"/>
  <c r="H25" i="8" s="1"/>
  <c r="H26" i="8"/>
  <c r="H31" i="1"/>
  <c r="H32" i="1" s="1"/>
  <c r="H34" i="1" s="1"/>
  <c r="I31" i="1"/>
  <c r="I32" i="1" s="1"/>
  <c r="I34" i="1" s="1"/>
  <c r="I38" i="1" s="1"/>
  <c r="H22" i="1"/>
  <c r="H18" i="1"/>
  <c r="J31" i="1"/>
  <c r="I18" i="1"/>
  <c r="I22" i="1"/>
  <c r="J26" i="1"/>
  <c r="J30" i="1" s="1"/>
  <c r="K71" i="1"/>
  <c r="L66" i="1" s="1"/>
  <c r="L63" i="1"/>
  <c r="L76" i="1"/>
  <c r="K26" i="8"/>
  <c r="M51" i="1"/>
  <c r="M52" i="1" s="1"/>
  <c r="M60" i="1" s="1"/>
  <c r="M62" i="1" s="1"/>
  <c r="M63" i="1" s="1"/>
  <c r="M22" i="8" s="1"/>
  <c r="M23" i="8" s="1"/>
  <c r="N50" i="1"/>
  <c r="P54" i="1"/>
  <c r="O58" i="1"/>
  <c r="Q8" i="1"/>
  <c r="J12" i="8" l="1"/>
  <c r="E17" i="8"/>
  <c r="L42" i="8"/>
  <c r="L44" i="8" s="1"/>
  <c r="M39" i="8" a="1"/>
  <c r="M39" i="8" s="1"/>
  <c r="M41" i="8" s="1"/>
  <c r="M42" i="8" s="1"/>
  <c r="M44" i="8" s="1"/>
  <c r="N37" i="8"/>
  <c r="K21" i="1"/>
  <c r="K22" i="1" s="1"/>
  <c r="J28" i="1"/>
  <c r="J32" i="1" s="1"/>
  <c r="J34" i="1" s="1"/>
  <c r="J83" i="1"/>
  <c r="I35" i="1"/>
  <c r="I27" i="8"/>
  <c r="D18" i="8" s="1"/>
  <c r="L5" i="8"/>
  <c r="L6" i="8" s="1"/>
  <c r="L8" i="8" s="1" a="1"/>
  <c r="L8" i="8" s="1"/>
  <c r="L11" i="8" s="1"/>
  <c r="L15" i="1"/>
  <c r="L17" i="1" s="1"/>
  <c r="L18" i="1" s="1"/>
  <c r="M5" i="1"/>
  <c r="M6" i="1" s="1"/>
  <c r="N4" i="1"/>
  <c r="M12" i="1"/>
  <c r="M13" i="1" s="1"/>
  <c r="M9" i="8" s="1"/>
  <c r="K31" i="1"/>
  <c r="K11" i="8"/>
  <c r="J80" i="1"/>
  <c r="H27" i="8"/>
  <c r="M26" i="8"/>
  <c r="H39" i="1"/>
  <c r="H38" i="1"/>
  <c r="H35" i="1"/>
  <c r="I39" i="1"/>
  <c r="L67" i="1"/>
  <c r="L71" i="1"/>
  <c r="L73" i="1" s="1"/>
  <c r="K73" i="1"/>
  <c r="K75" i="1"/>
  <c r="K27" i="8"/>
  <c r="M76" i="1"/>
  <c r="N51" i="1"/>
  <c r="N52" i="1" s="1"/>
  <c r="N60" i="1" s="1"/>
  <c r="N62" i="1" s="1"/>
  <c r="O50" i="1"/>
  <c r="L26" i="8"/>
  <c r="L22" i="8"/>
  <c r="L23" i="8" s="1"/>
  <c r="L25" i="8" s="1" a="1"/>
  <c r="L25" i="8" s="1"/>
  <c r="M25" i="8" a="1"/>
  <c r="M25" i="8" s="1"/>
  <c r="Q54" i="1"/>
  <c r="P58" i="1"/>
  <c r="M27" i="8" l="1"/>
  <c r="H28" i="8"/>
  <c r="H30" i="8" s="1"/>
  <c r="C18" i="8"/>
  <c r="N39" i="8" a="1"/>
  <c r="N39" i="8" s="1"/>
  <c r="N41" i="8" s="1"/>
  <c r="N42" i="8" s="1"/>
  <c r="N44" i="8" s="1"/>
  <c r="O37" i="8"/>
  <c r="K26" i="1"/>
  <c r="L21" i="1" s="1"/>
  <c r="L22" i="1" s="1"/>
  <c r="J14" i="8"/>
  <c r="L31" i="1"/>
  <c r="K28" i="8"/>
  <c r="K30" i="8" s="1"/>
  <c r="N12" i="1"/>
  <c r="N13" i="1" s="1"/>
  <c r="N9" i="8" s="1"/>
  <c r="N5" i="1"/>
  <c r="N6" i="1" s="1"/>
  <c r="O4" i="1"/>
  <c r="M5" i="8"/>
  <c r="M6" i="8" s="1"/>
  <c r="M15" i="1"/>
  <c r="M17" i="1" s="1"/>
  <c r="M18" i="1" s="1"/>
  <c r="K77" i="1"/>
  <c r="K79" i="1" s="1"/>
  <c r="K84" i="1" s="1"/>
  <c r="L12" i="8"/>
  <c r="K12" i="8"/>
  <c r="J28" i="8"/>
  <c r="J30" i="8" s="1"/>
  <c r="I28" i="8"/>
  <c r="I30" i="8" s="1"/>
  <c r="L75" i="1"/>
  <c r="L77" i="1" s="1"/>
  <c r="L79" i="1" s="1"/>
  <c r="M66" i="1"/>
  <c r="M67" i="1" s="1"/>
  <c r="L27" i="8"/>
  <c r="L28" i="8" s="1"/>
  <c r="N76" i="1"/>
  <c r="N63" i="1"/>
  <c r="O51" i="1"/>
  <c r="O52" i="1" s="1"/>
  <c r="O60" i="1" s="1"/>
  <c r="O62" i="1" s="1"/>
  <c r="P50" i="1"/>
  <c r="Q58" i="1"/>
  <c r="J35" i="1"/>
  <c r="J39" i="1"/>
  <c r="J38" i="1"/>
  <c r="K30" i="1" l="1"/>
  <c r="L26" i="1"/>
  <c r="L30" i="1" s="1"/>
  <c r="K28" i="1"/>
  <c r="P37" i="8"/>
  <c r="O39" i="8" a="1"/>
  <c r="O39" i="8" s="1"/>
  <c r="O41" i="8" s="1"/>
  <c r="O42" i="8" s="1"/>
  <c r="O44" i="8" s="1"/>
  <c r="K83" i="1"/>
  <c r="K80" i="1"/>
  <c r="M31" i="1"/>
  <c r="M28" i="8"/>
  <c r="L84" i="1"/>
  <c r="L80" i="1"/>
  <c r="L83" i="1"/>
  <c r="M8" i="8" a="1"/>
  <c r="M8" i="8" s="1"/>
  <c r="M11" i="8" s="1"/>
  <c r="O12" i="1"/>
  <c r="O13" i="1" s="1"/>
  <c r="O9" i="8" s="1"/>
  <c r="O5" i="1"/>
  <c r="O6" i="1" s="1"/>
  <c r="P4" i="1"/>
  <c r="L30" i="8"/>
  <c r="N5" i="8"/>
  <c r="N6" i="8" s="1"/>
  <c r="N15" i="1"/>
  <c r="N17" i="1" s="1"/>
  <c r="M71" i="1"/>
  <c r="M75" i="1" s="1"/>
  <c r="O63" i="1"/>
  <c r="O76" i="1"/>
  <c r="P51" i="1"/>
  <c r="P52" i="1" s="1"/>
  <c r="P60" i="1" s="1"/>
  <c r="P62" i="1" s="1"/>
  <c r="P63" i="1" s="1"/>
  <c r="P26" i="8" s="1"/>
  <c r="Q50" i="1"/>
  <c r="N22" i="8"/>
  <c r="N23" i="8" s="1"/>
  <c r="N25" i="8" s="1" a="1"/>
  <c r="N25" i="8" s="1"/>
  <c r="N26" i="8"/>
  <c r="K32" i="1" l="1"/>
  <c r="K34" i="1" s="1"/>
  <c r="K35" i="1" s="1"/>
  <c r="N27" i="8"/>
  <c r="N28" i="8" s="1"/>
  <c r="L28" i="1"/>
  <c r="L32" i="1" s="1"/>
  <c r="L34" i="1" s="1"/>
  <c r="L38" i="1" s="1"/>
  <c r="M21" i="1"/>
  <c r="M22" i="1" s="1"/>
  <c r="K14" i="8"/>
  <c r="Q37" i="8"/>
  <c r="P39" i="8" a="1"/>
  <c r="P39" i="8" s="1"/>
  <c r="P41" i="8" s="1"/>
  <c r="P42" i="8" s="1"/>
  <c r="P44" i="8" s="1"/>
  <c r="M73" i="1"/>
  <c r="M77" i="1" s="1"/>
  <c r="M79" i="1" s="1"/>
  <c r="N66" i="1"/>
  <c r="N67" i="1" s="1"/>
  <c r="M12" i="8"/>
  <c r="P12" i="1"/>
  <c r="P13" i="1" s="1"/>
  <c r="P9" i="8" s="1"/>
  <c r="P5" i="1"/>
  <c r="P6" i="1" s="1"/>
  <c r="Q4" i="1"/>
  <c r="O5" i="8"/>
  <c r="O6" i="8" s="1"/>
  <c r="O15" i="1"/>
  <c r="O17" i="1" s="1"/>
  <c r="N31" i="1"/>
  <c r="N18" i="1"/>
  <c r="N8" i="8" a="1"/>
  <c r="N8" i="8" s="1"/>
  <c r="N11" i="8" s="1"/>
  <c r="N12" i="8" s="1"/>
  <c r="Q51" i="1"/>
  <c r="Q52" i="1" s="1"/>
  <c r="Q60" i="1" s="1"/>
  <c r="Q62" i="1" s="1"/>
  <c r="P22" i="8"/>
  <c r="P23" i="8" s="1"/>
  <c r="P25" i="8" s="1" a="1"/>
  <c r="P25" i="8" s="1"/>
  <c r="P27" i="8" s="1"/>
  <c r="P76" i="1"/>
  <c r="O22" i="8"/>
  <c r="O23" i="8" s="1"/>
  <c r="O25" i="8" s="1" a="1"/>
  <c r="O25" i="8" s="1"/>
  <c r="O26" i="8"/>
  <c r="K39" i="1" l="1"/>
  <c r="K38" i="1"/>
  <c r="L35" i="1"/>
  <c r="L39" i="1"/>
  <c r="L14" i="8"/>
  <c r="M26" i="1"/>
  <c r="M28" i="1" s="1"/>
  <c r="Q39" i="8" a="1"/>
  <c r="Q39" i="8" s="1"/>
  <c r="Q41" i="8" s="1"/>
  <c r="Q42" i="8" s="1"/>
  <c r="Q44" i="8" s="1"/>
  <c r="N71" i="1"/>
  <c r="N75" i="1" s="1"/>
  <c r="M30" i="8"/>
  <c r="Q5" i="1"/>
  <c r="Q6" i="1" s="1"/>
  <c r="Q12" i="1"/>
  <c r="Q13" i="1" s="1"/>
  <c r="Q9" i="8" s="1"/>
  <c r="O31" i="1"/>
  <c r="O18" i="1"/>
  <c r="O8" i="8" a="1"/>
  <c r="O8" i="8" s="1"/>
  <c r="O11" i="8" s="1"/>
  <c r="P5" i="8"/>
  <c r="P6" i="8" s="1"/>
  <c r="P15" i="1"/>
  <c r="P17" i="1" s="1"/>
  <c r="P18" i="1" s="1"/>
  <c r="O27" i="8"/>
  <c r="O28" i="8" s="1"/>
  <c r="Q63" i="1"/>
  <c r="Q76" i="1"/>
  <c r="M84" i="1"/>
  <c r="M83" i="1"/>
  <c r="M80" i="1"/>
  <c r="M30" i="1" l="1"/>
  <c r="M14" i="8" s="1"/>
  <c r="N21" i="1"/>
  <c r="N22" i="1" s="1"/>
  <c r="O66" i="1"/>
  <c r="O67" i="1" s="1"/>
  <c r="N73" i="1"/>
  <c r="N30" i="8" s="1"/>
  <c r="M32" i="1"/>
  <c r="M34" i="1" s="1"/>
  <c r="M39" i="1" s="1"/>
  <c r="O12" i="8"/>
  <c r="Q5" i="8"/>
  <c r="Q6" i="8" s="1"/>
  <c r="Q15" i="1"/>
  <c r="Q17" i="1" s="1"/>
  <c r="P8" i="8" a="1"/>
  <c r="P8" i="8" s="1"/>
  <c r="P11" i="8" s="1"/>
  <c r="P31" i="1"/>
  <c r="P28" i="8"/>
  <c r="Q26" i="8"/>
  <c r="Q22" i="8"/>
  <c r="Q23" i="8" s="1"/>
  <c r="Q25" i="8" s="1" a="1"/>
  <c r="Q25" i="8" s="1"/>
  <c r="N26" i="1" l="1"/>
  <c r="O21" i="1" s="1"/>
  <c r="O22" i="1" s="1"/>
  <c r="N77" i="1"/>
  <c r="N79" i="1" s="1"/>
  <c r="N83" i="1" s="1"/>
  <c r="O71" i="1"/>
  <c r="O75" i="1" s="1"/>
  <c r="M35" i="1"/>
  <c r="M38" i="1"/>
  <c r="P12" i="8"/>
  <c r="Q31" i="1"/>
  <c r="Q18" i="1"/>
  <c r="Q8" i="8" a="1"/>
  <c r="Q8" i="8" s="1"/>
  <c r="Q11" i="8" s="1"/>
  <c r="Q27" i="8"/>
  <c r="Q28" i="8" s="1"/>
  <c r="N28" i="1" l="1"/>
  <c r="N30" i="1"/>
  <c r="N32" i="1" s="1"/>
  <c r="N34" i="1" s="1"/>
  <c r="N39" i="1" s="1"/>
  <c r="O26" i="1"/>
  <c r="N80" i="1"/>
  <c r="N84" i="1"/>
  <c r="P66" i="1"/>
  <c r="P67" i="1" s="1"/>
  <c r="O73" i="1"/>
  <c r="O30" i="8" s="1"/>
  <c r="N14" i="8"/>
  <c r="Q12" i="8"/>
  <c r="P21" i="1"/>
  <c r="P22" i="1" s="1"/>
  <c r="O30" i="1"/>
  <c r="O28" i="1"/>
  <c r="O77" i="1" l="1"/>
  <c r="O79" i="1" s="1"/>
  <c r="O84" i="1" s="1"/>
  <c r="P71" i="1"/>
  <c r="Q66" i="1" s="1"/>
  <c r="Q67" i="1" s="1"/>
  <c r="N35" i="1"/>
  <c r="N38" i="1"/>
  <c r="P26" i="1"/>
  <c r="P30" i="1" s="1"/>
  <c r="P73" i="1"/>
  <c r="O32" i="1"/>
  <c r="O34" i="1" s="1"/>
  <c r="O14" i="8"/>
  <c r="O80" i="1" l="1"/>
  <c r="O83" i="1"/>
  <c r="P75" i="1"/>
  <c r="P77" i="1" s="1"/>
  <c r="P79" i="1" s="1"/>
  <c r="P28" i="1"/>
  <c r="P14" i="8" s="1"/>
  <c r="Q21" i="1"/>
  <c r="Q22" i="1" s="1"/>
  <c r="P30" i="8"/>
  <c r="O39" i="1"/>
  <c r="O38" i="1"/>
  <c r="O35" i="1"/>
  <c r="Q71" i="1"/>
  <c r="Q26" i="1" l="1"/>
  <c r="Q28" i="1" s="1"/>
  <c r="P32" i="1"/>
  <c r="P34" i="1" s="1"/>
  <c r="P39" i="1" s="1"/>
  <c r="P84" i="1"/>
  <c r="P80" i="1"/>
  <c r="P83" i="1"/>
  <c r="Q75" i="1"/>
  <c r="Q73" i="1"/>
  <c r="Q30" i="1" l="1"/>
  <c r="Q32" i="1" s="1"/>
  <c r="Q34" i="1" s="1"/>
  <c r="P35" i="1"/>
  <c r="P38" i="1"/>
  <c r="Q77" i="1"/>
  <c r="Q79" i="1" s="1"/>
  <c r="Q30" i="8"/>
  <c r="Q14" i="8" l="1"/>
  <c r="Q35" i="1"/>
  <c r="Q39" i="1"/>
  <c r="Q38" i="1"/>
  <c r="Q80" i="1"/>
  <c r="Q84" i="1"/>
  <c r="Q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<sst xmlns="http://schemas.openxmlformats.org/spreadsheetml/2006/main" count="144" uniqueCount="97">
  <si>
    <t>Basic Purchase Information</t>
  </si>
  <si>
    <t>Purchase Price</t>
  </si>
  <si>
    <t>Property Value (after renovations)</t>
  </si>
  <si>
    <t>Equity At Purchase</t>
  </si>
  <si>
    <t>Renovations Price</t>
  </si>
  <si>
    <t>Property Value (before renovations)</t>
  </si>
  <si>
    <t>Mortgage Calculation</t>
  </si>
  <si>
    <t>Annual Interest Rate %</t>
  </si>
  <si>
    <t>Loan Term (years)</t>
  </si>
  <si>
    <t>Loan Amount</t>
  </si>
  <si>
    <t>Monthly Mort. Payment</t>
  </si>
  <si>
    <t>Annual Mort. Payment</t>
  </si>
  <si>
    <t>Rental Income (wkly)</t>
  </si>
  <si>
    <t>Weeks Vacant p.a.</t>
  </si>
  <si>
    <t>Maintenance Cost p.a.</t>
  </si>
  <si>
    <t>Management Fee</t>
  </si>
  <si>
    <t>Rates p.a.</t>
  </si>
  <si>
    <t>Insurance p.a.</t>
  </si>
  <si>
    <t>Utilities</t>
  </si>
  <si>
    <t>Utilities (water, etc.) p.a.</t>
  </si>
  <si>
    <t>Rates Increase p.a.</t>
  </si>
  <si>
    <t>Rental Income Increase p.a.</t>
  </si>
  <si>
    <t>Utilities Increase p.a.</t>
  </si>
  <si>
    <t>Building To Land Value Ratio</t>
  </si>
  <si>
    <t>Closing Costs (Buy)</t>
  </si>
  <si>
    <t>Closing Costs (Sell)</t>
  </si>
  <si>
    <t>Calculation Assumptions</t>
  </si>
  <si>
    <t>Deposit %</t>
  </si>
  <si>
    <t>Cashflow</t>
  </si>
  <si>
    <t>Gross Scheduled Income</t>
  </si>
  <si>
    <t>Year</t>
  </si>
  <si>
    <r>
      <t xml:space="preserve">  </t>
    </r>
    <r>
      <rPr>
        <i/>
        <sz val="11"/>
        <color theme="1"/>
        <rFont val="Calibri"/>
        <family val="2"/>
        <scheme val="minor"/>
      </rPr>
      <t>less vacancy allowance</t>
    </r>
  </si>
  <si>
    <t>Total Operating Income</t>
  </si>
  <si>
    <t>Rates</t>
  </si>
  <si>
    <t>Insurance</t>
  </si>
  <si>
    <t>Property Maintenance</t>
  </si>
  <si>
    <t>Property Management</t>
  </si>
  <si>
    <t>Total Operating Expenses</t>
  </si>
  <si>
    <t>Net Operating Income (NOI)</t>
  </si>
  <si>
    <r>
      <t xml:space="preserve">  </t>
    </r>
    <r>
      <rPr>
        <i/>
        <sz val="11"/>
        <color theme="1"/>
        <rFont val="Calibri"/>
        <family val="2"/>
        <scheme val="minor"/>
      </rPr>
      <t>less mortgage payment</t>
    </r>
  </si>
  <si>
    <t>ANNUAL CASH FLOW</t>
  </si>
  <si>
    <t>Principal Paydown</t>
  </si>
  <si>
    <t>Appreciation</t>
  </si>
  <si>
    <t>Property Value</t>
  </si>
  <si>
    <t>EFFECTIVE NET CASH FLOW</t>
  </si>
  <si>
    <t>Equity Accumulation</t>
  </si>
  <si>
    <r>
      <t xml:space="preserve">  </t>
    </r>
    <r>
      <rPr>
        <i/>
        <sz val="11"/>
        <color theme="1"/>
        <rFont val="Calibri"/>
        <family val="2"/>
        <scheme val="minor"/>
      </rPr>
      <t>less mortgage balance</t>
    </r>
  </si>
  <si>
    <t>EQUITY</t>
  </si>
  <si>
    <t xml:space="preserve">  less sales proceeds if final year</t>
  </si>
  <si>
    <t>Plus accumulated cashflow</t>
  </si>
  <si>
    <t>EFFECTIVE FUTURE VALUE</t>
  </si>
  <si>
    <t>Deposit (incl. renovation price)</t>
  </si>
  <si>
    <t>Deposit less closing costs and renovations</t>
  </si>
  <si>
    <t>Profit From Original Deposit</t>
  </si>
  <si>
    <r>
      <t xml:space="preserve">  </t>
    </r>
    <r>
      <rPr>
        <i/>
        <sz val="11"/>
        <color theme="1"/>
        <rFont val="Calibri"/>
        <family val="2"/>
        <scheme val="minor"/>
      </rPr>
      <t>less tax</t>
    </r>
  </si>
  <si>
    <t>Calculated Values</t>
  </si>
  <si>
    <t>Insurance Increase p.a.</t>
  </si>
  <si>
    <t>Property Maintenance Increase p.a.</t>
  </si>
  <si>
    <t>My Deposit Contribution</t>
  </si>
  <si>
    <t>My Profit</t>
  </si>
  <si>
    <t>MY ANNUAL CASH FLOW</t>
  </si>
  <si>
    <t>TOTAL ROI</t>
  </si>
  <si>
    <t>Annualized ROI</t>
  </si>
  <si>
    <t>IF LIVE IN</t>
  </si>
  <si>
    <t>IF RENTING OUT</t>
  </si>
  <si>
    <t>Boarder Income (wkly) (if live in)</t>
  </si>
  <si>
    <t>Amt Saved From Rent If Live In (wkly)</t>
  </si>
  <si>
    <t>Gross Salary</t>
  </si>
  <si>
    <t>Salary Increase p.a.</t>
  </si>
  <si>
    <t>Net Cashflow</t>
  </si>
  <si>
    <t>Gross Cashflow</t>
  </si>
  <si>
    <r>
      <t xml:space="preserve">  </t>
    </r>
    <r>
      <rPr>
        <i/>
        <sz val="11"/>
        <color theme="1"/>
        <rFont val="Calibri"/>
        <family val="2"/>
        <scheme val="minor"/>
      </rPr>
      <t>less Property Expenses</t>
    </r>
  </si>
  <si>
    <t>IF RENTING OUT PROPERTY</t>
  </si>
  <si>
    <r>
      <t xml:space="preserve">  </t>
    </r>
    <r>
      <rPr>
        <i/>
        <sz val="11"/>
        <color theme="1"/>
        <rFont val="Calibri"/>
        <family val="2"/>
        <scheme val="minor"/>
      </rPr>
      <t>less rent I pay elsewhere</t>
    </r>
  </si>
  <si>
    <t>Property Gross Cashflow</t>
  </si>
  <si>
    <t>Effective Future Value</t>
  </si>
  <si>
    <t>OPTIONS</t>
  </si>
  <si>
    <t>IF NO PROPERTY INVESTMENT</t>
  </si>
  <si>
    <t xml:space="preserve">  less tax</t>
  </si>
  <si>
    <r>
      <t xml:space="preserve">  </t>
    </r>
    <r>
      <rPr>
        <i/>
        <sz val="11"/>
        <color theme="1"/>
        <rFont val="Calibri"/>
        <family val="2"/>
        <scheme val="minor"/>
      </rPr>
      <t>less negative cashflow</t>
    </r>
  </si>
  <si>
    <t>Property Positive Net Cashflow</t>
  </si>
  <si>
    <t>Maximize</t>
  </si>
  <si>
    <t>Minimize</t>
  </si>
  <si>
    <t>If Live In</t>
  </si>
  <si>
    <t>modify these</t>
  </si>
  <si>
    <t>Notes</t>
  </si>
  <si>
    <t>The renovation amount will come off the depost amount.</t>
  </si>
  <si>
    <t>Capital gains amount</t>
  </si>
  <si>
    <t>Annual Appreciation Rate</t>
  </si>
  <si>
    <t>Accumulated Net Cashflow</t>
  </si>
  <si>
    <t>Cashflow vs. No Property Investment</t>
  </si>
  <si>
    <t>Rent Out</t>
  </si>
  <si>
    <t>Live In</t>
  </si>
  <si>
    <t>1</t>
  </si>
  <si>
    <t>2</t>
  </si>
  <si>
    <t>3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</si>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</sst>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10" fontId="0" fillId="0" borderId="0" xfId="0" applyNumberFormat="1"/>
    <xf numFmtId="9" fontId="0" fillId="0" borderId="0" xfId="2" applyFont="1"/>
    <xf numFmtId="8" fontId="0" fillId="0" borderId="0" xfId="0" applyNumberFormat="1"/>
    <xf numFmtId="9" fontId="0" fillId="0" borderId="0" xfId="0" applyNumberFormat="1"/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3" fillId="0" borderId="0" xfId="0" applyFont="1"/>
    <xf numFmtId="8" fontId="0" fillId="0" borderId="0" xfId="1" applyNumberFormat="1" applyFont="1"/>
    <xf numFmtId="0" fontId="0" fillId="0" borderId="0" xfId="0" applyAlignment="1">
      <alignment wrapText="1"/>
    </xf>
    <xf numFmtId="44" fontId="0" fillId="0" borderId="0" xfId="2" applyNumberFormat="1" applyFont="1"/>
    <xf numFmtId="44" fontId="2" fillId="0" borderId="0" xfId="1" applyFont="1"/>
    <xf numFmtId="0" fontId="0" fillId="2" borderId="0" xfId="0" applyFill="1"/>
    <xf numFmtId="44" fontId="0" fillId="2" borderId="0" xfId="0" applyNumberFormat="1" applyFill="1"/>
    <xf numFmtId="44" fontId="0" fillId="2" borderId="0" xfId="1" applyFont="1" applyFill="1"/>
    <xf numFmtId="0" fontId="2" fillId="2" borderId="0" xfId="0" applyFont="1" applyFill="1"/>
    <xf numFmtId="0" fontId="0" fillId="0" borderId="1" xfId="0" applyBorder="1"/>
    <xf numFmtId="44" fontId="2" fillId="0" borderId="3" xfId="0" applyNumberFormat="1" applyFont="1" applyBorder="1"/>
    <xf numFmtId="8" fontId="0" fillId="0" borderId="0" xfId="1" applyNumberFormat="1" applyFont="1" applyBorder="1"/>
    <xf numFmtId="44" fontId="0" fillId="0" borderId="3" xfId="0" applyNumberFormat="1" applyBorder="1"/>
    <xf numFmtId="0" fontId="0" fillId="0" borderId="5" xfId="0" applyBorder="1"/>
    <xf numFmtId="44" fontId="0" fillId="0" borderId="6" xfId="0" applyNumberFormat="1" applyBorder="1"/>
    <xf numFmtId="44" fontId="0" fillId="0" borderId="7" xfId="0" applyNumberFormat="1" applyBorder="1"/>
    <xf numFmtId="0" fontId="0" fillId="0" borderId="8" xfId="0" applyBorder="1"/>
    <xf numFmtId="44" fontId="0" fillId="0" borderId="9" xfId="0" applyNumberFormat="1" applyBorder="1"/>
    <xf numFmtId="0" fontId="2" fillId="0" borderId="10" xfId="0" applyFont="1" applyBorder="1"/>
    <xf numFmtId="44" fontId="0" fillId="0" borderId="11" xfId="0" applyNumberFormat="1" applyBorder="1"/>
    <xf numFmtId="0" fontId="2" fillId="0" borderId="5" xfId="0" applyFont="1" applyBorder="1"/>
    <xf numFmtId="8" fontId="0" fillId="0" borderId="9" xfId="1" applyNumberFormat="1" applyFont="1" applyBorder="1"/>
    <xf numFmtId="44" fontId="2" fillId="0" borderId="11" xfId="0" applyNumberFormat="1" applyFont="1" applyBorder="1"/>
    <xf numFmtId="44" fontId="0" fillId="0" borderId="6" xfId="1" applyFont="1" applyBorder="1"/>
    <xf numFmtId="44" fontId="0" fillId="0" borderId="7" xfId="1" applyFont="1" applyBorder="1"/>
    <xf numFmtId="0" fontId="0" fillId="0" borderId="9" xfId="0" applyBorder="1"/>
    <xf numFmtId="0" fontId="3" fillId="0" borderId="8" xfId="0" applyFont="1" applyBorder="1"/>
    <xf numFmtId="0" fontId="4" fillId="0" borderId="0" xfId="0" applyFont="1"/>
    <xf numFmtId="44" fontId="0" fillId="0" borderId="9" xfId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5" xfId="0" applyFont="1" applyFill="1" applyBorder="1"/>
    <xf numFmtId="9" fontId="0" fillId="4" borderId="6" xfId="2" applyFont="1" applyFill="1" applyBorder="1"/>
    <xf numFmtId="9" fontId="0" fillId="4" borderId="7" xfId="2" applyFont="1" applyFill="1" applyBorder="1"/>
    <xf numFmtId="0" fontId="0" fillId="4" borderId="12" xfId="0" applyFill="1" applyBorder="1"/>
    <xf numFmtId="9" fontId="0" fillId="4" borderId="1" xfId="2" applyFont="1" applyFill="1" applyBorder="1"/>
    <xf numFmtId="9" fontId="0" fillId="4" borderId="13" xfId="2" applyFont="1" applyFill="1" applyBorder="1"/>
    <xf numFmtId="0" fontId="2" fillId="4" borderId="12" xfId="0" applyFont="1" applyFill="1" applyBorder="1"/>
    <xf numFmtId="44" fontId="2" fillId="4" borderId="1" xfId="0" applyNumberFormat="1" applyFont="1" applyFill="1" applyBorder="1"/>
    <xf numFmtId="44" fontId="2" fillId="4" borderId="13" xfId="0" applyNumberFormat="1" applyFont="1" applyFill="1" applyBorder="1"/>
    <xf numFmtId="0" fontId="0" fillId="0" borderId="14" xfId="0" applyBorder="1"/>
    <xf numFmtId="44" fontId="0" fillId="0" borderId="2" xfId="0" applyNumberFormat="1" applyBorder="1"/>
    <xf numFmtId="44" fontId="0" fillId="0" borderId="15" xfId="0" applyNumberFormat="1" applyBorder="1"/>
    <xf numFmtId="0" fontId="0" fillId="0" borderId="10" xfId="0" applyBorder="1"/>
    <xf numFmtId="0" fontId="2" fillId="0" borderId="12" xfId="0" applyFont="1" applyBorder="1"/>
    <xf numFmtId="0" fontId="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9" fontId="0" fillId="3" borderId="18" xfId="0" applyNumberFormat="1" applyFill="1" applyBorder="1"/>
    <xf numFmtId="0" fontId="0" fillId="0" borderId="16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44" fontId="0" fillId="3" borderId="16" xfId="1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44" fontId="0" fillId="3" borderId="17" xfId="1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9" fontId="0" fillId="3" borderId="18" xfId="1" applyNumberFormat="1" applyFont="1" applyFill="1" applyBorder="1" applyAlignment="1">
      <alignment horizontal="center" vertical="center"/>
    </xf>
    <xf numFmtId="10" fontId="0" fillId="3" borderId="16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9" fontId="0" fillId="3" borderId="17" xfId="0" applyNumberForma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9" fontId="2" fillId="3" borderId="17" xfId="0" applyNumberFormat="1" applyFont="1" applyFill="1" applyBorder="1" applyAlignment="1">
      <alignment horizontal="center" vertical="center"/>
    </xf>
    <xf numFmtId="9" fontId="0" fillId="3" borderId="18" xfId="0" applyNumberFormat="1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/>
    </xf>
    <xf numFmtId="9" fontId="0" fillId="0" borderId="9" xfId="2" applyFont="1" applyBorder="1" applyAlignment="1">
      <alignment horizontal="center" vertical="center"/>
    </xf>
    <xf numFmtId="8" fontId="0" fillId="0" borderId="9" xfId="0" applyNumberFormat="1" applyBorder="1" applyAlignment="1">
      <alignment horizontal="center" vertical="center"/>
    </xf>
    <xf numFmtId="8" fontId="0" fillId="0" borderId="1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12" xfId="1" applyFont="1" applyBorder="1"/>
    <xf numFmtId="0" fontId="4" fillId="0" borderId="0" xfId="0" applyFont="1" applyAlignment="1">
      <alignment horizontal="left" vertical="center"/>
    </xf>
    <xf numFmtId="44" fontId="0" fillId="2" borderId="6" xfId="0" applyNumberFormat="1" applyFill="1" applyBorder="1"/>
    <xf numFmtId="44" fontId="0" fillId="0" borderId="1" xfId="2" applyNumberFormat="1" applyFont="1" applyBorder="1"/>
    <xf numFmtId="44" fontId="0" fillId="2" borderId="1" xfId="2" applyNumberFormat="1" applyFont="1" applyFill="1" applyBorder="1"/>
    <xf numFmtId="44" fontId="0" fillId="0" borderId="13" xfId="2" applyNumberFormat="1" applyFont="1" applyBorder="1"/>
    <xf numFmtId="8" fontId="0" fillId="0" borderId="6" xfId="0" applyNumberFormat="1" applyBorder="1"/>
    <xf numFmtId="8" fontId="0" fillId="2" borderId="6" xfId="0" applyNumberFormat="1" applyFill="1" applyBorder="1"/>
    <xf numFmtId="8" fontId="0" fillId="0" borderId="7" xfId="0" applyNumberFormat="1" applyBorder="1"/>
    <xf numFmtId="0" fontId="0" fillId="2" borderId="12" xfId="0" applyFill="1" applyBorder="1"/>
    <xf numFmtId="44" fontId="0" fillId="2" borderId="1" xfId="0" applyNumberFormat="1" applyFill="1" applyBorder="1"/>
    <xf numFmtId="44" fontId="0" fillId="2" borderId="13" xfId="0" applyNumberFormat="1" applyFill="1" applyBorder="1"/>
    <xf numFmtId="44" fontId="0" fillId="0" borderId="2" xfId="1" applyFont="1" applyBorder="1"/>
    <xf numFmtId="44" fontId="0" fillId="2" borderId="2" xfId="1" applyFont="1" applyFill="1" applyBorder="1"/>
    <xf numFmtId="44" fontId="0" fillId="0" borderId="15" xfId="1" applyFont="1" applyBorder="1"/>
    <xf numFmtId="0" fontId="3" fillId="0" borderId="5" xfId="0" applyFont="1" applyBorder="1"/>
    <xf numFmtId="44" fontId="0" fillId="2" borderId="6" xfId="1" applyFont="1" applyFill="1" applyBorder="1"/>
    <xf numFmtId="44" fontId="0" fillId="0" borderId="0" xfId="1" applyFont="1" applyBorder="1"/>
    <xf numFmtId="44" fontId="0" fillId="2" borderId="0" xfId="1" applyFont="1" applyFill="1" applyBorder="1"/>
    <xf numFmtId="44" fontId="0" fillId="0" borderId="3" xfId="2" applyNumberFormat="1" applyFont="1" applyBorder="1"/>
    <xf numFmtId="44" fontId="0" fillId="2" borderId="3" xfId="2" applyNumberFormat="1" applyFont="1" applyFill="1" applyBorder="1"/>
    <xf numFmtId="44" fontId="0" fillId="0" borderId="11" xfId="2" applyNumberFormat="1" applyFont="1" applyBorder="1"/>
    <xf numFmtId="44" fontId="0" fillId="2" borderId="19" xfId="0" applyNumberFormat="1" applyFill="1" applyBorder="1"/>
    <xf numFmtId="0" fontId="2" fillId="5" borderId="10" xfId="0" applyFont="1" applyFill="1" applyBorder="1"/>
    <xf numFmtId="44" fontId="2" fillId="5" borderId="3" xfId="1" applyFont="1" applyFill="1" applyBorder="1"/>
    <xf numFmtId="44" fontId="2" fillId="5" borderId="11" xfId="1" applyFont="1" applyFill="1" applyBorder="1"/>
    <xf numFmtId="44" fontId="2" fillId="5" borderId="3" xfId="0" applyNumberFormat="1" applyFont="1" applyFill="1" applyBorder="1"/>
    <xf numFmtId="44" fontId="2" fillId="5" borderId="11" xfId="0" applyNumberFormat="1" applyFont="1" applyFill="1" applyBorder="1"/>
    <xf numFmtId="0" fontId="2" fillId="6" borderId="14" xfId="0" applyFont="1" applyFill="1" applyBorder="1"/>
    <xf numFmtId="44" fontId="0" fillId="6" borderId="2" xfId="0" applyNumberFormat="1" applyFill="1" applyBorder="1"/>
    <xf numFmtId="44" fontId="0" fillId="6" borderId="15" xfId="0" applyNumberFormat="1" applyFill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3" borderId="16" xfId="0" applyFill="1" applyBorder="1"/>
    <xf numFmtId="0" fontId="5" fillId="7" borderId="20" xfId="0" applyFont="1" applyFill="1" applyBorder="1" applyAlignment="1">
      <alignment horizontal="center"/>
    </xf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34" formatCode="_-&quot;$&quot;* #,##0.00_-;\-&quot;$&quot;* #,##0.00_-;_-&quot;$&quot;* &quot;-&quot;??_-;_-@_-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B446F-2280-45E7-AC6B-2E33A89AE0FF}" name="Table1" displayName="Table1" ref="B16:E18" totalsRowShown="0" headerRowDxfId="1">
  <autoFilter ref="B16:E18" xr:uid="{0B0B446F-2280-45E7-AC6B-2E33A89AE0FF}"/>
  <tableColumns count="4">
    <tableColumn id="1" xr3:uid="{0426EA15-E17E-4C5B-A1DD-D73B99A8AE0C}" name="Strategy"/>
    <tableColumn id="2" xr3:uid="{E8354140-C2C5-4529-B1BA-4267D3FF77C7}" name="1" dataDxfId="0"/>
    <tableColumn id="3" xr3:uid="{25E3F093-C71F-42D5-B3BF-40098701D369}" name="2"/>
    <tableColumn id="4" xr3:uid="{A64FFC5B-4D7B-4AD3-B22D-A003F129F061}" name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B30A2DA-8026-42AB-9D0D-26DE33EECCF4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A4DAB66-EE54-432A-A9A0-3B1A43F1562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F15-F4B0-4FF3-B465-17A4CAB2CB07}">
  <sheetPr codeName="Sheet1"/>
  <dimension ref="B1:XFD84"/>
  <sheetViews>
    <sheetView workbookViewId="0">
      <selection activeCell="B47" sqref="B47"/>
    </sheetView>
  </sheetViews>
  <sheetFormatPr defaultRowHeight="14.5" x14ac:dyDescent="0.35"/>
  <cols>
    <col min="1" max="1" width="2.54296875" customWidth="1"/>
    <col min="2" max="2" width="37.6328125" style="60" customWidth="1"/>
    <col min="3" max="3" width="12.08984375" style="61" bestFit="1" customWidth="1"/>
    <col min="4" max="4" width="12.08984375" style="38" bestFit="1" customWidth="1"/>
    <col min="5" max="5" width="23.26953125" style="11" customWidth="1"/>
    <col min="6" max="6" width="19.1796875" customWidth="1"/>
    <col min="7" max="7" width="27.90625" bestFit="1" customWidth="1"/>
    <col min="8" max="10" width="13.81640625" bestFit="1" customWidth="1"/>
    <col min="11" max="24" width="14.81640625" bestFit="1" customWidth="1"/>
    <col min="25" max="37" width="15.81640625" bestFit="1" customWidth="1"/>
  </cols>
  <sheetData>
    <row r="1" spans="2:37" ht="18" customHeight="1" thickBot="1" x14ac:dyDescent="0.55000000000000004">
      <c r="G1" s="36" t="s">
        <v>64</v>
      </c>
    </row>
    <row r="2" spans="2:37" ht="15" thickBot="1" x14ac:dyDescent="0.4">
      <c r="B2" s="62" t="s">
        <v>0</v>
      </c>
      <c r="C2" s="63" t="s">
        <v>84</v>
      </c>
      <c r="E2" s="57" t="s">
        <v>85</v>
      </c>
      <c r="H2" s="1" t="s">
        <v>30</v>
      </c>
    </row>
    <row r="3" spans="2:37" ht="15" thickBot="1" x14ac:dyDescent="0.4">
      <c r="B3" s="64" t="s">
        <v>1</v>
      </c>
      <c r="C3" s="65">
        <v>420000</v>
      </c>
      <c r="D3" s="38" t="s">
        <v>82</v>
      </c>
      <c r="E3" s="59"/>
      <c r="G3" s="1" t="s">
        <v>28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  <c r="Q3" s="1">
        <v>10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7" x14ac:dyDescent="0.35">
      <c r="B4" s="66" t="s">
        <v>4</v>
      </c>
      <c r="C4" s="67">
        <v>0</v>
      </c>
      <c r="E4" s="55"/>
      <c r="G4" s="22" t="s">
        <v>29</v>
      </c>
      <c r="H4" s="23">
        <f>$C$17*52</f>
        <v>26000</v>
      </c>
      <c r="I4" s="23">
        <f>H4 * (1 + $C$26)</f>
        <v>27040</v>
      </c>
      <c r="J4" s="23">
        <f>I4 * (1 + $C$26)</f>
        <v>28121.600000000002</v>
      </c>
      <c r="K4" s="23">
        <f t="shared" ref="K4:Q4" si="0">J4 * (1 + $C$26)</f>
        <v>29246.464000000004</v>
      </c>
      <c r="L4" s="23">
        <f t="shared" si="0"/>
        <v>30416.322560000004</v>
      </c>
      <c r="M4" s="23">
        <f t="shared" si="0"/>
        <v>31632.975462400005</v>
      </c>
      <c r="N4" s="23">
        <f t="shared" si="0"/>
        <v>32898.294480896009</v>
      </c>
      <c r="O4" s="23">
        <f t="shared" si="0"/>
        <v>34214.226260131851</v>
      </c>
      <c r="P4" s="23">
        <f t="shared" si="0"/>
        <v>35582.795310537127</v>
      </c>
      <c r="Q4" s="24">
        <f t="shared" si="0"/>
        <v>37006.107122958616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2:37" x14ac:dyDescent="0.35">
      <c r="B5" s="66" t="s">
        <v>5</v>
      </c>
      <c r="C5" s="67">
        <f>C3</f>
        <v>420000</v>
      </c>
      <c r="E5" s="55"/>
      <c r="G5" s="25" t="s">
        <v>31</v>
      </c>
      <c r="H5" s="7">
        <f>H4*$C$20/52</f>
        <v>1500</v>
      </c>
      <c r="I5" s="7">
        <f>I4*$C$20/52</f>
        <v>1560</v>
      </c>
      <c r="J5" s="7">
        <f>J4*$C$20/52</f>
        <v>1622.4</v>
      </c>
      <c r="K5" s="7">
        <f t="shared" ref="K5:Q5" si="1">K4*$C$20/52</f>
        <v>1687.296</v>
      </c>
      <c r="L5" s="7">
        <f t="shared" si="1"/>
        <v>1754.7878400000004</v>
      </c>
      <c r="M5" s="7">
        <f t="shared" si="1"/>
        <v>1824.9793536000002</v>
      </c>
      <c r="N5" s="7">
        <f t="shared" si="1"/>
        <v>1897.9785277440008</v>
      </c>
      <c r="O5" s="7">
        <f t="shared" si="1"/>
        <v>1973.8976688537607</v>
      </c>
      <c r="P5" s="7">
        <f t="shared" si="1"/>
        <v>2052.8535756079114</v>
      </c>
      <c r="Q5" s="26">
        <f t="shared" si="1"/>
        <v>2134.9677186322278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2:37" ht="15" thickBot="1" x14ac:dyDescent="0.4">
      <c r="B6" s="66" t="s">
        <v>2</v>
      </c>
      <c r="C6" s="67">
        <f>C5</f>
        <v>420000</v>
      </c>
      <c r="E6" s="55"/>
      <c r="G6" s="27" t="s">
        <v>32</v>
      </c>
      <c r="H6" s="21">
        <f>H4-H5</f>
        <v>24500</v>
      </c>
      <c r="I6" s="21">
        <f>I4-I5</f>
        <v>25480</v>
      </c>
      <c r="J6" s="21">
        <f>J4-J5</f>
        <v>26499.200000000001</v>
      </c>
      <c r="K6" s="21">
        <f t="shared" ref="K6:Q6" si="2">K4-K5</f>
        <v>27559.168000000005</v>
      </c>
      <c r="L6" s="21">
        <f t="shared" si="2"/>
        <v>28661.534720000003</v>
      </c>
      <c r="M6" s="21">
        <f t="shared" si="2"/>
        <v>29807.996108800005</v>
      </c>
      <c r="N6" s="21">
        <f t="shared" si="2"/>
        <v>31000.315953152007</v>
      </c>
      <c r="O6" s="21">
        <f t="shared" si="2"/>
        <v>32240.328591278088</v>
      </c>
      <c r="P6" s="21">
        <f t="shared" si="2"/>
        <v>33529.941734929213</v>
      </c>
      <c r="Q6" s="28">
        <f t="shared" si="2"/>
        <v>34871.139404326386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2:37" ht="44" thickBot="1" x14ac:dyDescent="0.4">
      <c r="B7" s="66" t="s">
        <v>51</v>
      </c>
      <c r="C7" s="67">
        <v>204000</v>
      </c>
      <c r="D7" s="38" t="s">
        <v>81</v>
      </c>
      <c r="E7" s="55" t="s">
        <v>86</v>
      </c>
    </row>
    <row r="8" spans="2:37" ht="15" thickBot="1" x14ac:dyDescent="0.4">
      <c r="B8" s="68" t="s">
        <v>58</v>
      </c>
      <c r="C8" s="69">
        <v>1</v>
      </c>
      <c r="E8" s="55"/>
      <c r="G8" s="22" t="s">
        <v>33</v>
      </c>
      <c r="H8" s="23">
        <f>C23</f>
        <v>2300</v>
      </c>
      <c r="I8" s="23">
        <f>H8*(1+$C$29)</f>
        <v>2392</v>
      </c>
      <c r="J8" s="23">
        <f>I8*(1+$C$29)</f>
        <v>2487.6800000000003</v>
      </c>
      <c r="K8" s="23">
        <f t="shared" ref="K8:Q8" si="3">J8*(1+$C$29)</f>
        <v>2587.1872000000003</v>
      </c>
      <c r="L8" s="23">
        <f t="shared" si="3"/>
        <v>2690.6746880000005</v>
      </c>
      <c r="M8" s="23">
        <f t="shared" si="3"/>
        <v>2798.3016755200006</v>
      </c>
      <c r="N8" s="23">
        <f t="shared" si="3"/>
        <v>2910.2337425408009</v>
      </c>
      <c r="O8" s="23">
        <f t="shared" si="3"/>
        <v>3026.6430922424329</v>
      </c>
      <c r="P8" s="23">
        <f t="shared" si="3"/>
        <v>3147.7088159321302</v>
      </c>
      <c r="Q8" s="24">
        <f t="shared" si="3"/>
        <v>3273.6171685694153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2:37" x14ac:dyDescent="0.35">
      <c r="E9" s="55"/>
      <c r="G9" s="25" t="s">
        <v>34</v>
      </c>
      <c r="H9" s="7">
        <f>$C$24</f>
        <v>1500</v>
      </c>
      <c r="I9" s="7">
        <f>H9*(1+$C$28)</f>
        <v>1545</v>
      </c>
      <c r="J9" s="7">
        <f t="shared" ref="J9:Q9" si="4">I9*(1+$C$28)</f>
        <v>1591.3500000000001</v>
      </c>
      <c r="K9" s="7">
        <f t="shared" si="4"/>
        <v>1639.0905000000002</v>
      </c>
      <c r="L9" s="7">
        <f t="shared" si="4"/>
        <v>1688.2632150000004</v>
      </c>
      <c r="M9" s="7">
        <f t="shared" si="4"/>
        <v>1738.9111114500004</v>
      </c>
      <c r="N9" s="7">
        <f t="shared" si="4"/>
        <v>1791.0784447935005</v>
      </c>
      <c r="O9" s="7">
        <f t="shared" si="4"/>
        <v>1844.8107981373055</v>
      </c>
      <c r="P9" s="7">
        <f t="shared" si="4"/>
        <v>1900.1551220814247</v>
      </c>
      <c r="Q9" s="26">
        <f t="shared" si="4"/>
        <v>1957.1597757438674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2:37" x14ac:dyDescent="0.35">
      <c r="E10" s="55"/>
      <c r="G10" s="25" t="s">
        <v>18</v>
      </c>
      <c r="H10" s="7">
        <f>$C$25</f>
        <v>0</v>
      </c>
      <c r="I10" s="7">
        <f t="shared" ref="I10:Q10" si="5">$C$25</f>
        <v>0</v>
      </c>
      <c r="J10" s="7">
        <f t="shared" si="5"/>
        <v>0</v>
      </c>
      <c r="K10" s="7">
        <f t="shared" si="5"/>
        <v>0</v>
      </c>
      <c r="L10" s="7">
        <f t="shared" si="5"/>
        <v>0</v>
      </c>
      <c r="M10" s="7">
        <f t="shared" si="5"/>
        <v>0</v>
      </c>
      <c r="N10" s="7">
        <f t="shared" si="5"/>
        <v>0</v>
      </c>
      <c r="O10" s="7">
        <f t="shared" si="5"/>
        <v>0</v>
      </c>
      <c r="P10" s="7">
        <f t="shared" si="5"/>
        <v>0</v>
      </c>
      <c r="Q10" s="26">
        <f t="shared" si="5"/>
        <v>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2:37" ht="15" thickBot="1" x14ac:dyDescent="0.4">
      <c r="B11" s="62" t="s">
        <v>6</v>
      </c>
      <c r="E11" s="55"/>
      <c r="G11" s="25" t="s">
        <v>35</v>
      </c>
      <c r="H11" s="7">
        <f>$C$21</f>
        <v>2000</v>
      </c>
      <c r="I11" s="7">
        <f>H11*(1+$C$27)</f>
        <v>2060</v>
      </c>
      <c r="J11" s="7">
        <f t="shared" ref="J11:Q11" si="6">I11*(1+$C$27)</f>
        <v>2121.8000000000002</v>
      </c>
      <c r="K11" s="7">
        <f t="shared" si="6"/>
        <v>2185.4540000000002</v>
      </c>
      <c r="L11" s="7">
        <f t="shared" si="6"/>
        <v>2251.0176200000001</v>
      </c>
      <c r="M11" s="7">
        <f t="shared" si="6"/>
        <v>2318.5481486000003</v>
      </c>
      <c r="N11" s="7">
        <f t="shared" si="6"/>
        <v>2388.1045930580003</v>
      </c>
      <c r="O11" s="7">
        <f t="shared" si="6"/>
        <v>2459.7477308497405</v>
      </c>
      <c r="P11" s="7">
        <f t="shared" si="6"/>
        <v>2533.5401627752326</v>
      </c>
      <c r="Q11" s="26">
        <f t="shared" si="6"/>
        <v>2609.5463676584895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2:37" x14ac:dyDescent="0.35">
      <c r="B12" s="64" t="s">
        <v>7</v>
      </c>
      <c r="C12" s="70">
        <v>6.8000000000000005E-2</v>
      </c>
      <c r="D12" s="38" t="s">
        <v>82</v>
      </c>
      <c r="E12" s="55"/>
      <c r="G12" s="25" t="s">
        <v>36</v>
      </c>
      <c r="H12" s="7">
        <f>$C$22*H4</f>
        <v>2600</v>
      </c>
      <c r="I12" s="7">
        <f t="shared" ref="I12:J12" si="7">$C$22*I4</f>
        <v>2704</v>
      </c>
      <c r="J12" s="7">
        <f t="shared" si="7"/>
        <v>2812.1600000000003</v>
      </c>
      <c r="K12" s="7">
        <f t="shared" ref="K12:Q12" si="8">$C$22*K4</f>
        <v>2924.6464000000005</v>
      </c>
      <c r="L12" s="7">
        <f t="shared" si="8"/>
        <v>3041.6322560000008</v>
      </c>
      <c r="M12" s="7">
        <f t="shared" si="8"/>
        <v>3163.2975462400009</v>
      </c>
      <c r="N12" s="7">
        <f t="shared" si="8"/>
        <v>3289.8294480896011</v>
      </c>
      <c r="O12" s="7">
        <f t="shared" si="8"/>
        <v>3421.4226260131854</v>
      </c>
      <c r="P12" s="7">
        <f t="shared" si="8"/>
        <v>3558.2795310537131</v>
      </c>
      <c r="Q12" s="26">
        <f t="shared" si="8"/>
        <v>3700.610712295862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2:37" ht="15" thickBot="1" x14ac:dyDescent="0.4">
      <c r="B13" s="68" t="s">
        <v>8</v>
      </c>
      <c r="C13" s="71">
        <v>30</v>
      </c>
      <c r="E13" s="55"/>
      <c r="G13" s="27" t="s">
        <v>37</v>
      </c>
      <c r="H13" s="21">
        <f>SUM(H8:H12)</f>
        <v>8400</v>
      </c>
      <c r="I13" s="21">
        <f t="shared" ref="I13:J13" si="9">SUM(I8:I12)</f>
        <v>8701</v>
      </c>
      <c r="J13" s="21">
        <f t="shared" si="9"/>
        <v>9012.9900000000016</v>
      </c>
      <c r="K13" s="21">
        <f t="shared" ref="K13" si="10">SUM(K8:K12)</f>
        <v>9336.3781000000017</v>
      </c>
      <c r="L13" s="21">
        <f t="shared" ref="L13" si="11">SUM(L8:L12)</f>
        <v>9671.5877790000013</v>
      </c>
      <c r="M13" s="21">
        <f t="shared" ref="M13" si="12">SUM(M8:M12)</f>
        <v>10019.058481810001</v>
      </c>
      <c r="N13" s="21">
        <f t="shared" ref="N13" si="13">SUM(N8:N12)</f>
        <v>10379.246228481903</v>
      </c>
      <c r="O13" s="21">
        <f t="shared" ref="O13" si="14">SUM(O8:O12)</f>
        <v>10752.624247242664</v>
      </c>
      <c r="P13" s="21">
        <f t="shared" ref="P13" si="15">SUM(P8:P12)</f>
        <v>11139.683631842501</v>
      </c>
      <c r="Q13" s="28">
        <f t="shared" ref="Q13" si="16">SUM(Q8:Q12)</f>
        <v>11540.934024267634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2:37" ht="15" thickBot="1" x14ac:dyDescent="0.4">
      <c r="E14" s="55"/>
    </row>
    <row r="15" spans="2:37" x14ac:dyDescent="0.35">
      <c r="E15" s="55"/>
      <c r="G15" s="29" t="s">
        <v>38</v>
      </c>
      <c r="H15" s="23">
        <f>H6-H13</f>
        <v>16100</v>
      </c>
      <c r="I15" s="23">
        <f t="shared" ref="I15:J15" si="17">I6-I13</f>
        <v>16779</v>
      </c>
      <c r="J15" s="23">
        <f t="shared" si="17"/>
        <v>17486.21</v>
      </c>
      <c r="K15" s="23">
        <f t="shared" ref="K15:Q15" si="18">K6-K13</f>
        <v>18222.789900000003</v>
      </c>
      <c r="L15" s="23">
        <f t="shared" si="18"/>
        <v>18989.946941000002</v>
      </c>
      <c r="M15" s="23">
        <f t="shared" si="18"/>
        <v>19788.937626990002</v>
      </c>
      <c r="N15" s="23">
        <f t="shared" si="18"/>
        <v>20621.069724670102</v>
      </c>
      <c r="O15" s="23">
        <f t="shared" si="18"/>
        <v>21487.704344035425</v>
      </c>
      <c r="P15" s="23">
        <f t="shared" si="18"/>
        <v>22390.258103086711</v>
      </c>
      <c r="Q15" s="24">
        <f t="shared" si="18"/>
        <v>23330.205380058753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2:37" ht="15" thickBot="1" x14ac:dyDescent="0.4">
      <c r="B16" s="62" t="s">
        <v>26</v>
      </c>
      <c r="E16" s="55"/>
      <c r="G16" s="25" t="s">
        <v>39</v>
      </c>
      <c r="H16" s="20">
        <f t="shared" ref="H16:Q16" si="19">$C$43</f>
        <v>17132.593944973865</v>
      </c>
      <c r="I16" s="20">
        <f t="shared" si="19"/>
        <v>17132.593944973865</v>
      </c>
      <c r="J16" s="20">
        <f t="shared" si="19"/>
        <v>17132.593944973865</v>
      </c>
      <c r="K16" s="20">
        <f t="shared" si="19"/>
        <v>17132.593944973865</v>
      </c>
      <c r="L16" s="20">
        <f t="shared" si="19"/>
        <v>17132.593944973865</v>
      </c>
      <c r="M16" s="20">
        <f t="shared" si="19"/>
        <v>17132.593944973865</v>
      </c>
      <c r="N16" s="20">
        <f t="shared" si="19"/>
        <v>17132.593944973865</v>
      </c>
      <c r="O16" s="20">
        <f t="shared" si="19"/>
        <v>17132.593944973865</v>
      </c>
      <c r="P16" s="20">
        <f t="shared" si="19"/>
        <v>17132.593944973865</v>
      </c>
      <c r="Q16" s="30">
        <f t="shared" si="19"/>
        <v>17132.593944973865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2:37" ht="15" thickBot="1" x14ac:dyDescent="0.4">
      <c r="B17" s="64" t="s">
        <v>12</v>
      </c>
      <c r="C17" s="65">
        <v>500</v>
      </c>
      <c r="D17" s="38" t="s">
        <v>81</v>
      </c>
      <c r="E17" s="55"/>
      <c r="G17" s="52" t="s">
        <v>40</v>
      </c>
      <c r="H17" s="21">
        <f>H15-H16</f>
        <v>-1032.5939449738653</v>
      </c>
      <c r="I17" s="21">
        <f t="shared" ref="I17:J17" si="20">I15-I16</f>
        <v>-353.59394497386529</v>
      </c>
      <c r="J17" s="21">
        <f t="shared" si="20"/>
        <v>353.61605502613384</v>
      </c>
      <c r="K17" s="21">
        <f t="shared" ref="K17" si="21">K15-K16</f>
        <v>1090.1959550261381</v>
      </c>
      <c r="L17" s="21">
        <f t="shared" ref="L17" si="22">L15-L16</f>
        <v>1857.3529960261367</v>
      </c>
      <c r="M17" s="21">
        <f t="shared" ref="M17" si="23">M15-M16</f>
        <v>2656.3436820161369</v>
      </c>
      <c r="N17" s="21">
        <f t="shared" ref="N17" si="24">N15-N16</f>
        <v>3488.4757796962367</v>
      </c>
      <c r="O17" s="21">
        <f t="shared" ref="O17" si="25">O15-O16</f>
        <v>4355.1103990615593</v>
      </c>
      <c r="P17" s="21">
        <f t="shared" ref="P17" si="26">P15-P16</f>
        <v>5257.6641581128461</v>
      </c>
      <c r="Q17" s="28">
        <f t="shared" ref="Q17" si="27">Q15-Q16</f>
        <v>6197.6114350848875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2:37" ht="15" thickBot="1" x14ac:dyDescent="0.4">
      <c r="B18" s="66" t="s">
        <v>65</v>
      </c>
      <c r="C18" s="67">
        <v>260</v>
      </c>
      <c r="D18" s="38" t="s">
        <v>81</v>
      </c>
      <c r="E18" s="55"/>
      <c r="G18" s="46" t="s">
        <v>60</v>
      </c>
      <c r="H18" s="47">
        <f>H17*$C$8</f>
        <v>-1032.5939449738653</v>
      </c>
      <c r="I18" s="47">
        <f t="shared" ref="I18:Q18" si="28">I17*$C$8</f>
        <v>-353.59394497386529</v>
      </c>
      <c r="J18" s="47">
        <f t="shared" si="28"/>
        <v>353.61605502613384</v>
      </c>
      <c r="K18" s="47">
        <f t="shared" si="28"/>
        <v>1090.1959550261381</v>
      </c>
      <c r="L18" s="47">
        <f t="shared" si="28"/>
        <v>1857.3529960261367</v>
      </c>
      <c r="M18" s="47">
        <f t="shared" si="28"/>
        <v>2656.3436820161369</v>
      </c>
      <c r="N18" s="47">
        <f t="shared" si="28"/>
        <v>3488.4757796962367</v>
      </c>
      <c r="O18" s="47">
        <f t="shared" si="28"/>
        <v>4355.1103990615593</v>
      </c>
      <c r="P18" s="47">
        <f t="shared" si="28"/>
        <v>5257.6641581128461</v>
      </c>
      <c r="Q18" s="48">
        <f t="shared" si="28"/>
        <v>6197.6114350848875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2:37" ht="15" thickBot="1" x14ac:dyDescent="0.4">
      <c r="B19" s="66" t="s">
        <v>66</v>
      </c>
      <c r="C19" s="67">
        <v>200</v>
      </c>
      <c r="E19" s="55"/>
    </row>
    <row r="20" spans="2:37" x14ac:dyDescent="0.35">
      <c r="B20" s="66" t="s">
        <v>13</v>
      </c>
      <c r="C20" s="72">
        <v>3</v>
      </c>
      <c r="E20" s="55"/>
      <c r="G20" s="22" t="s">
        <v>41</v>
      </c>
      <c r="H20" s="32">
        <f t="shared" ref="H20:Q20" si="29">-CUMPRINC($C$12/12, $C$13*12, $C$41, (H3-1)*12+1, H3*12, 0)</f>
        <v>2311.7618068767292</v>
      </c>
      <c r="I20" s="32">
        <f t="shared" si="29"/>
        <v>2473.9547384130801</v>
      </c>
      <c r="J20" s="32">
        <f t="shared" si="29"/>
        <v>2647.5271066033733</v>
      </c>
      <c r="K20" s="32">
        <f t="shared" si="29"/>
        <v>2833.2772913605586</v>
      </c>
      <c r="L20" s="32">
        <f t="shared" si="29"/>
        <v>3032.0596868366706</v>
      </c>
      <c r="M20" s="32">
        <f t="shared" si="29"/>
        <v>3244.7886313751396</v>
      </c>
      <c r="N20" s="32">
        <f t="shared" si="29"/>
        <v>3472.4426131880778</v>
      </c>
      <c r="O20" s="32">
        <f t="shared" si="29"/>
        <v>3716.0687711033838</v>
      </c>
      <c r="P20" s="32">
        <f t="shared" si="29"/>
        <v>3976.7877110837267</v>
      </c>
      <c r="Q20" s="33">
        <f t="shared" si="29"/>
        <v>4255.798660671926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2:37" x14ac:dyDescent="0.35">
      <c r="B21" s="66" t="s">
        <v>14</v>
      </c>
      <c r="C21" s="67">
        <v>2000</v>
      </c>
      <c r="E21" s="55"/>
      <c r="G21" s="25" t="s">
        <v>42</v>
      </c>
      <c r="H21" s="7">
        <f>C6*C32</f>
        <v>21000</v>
      </c>
      <c r="I21" s="7">
        <f>H26*$C$32</f>
        <v>22050</v>
      </c>
      <c r="J21" s="7">
        <f>I26*$C$32</f>
        <v>23152.5</v>
      </c>
      <c r="K21" s="7">
        <f t="shared" ref="K21:Q21" si="30">J26*$C$32</f>
        <v>24310.125</v>
      </c>
      <c r="L21" s="7">
        <f t="shared" si="30"/>
        <v>25525.631250000002</v>
      </c>
      <c r="M21" s="7">
        <f t="shared" si="30"/>
        <v>26801.912812499999</v>
      </c>
      <c r="N21" s="7">
        <f t="shared" si="30"/>
        <v>28142.008453125003</v>
      </c>
      <c r="O21" s="7">
        <f t="shared" si="30"/>
        <v>29549.108875781254</v>
      </c>
      <c r="P21" s="7">
        <f t="shared" si="30"/>
        <v>31026.564319570316</v>
      </c>
      <c r="Q21" s="26">
        <f t="shared" si="30"/>
        <v>32577.892535548832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2:37" ht="15" thickBot="1" x14ac:dyDescent="0.4">
      <c r="B22" s="66" t="s">
        <v>15</v>
      </c>
      <c r="C22" s="73">
        <v>0.1</v>
      </c>
      <c r="E22" s="55"/>
      <c r="G22" s="27" t="s">
        <v>44</v>
      </c>
      <c r="H22" s="21">
        <f t="shared" ref="H22:Q22" si="31">H17+H20+H21</f>
        <v>22279.167861902864</v>
      </c>
      <c r="I22" s="21">
        <f t="shared" si="31"/>
        <v>24170.360793439213</v>
      </c>
      <c r="J22" s="21">
        <f t="shared" si="31"/>
        <v>26153.643161629509</v>
      </c>
      <c r="K22" s="21">
        <f t="shared" si="31"/>
        <v>28233.598246386697</v>
      </c>
      <c r="L22" s="21">
        <f t="shared" si="31"/>
        <v>30415.043932862809</v>
      </c>
      <c r="M22" s="21">
        <f t="shared" si="31"/>
        <v>32703.045125891276</v>
      </c>
      <c r="N22" s="21">
        <f t="shared" si="31"/>
        <v>35102.926846009315</v>
      </c>
      <c r="O22" s="21">
        <f t="shared" si="31"/>
        <v>37620.288045946196</v>
      </c>
      <c r="P22" s="21">
        <f t="shared" si="31"/>
        <v>40261.016188766887</v>
      </c>
      <c r="Q22" s="28">
        <f t="shared" si="31"/>
        <v>43031.302631305647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2:37" x14ac:dyDescent="0.35">
      <c r="B23" s="66" t="s">
        <v>16</v>
      </c>
      <c r="C23" s="67">
        <v>2300</v>
      </c>
      <c r="E23" s="55"/>
      <c r="H23" s="7"/>
    </row>
    <row r="24" spans="2:37" x14ac:dyDescent="0.35">
      <c r="B24" s="66" t="s">
        <v>17</v>
      </c>
      <c r="C24" s="67">
        <v>1500</v>
      </c>
      <c r="E24" s="55"/>
    </row>
    <row r="25" spans="2:37" ht="15" thickBot="1" x14ac:dyDescent="0.4">
      <c r="B25" s="66" t="s">
        <v>19</v>
      </c>
      <c r="C25" s="67">
        <v>0</v>
      </c>
      <c r="E25" s="55"/>
      <c r="G25" s="1" t="s">
        <v>45</v>
      </c>
    </row>
    <row r="26" spans="2:37" x14ac:dyDescent="0.35">
      <c r="B26" s="66" t="s">
        <v>21</v>
      </c>
      <c r="C26" s="73">
        <v>0.04</v>
      </c>
      <c r="E26" s="55"/>
      <c r="G26" s="22" t="s">
        <v>43</v>
      </c>
      <c r="H26" s="23">
        <f>$C$6+H21</f>
        <v>441000</v>
      </c>
      <c r="I26" s="23">
        <f t="shared" ref="I26:Q26" si="32">H26+I21</f>
        <v>463050</v>
      </c>
      <c r="J26" s="23">
        <f t="shared" si="32"/>
        <v>486202.5</v>
      </c>
      <c r="K26" s="23">
        <f t="shared" si="32"/>
        <v>510512.625</v>
      </c>
      <c r="L26" s="23">
        <f t="shared" si="32"/>
        <v>536038.25624999998</v>
      </c>
      <c r="M26" s="23">
        <f t="shared" si="32"/>
        <v>562840.1690625</v>
      </c>
      <c r="N26" s="23">
        <f t="shared" si="32"/>
        <v>590982.17751562502</v>
      </c>
      <c r="O26" s="23">
        <f t="shared" si="32"/>
        <v>620531.28639140632</v>
      </c>
      <c r="P26" s="23">
        <f t="shared" si="32"/>
        <v>651557.85071097664</v>
      </c>
      <c r="Q26" s="24">
        <f t="shared" si="32"/>
        <v>684135.74324652553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2:37" x14ac:dyDescent="0.35">
      <c r="B27" s="66" t="s">
        <v>57</v>
      </c>
      <c r="C27" s="73">
        <v>0.03</v>
      </c>
      <c r="E27" s="55"/>
      <c r="G27" s="25" t="s">
        <v>46</v>
      </c>
      <c r="H27" s="20">
        <f t="shared" ref="H27:Q27" si="33">FV($C$12/12, H3*12, $C$42, -$C$41)</f>
        <v>216688.23819312325</v>
      </c>
      <c r="I27" s="20">
        <f t="shared" si="33"/>
        <v>214214.28345471021</v>
      </c>
      <c r="J27" s="20">
        <f t="shared" si="33"/>
        <v>211566.75634810684</v>
      </c>
      <c r="K27" s="20">
        <f t="shared" si="33"/>
        <v>208733.47905674629</v>
      </c>
      <c r="L27" s="20">
        <f t="shared" si="33"/>
        <v>205701.41936990962</v>
      </c>
      <c r="M27" s="20">
        <f t="shared" si="33"/>
        <v>202456.6307385345</v>
      </c>
      <c r="N27" s="20">
        <f t="shared" si="33"/>
        <v>198984.18812534635</v>
      </c>
      <c r="O27" s="20">
        <f t="shared" si="33"/>
        <v>195268.11935424301</v>
      </c>
      <c r="P27" s="20">
        <f t="shared" si="33"/>
        <v>191291.3316431593</v>
      </c>
      <c r="Q27" s="30">
        <f t="shared" si="33"/>
        <v>187035.53298248738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2:37" ht="15" thickBot="1" x14ac:dyDescent="0.4">
      <c r="B28" s="66" t="s">
        <v>56</v>
      </c>
      <c r="C28" s="73">
        <v>0.03</v>
      </c>
      <c r="E28" s="55"/>
      <c r="G28" s="27" t="s">
        <v>47</v>
      </c>
      <c r="H28" s="19">
        <f>H26-H27</f>
        <v>224311.76180687675</v>
      </c>
      <c r="I28" s="19">
        <f t="shared" ref="I28:J28" si="34">I26-I27</f>
        <v>248835.71654528979</v>
      </c>
      <c r="J28" s="19">
        <f t="shared" si="34"/>
        <v>274635.74365189316</v>
      </c>
      <c r="K28" s="19">
        <f t="shared" ref="K28" si="35">K26-K27</f>
        <v>301779.14594325371</v>
      </c>
      <c r="L28" s="19">
        <f t="shared" ref="L28" si="36">L26-L27</f>
        <v>330336.83688009036</v>
      </c>
      <c r="M28" s="19">
        <f t="shared" ref="M28" si="37">M26-M27</f>
        <v>360383.53832396551</v>
      </c>
      <c r="N28" s="19">
        <f t="shared" ref="N28" si="38">N26-N27</f>
        <v>391997.9893902787</v>
      </c>
      <c r="O28" s="19">
        <f t="shared" ref="O28" si="39">O26-O27</f>
        <v>425263.16703716328</v>
      </c>
      <c r="P28" s="19">
        <f t="shared" ref="P28" si="40">P26-P27</f>
        <v>460266.51906781737</v>
      </c>
      <c r="Q28" s="31">
        <f t="shared" ref="Q28" si="41">Q26-Q27</f>
        <v>497100.21026403818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2:37" x14ac:dyDescent="0.35">
      <c r="B29" s="66" t="s">
        <v>20</v>
      </c>
      <c r="C29" s="73">
        <v>0.04</v>
      </c>
      <c r="E29" s="55"/>
      <c r="G29" s="25"/>
      <c r="Q29" s="34"/>
    </row>
    <row r="30" spans="2:37" x14ac:dyDescent="0.35">
      <c r="B30" s="66" t="s">
        <v>22</v>
      </c>
      <c r="C30" s="73">
        <v>0.03</v>
      </c>
      <c r="E30" s="55"/>
      <c r="G30" s="35" t="s">
        <v>48</v>
      </c>
      <c r="H30" s="7">
        <f>$C$34*H26</f>
        <v>22050</v>
      </c>
      <c r="I30" s="7">
        <f t="shared" ref="I30:J30" si="42">$C$34*I26</f>
        <v>23152.5</v>
      </c>
      <c r="J30" s="7">
        <f t="shared" si="42"/>
        <v>24310.125</v>
      </c>
      <c r="K30" s="7">
        <f t="shared" ref="K30:Q30" si="43">$C$34*K26</f>
        <v>25525.631250000002</v>
      </c>
      <c r="L30" s="7">
        <f t="shared" si="43"/>
        <v>26801.912812499999</v>
      </c>
      <c r="M30" s="7">
        <f t="shared" si="43"/>
        <v>28142.008453125003</v>
      </c>
      <c r="N30" s="7">
        <f t="shared" si="43"/>
        <v>29549.108875781254</v>
      </c>
      <c r="O30" s="7">
        <f t="shared" si="43"/>
        <v>31026.564319570316</v>
      </c>
      <c r="P30" s="7">
        <f t="shared" si="43"/>
        <v>32577.892535548832</v>
      </c>
      <c r="Q30" s="26">
        <f t="shared" si="43"/>
        <v>34206.787162326276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2:37" x14ac:dyDescent="0.35">
      <c r="B31" s="66" t="s">
        <v>23</v>
      </c>
      <c r="C31" s="67">
        <f>13/49%</f>
        <v>26.530612244897959</v>
      </c>
      <c r="E31" s="55"/>
      <c r="G31" s="25" t="s">
        <v>49</v>
      </c>
      <c r="H31" s="7">
        <f>SUM($H$17:H17)</f>
        <v>-1032.5939449738653</v>
      </c>
      <c r="I31" s="7">
        <f>SUM($H$17:I17)</f>
        <v>-1386.1878899477306</v>
      </c>
      <c r="J31" s="7">
        <f>SUM($H$17:J17)</f>
        <v>-1032.5718349215967</v>
      </c>
      <c r="K31" s="7">
        <f>SUM($H$17:K17)</f>
        <v>57.624120104541362</v>
      </c>
      <c r="L31" s="7">
        <f>SUM($H$17:L17)</f>
        <v>1914.977116130678</v>
      </c>
      <c r="M31" s="7">
        <f>SUM($H$17:M17)</f>
        <v>4571.3207981468149</v>
      </c>
      <c r="N31" s="7">
        <f>SUM($H$17:N17)</f>
        <v>8059.7965778430516</v>
      </c>
      <c r="O31" s="7">
        <f>SUM($H$17:O17)</f>
        <v>12414.906976904611</v>
      </c>
      <c r="P31" s="7">
        <f>SUM($H$17:P17)</f>
        <v>17672.571135017457</v>
      </c>
      <c r="Q31" s="26">
        <f>SUM($H$17:Q17)</f>
        <v>23870.182570102344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2:37" ht="15" thickBot="1" x14ac:dyDescent="0.4">
      <c r="B32" s="74" t="s">
        <v>88</v>
      </c>
      <c r="C32" s="75">
        <v>0.05</v>
      </c>
      <c r="E32" s="55" t="s">
        <v>87</v>
      </c>
      <c r="G32" s="27" t="s">
        <v>50</v>
      </c>
      <c r="H32" s="19">
        <f>H28-H30+H31</f>
        <v>201229.16786190288</v>
      </c>
      <c r="I32" s="19">
        <f t="shared" ref="I32:J32" si="44">I28-I30+I31</f>
        <v>224297.02865534206</v>
      </c>
      <c r="J32" s="19">
        <f t="shared" si="44"/>
        <v>249293.04681697156</v>
      </c>
      <c r="K32" s="19">
        <f t="shared" ref="K32" si="45">K28-K30+K31</f>
        <v>276311.13881335827</v>
      </c>
      <c r="L32" s="19">
        <f t="shared" ref="L32" si="46">L28-L30+L31</f>
        <v>305449.90118372109</v>
      </c>
      <c r="M32" s="19">
        <f t="shared" ref="M32" si="47">M28-M30+M31</f>
        <v>336812.85066898732</v>
      </c>
      <c r="N32" s="19">
        <f t="shared" ref="N32" si="48">N28-N30+N31</f>
        <v>370508.67709234054</v>
      </c>
      <c r="O32" s="19">
        <f t="shared" ref="O32" si="49">O28-O30+O31</f>
        <v>406651.50969449757</v>
      </c>
      <c r="P32" s="19">
        <f t="shared" ref="P32" si="50">P28-P30+P31</f>
        <v>445361.19766728597</v>
      </c>
      <c r="Q32" s="31">
        <f t="shared" ref="Q32" si="51">Q28-Q30+Q31</f>
        <v>486763.60567181424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2:16384" ht="15" thickBot="1" x14ac:dyDescent="0.4">
      <c r="B33" s="66" t="s">
        <v>24</v>
      </c>
      <c r="C33" s="67">
        <v>3000</v>
      </c>
      <c r="E33" s="5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2:16384" ht="15" thickBot="1" x14ac:dyDescent="0.4">
      <c r="B34" s="68" t="s">
        <v>25</v>
      </c>
      <c r="C34" s="76">
        <v>0.05</v>
      </c>
      <c r="E34" s="56"/>
      <c r="G34" s="49" t="s">
        <v>53</v>
      </c>
      <c r="H34" s="50">
        <f>H32-$C$7</f>
        <v>-2770.8321380971174</v>
      </c>
      <c r="I34" s="50">
        <f t="shared" ref="I34:Q34" si="52">I32-$C$7</f>
        <v>20297.028655342059</v>
      </c>
      <c r="J34" s="50">
        <f t="shared" si="52"/>
        <v>45293.04681697156</v>
      </c>
      <c r="K34" s="50">
        <f t="shared" si="52"/>
        <v>72311.138813358266</v>
      </c>
      <c r="L34" s="50">
        <f t="shared" si="52"/>
        <v>101449.90118372109</v>
      </c>
      <c r="M34" s="50">
        <f t="shared" si="52"/>
        <v>132812.85066898732</v>
      </c>
      <c r="N34" s="50">
        <f t="shared" si="52"/>
        <v>166508.67709234054</v>
      </c>
      <c r="O34" s="50">
        <f t="shared" si="52"/>
        <v>202651.50969449757</v>
      </c>
      <c r="P34" s="50">
        <f t="shared" si="52"/>
        <v>241361.19766728597</v>
      </c>
      <c r="Q34" s="51">
        <f t="shared" si="52"/>
        <v>282763.60567181424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2:16384" s="1" customFormat="1" ht="15" thickBot="1" x14ac:dyDescent="0.4">
      <c r="B35" s="60"/>
      <c r="C35" s="61"/>
      <c r="D35" s="39"/>
      <c r="E35"/>
      <c r="G35" s="46" t="s">
        <v>59</v>
      </c>
      <c r="H35" s="47">
        <f>H34*$C$8</f>
        <v>-2770.8321380971174</v>
      </c>
      <c r="I35" s="47">
        <f t="shared" ref="I35:Q35" si="53">I34*$C$8</f>
        <v>20297.028655342059</v>
      </c>
      <c r="J35" s="47">
        <f t="shared" si="53"/>
        <v>45293.04681697156</v>
      </c>
      <c r="K35" s="47">
        <f t="shared" si="53"/>
        <v>72311.138813358266</v>
      </c>
      <c r="L35" s="47">
        <f t="shared" si="53"/>
        <v>101449.90118372109</v>
      </c>
      <c r="M35" s="47">
        <f t="shared" si="53"/>
        <v>132812.85066898732</v>
      </c>
      <c r="N35" s="47">
        <f t="shared" si="53"/>
        <v>166508.67709234054</v>
      </c>
      <c r="O35" s="47">
        <f t="shared" si="53"/>
        <v>202651.50969449757</v>
      </c>
      <c r="P35" s="47">
        <f t="shared" si="53"/>
        <v>241361.19766728597</v>
      </c>
      <c r="Q35" s="48">
        <f t="shared" si="53"/>
        <v>282763.60567181424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2:16384" x14ac:dyDescent="0.35">
      <c r="C36" s="77"/>
      <c r="E36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2:16384" ht="15" thickBot="1" x14ac:dyDescent="0.4">
      <c r="B37" s="62" t="s">
        <v>55</v>
      </c>
      <c r="C37" s="77"/>
      <c r="E37"/>
    </row>
    <row r="38" spans="2:16384" x14ac:dyDescent="0.35">
      <c r="B38" s="64" t="s">
        <v>52</v>
      </c>
      <c r="C38" s="78">
        <f>C7-C33-C4</f>
        <v>201000</v>
      </c>
      <c r="E38"/>
      <c r="G38" s="40" t="s">
        <v>61</v>
      </c>
      <c r="H38" s="41">
        <f>H34/$C$7</f>
        <v>-1.3582510480868223E-2</v>
      </c>
      <c r="I38" s="41">
        <f t="shared" ref="I38:Q38" si="54">I34/$C$7</f>
        <v>9.9495238506578723E-2</v>
      </c>
      <c r="J38" s="41">
        <f t="shared" si="54"/>
        <v>0.2220247392988802</v>
      </c>
      <c r="K38" s="41">
        <f t="shared" si="54"/>
        <v>0.35446636673214837</v>
      </c>
      <c r="L38" s="41">
        <f t="shared" si="54"/>
        <v>0.49730343717510334</v>
      </c>
      <c r="M38" s="41">
        <f t="shared" si="54"/>
        <v>0.65104338563229081</v>
      </c>
      <c r="N38" s="41">
        <f t="shared" si="54"/>
        <v>0.81621900535461045</v>
      </c>
      <c r="O38" s="41">
        <f t="shared" si="54"/>
        <v>0.99338975340439983</v>
      </c>
      <c r="P38" s="41">
        <f t="shared" si="54"/>
        <v>1.1831431258200293</v>
      </c>
      <c r="Q38" s="42">
        <f t="shared" si="54"/>
        <v>1.3860961062343835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16384" ht="15" thickBot="1" x14ac:dyDescent="0.4">
      <c r="B39" s="66" t="s">
        <v>3</v>
      </c>
      <c r="C39" s="79">
        <f>C38+C6-C3</f>
        <v>201000</v>
      </c>
      <c r="E39"/>
      <c r="G39" s="43" t="s">
        <v>62</v>
      </c>
      <c r="H39" s="44">
        <f t="shared" ref="H39:Q39" si="55">(($C$7+H34)/$C$7)^(1/H3)-1</f>
        <v>-1.3582510480868226E-2</v>
      </c>
      <c r="I39" s="44">
        <f t="shared" si="55"/>
        <v>4.856818495822135E-2</v>
      </c>
      <c r="J39" s="44">
        <f t="shared" si="55"/>
        <v>6.9120522055396094E-2</v>
      </c>
      <c r="K39" s="44">
        <f t="shared" si="55"/>
        <v>7.8802778544255325E-2</v>
      </c>
      <c r="L39" s="44">
        <f t="shared" si="55"/>
        <v>8.4081577679989694E-2</v>
      </c>
      <c r="M39" s="44">
        <f t="shared" si="55"/>
        <v>8.7159038674323508E-2</v>
      </c>
      <c r="N39" s="44">
        <f t="shared" si="55"/>
        <v>8.8990348844712575E-2</v>
      </c>
      <c r="O39" s="44">
        <f t="shared" si="55"/>
        <v>9.00565470355148E-2</v>
      </c>
      <c r="P39" s="44">
        <f t="shared" si="55"/>
        <v>9.0625884807594703E-2</v>
      </c>
      <c r="Q39" s="45">
        <f t="shared" si="55"/>
        <v>9.0859437369467333E-2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16384" x14ac:dyDescent="0.35">
      <c r="B40" s="66" t="s">
        <v>27</v>
      </c>
      <c r="C40" s="80">
        <f>C38/C3</f>
        <v>0.47857142857142859</v>
      </c>
      <c r="E40"/>
    </row>
    <row r="41" spans="2:16384" x14ac:dyDescent="0.35">
      <c r="B41" s="66" t="s">
        <v>9</v>
      </c>
      <c r="C41" s="79">
        <f>C3-C38</f>
        <v>219000</v>
      </c>
      <c r="E41"/>
    </row>
    <row r="42" spans="2:16384" x14ac:dyDescent="0.35">
      <c r="B42" s="66" t="s">
        <v>10</v>
      </c>
      <c r="C42" s="81">
        <f>-PMT(C12/12, 12*C13, C41)</f>
        <v>1427.7161620811553</v>
      </c>
      <c r="E42"/>
    </row>
    <row r="43" spans="2:16384" ht="15" thickBot="1" x14ac:dyDescent="0.4">
      <c r="B43" s="68" t="s">
        <v>11</v>
      </c>
      <c r="C43" s="82">
        <f>C42*12</f>
        <v>17132.593944973865</v>
      </c>
      <c r="E43"/>
    </row>
    <row r="45" spans="2:16384" x14ac:dyDescent="0.35">
      <c r="G45" s="1"/>
    </row>
    <row r="46" spans="2:16384" x14ac:dyDescent="0.35">
      <c r="H46" s="1"/>
    </row>
    <row r="47" spans="2:16384" ht="21" x14ac:dyDescent="0.5">
      <c r="G47" s="36" t="s">
        <v>83</v>
      </c>
    </row>
    <row r="48" spans="2:16384" x14ac:dyDescent="0.35">
      <c r="H48" s="1" t="s">
        <v>30</v>
      </c>
    </row>
    <row r="49" spans="2:16384" s="1" customFormat="1" ht="15" thickBot="1" x14ac:dyDescent="0.4">
      <c r="B49" s="62"/>
      <c r="C49" s="61"/>
      <c r="D49" s="39"/>
      <c r="E49" s="54"/>
      <c r="G49" s="1" t="s">
        <v>28</v>
      </c>
      <c r="H49" s="1">
        <v>1</v>
      </c>
      <c r="I49" s="1">
        <v>2</v>
      </c>
      <c r="J49" s="1">
        <v>3</v>
      </c>
      <c r="K49" s="1">
        <v>4</v>
      </c>
      <c r="L49" s="1">
        <v>5</v>
      </c>
      <c r="M49" s="1">
        <v>6</v>
      </c>
      <c r="N49" s="1">
        <v>7</v>
      </c>
      <c r="O49" s="1">
        <v>8</v>
      </c>
      <c r="P49" s="1">
        <v>9</v>
      </c>
      <c r="Q49" s="1">
        <v>10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2:16384" x14ac:dyDescent="0.35">
      <c r="G50" s="22" t="s">
        <v>29</v>
      </c>
      <c r="H50" s="23">
        <f>$C$18*52</f>
        <v>13520</v>
      </c>
      <c r="I50" s="23">
        <f>H50 * (1 + $C$26)</f>
        <v>14060.800000000001</v>
      </c>
      <c r="J50" s="23">
        <f>I50 * (1 + $C$26)</f>
        <v>14623.232000000002</v>
      </c>
      <c r="K50" s="23">
        <f t="shared" ref="K50" si="56">J50 * (1 + $C$26)</f>
        <v>15208.161280000002</v>
      </c>
      <c r="L50" s="23">
        <f t="shared" ref="L50" si="57">K50 * (1 + $C$26)</f>
        <v>15816.487731200003</v>
      </c>
      <c r="M50" s="23">
        <f t="shared" ref="M50" si="58">L50 * (1 + $C$26)</f>
        <v>16449.147240448005</v>
      </c>
      <c r="N50" s="23">
        <f t="shared" ref="N50" si="59">M50 * (1 + $C$26)</f>
        <v>17107.113130065925</v>
      </c>
      <c r="O50" s="23">
        <f t="shared" ref="O50" si="60">N50 * (1 + $C$26)</f>
        <v>17791.397655268564</v>
      </c>
      <c r="P50" s="23">
        <f t="shared" ref="P50" si="61">O50 * (1 + $C$26)</f>
        <v>18503.053561479308</v>
      </c>
      <c r="Q50" s="24">
        <f t="shared" ref="Q50" si="62">P50 * (1 + $C$26)</f>
        <v>19243.175703938479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  <c r="WVZ50" s="1"/>
      <c r="WWA50" s="1"/>
      <c r="WWB50" s="1"/>
      <c r="WWC50" s="1"/>
      <c r="WWD50" s="1"/>
      <c r="WWE50" s="1"/>
      <c r="WWF50" s="1"/>
      <c r="WWG50" s="1"/>
      <c r="WWH50" s="1"/>
      <c r="WWI50" s="1"/>
      <c r="WWJ50" s="1"/>
      <c r="WWK50" s="1"/>
      <c r="WWL50" s="1"/>
      <c r="WWM50" s="1"/>
      <c r="WWN50" s="1"/>
      <c r="WWO50" s="1"/>
      <c r="WWP50" s="1"/>
      <c r="WWQ50" s="1"/>
      <c r="WWR50" s="1"/>
      <c r="WWS50" s="1"/>
      <c r="WWT50" s="1"/>
      <c r="WWU50" s="1"/>
      <c r="WWV50" s="1"/>
      <c r="WWW50" s="1"/>
      <c r="WWX50" s="1"/>
      <c r="WWY50" s="1"/>
      <c r="WWZ50" s="1"/>
      <c r="WXA50" s="1"/>
      <c r="WXB50" s="1"/>
      <c r="WXC50" s="1"/>
      <c r="WXD50" s="1"/>
      <c r="WXE50" s="1"/>
      <c r="WXF50" s="1"/>
      <c r="WXG50" s="1"/>
      <c r="WXH50" s="1"/>
      <c r="WXI50" s="1"/>
      <c r="WXJ50" s="1"/>
      <c r="WXK50" s="1"/>
      <c r="WXL50" s="1"/>
      <c r="WXM50" s="1"/>
      <c r="WXN50" s="1"/>
      <c r="WXO50" s="1"/>
      <c r="WXP50" s="1"/>
      <c r="WXQ50" s="1"/>
      <c r="WXR50" s="1"/>
      <c r="WXS50" s="1"/>
      <c r="WXT50" s="1"/>
      <c r="WXU50" s="1"/>
      <c r="WXV50" s="1"/>
      <c r="WXW50" s="1"/>
      <c r="WXX50" s="1"/>
      <c r="WXY50" s="1"/>
      <c r="WXZ50" s="1"/>
      <c r="WYA50" s="1"/>
      <c r="WYB50" s="1"/>
      <c r="WYC50" s="1"/>
      <c r="WYD50" s="1"/>
      <c r="WYE50" s="1"/>
      <c r="WYF50" s="1"/>
      <c r="WYG50" s="1"/>
      <c r="WYH50" s="1"/>
      <c r="WYI50" s="1"/>
      <c r="WYJ50" s="1"/>
      <c r="WYK50" s="1"/>
      <c r="WYL50" s="1"/>
      <c r="WYM50" s="1"/>
      <c r="WYN50" s="1"/>
      <c r="WYO50" s="1"/>
      <c r="WYP50" s="1"/>
      <c r="WYQ50" s="1"/>
      <c r="WYR50" s="1"/>
      <c r="WYS50" s="1"/>
      <c r="WYT50" s="1"/>
      <c r="WYU50" s="1"/>
      <c r="WYV50" s="1"/>
      <c r="WYW50" s="1"/>
      <c r="WYX50" s="1"/>
      <c r="WYY50" s="1"/>
      <c r="WYZ50" s="1"/>
      <c r="WZA50" s="1"/>
      <c r="WZB50" s="1"/>
      <c r="WZC50" s="1"/>
      <c r="WZD50" s="1"/>
      <c r="WZE50" s="1"/>
      <c r="WZF50" s="1"/>
      <c r="WZG50" s="1"/>
      <c r="WZH50" s="1"/>
      <c r="WZI50" s="1"/>
      <c r="WZJ50" s="1"/>
      <c r="WZK50" s="1"/>
      <c r="WZL50" s="1"/>
      <c r="WZM50" s="1"/>
      <c r="WZN50" s="1"/>
      <c r="WZO50" s="1"/>
      <c r="WZP50" s="1"/>
      <c r="WZQ50" s="1"/>
      <c r="WZR50" s="1"/>
      <c r="WZS50" s="1"/>
      <c r="WZT50" s="1"/>
      <c r="WZU50" s="1"/>
      <c r="WZV50" s="1"/>
      <c r="WZW50" s="1"/>
      <c r="WZX50" s="1"/>
      <c r="WZY50" s="1"/>
      <c r="WZZ50" s="1"/>
      <c r="XAA50" s="1"/>
      <c r="XAB50" s="1"/>
      <c r="XAC50" s="1"/>
      <c r="XAD50" s="1"/>
      <c r="XAE50" s="1"/>
      <c r="XAF50" s="1"/>
      <c r="XAG50" s="1"/>
      <c r="XAH50" s="1"/>
      <c r="XAI50" s="1"/>
      <c r="XAJ50" s="1"/>
      <c r="XAK50" s="1"/>
      <c r="XAL50" s="1"/>
      <c r="XAM50" s="1"/>
      <c r="XAN50" s="1"/>
      <c r="XAO50" s="1"/>
      <c r="XAP50" s="1"/>
      <c r="XAQ50" s="1"/>
      <c r="XAR50" s="1"/>
      <c r="XAS50" s="1"/>
      <c r="XAT50" s="1"/>
      <c r="XAU50" s="1"/>
      <c r="XAV50" s="1"/>
      <c r="XAW50" s="1"/>
      <c r="XAX50" s="1"/>
      <c r="XAY50" s="1"/>
      <c r="XAZ50" s="1"/>
      <c r="XBA50" s="1"/>
      <c r="XBB50" s="1"/>
      <c r="XBC50" s="1"/>
      <c r="XBD50" s="1"/>
      <c r="XBE50" s="1"/>
      <c r="XBF50" s="1"/>
      <c r="XBG50" s="1"/>
      <c r="XBH50" s="1"/>
      <c r="XBI50" s="1"/>
      <c r="XBJ50" s="1"/>
      <c r="XBK50" s="1"/>
      <c r="XBL50" s="1"/>
      <c r="XBM50" s="1"/>
      <c r="XBN50" s="1"/>
      <c r="XBO50" s="1"/>
      <c r="XBP50" s="1"/>
      <c r="XBQ50" s="1"/>
      <c r="XBR50" s="1"/>
      <c r="XBS50" s="1"/>
      <c r="XBT50" s="1"/>
      <c r="XBU50" s="1"/>
      <c r="XBV50" s="1"/>
      <c r="XBW50" s="1"/>
      <c r="XBX50" s="1"/>
      <c r="XBY50" s="1"/>
      <c r="XBZ50" s="1"/>
      <c r="XCA50" s="1"/>
      <c r="XCB50" s="1"/>
      <c r="XCC50" s="1"/>
      <c r="XCD50" s="1"/>
      <c r="XCE50" s="1"/>
      <c r="XCF50" s="1"/>
      <c r="XCG50" s="1"/>
      <c r="XCH50" s="1"/>
      <c r="XCI50" s="1"/>
      <c r="XCJ50" s="1"/>
      <c r="XCK50" s="1"/>
      <c r="XCL50" s="1"/>
      <c r="XCM50" s="1"/>
      <c r="XCN50" s="1"/>
      <c r="XCO50" s="1"/>
      <c r="XCP50" s="1"/>
      <c r="XCQ50" s="1"/>
      <c r="XCR50" s="1"/>
      <c r="XCS50" s="1"/>
      <c r="XCT50" s="1"/>
      <c r="XCU50" s="1"/>
      <c r="XCV50" s="1"/>
      <c r="XCW50" s="1"/>
      <c r="XCX50" s="1"/>
      <c r="XCY50" s="1"/>
      <c r="XCZ50" s="1"/>
      <c r="XDA50" s="1"/>
      <c r="XDB50" s="1"/>
      <c r="XDC50" s="1"/>
      <c r="XDD50" s="1"/>
      <c r="XDE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2:16384" x14ac:dyDescent="0.35">
      <c r="G51" s="25" t="s">
        <v>31</v>
      </c>
      <c r="H51" s="7">
        <f>H50*$C$20/52</f>
        <v>780</v>
      </c>
      <c r="I51" s="7">
        <f>I50*$C$20/52</f>
        <v>811.2</v>
      </c>
      <c r="J51" s="7">
        <f>J50*$C$20/52</f>
        <v>843.64800000000002</v>
      </c>
      <c r="K51" s="7">
        <f t="shared" ref="K51:Q51" si="63">K50*$C$20/52</f>
        <v>877.39392000000021</v>
      </c>
      <c r="L51" s="7">
        <f t="shared" si="63"/>
        <v>912.4896768000001</v>
      </c>
      <c r="M51" s="7">
        <f t="shared" si="63"/>
        <v>948.98926387200038</v>
      </c>
      <c r="N51" s="7">
        <f t="shared" si="63"/>
        <v>986.94883442688035</v>
      </c>
      <c r="O51" s="7">
        <f t="shared" si="63"/>
        <v>1026.4267878039557</v>
      </c>
      <c r="P51" s="7">
        <f t="shared" si="63"/>
        <v>1067.4838593161139</v>
      </c>
      <c r="Q51" s="26">
        <f t="shared" si="63"/>
        <v>1110.1832136887583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:16384" ht="15" thickBot="1" x14ac:dyDescent="0.4">
      <c r="G52" s="27" t="s">
        <v>32</v>
      </c>
      <c r="H52" s="21">
        <f>H50-H51</f>
        <v>12740</v>
      </c>
      <c r="I52" s="21">
        <f t="shared" ref="I52:Q52" si="64">I50-I51</f>
        <v>13249.6</v>
      </c>
      <c r="J52" s="21">
        <f t="shared" si="64"/>
        <v>13779.584000000003</v>
      </c>
      <c r="K52" s="21">
        <f t="shared" si="64"/>
        <v>14330.767360000002</v>
      </c>
      <c r="L52" s="21">
        <f t="shared" si="64"/>
        <v>14903.998054400003</v>
      </c>
      <c r="M52" s="21">
        <f t="shared" si="64"/>
        <v>15500.157976576003</v>
      </c>
      <c r="N52" s="21">
        <f t="shared" si="64"/>
        <v>16120.164295639044</v>
      </c>
      <c r="O52" s="21">
        <f t="shared" si="64"/>
        <v>16764.970867464606</v>
      </c>
      <c r="P52" s="21">
        <f t="shared" si="64"/>
        <v>17435.569702163193</v>
      </c>
      <c r="Q52" s="28">
        <f t="shared" si="64"/>
        <v>18132.992490249722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:16384" ht="15" thickBot="1" x14ac:dyDescent="0.4"/>
    <row r="54" spans="2:16384" x14ac:dyDescent="0.35">
      <c r="G54" s="22" t="s">
        <v>33</v>
      </c>
      <c r="H54" s="23">
        <f>$C$23</f>
        <v>2300</v>
      </c>
      <c r="I54" s="23">
        <f>H54*(1+$C$29)</f>
        <v>2392</v>
      </c>
      <c r="J54" s="23">
        <f>I54*(1+$C$29)</f>
        <v>2487.6800000000003</v>
      </c>
      <c r="K54" s="23">
        <f t="shared" ref="K54" si="65">J54*(1+$C$29)</f>
        <v>2587.1872000000003</v>
      </c>
      <c r="L54" s="23">
        <f t="shared" ref="L54" si="66">K54*(1+$C$29)</f>
        <v>2690.6746880000005</v>
      </c>
      <c r="M54" s="23">
        <f t="shared" ref="M54" si="67">L54*(1+$C$29)</f>
        <v>2798.3016755200006</v>
      </c>
      <c r="N54" s="23">
        <f t="shared" ref="N54" si="68">M54*(1+$C$29)</f>
        <v>2910.2337425408009</v>
      </c>
      <c r="O54" s="23">
        <f t="shared" ref="O54" si="69">N54*(1+$C$29)</f>
        <v>3026.6430922424329</v>
      </c>
      <c r="P54" s="23">
        <f t="shared" ref="P54" si="70">O54*(1+$C$29)</f>
        <v>3147.7088159321302</v>
      </c>
      <c r="Q54" s="24">
        <f t="shared" ref="Q54" si="71">P54*(1+$C$29)</f>
        <v>3273.6171685694153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:16384" x14ac:dyDescent="0.35">
      <c r="C55" s="83"/>
      <c r="G55" s="25" t="s">
        <v>34</v>
      </c>
      <c r="H55" s="7">
        <f>$C$24</f>
        <v>1500</v>
      </c>
      <c r="I55" s="7">
        <f>H55*(1+$C$28)</f>
        <v>1545</v>
      </c>
      <c r="J55" s="7">
        <f t="shared" ref="J55:Q55" si="72">I55*(1+$C$28)</f>
        <v>1591.3500000000001</v>
      </c>
      <c r="K55" s="7">
        <f t="shared" si="72"/>
        <v>1639.0905000000002</v>
      </c>
      <c r="L55" s="7">
        <f t="shared" si="72"/>
        <v>1688.2632150000004</v>
      </c>
      <c r="M55" s="7">
        <f t="shared" si="72"/>
        <v>1738.9111114500004</v>
      </c>
      <c r="N55" s="7">
        <f t="shared" si="72"/>
        <v>1791.0784447935005</v>
      </c>
      <c r="O55" s="7">
        <f t="shared" si="72"/>
        <v>1844.8107981373055</v>
      </c>
      <c r="P55" s="7">
        <f t="shared" si="72"/>
        <v>1900.1551220814247</v>
      </c>
      <c r="Q55" s="26">
        <f t="shared" si="72"/>
        <v>1957.1597757438674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:16384" x14ac:dyDescent="0.35">
      <c r="G56" s="25" t="s">
        <v>18</v>
      </c>
      <c r="H56" s="7">
        <f>$C$25</f>
        <v>0</v>
      </c>
      <c r="I56" s="7">
        <f t="shared" ref="I56:Q56" si="73">$C$25</f>
        <v>0</v>
      </c>
      <c r="J56" s="7">
        <f t="shared" si="73"/>
        <v>0</v>
      </c>
      <c r="K56" s="7">
        <f t="shared" si="73"/>
        <v>0</v>
      </c>
      <c r="L56" s="7">
        <f t="shared" si="73"/>
        <v>0</v>
      </c>
      <c r="M56" s="7">
        <f t="shared" si="73"/>
        <v>0</v>
      </c>
      <c r="N56" s="7">
        <f t="shared" si="73"/>
        <v>0</v>
      </c>
      <c r="O56" s="7">
        <f t="shared" si="73"/>
        <v>0</v>
      </c>
      <c r="P56" s="7">
        <f t="shared" si="73"/>
        <v>0</v>
      </c>
      <c r="Q56" s="26">
        <f t="shared" si="73"/>
        <v>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:16384" x14ac:dyDescent="0.35">
      <c r="G57" s="25" t="s">
        <v>35</v>
      </c>
      <c r="H57" s="7">
        <f>$C$21</f>
        <v>2000</v>
      </c>
      <c r="I57" s="7">
        <f>H57*(1+$C$27)</f>
        <v>2060</v>
      </c>
      <c r="J57" s="7">
        <f t="shared" ref="J57:Q57" si="74">I57*(1+$C$27)</f>
        <v>2121.8000000000002</v>
      </c>
      <c r="K57" s="7">
        <f t="shared" si="74"/>
        <v>2185.4540000000002</v>
      </c>
      <c r="L57" s="7">
        <f t="shared" si="74"/>
        <v>2251.0176200000001</v>
      </c>
      <c r="M57" s="7">
        <f t="shared" si="74"/>
        <v>2318.5481486000003</v>
      </c>
      <c r="N57" s="7">
        <f t="shared" si="74"/>
        <v>2388.1045930580003</v>
      </c>
      <c r="O57" s="7">
        <f t="shared" si="74"/>
        <v>2459.7477308497405</v>
      </c>
      <c r="P57" s="7">
        <f t="shared" si="74"/>
        <v>2533.5401627752326</v>
      </c>
      <c r="Q57" s="26">
        <f t="shared" si="74"/>
        <v>2609.5463676584895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:16384" ht="15" thickBot="1" x14ac:dyDescent="0.4">
      <c r="G58" s="27" t="s">
        <v>37</v>
      </c>
      <c r="H58" s="21">
        <f t="shared" ref="H58:Q58" si="75">SUM(H54:H57)</f>
        <v>5800</v>
      </c>
      <c r="I58" s="21">
        <f t="shared" si="75"/>
        <v>5997</v>
      </c>
      <c r="J58" s="21">
        <f t="shared" si="75"/>
        <v>6200.8300000000008</v>
      </c>
      <c r="K58" s="21">
        <f t="shared" si="75"/>
        <v>6411.7317000000003</v>
      </c>
      <c r="L58" s="21">
        <f t="shared" si="75"/>
        <v>6629.9555230000005</v>
      </c>
      <c r="M58" s="21">
        <f t="shared" si="75"/>
        <v>6855.7609355700006</v>
      </c>
      <c r="N58" s="21">
        <f t="shared" si="75"/>
        <v>7089.4167803923019</v>
      </c>
      <c r="O58" s="21">
        <f t="shared" si="75"/>
        <v>7331.2016212294784</v>
      </c>
      <c r="P58" s="21">
        <f t="shared" si="75"/>
        <v>7581.4041007887872</v>
      </c>
      <c r="Q58" s="28">
        <f t="shared" si="75"/>
        <v>7840.3233119717725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:16384" ht="15" thickBot="1" x14ac:dyDescent="0.4"/>
    <row r="60" spans="2:16384" s="1" customFormat="1" x14ac:dyDescent="0.35">
      <c r="B60" s="60"/>
      <c r="C60" s="61"/>
      <c r="D60" s="39"/>
      <c r="E60" s="54"/>
      <c r="G60" s="29" t="s">
        <v>38</v>
      </c>
      <c r="H60" s="23">
        <f t="shared" ref="H60:Q60" si="76">H52-H58</f>
        <v>6940</v>
      </c>
      <c r="I60" s="23">
        <f t="shared" si="76"/>
        <v>7252.6</v>
      </c>
      <c r="J60" s="23">
        <f t="shared" si="76"/>
        <v>7578.7540000000017</v>
      </c>
      <c r="K60" s="23">
        <f t="shared" si="76"/>
        <v>7919.0356600000014</v>
      </c>
      <c r="L60" s="23">
        <f t="shared" si="76"/>
        <v>8274.0425314000022</v>
      </c>
      <c r="M60" s="23">
        <f t="shared" si="76"/>
        <v>8644.3970410060028</v>
      </c>
      <c r="N60" s="23">
        <f t="shared" si="76"/>
        <v>9030.7475152467414</v>
      </c>
      <c r="O60" s="23">
        <f t="shared" si="76"/>
        <v>9433.7692462351279</v>
      </c>
      <c r="P60" s="23">
        <f t="shared" si="76"/>
        <v>9854.1656013744068</v>
      </c>
      <c r="Q60" s="24">
        <f t="shared" si="76"/>
        <v>10292.669178277949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2:16384" x14ac:dyDescent="0.35">
      <c r="G61" s="25" t="s">
        <v>39</v>
      </c>
      <c r="H61" s="20">
        <f t="shared" ref="H61:Q61" si="77">$C$43</f>
        <v>17132.593944973865</v>
      </c>
      <c r="I61" s="20">
        <f t="shared" si="77"/>
        <v>17132.593944973865</v>
      </c>
      <c r="J61" s="20">
        <f t="shared" si="77"/>
        <v>17132.593944973865</v>
      </c>
      <c r="K61" s="20">
        <f t="shared" si="77"/>
        <v>17132.593944973865</v>
      </c>
      <c r="L61" s="20">
        <f t="shared" si="77"/>
        <v>17132.593944973865</v>
      </c>
      <c r="M61" s="20">
        <f t="shared" si="77"/>
        <v>17132.593944973865</v>
      </c>
      <c r="N61" s="20">
        <f t="shared" si="77"/>
        <v>17132.593944973865</v>
      </c>
      <c r="O61" s="20">
        <f t="shared" si="77"/>
        <v>17132.593944973865</v>
      </c>
      <c r="P61" s="20">
        <f t="shared" si="77"/>
        <v>17132.593944973865</v>
      </c>
      <c r="Q61" s="30">
        <f t="shared" si="77"/>
        <v>17132.593944973865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2:16384" ht="15" thickBot="1" x14ac:dyDescent="0.4">
      <c r="G62" s="52" t="s">
        <v>40</v>
      </c>
      <c r="H62" s="21">
        <f>H60-H61</f>
        <v>-10192.593944973865</v>
      </c>
      <c r="I62" s="21">
        <f t="shared" ref="I62:Q62" si="78">I60-I61</f>
        <v>-9879.9939449738649</v>
      </c>
      <c r="J62" s="21">
        <f t="shared" si="78"/>
        <v>-9553.8399449738645</v>
      </c>
      <c r="K62" s="21">
        <f t="shared" si="78"/>
        <v>-9213.5582849738639</v>
      </c>
      <c r="L62" s="21">
        <f t="shared" si="78"/>
        <v>-8858.5514135738631</v>
      </c>
      <c r="M62" s="21">
        <f t="shared" si="78"/>
        <v>-8488.1969039678625</v>
      </c>
      <c r="N62" s="21">
        <f t="shared" si="78"/>
        <v>-8101.8464297271239</v>
      </c>
      <c r="O62" s="21">
        <f t="shared" si="78"/>
        <v>-7698.8246987387374</v>
      </c>
      <c r="P62" s="21">
        <f t="shared" si="78"/>
        <v>-7278.4283435994585</v>
      </c>
      <c r="Q62" s="28">
        <f t="shared" si="78"/>
        <v>-6839.9247666959163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2:16384" ht="15" thickBot="1" x14ac:dyDescent="0.4">
      <c r="G63" s="46" t="s">
        <v>60</v>
      </c>
      <c r="H63" s="47">
        <f>H62*$C$8</f>
        <v>-10192.593944973865</v>
      </c>
      <c r="I63" s="47">
        <f t="shared" ref="I63" si="79">I62*$C$8</f>
        <v>-9879.9939449738649</v>
      </c>
      <c r="J63" s="47">
        <f t="shared" ref="J63" si="80">J62*$C$8</f>
        <v>-9553.8399449738645</v>
      </c>
      <c r="K63" s="47">
        <f t="shared" ref="K63" si="81">K62*$C$8</f>
        <v>-9213.5582849738639</v>
      </c>
      <c r="L63" s="47">
        <f t="shared" ref="L63" si="82">L62*$C$8</f>
        <v>-8858.5514135738631</v>
      </c>
      <c r="M63" s="47">
        <f t="shared" ref="M63" si="83">M62*$C$8</f>
        <v>-8488.1969039678625</v>
      </c>
      <c r="N63" s="47">
        <f t="shared" ref="N63" si="84">N62*$C$8</f>
        <v>-8101.8464297271239</v>
      </c>
      <c r="O63" s="47">
        <f t="shared" ref="O63" si="85">O62*$C$8</f>
        <v>-7698.8246987387374</v>
      </c>
      <c r="P63" s="47">
        <f t="shared" ref="P63" si="86">P62*$C$8</f>
        <v>-7278.4283435994585</v>
      </c>
      <c r="Q63" s="48">
        <f t="shared" ref="Q63" si="87">Q62*$C$8</f>
        <v>-6839.9247666959163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:16384" s="1" customFormat="1" ht="15" thickBot="1" x14ac:dyDescent="0.4">
      <c r="B64" s="60"/>
      <c r="C64" s="61"/>
      <c r="D64" s="39"/>
      <c r="E64" s="5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2:16384" x14ac:dyDescent="0.35">
      <c r="G65" s="22" t="s">
        <v>41</v>
      </c>
      <c r="H65" s="32">
        <f t="shared" ref="H65:Q65" si="88">-CUMPRINC($C$12/12, $C$13*12, $C$41, (H49-1)*12+1, H49*12, 0)</f>
        <v>2311.7618068767292</v>
      </c>
      <c r="I65" s="32">
        <f t="shared" si="88"/>
        <v>2473.9547384130801</v>
      </c>
      <c r="J65" s="32">
        <f t="shared" si="88"/>
        <v>2647.5271066033733</v>
      </c>
      <c r="K65" s="32">
        <f t="shared" si="88"/>
        <v>2833.2772913605586</v>
      </c>
      <c r="L65" s="32">
        <f t="shared" si="88"/>
        <v>3032.0596868366706</v>
      </c>
      <c r="M65" s="32">
        <f t="shared" si="88"/>
        <v>3244.7886313751396</v>
      </c>
      <c r="N65" s="32">
        <f t="shared" si="88"/>
        <v>3472.4426131880778</v>
      </c>
      <c r="O65" s="32">
        <f t="shared" si="88"/>
        <v>3716.0687711033838</v>
      </c>
      <c r="P65" s="32">
        <f t="shared" si="88"/>
        <v>3976.7877110837267</v>
      </c>
      <c r="Q65" s="33">
        <f t="shared" si="88"/>
        <v>4255.798660671926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2:16384" x14ac:dyDescent="0.35">
      <c r="B66" s="62"/>
      <c r="C66" s="83"/>
      <c r="G66" s="25" t="s">
        <v>42</v>
      </c>
      <c r="H66" s="7">
        <f>$C$6*$C$32</f>
        <v>21000</v>
      </c>
      <c r="I66" s="7">
        <f>H71*$C$32</f>
        <v>22050</v>
      </c>
      <c r="J66" s="7">
        <f>I71*$C$32</f>
        <v>23152.5</v>
      </c>
      <c r="K66" s="7">
        <f t="shared" ref="K66" si="89">J71*$C$32</f>
        <v>24310.125</v>
      </c>
      <c r="L66" s="7">
        <f t="shared" ref="L66" si="90">K71*$C$32</f>
        <v>25525.631250000002</v>
      </c>
      <c r="M66" s="7">
        <f t="shared" ref="M66" si="91">L71*$C$32</f>
        <v>26801.912812499999</v>
      </c>
      <c r="N66" s="7">
        <f t="shared" ref="N66" si="92">M71*$C$32</f>
        <v>28142.008453125003</v>
      </c>
      <c r="O66" s="7">
        <f t="shared" ref="O66" si="93">N71*$C$32</f>
        <v>29549.108875781254</v>
      </c>
      <c r="P66" s="7">
        <f t="shared" ref="P66" si="94">O71*$C$32</f>
        <v>31026.564319570316</v>
      </c>
      <c r="Q66" s="26">
        <f t="shared" ref="Q66" si="95">P71*$C$32</f>
        <v>32577.892535548832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2:16384" ht="15" thickBot="1" x14ac:dyDescent="0.4">
      <c r="G67" s="27" t="s">
        <v>44</v>
      </c>
      <c r="H67" s="21">
        <f t="shared" ref="H67:Q67" si="96">H62+H65+H66</f>
        <v>13119.167861902864</v>
      </c>
      <c r="I67" s="21">
        <f t="shared" si="96"/>
        <v>14643.960793439215</v>
      </c>
      <c r="J67" s="21">
        <f t="shared" si="96"/>
        <v>16246.187161629508</v>
      </c>
      <c r="K67" s="21">
        <f t="shared" si="96"/>
        <v>17929.844006386695</v>
      </c>
      <c r="L67" s="21">
        <f t="shared" si="96"/>
        <v>19699.139523262809</v>
      </c>
      <c r="M67" s="21">
        <f t="shared" si="96"/>
        <v>21558.504539907277</v>
      </c>
      <c r="N67" s="21">
        <f t="shared" si="96"/>
        <v>23512.604636585958</v>
      </c>
      <c r="O67" s="21">
        <f t="shared" si="96"/>
        <v>25566.352948145901</v>
      </c>
      <c r="P67" s="21">
        <f t="shared" si="96"/>
        <v>27724.923687054583</v>
      </c>
      <c r="Q67" s="28">
        <f t="shared" si="96"/>
        <v>29993.76642952484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2:16384" x14ac:dyDescent="0.35">
      <c r="H68" s="7"/>
    </row>
    <row r="70" spans="2:16384" ht="15" thickBot="1" x14ac:dyDescent="0.4">
      <c r="B70" s="62"/>
      <c r="C70" s="83"/>
      <c r="G70" s="1" t="s">
        <v>45</v>
      </c>
    </row>
    <row r="71" spans="2:16384" x14ac:dyDescent="0.35">
      <c r="G71" s="22" t="s">
        <v>43</v>
      </c>
      <c r="H71" s="23">
        <f>$C$6+H66</f>
        <v>441000</v>
      </c>
      <c r="I71" s="23">
        <f t="shared" ref="I71" si="97">H71+I66</f>
        <v>463050</v>
      </c>
      <c r="J71" s="23">
        <f t="shared" ref="J71" si="98">I71+J66</f>
        <v>486202.5</v>
      </c>
      <c r="K71" s="23">
        <f t="shared" ref="K71" si="99">J71+K66</f>
        <v>510512.625</v>
      </c>
      <c r="L71" s="23">
        <f t="shared" ref="L71" si="100">K71+L66</f>
        <v>536038.25624999998</v>
      </c>
      <c r="M71" s="23">
        <f t="shared" ref="M71" si="101">L71+M66</f>
        <v>562840.1690625</v>
      </c>
      <c r="N71" s="23">
        <f t="shared" ref="N71" si="102">M71+N66</f>
        <v>590982.17751562502</v>
      </c>
      <c r="O71" s="23">
        <f t="shared" ref="O71" si="103">N71+O66</f>
        <v>620531.28639140632</v>
      </c>
      <c r="P71" s="23">
        <f t="shared" ref="P71" si="104">O71+P66</f>
        <v>651557.85071097664</v>
      </c>
      <c r="Q71" s="24">
        <f t="shared" ref="Q71" si="105">P71+Q66</f>
        <v>684135.74324652553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2:16384" x14ac:dyDescent="0.35">
      <c r="B72"/>
      <c r="G72" s="25" t="s">
        <v>46</v>
      </c>
      <c r="H72" s="20">
        <f t="shared" ref="H72:Q72" si="106">FV($C$12/12, H49*12, $C$42, -$C$41)</f>
        <v>216688.23819312325</v>
      </c>
      <c r="I72" s="20">
        <f t="shared" si="106"/>
        <v>214214.28345471021</v>
      </c>
      <c r="J72" s="20">
        <f t="shared" si="106"/>
        <v>211566.75634810684</v>
      </c>
      <c r="K72" s="20">
        <f t="shared" si="106"/>
        <v>208733.47905674629</v>
      </c>
      <c r="L72" s="20">
        <f t="shared" si="106"/>
        <v>205701.41936990962</v>
      </c>
      <c r="M72" s="20">
        <f t="shared" si="106"/>
        <v>202456.6307385345</v>
      </c>
      <c r="N72" s="20">
        <f t="shared" si="106"/>
        <v>198984.18812534635</v>
      </c>
      <c r="O72" s="20">
        <f t="shared" si="106"/>
        <v>195268.11935424301</v>
      </c>
      <c r="P72" s="20">
        <f t="shared" si="106"/>
        <v>191291.3316431593</v>
      </c>
      <c r="Q72" s="30">
        <f t="shared" si="106"/>
        <v>187035.53298248738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2:16384" ht="15" thickBot="1" x14ac:dyDescent="0.4">
      <c r="B73"/>
      <c r="G73" s="27" t="s">
        <v>47</v>
      </c>
      <c r="H73" s="19">
        <f>H71-H72</f>
        <v>224311.76180687675</v>
      </c>
      <c r="I73" s="19">
        <f t="shared" ref="I73:Q73" si="107">I71-I72</f>
        <v>248835.71654528979</v>
      </c>
      <c r="J73" s="19">
        <f t="shared" si="107"/>
        <v>274635.74365189316</v>
      </c>
      <c r="K73" s="19">
        <f t="shared" si="107"/>
        <v>301779.14594325371</v>
      </c>
      <c r="L73" s="19">
        <f t="shared" si="107"/>
        <v>330336.83688009036</v>
      </c>
      <c r="M73" s="19">
        <f t="shared" si="107"/>
        <v>360383.53832396551</v>
      </c>
      <c r="N73" s="19">
        <f t="shared" si="107"/>
        <v>391997.9893902787</v>
      </c>
      <c r="O73" s="19">
        <f t="shared" si="107"/>
        <v>425263.16703716328</v>
      </c>
      <c r="P73" s="19">
        <f t="shared" si="107"/>
        <v>460266.51906781737</v>
      </c>
      <c r="Q73" s="31">
        <f t="shared" si="107"/>
        <v>497100.21026403818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2:16384" x14ac:dyDescent="0.35">
      <c r="B74"/>
      <c r="G74" s="25"/>
      <c r="Q74" s="34"/>
    </row>
    <row r="75" spans="2:16384" x14ac:dyDescent="0.35">
      <c r="B75"/>
      <c r="G75" s="35" t="s">
        <v>48</v>
      </c>
      <c r="H75" s="7">
        <f>$C$34*H71</f>
        <v>22050</v>
      </c>
      <c r="I75" s="7">
        <f t="shared" ref="I75:Q75" si="108">$C$34*I71</f>
        <v>23152.5</v>
      </c>
      <c r="J75" s="7">
        <f t="shared" si="108"/>
        <v>24310.125</v>
      </c>
      <c r="K75" s="7">
        <f t="shared" si="108"/>
        <v>25525.631250000002</v>
      </c>
      <c r="L75" s="7">
        <f t="shared" si="108"/>
        <v>26801.912812499999</v>
      </c>
      <c r="M75" s="7">
        <f t="shared" si="108"/>
        <v>28142.008453125003</v>
      </c>
      <c r="N75" s="7">
        <f t="shared" si="108"/>
        <v>29549.108875781254</v>
      </c>
      <c r="O75" s="7">
        <f t="shared" si="108"/>
        <v>31026.564319570316</v>
      </c>
      <c r="P75" s="7">
        <f t="shared" si="108"/>
        <v>32577.892535548832</v>
      </c>
      <c r="Q75" s="26">
        <f t="shared" si="108"/>
        <v>34206.787162326276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2:16384" x14ac:dyDescent="0.35">
      <c r="B76"/>
      <c r="G76" s="25" t="s">
        <v>49</v>
      </c>
      <c r="H76" s="7">
        <f>SUM($H62:H62)</f>
        <v>-10192.593944973865</v>
      </c>
      <c r="I76" s="7">
        <f>SUM($H62:I62)</f>
        <v>-20072.587889947732</v>
      </c>
      <c r="J76" s="7">
        <f>SUM($H62:J62)</f>
        <v>-29626.427834921597</v>
      </c>
      <c r="K76" s="7">
        <f>SUM($H62:K62)</f>
        <v>-38839.98611989546</v>
      </c>
      <c r="L76" s="7">
        <f>SUM($H62:L62)</f>
        <v>-47698.537533469324</v>
      </c>
      <c r="M76" s="7">
        <f>SUM($H62:M62)</f>
        <v>-56186.73443743719</v>
      </c>
      <c r="N76" s="7">
        <f>SUM($H62:N62)</f>
        <v>-64288.580867164317</v>
      </c>
      <c r="O76" s="7">
        <f>SUM($H62:O62)</f>
        <v>-71987.405565903056</v>
      </c>
      <c r="P76" s="7">
        <f>SUM($H62:P62)</f>
        <v>-79265.833909502515</v>
      </c>
      <c r="Q76" s="26">
        <f>SUM($H62:Q62)</f>
        <v>-86105.758676198428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2:16384" ht="15" thickBot="1" x14ac:dyDescent="0.4">
      <c r="G77" s="27" t="s">
        <v>50</v>
      </c>
      <c r="H77" s="19">
        <f>H73-H75+H76</f>
        <v>192069.16786190288</v>
      </c>
      <c r="I77" s="19">
        <f t="shared" ref="I77:Q77" si="109">I73-I75+I76</f>
        <v>205610.62865534207</v>
      </c>
      <c r="J77" s="19">
        <f t="shared" si="109"/>
        <v>220699.19081697156</v>
      </c>
      <c r="K77" s="19">
        <f t="shared" si="109"/>
        <v>237413.52857335826</v>
      </c>
      <c r="L77" s="19">
        <f t="shared" si="109"/>
        <v>255836.38653412106</v>
      </c>
      <c r="M77" s="19">
        <f t="shared" si="109"/>
        <v>276054.79543340328</v>
      </c>
      <c r="N77" s="19">
        <f t="shared" si="109"/>
        <v>298160.29964733316</v>
      </c>
      <c r="O77" s="19">
        <f t="shared" si="109"/>
        <v>322249.19715168991</v>
      </c>
      <c r="P77" s="19">
        <f t="shared" si="109"/>
        <v>348422.79262276599</v>
      </c>
      <c r="Q77" s="31">
        <f t="shared" si="109"/>
        <v>376787.66442551347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2:16384" ht="15" thickBot="1" x14ac:dyDescent="0.4"/>
    <row r="79" spans="2:16384" ht="15" thickBot="1" x14ac:dyDescent="0.4">
      <c r="G79" s="49" t="s">
        <v>53</v>
      </c>
      <c r="H79" s="50">
        <f>H77-$C$7</f>
        <v>-11930.832138097117</v>
      </c>
      <c r="I79" s="50">
        <f t="shared" ref="I79:Q79" si="110">I77-$C$7</f>
        <v>1610.628655342065</v>
      </c>
      <c r="J79" s="50">
        <f t="shared" si="110"/>
        <v>16699.190816971561</v>
      </c>
      <c r="K79" s="50">
        <f t="shared" si="110"/>
        <v>33413.528573358257</v>
      </c>
      <c r="L79" s="50">
        <f t="shared" si="110"/>
        <v>51836.386534121062</v>
      </c>
      <c r="M79" s="50">
        <f t="shared" si="110"/>
        <v>72054.795433403284</v>
      </c>
      <c r="N79" s="50">
        <f t="shared" si="110"/>
        <v>94160.299647333159</v>
      </c>
      <c r="O79" s="50">
        <f t="shared" si="110"/>
        <v>118249.19715168991</v>
      </c>
      <c r="P79" s="50">
        <f t="shared" si="110"/>
        <v>144422.79262276599</v>
      </c>
      <c r="Q79" s="51">
        <f t="shared" si="110"/>
        <v>172787.66442551347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2:16384" ht="15" thickBot="1" x14ac:dyDescent="0.4">
      <c r="G80" s="46" t="s">
        <v>59</v>
      </c>
      <c r="H80" s="47">
        <f>H79*$C$8</f>
        <v>-11930.832138097117</v>
      </c>
      <c r="I80" s="47">
        <f t="shared" ref="I80" si="111">I79*$C$8</f>
        <v>1610.628655342065</v>
      </c>
      <c r="J80" s="47">
        <f t="shared" ref="J80" si="112">J79*$C$8</f>
        <v>16699.190816971561</v>
      </c>
      <c r="K80" s="47">
        <f t="shared" ref="K80" si="113">K79*$C$8</f>
        <v>33413.528573358257</v>
      </c>
      <c r="L80" s="47">
        <f t="shared" ref="L80" si="114">L79*$C$8</f>
        <v>51836.386534121062</v>
      </c>
      <c r="M80" s="47">
        <f t="shared" ref="M80" si="115">M79*$C$8</f>
        <v>72054.795433403284</v>
      </c>
      <c r="N80" s="47">
        <f t="shared" ref="N80" si="116">N79*$C$8</f>
        <v>94160.299647333159</v>
      </c>
      <c r="O80" s="47">
        <f t="shared" ref="O80" si="117">O79*$C$8</f>
        <v>118249.19715168991</v>
      </c>
      <c r="P80" s="47">
        <f t="shared" ref="P80" si="118">P79*$C$8</f>
        <v>144422.79262276599</v>
      </c>
      <c r="Q80" s="48">
        <f t="shared" ref="Q80" si="119">Q79*$C$8</f>
        <v>172787.66442551347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2" spans="7:37" ht="15" thickBot="1" x14ac:dyDescent="0.4"/>
    <row r="83" spans="7:37" x14ac:dyDescent="0.35">
      <c r="G83" s="40" t="s">
        <v>61</v>
      </c>
      <c r="H83" s="41">
        <f>H79/$C$7</f>
        <v>-5.8484471265181949E-2</v>
      </c>
      <c r="I83" s="41">
        <f t="shared" ref="I83:Q83" si="120">I79/$C$7</f>
        <v>7.89523850657875E-3</v>
      </c>
      <c r="J83" s="41">
        <f t="shared" si="120"/>
        <v>8.185877851456648E-2</v>
      </c>
      <c r="K83" s="41">
        <f t="shared" si="120"/>
        <v>0.16379180673214833</v>
      </c>
      <c r="L83" s="41">
        <f t="shared" si="120"/>
        <v>0.25409993399078951</v>
      </c>
      <c r="M83" s="41">
        <f t="shared" si="120"/>
        <v>0.35320978153629062</v>
      </c>
      <c r="N83" s="41">
        <f t="shared" si="120"/>
        <v>0.46157009631045665</v>
      </c>
      <c r="O83" s="41">
        <f t="shared" si="120"/>
        <v>0.57965292721416617</v>
      </c>
      <c r="P83" s="41">
        <f t="shared" si="120"/>
        <v>0.70795486579787248</v>
      </c>
      <c r="Q83" s="42">
        <f t="shared" si="120"/>
        <v>0.84699835502702681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7:37" ht="15" thickBot="1" x14ac:dyDescent="0.4">
      <c r="G84" s="43" t="s">
        <v>62</v>
      </c>
      <c r="H84" s="44">
        <f t="shared" ref="H84:Q84" si="121">(($C$7+H79)/$C$7)^(1/H49)-1</f>
        <v>-5.848447126518197E-2</v>
      </c>
      <c r="I84" s="44">
        <f t="shared" si="121"/>
        <v>3.9398580127092409E-3</v>
      </c>
      <c r="J84" s="44">
        <f t="shared" si="121"/>
        <v>2.6573835564295045E-2</v>
      </c>
      <c r="K84" s="44">
        <f t="shared" si="121"/>
        <v>3.8649039540503916E-2</v>
      </c>
      <c r="L84" s="44">
        <f t="shared" si="121"/>
        <v>4.6324582937536718E-2</v>
      </c>
      <c r="M84" s="44">
        <f t="shared" si="121"/>
        <v>5.1705604013026374E-2</v>
      </c>
      <c r="N84" s="44">
        <f t="shared" si="121"/>
        <v>5.5712500801715859E-2</v>
      </c>
      <c r="O84" s="44">
        <f t="shared" si="121"/>
        <v>5.8815303161671162E-2</v>
      </c>
      <c r="P84" s="44">
        <f t="shared" si="121"/>
        <v>6.1281783975958959E-2</v>
      </c>
      <c r="Q84" s="45">
        <f t="shared" si="121"/>
        <v>6.3277566079210867E-2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8E81-63EB-4C96-9100-A56AF60406CE}">
  <sheetPr codeName="Sheet4"/>
  <dimension ref="B1:AP70"/>
  <sheetViews>
    <sheetView tabSelected="1" workbookViewId="0">
      <selection activeCell="A12" sqref="A10:A12"/>
    </sheetView>
  </sheetViews>
  <sheetFormatPr defaultColWidth="11.1796875" defaultRowHeight="14.5" customHeight="1" x14ac:dyDescent="0.35"/>
  <cols>
    <col min="2" max="2" width="14.36328125" customWidth="1"/>
    <col min="3" max="3" width="18.36328125" bestFit="1" customWidth="1"/>
    <col min="4" max="4" width="11.08984375" bestFit="1" customWidth="1"/>
    <col min="7" max="7" width="26.26953125" bestFit="1" customWidth="1"/>
    <col min="8" max="9" width="12.08984375" bestFit="1" customWidth="1"/>
    <col min="10" max="10" width="12.08984375" style="14" bestFit="1" customWidth="1"/>
    <col min="11" max="13" width="12.08984375" bestFit="1" customWidth="1"/>
    <col min="14" max="37" width="13.6328125" bestFit="1" customWidth="1"/>
  </cols>
  <sheetData>
    <row r="1" spans="2:42" ht="14.5" customHeight="1" x14ac:dyDescent="0.35">
      <c r="E1" s="1" t="s">
        <v>76</v>
      </c>
      <c r="G1" s="85" t="s">
        <v>72</v>
      </c>
    </row>
    <row r="2" spans="2:42" ht="14.5" customHeight="1" thickBot="1" x14ac:dyDescent="0.4">
      <c r="H2" s="1" t="s">
        <v>30</v>
      </c>
    </row>
    <row r="3" spans="2:42" ht="14.5" customHeight="1" thickBot="1" x14ac:dyDescent="0.4">
      <c r="B3" s="1"/>
      <c r="C3" s="22" t="s">
        <v>67</v>
      </c>
      <c r="D3" s="117">
        <v>120000</v>
      </c>
      <c r="H3">
        <v>1</v>
      </c>
      <c r="I3">
        <v>2</v>
      </c>
      <c r="J3" s="14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</row>
    <row r="4" spans="2:42" ht="14.5" customHeight="1" thickBot="1" x14ac:dyDescent="0.4">
      <c r="C4" s="84" t="s">
        <v>68</v>
      </c>
      <c r="D4" s="58">
        <v>0.05</v>
      </c>
      <c r="G4" s="22" t="s">
        <v>67</v>
      </c>
      <c r="H4" s="23">
        <f>D3</f>
        <v>120000</v>
      </c>
      <c r="I4" s="23">
        <f>H4*(1+$D$4)</f>
        <v>126000</v>
      </c>
      <c r="J4" s="86">
        <f t="shared" ref="J4:Q4" si="0">I4*(1+$D$4)</f>
        <v>132300</v>
      </c>
      <c r="K4" s="23">
        <f t="shared" si="0"/>
        <v>138915</v>
      </c>
      <c r="L4" s="23">
        <f t="shared" si="0"/>
        <v>145860.75</v>
      </c>
      <c r="M4" s="23">
        <f t="shared" si="0"/>
        <v>153153.78750000001</v>
      </c>
      <c r="N4" s="23">
        <f t="shared" si="0"/>
        <v>160811.47687500002</v>
      </c>
      <c r="O4" s="23">
        <f t="shared" si="0"/>
        <v>168852.05071875002</v>
      </c>
      <c r="P4" s="23">
        <f t="shared" si="0"/>
        <v>177294.65325468752</v>
      </c>
      <c r="Q4" s="24">
        <f t="shared" si="0"/>
        <v>186159.3859174219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"/>
      <c r="AM4" s="1"/>
      <c r="AN4" s="1"/>
      <c r="AO4" s="1"/>
      <c r="AP4" s="1"/>
    </row>
    <row r="5" spans="2:42" ht="14.5" customHeight="1" x14ac:dyDescent="0.35">
      <c r="C5" s="6"/>
      <c r="G5" s="25" t="s">
        <v>74</v>
      </c>
      <c r="H5" s="7">
        <f>'Property Analysis'!H6*'Property Analysis'!$C$8</f>
        <v>24500</v>
      </c>
      <c r="I5" s="7">
        <f>'Property Analysis'!I6*'Property Analysis'!$C$8</f>
        <v>25480</v>
      </c>
      <c r="J5" s="15">
        <f>'Property Analysis'!J6*'Property Analysis'!$C$8</f>
        <v>26499.200000000001</v>
      </c>
      <c r="K5" s="7">
        <f>'Property Analysis'!K6*'Property Analysis'!$C$8</f>
        <v>27559.168000000005</v>
      </c>
      <c r="L5" s="7">
        <f>'Property Analysis'!L6*'Property Analysis'!$C$8</f>
        <v>28661.534720000003</v>
      </c>
      <c r="M5" s="7">
        <f>'Property Analysis'!M6*'Property Analysis'!$C$8</f>
        <v>29807.996108800005</v>
      </c>
      <c r="N5" s="7">
        <f>'Property Analysis'!N6*'Property Analysis'!$C$8</f>
        <v>31000.315953152007</v>
      </c>
      <c r="O5" s="7">
        <f>'Property Analysis'!O6*'Property Analysis'!$C$8</f>
        <v>32240.328591278088</v>
      </c>
      <c r="P5" s="7">
        <f>'Property Analysis'!P6*'Property Analysis'!$C$8</f>
        <v>33529.941734929213</v>
      </c>
      <c r="Q5" s="26">
        <f>'Property Analysis'!Q6*'Property Analysis'!$C$8</f>
        <v>34871.139404326386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2:42" ht="14.5" customHeight="1" thickBot="1" x14ac:dyDescent="0.4">
      <c r="C6" s="6"/>
      <c r="G6" s="27" t="s">
        <v>70</v>
      </c>
      <c r="H6" s="103">
        <f>H4+H5</f>
        <v>144500</v>
      </c>
      <c r="I6" s="103">
        <f>I4+I5</f>
        <v>151480</v>
      </c>
      <c r="J6" s="104">
        <f t="shared" ref="J6:Q6" si="1">J4+J5</f>
        <v>158799.20000000001</v>
      </c>
      <c r="K6" s="103">
        <f t="shared" si="1"/>
        <v>166474.16800000001</v>
      </c>
      <c r="L6" s="103">
        <f t="shared" si="1"/>
        <v>174522.28472</v>
      </c>
      <c r="M6" s="103">
        <f t="shared" si="1"/>
        <v>182961.7836088</v>
      </c>
      <c r="N6" s="103">
        <f t="shared" si="1"/>
        <v>191811.79282815201</v>
      </c>
      <c r="O6" s="103">
        <f t="shared" si="1"/>
        <v>201092.3793100281</v>
      </c>
      <c r="P6" s="103">
        <f t="shared" si="1"/>
        <v>210824.59498961674</v>
      </c>
      <c r="Q6" s="105">
        <f t="shared" si="1"/>
        <v>221030.52532174828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7"/>
      <c r="AM6" s="7"/>
      <c r="AN6" s="7"/>
      <c r="AO6" s="7"/>
      <c r="AP6" s="7"/>
    </row>
    <row r="7" spans="2:42" ht="14.5" customHeight="1" thickBot="1" x14ac:dyDescent="0.4">
      <c r="C7" s="6"/>
      <c r="H7" s="7"/>
      <c r="AL7" s="7"/>
      <c r="AM7" s="7"/>
      <c r="AN7" s="7"/>
      <c r="AO7" s="7"/>
      <c r="AP7" s="7"/>
    </row>
    <row r="8" spans="2:42" ht="14.5" customHeight="1" x14ac:dyDescent="0.35">
      <c r="C8" s="6"/>
      <c r="G8" s="22" t="s">
        <v>54</v>
      </c>
      <c r="H8" s="90" cm="1">
        <f t="array" ref="H8">_xlfn.LET(_xlpm.x, H6, SUMPRODUCT(--(_xlpm.x&gt;={1;14000;48000;70000;180000}),(_xlpm.x-{0;14001;48001;70001;180001}),{0.105;0.07;0.125;0.03;0.06}))</f>
        <v>38604.775000000001</v>
      </c>
      <c r="I8" s="90" cm="1">
        <f t="array" ref="I8">_xlfn.LET(_xlpm.x, I6, SUMPRODUCT(--(_xlpm.x&gt;={1;14000;48000;70000;180000}),(_xlpm.x-{0;14001;48001;70001;180001}),{0.105;0.07;0.125;0.03;0.06}))</f>
        <v>40908.175000000003</v>
      </c>
      <c r="J8" s="91" cm="1">
        <f t="array" ref="J8">_xlfn.LET(_xlpm.x, J6, SUMPRODUCT(--(_xlpm.x&gt;={1;14000;48000;70000;180000}),(_xlpm.x-{0;14001;48001;70001;180001}),{0.105;0.07;0.125;0.03;0.06}))</f>
        <v>43323.511000000006</v>
      </c>
      <c r="K8" s="90" cm="1">
        <f t="array" ref="K8">_xlfn.LET(_xlpm.x, K6, SUMPRODUCT(--(_xlpm.x&gt;={1;14000;48000;70000;180000}),(_xlpm.x-{0;14001;48001;70001;180001}),{0.105;0.07;0.125;0.03;0.06}))</f>
        <v>45856.250439999996</v>
      </c>
      <c r="L8" s="90" cm="1">
        <f t="array" ref="L8">_xlfn.LET(_xlpm.x, L6, SUMPRODUCT(--(_xlpm.x&gt;={1;14000;48000;70000;180000}),(_xlpm.x-{0;14001;48001;70001;180001}),{0.105;0.07;0.125;0.03;0.06}))</f>
        <v>48512.128957599998</v>
      </c>
      <c r="M8" s="90" cm="1">
        <f t="array" ref="M8">_xlfn.LET(_xlpm.x, M6, SUMPRODUCT(--(_xlpm.x&gt;={1;14000;48000;70000;180000}),(_xlpm.x-{0;14001;48001;70001;180001}),{0.105;0.07;0.125;0.03;0.06}))</f>
        <v>51474.810607432002</v>
      </c>
      <c r="N8" s="90" cm="1">
        <f t="array" ref="N8">_xlfn.LET(_xlpm.x, N6, SUMPRODUCT(--(_xlpm.x&gt;={1;14000;48000;70000;180000}),(_xlpm.x-{0;14001;48001;70001;180001}),{0.105;0.07;0.125;0.03;0.06}))</f>
        <v>54926.31420297928</v>
      </c>
      <c r="O8" s="90" cm="1">
        <f t="array" ref="O8">_xlfn.LET(_xlpm.x, O6, SUMPRODUCT(--(_xlpm.x&gt;={1;14000;48000;70000;180000}),(_xlpm.x-{0;14001;48001;70001;180001}),{0.105;0.07;0.125;0.03;0.06}))</f>
        <v>58545.742930910958</v>
      </c>
      <c r="P8" s="90" cm="1">
        <f t="array" ref="P8">_xlfn.LET(_xlpm.x, P6, SUMPRODUCT(--(_xlpm.x&gt;={1;14000;48000;70000;180000}),(_xlpm.x-{0;14001;48001;70001;180001}),{0.105;0.07;0.125;0.03;0.06}))</f>
        <v>62341.307045950532</v>
      </c>
      <c r="Q8" s="92" cm="1">
        <f t="array" ref="Q8">_xlfn.LET(_xlpm.x, Q6, SUMPRODUCT(--(_xlpm.x&gt;={1;14000;48000;70000;180000}),(_xlpm.x-{0;14001;48001;70001;180001}),{0.105;0.07;0.125;0.03;0.06}))</f>
        <v>66321.619875481832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2:42" ht="14.5" customHeight="1" x14ac:dyDescent="0.35">
      <c r="G9" s="25" t="s">
        <v>71</v>
      </c>
      <c r="H9" s="7">
        <f>('Property Analysis'!H13+'Property Analysis'!H16)*'Property Analysis'!$C$8</f>
        <v>25532.593944973865</v>
      </c>
      <c r="I9" s="7">
        <f>('Property Analysis'!I13+'Property Analysis'!I16)*'Property Analysis'!$C$8</f>
        <v>25833.593944973865</v>
      </c>
      <c r="J9" s="15">
        <f>('Property Analysis'!J13+'Property Analysis'!J16)*'Property Analysis'!$C$8</f>
        <v>26145.583944973867</v>
      </c>
      <c r="K9" s="7">
        <f>('Property Analysis'!K13+'Property Analysis'!K16)*'Property Analysis'!$C$8</f>
        <v>26468.972044973867</v>
      </c>
      <c r="L9" s="7">
        <f>('Property Analysis'!L13+'Property Analysis'!L16)*'Property Analysis'!$C$8</f>
        <v>26804.181723973867</v>
      </c>
      <c r="M9" s="7">
        <f>('Property Analysis'!M13+'Property Analysis'!M16)*'Property Analysis'!$C$8</f>
        <v>27151.652426783869</v>
      </c>
      <c r="N9" s="7">
        <f>('Property Analysis'!N13+'Property Analysis'!N16)*'Property Analysis'!$C$8</f>
        <v>27511.84017345577</v>
      </c>
      <c r="O9" s="7">
        <f>('Property Analysis'!O13+'Property Analysis'!O16)*'Property Analysis'!$C$8</f>
        <v>27885.218192216529</v>
      </c>
      <c r="P9" s="7">
        <f>('Property Analysis'!P13+'Property Analysis'!P16)*'Property Analysis'!$C$8</f>
        <v>28272.277576816366</v>
      </c>
      <c r="Q9" s="26">
        <f>('Property Analysis'!Q13+'Property Analysis'!Q16)*'Property Analysis'!$C$8</f>
        <v>28673.527969241499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2:42" ht="14.5" customHeight="1" x14ac:dyDescent="0.35">
      <c r="G10" s="25" t="s">
        <v>73</v>
      </c>
      <c r="H10" s="7">
        <f>52*'Property Analysis'!$C$19*(1+'Property Analysis'!$C$26)^('Personal Financial Analysis'!H3-1)</f>
        <v>10400</v>
      </c>
      <c r="I10" s="7">
        <f>52*'Property Analysis'!$C$19*(1+'Property Analysis'!$C$26)^('Personal Financial Analysis'!I3-1)</f>
        <v>10816</v>
      </c>
      <c r="J10" s="15">
        <f>52*'Property Analysis'!$C$19*(1+'Property Analysis'!$C$26)^('Personal Financial Analysis'!J3-1)</f>
        <v>11248.640000000001</v>
      </c>
      <c r="K10" s="7">
        <f>52*'Property Analysis'!$C$19*(1+'Property Analysis'!$C$26)^('Personal Financial Analysis'!K3-1)</f>
        <v>11698.5856</v>
      </c>
      <c r="L10" s="7">
        <f>52*'Property Analysis'!$C$19*(1+'Property Analysis'!$C$26)^('Personal Financial Analysis'!L3-1)</f>
        <v>12166.529024000003</v>
      </c>
      <c r="M10" s="7">
        <f>52*'Property Analysis'!$C$19*(1+'Property Analysis'!$C$26)^('Personal Financial Analysis'!M3-1)</f>
        <v>12653.190184960004</v>
      </c>
      <c r="N10" s="7">
        <f>52*'Property Analysis'!$C$19*(1+'Property Analysis'!$C$26)^('Personal Financial Analysis'!N3-1)</f>
        <v>13159.317792358404</v>
      </c>
      <c r="O10" s="7">
        <f>52*'Property Analysis'!$C$19*(1+'Property Analysis'!$C$26)^('Personal Financial Analysis'!O3-1)</f>
        <v>13685.690504052738</v>
      </c>
      <c r="P10" s="7">
        <f>52*'Property Analysis'!$C$19*(1+'Property Analysis'!$C$26)^('Personal Financial Analysis'!P3-1)</f>
        <v>14233.11812421485</v>
      </c>
      <c r="Q10" s="26">
        <f>52*'Property Analysis'!$C$19*(1+'Property Analysis'!$C$26)^('Personal Financial Analysis'!Q3-1)</f>
        <v>14802.442849183446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2:42" ht="14.5" customHeight="1" thickBot="1" x14ac:dyDescent="0.4">
      <c r="B11" s="1"/>
      <c r="G11" s="107" t="s">
        <v>69</v>
      </c>
      <c r="H11" s="110">
        <f>H6-SUM(H8:H10)</f>
        <v>69962.631055026141</v>
      </c>
      <c r="I11" s="110">
        <f>I6-SUM(I8:I10)</f>
        <v>73922.231055026132</v>
      </c>
      <c r="J11" s="110">
        <f t="shared" ref="J11:Q11" si="2">J6-SUM(J8:J10)</f>
        <v>78081.465055026143</v>
      </c>
      <c r="K11" s="110">
        <f t="shared" si="2"/>
        <v>82450.359915026129</v>
      </c>
      <c r="L11" s="110">
        <f t="shared" si="2"/>
        <v>87039.445014426121</v>
      </c>
      <c r="M11" s="110">
        <f t="shared" si="2"/>
        <v>91682.13038962413</v>
      </c>
      <c r="N11" s="110">
        <f t="shared" si="2"/>
        <v>96214.320659358564</v>
      </c>
      <c r="O11" s="110">
        <f t="shared" si="2"/>
        <v>100975.72768284788</v>
      </c>
      <c r="P11" s="110">
        <f t="shared" si="2"/>
        <v>105977.892242635</v>
      </c>
      <c r="Q11" s="111">
        <f t="shared" si="2"/>
        <v>111232.9346278415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7"/>
      <c r="AM11" s="7"/>
      <c r="AN11" s="7"/>
      <c r="AO11" s="7"/>
      <c r="AP11" s="7"/>
    </row>
    <row r="12" spans="2:42" ht="14.5" customHeight="1" thickBot="1" x14ac:dyDescent="0.4">
      <c r="B12" s="1"/>
      <c r="G12" s="93" t="s">
        <v>89</v>
      </c>
      <c r="H12" s="94">
        <f>SUM($H$11:H11)</f>
        <v>69962.631055026141</v>
      </c>
      <c r="I12" s="94">
        <f>SUM($H$11:I11)</f>
        <v>143884.86211005226</v>
      </c>
      <c r="J12" s="106">
        <f>SUM($H$11:J11)</f>
        <v>221966.3271650784</v>
      </c>
      <c r="K12" s="94">
        <f>SUM($H$11:K11)</f>
        <v>304416.68708010454</v>
      </c>
      <c r="L12" s="94">
        <f>SUM($H$11:L11)</f>
        <v>391456.13209453068</v>
      </c>
      <c r="M12" s="94">
        <f>SUM($H$11:M11)</f>
        <v>483138.26248415478</v>
      </c>
      <c r="N12" s="94">
        <f>SUM($H$11:N11)</f>
        <v>579352.5831435133</v>
      </c>
      <c r="O12" s="94">
        <f>SUM($H$11:O11)</f>
        <v>680328.31082636118</v>
      </c>
      <c r="P12" s="94">
        <f>SUM($H$11:P11)</f>
        <v>786306.2030689962</v>
      </c>
      <c r="Q12" s="95">
        <f>SUM($H$11:Q11)</f>
        <v>897539.13769683766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7"/>
      <c r="AM12" s="7"/>
      <c r="AN12" s="7"/>
      <c r="AO12" s="7"/>
      <c r="AP12" s="7"/>
    </row>
    <row r="13" spans="2:42" ht="14.5" customHeight="1" thickBot="1" x14ac:dyDescent="0.4">
      <c r="C13" s="2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2:42" ht="14.5" customHeight="1" thickBot="1" x14ac:dyDescent="0.4">
      <c r="B14" s="116" t="s">
        <v>90</v>
      </c>
      <c r="G14" s="112" t="s">
        <v>75</v>
      </c>
      <c r="H14" s="113">
        <f>H12+('Property Analysis'!H28 - 'Property Analysis'!H30)*'Property Analysis'!$C$8</f>
        <v>272224.39286190289</v>
      </c>
      <c r="I14" s="113">
        <f>I12+('Property Analysis'!I28 - 'Property Analysis'!I30)*'Property Analysis'!$C$8</f>
        <v>369568.07865534205</v>
      </c>
      <c r="J14" s="113">
        <f>J12+('Property Analysis'!J28 - 'Property Analysis'!J30)*'Property Analysis'!$C$8</f>
        <v>472291.94581697159</v>
      </c>
      <c r="K14" s="113">
        <f>K12+('Property Analysis'!K28 - 'Property Analysis'!K30)*'Property Analysis'!$C$8</f>
        <v>580670.20177335828</v>
      </c>
      <c r="L14" s="113">
        <f>L12+('Property Analysis'!L28 - 'Property Analysis'!L30)*'Property Analysis'!$C$8</f>
        <v>694991.05616212101</v>
      </c>
      <c r="M14" s="113">
        <f>M12+('Property Analysis'!M28 - 'Property Analysis'!M30)*'Property Analysis'!$C$8</f>
        <v>815379.79235499527</v>
      </c>
      <c r="N14" s="113">
        <f>N12+('Property Analysis'!N28 - 'Property Analysis'!N30)*'Property Analysis'!$C$8</f>
        <v>941801.46365801082</v>
      </c>
      <c r="O14" s="113">
        <f>O12+('Property Analysis'!O28 - 'Property Analysis'!O30)*'Property Analysis'!$C$8</f>
        <v>1074564.913543954</v>
      </c>
      <c r="P14" s="113">
        <f>P12+('Property Analysis'!P28 - 'Property Analysis'!P30)*'Property Analysis'!$C$8</f>
        <v>1213994.8296012648</v>
      </c>
      <c r="Q14" s="114">
        <f>Q12+('Property Analysis'!Q28 - 'Property Analysis'!Q30)*'Property Analysis'!$C$8</f>
        <v>1360432.5607985496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2:42" ht="18" customHeight="1" x14ac:dyDescent="0.35">
      <c r="C15" s="118" t="s">
        <v>30</v>
      </c>
      <c r="D15" s="118"/>
      <c r="E15" s="118"/>
      <c r="G15" s="1"/>
      <c r="H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2:42" ht="14.5" customHeight="1" x14ac:dyDescent="0.35">
      <c r="B16" s="115" t="s">
        <v>96</v>
      </c>
      <c r="C16" s="38" t="s">
        <v>93</v>
      </c>
      <c r="D16" s="38" t="s">
        <v>94</v>
      </c>
      <c r="E16" s="38" t="s">
        <v>95</v>
      </c>
      <c r="G16" s="1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ht="14.5" customHeight="1" x14ac:dyDescent="0.35">
      <c r="B17" t="s">
        <v>91</v>
      </c>
      <c r="C17" s="7">
        <f>H11-H$41</f>
        <v>-213117.59394497384</v>
      </c>
      <c r="D17" s="7">
        <f>I11-I$41</f>
        <v>-8761.993944973874</v>
      </c>
      <c r="E17" s="7">
        <f>J11-J$41</f>
        <v>-8391.1199449738488</v>
      </c>
      <c r="L17" s="1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2:42" ht="14.5" customHeight="1" x14ac:dyDescent="0.35">
      <c r="B18" t="s">
        <v>92</v>
      </c>
      <c r="C18" s="7">
        <f>H27-H$41</f>
        <v>-203792.59394497384</v>
      </c>
      <c r="D18" s="7">
        <f t="shared" ref="D18:E18" si="3">I27-I$41</f>
        <v>936.00605502612598</v>
      </c>
      <c r="E18" s="7">
        <f t="shared" si="3"/>
        <v>1694.8000550261349</v>
      </c>
      <c r="G18" s="85" t="s">
        <v>63</v>
      </c>
    </row>
    <row r="19" spans="2:42" ht="14.5" customHeight="1" x14ac:dyDescent="0.35">
      <c r="B19" s="1"/>
      <c r="C19" s="6"/>
      <c r="H19" s="1" t="s">
        <v>30</v>
      </c>
      <c r="AL19" s="7"/>
      <c r="AM19" s="7"/>
      <c r="AN19" s="7"/>
      <c r="AO19" s="7"/>
      <c r="AP19" s="7"/>
    </row>
    <row r="20" spans="2:42" ht="14.5" customHeight="1" thickBot="1" x14ac:dyDescent="0.4">
      <c r="H20">
        <v>1</v>
      </c>
      <c r="I20">
        <v>2</v>
      </c>
      <c r="J20" s="14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  <c r="Q20">
        <v>10</v>
      </c>
      <c r="AL20" s="10"/>
      <c r="AM20" s="10"/>
      <c r="AN20" s="10"/>
      <c r="AO20" s="10"/>
      <c r="AP20" s="10"/>
    </row>
    <row r="21" spans="2:42" ht="14.5" customHeight="1" x14ac:dyDescent="0.35">
      <c r="C21" s="6"/>
      <c r="G21" s="22" t="s">
        <v>67</v>
      </c>
      <c r="H21" s="23">
        <f>D3</f>
        <v>120000</v>
      </c>
      <c r="I21" s="23">
        <f>H21*(1+$D$4)</f>
        <v>126000</v>
      </c>
      <c r="J21" s="86">
        <f t="shared" ref="J21:Q21" si="4">I21*(1+$D$4)</f>
        <v>132300</v>
      </c>
      <c r="K21" s="23">
        <f t="shared" si="4"/>
        <v>138915</v>
      </c>
      <c r="L21" s="23">
        <f t="shared" si="4"/>
        <v>145860.75</v>
      </c>
      <c r="M21" s="23">
        <f t="shared" si="4"/>
        <v>153153.78750000001</v>
      </c>
      <c r="N21" s="23">
        <f t="shared" si="4"/>
        <v>160811.47687500002</v>
      </c>
      <c r="O21" s="23">
        <f t="shared" si="4"/>
        <v>168852.05071875002</v>
      </c>
      <c r="P21" s="23">
        <f t="shared" si="4"/>
        <v>177294.65325468752</v>
      </c>
      <c r="Q21" s="24">
        <f t="shared" si="4"/>
        <v>186159.3859174219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8"/>
      <c r="AN21" s="8"/>
      <c r="AO21" s="8"/>
      <c r="AP21" s="8"/>
    </row>
    <row r="22" spans="2:42" ht="14.5" customHeight="1" x14ac:dyDescent="0.35">
      <c r="C22" s="5"/>
      <c r="G22" s="25" t="s">
        <v>80</v>
      </c>
      <c r="H22" s="7">
        <f>_xlfn.LET(_xlpm.x,'Property Analysis'!H63, IF(_xlpm.x&gt;0, _xlpm.x, 0))</f>
        <v>0</v>
      </c>
      <c r="I22" s="7">
        <f>_xlfn.LET(_xlpm.x,'Property Analysis'!I63, IF(_xlpm.x&gt;0, _xlpm.x, 0))</f>
        <v>0</v>
      </c>
      <c r="J22" s="15">
        <f>_xlfn.LET(_xlpm.x,'Property Analysis'!J63, IF(_xlpm.x&gt;0, _xlpm.x, 0))</f>
        <v>0</v>
      </c>
      <c r="K22" s="7">
        <f>_xlfn.LET(_xlpm.x,'Property Analysis'!K63, IF(_xlpm.x&gt;0, _xlpm.x, 0))</f>
        <v>0</v>
      </c>
      <c r="L22" s="7">
        <f>_xlfn.LET(_xlpm.x,'Property Analysis'!L63, IF(_xlpm.x&gt;0, _xlpm.x, 0))</f>
        <v>0</v>
      </c>
      <c r="M22" s="7">
        <f>_xlfn.LET(_xlpm.x,'Property Analysis'!M63, IF(_xlpm.x&gt;0, _xlpm.x, 0))</f>
        <v>0</v>
      </c>
      <c r="N22" s="7">
        <f>_xlfn.LET(_xlpm.x,'Property Analysis'!N63, IF(_xlpm.x&gt;0, _xlpm.x, 0))</f>
        <v>0</v>
      </c>
      <c r="O22" s="7">
        <f>_xlfn.LET(_xlpm.x,'Property Analysis'!O63, IF(_xlpm.x&gt;0, _xlpm.x, 0))</f>
        <v>0</v>
      </c>
      <c r="P22" s="7">
        <f>_xlfn.LET(_xlpm.x,'Property Analysis'!P63, IF(_xlpm.x&gt;0, _xlpm.x, 0))</f>
        <v>0</v>
      </c>
      <c r="Q22" s="26">
        <f>_xlfn.LET(_xlpm.x,'Property Analysis'!Q63, IF(_xlpm.x&gt;0, _xlpm.x, 0))</f>
        <v>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2:42" ht="14.5" customHeight="1" thickBot="1" x14ac:dyDescent="0.4">
      <c r="C23" s="6"/>
      <c r="G23" s="53" t="s">
        <v>70</v>
      </c>
      <c r="H23" s="87">
        <f>H21+H22</f>
        <v>120000</v>
      </c>
      <c r="I23" s="87">
        <f>I21+I22</f>
        <v>126000</v>
      </c>
      <c r="J23" s="88">
        <f t="shared" ref="J23:Q23" si="5">J21+J22</f>
        <v>132300</v>
      </c>
      <c r="K23" s="87">
        <f t="shared" si="5"/>
        <v>138915</v>
      </c>
      <c r="L23" s="87">
        <f t="shared" si="5"/>
        <v>145860.75</v>
      </c>
      <c r="M23" s="87">
        <f t="shared" si="5"/>
        <v>153153.78750000001</v>
      </c>
      <c r="N23" s="87">
        <f t="shared" si="5"/>
        <v>160811.47687500002</v>
      </c>
      <c r="O23" s="87">
        <f t="shared" si="5"/>
        <v>168852.05071875002</v>
      </c>
      <c r="P23" s="87">
        <f t="shared" si="5"/>
        <v>177294.65325468752</v>
      </c>
      <c r="Q23" s="89">
        <f t="shared" si="5"/>
        <v>186159.3859174219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2:42" ht="14.5" customHeight="1" thickBot="1" x14ac:dyDescent="0.4">
      <c r="C24" s="6"/>
      <c r="H24" s="7"/>
      <c r="AL24" s="6"/>
      <c r="AM24" s="6"/>
      <c r="AN24" s="6"/>
      <c r="AO24" s="6"/>
      <c r="AP24" s="6"/>
    </row>
    <row r="25" spans="2:42" ht="14.5" customHeight="1" x14ac:dyDescent="0.35">
      <c r="C25" s="6"/>
      <c r="G25" s="22" t="s">
        <v>54</v>
      </c>
      <c r="H25" s="90" cm="1">
        <f t="array" ref="H25">_xlfn.LET(_xlpm.x, H23, SUMPRODUCT(--(_xlpm.x&gt;={1;14000;48000;70000;180000}),(_xlpm.x-{0;14001;48001;70001;180001}),{0.105;0.07;0.125;0.03;0.06}))</f>
        <v>30519.775000000001</v>
      </c>
      <c r="I25" s="90" cm="1">
        <f t="array" ref="I25">_xlfn.LET(_xlpm.x, I23, SUMPRODUCT(--(_xlpm.x&gt;={1;14000;48000;70000;180000}),(_xlpm.x-{0;14001;48001;70001;180001}),{0.105;0.07;0.125;0.03;0.06}))</f>
        <v>32499.775000000001</v>
      </c>
      <c r="J25" s="91" cm="1">
        <f t="array" ref="J25">_xlfn.LET(_xlpm.x, J23, SUMPRODUCT(--(_xlpm.x&gt;={1;14000;48000;70000;180000}),(_xlpm.x-{0;14001;48001;70001;180001}),{0.105;0.07;0.125;0.03;0.06}))</f>
        <v>34578.775000000001</v>
      </c>
      <c r="K25" s="90" cm="1">
        <f t="array" ref="K25">_xlfn.LET(_xlpm.x, K23, SUMPRODUCT(--(_xlpm.x&gt;={1;14000;48000;70000;180000}),(_xlpm.x-{0;14001;48001;70001;180001}),{0.105;0.07;0.125;0.03;0.06}))</f>
        <v>36761.724999999999</v>
      </c>
      <c r="L25" s="90" cm="1">
        <f t="array" ref="L25">_xlfn.LET(_xlpm.x, L23, SUMPRODUCT(--(_xlpm.x&gt;={1;14000;48000;70000;180000}),(_xlpm.x-{0;14001;48001;70001;180001}),{0.105;0.07;0.125;0.03;0.06}))</f>
        <v>39053.822500000002</v>
      </c>
      <c r="M25" s="90" cm="1">
        <f t="array" ref="M25">_xlfn.LET(_xlpm.x, M23, SUMPRODUCT(--(_xlpm.x&gt;={1;14000;48000;70000;180000}),(_xlpm.x-{0;14001;48001;70001;180001}),{0.105;0.07;0.125;0.03;0.06}))</f>
        <v>41460.524875000003</v>
      </c>
      <c r="N25" s="90" cm="1">
        <f t="array" ref="N25">_xlfn.LET(_xlpm.x, N23, SUMPRODUCT(--(_xlpm.x&gt;={1;14000;48000;70000;180000}),(_xlpm.x-{0;14001;48001;70001;180001}),{0.105;0.07;0.125;0.03;0.06}))</f>
        <v>43987.562368750005</v>
      </c>
      <c r="O25" s="90" cm="1">
        <f t="array" ref="O25">_xlfn.LET(_xlpm.x, O23, SUMPRODUCT(--(_xlpm.x&gt;={1;14000;48000;70000;180000}),(_xlpm.x-{0;14001;48001;70001;180001}),{0.105;0.07;0.125;0.03;0.06}))</f>
        <v>46640.951737187512</v>
      </c>
      <c r="P25" s="90" cm="1">
        <f t="array" ref="P25">_xlfn.LET(_xlpm.x, P23, SUMPRODUCT(--(_xlpm.x&gt;={1;14000;48000;70000;180000}),(_xlpm.x-{0;14001;48001;70001;180001}),{0.105;0.07;0.125;0.03;0.06}))</f>
        <v>49427.010574046879</v>
      </c>
      <c r="Q25" s="92" cm="1">
        <f t="array" ref="Q25">_xlfn.LET(_xlpm.x, Q23, SUMPRODUCT(--(_xlpm.x&gt;={1;14000;48000;70000;180000}),(_xlpm.x-{0;14001;48001;70001;180001}),{0.105;0.07;0.125;0.03;0.06}))</f>
        <v>52721.875507794539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7"/>
      <c r="AM25" s="7"/>
      <c r="AN25" s="7"/>
      <c r="AO25" s="7"/>
      <c r="AP25" s="7"/>
    </row>
    <row r="26" spans="2:42" ht="14.5" customHeight="1" x14ac:dyDescent="0.35">
      <c r="C26" s="6"/>
      <c r="G26" s="25" t="s">
        <v>79</v>
      </c>
      <c r="H26" s="7">
        <f>_xlfn.LET(_xlpm.x,'Property Analysis'!H63, IF(_xlpm.x&lt;0, -_xlpm.x, 0))</f>
        <v>10192.593944973865</v>
      </c>
      <c r="I26" s="7">
        <f>_xlfn.LET(_xlpm.x,'Property Analysis'!I63, IF(_xlpm.x&lt;0, -_xlpm.x, 0))</f>
        <v>9879.9939449738649</v>
      </c>
      <c r="J26" s="15">
        <f>_xlfn.LET(_xlpm.x,'Property Analysis'!J63, IF(_xlpm.x&lt;0, -_xlpm.x, 0))</f>
        <v>9553.8399449738645</v>
      </c>
      <c r="K26" s="7">
        <f>_xlfn.LET(_xlpm.x,'Property Analysis'!K63, IF(_xlpm.x&lt;0, -_xlpm.x, 0))</f>
        <v>9213.5582849738639</v>
      </c>
      <c r="L26" s="7">
        <f>_xlfn.LET(_xlpm.x,'Property Analysis'!L63, IF(_xlpm.x&lt;0, -_xlpm.x, 0))</f>
        <v>8858.5514135738631</v>
      </c>
      <c r="M26" s="7">
        <f>_xlfn.LET(_xlpm.x,'Property Analysis'!M63, IF(_xlpm.x&lt;0, -_xlpm.x, 0))</f>
        <v>8488.1969039678625</v>
      </c>
      <c r="N26" s="7">
        <f>_xlfn.LET(_xlpm.x,'Property Analysis'!N63, IF(_xlpm.x&lt;0, -_xlpm.x, 0))</f>
        <v>8101.8464297271239</v>
      </c>
      <c r="O26" s="7">
        <f>_xlfn.LET(_xlpm.x,'Property Analysis'!O63, IF(_xlpm.x&lt;0, -_xlpm.x, 0))</f>
        <v>7698.8246987387374</v>
      </c>
      <c r="P26" s="7">
        <f>_xlfn.LET(_xlpm.x,'Property Analysis'!P63, IF(_xlpm.x&lt;0, -_xlpm.x, 0))</f>
        <v>7278.4283435994585</v>
      </c>
      <c r="Q26" s="26">
        <f>_xlfn.LET(_xlpm.x,'Property Analysis'!Q63, IF(_xlpm.x&lt;0, -_xlpm.x, 0))</f>
        <v>6839.9247666959163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2:42" ht="14.5" customHeight="1" thickBot="1" x14ac:dyDescent="0.4">
      <c r="C27" s="5"/>
      <c r="G27" s="107" t="s">
        <v>69</v>
      </c>
      <c r="H27" s="110">
        <f>H23-SUM(H25:H26)</f>
        <v>79287.631055026141</v>
      </c>
      <c r="I27" s="110">
        <f t="shared" ref="I27:Q27" si="6">I23-SUM(I25:I26)</f>
        <v>83620.231055026132</v>
      </c>
      <c r="J27" s="110">
        <f t="shared" si="6"/>
        <v>88167.385055026127</v>
      </c>
      <c r="K27" s="110">
        <f t="shared" si="6"/>
        <v>92939.716715026138</v>
      </c>
      <c r="L27" s="110">
        <f t="shared" si="6"/>
        <v>97948.376086426142</v>
      </c>
      <c r="M27" s="110">
        <f t="shared" si="6"/>
        <v>103205.06572103214</v>
      </c>
      <c r="N27" s="110">
        <f t="shared" si="6"/>
        <v>108722.06807652289</v>
      </c>
      <c r="O27" s="110">
        <f t="shared" si="6"/>
        <v>114512.27428282377</v>
      </c>
      <c r="P27" s="110">
        <f t="shared" si="6"/>
        <v>120589.21433704119</v>
      </c>
      <c r="Q27" s="111">
        <f t="shared" si="6"/>
        <v>126597.58564293144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7"/>
      <c r="AM27" s="7"/>
      <c r="AN27" s="7"/>
      <c r="AO27" s="7"/>
      <c r="AP27" s="7"/>
    </row>
    <row r="28" spans="2:42" ht="14.5" customHeight="1" thickBot="1" x14ac:dyDescent="0.4">
      <c r="C28" s="5"/>
      <c r="G28" s="93" t="s">
        <v>89</v>
      </c>
      <c r="H28" s="94">
        <f>SUM($H$27:H27)</f>
        <v>79287.631055026141</v>
      </c>
      <c r="I28" s="94">
        <f>SUM($H$27:I27)</f>
        <v>162907.86211005226</v>
      </c>
      <c r="J28" s="106">
        <f>SUM($H$27:J27)</f>
        <v>251075.24716507838</v>
      </c>
      <c r="K28" s="94">
        <f>SUM($H$27:K27)</f>
        <v>344014.96388010454</v>
      </c>
      <c r="L28" s="94">
        <f>SUM($H$27:L27)</f>
        <v>441963.33996653068</v>
      </c>
      <c r="M28" s="94">
        <f>SUM($H$27:M27)</f>
        <v>545168.40568756277</v>
      </c>
      <c r="N28" s="94">
        <f>SUM($H$27:N27)</f>
        <v>653890.47376408568</v>
      </c>
      <c r="O28" s="94">
        <f>SUM($H$27:O27)</f>
        <v>768402.74804690946</v>
      </c>
      <c r="P28" s="94">
        <f>SUM($H$27:P27)</f>
        <v>888991.96238395059</v>
      </c>
      <c r="Q28" s="95">
        <f>SUM($H$27:Q27)</f>
        <v>1015589.548026882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2:42" ht="14.5" customHeight="1" thickBot="1" x14ac:dyDescent="0.4">
      <c r="C29" s="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2:42" ht="14.5" customHeight="1" thickBot="1" x14ac:dyDescent="0.4">
      <c r="C30" s="6"/>
      <c r="G30" s="112" t="s">
        <v>75</v>
      </c>
      <c r="H30" s="113">
        <f>H28+('Property Analysis'!H73-'Property Analysis'!H75)*'Property Analysis'!$C$8</f>
        <v>281549.39286190289</v>
      </c>
      <c r="I30" s="113">
        <f>I28+('Property Analysis'!I73-'Property Analysis'!I75)*'Property Analysis'!$C$8</f>
        <v>388591.07865534205</v>
      </c>
      <c r="J30" s="113">
        <f>J28+('Property Analysis'!J73-'Property Analysis'!J75)*'Property Analysis'!$C$8</f>
        <v>501400.86581697152</v>
      </c>
      <c r="K30" s="113">
        <f>K28+('Property Analysis'!K73-'Property Analysis'!K75)*'Property Analysis'!$C$8</f>
        <v>620268.47857335827</v>
      </c>
      <c r="L30" s="113">
        <f>L28+('Property Analysis'!L73-'Property Analysis'!L75)*'Property Analysis'!$C$8</f>
        <v>745498.26403412106</v>
      </c>
      <c r="M30" s="113">
        <f>M28+('Property Analysis'!M73-'Property Analysis'!M75)*'Property Analysis'!$C$8</f>
        <v>877409.93555840326</v>
      </c>
      <c r="N30" s="113">
        <f>N28+('Property Analysis'!N73-'Property Analysis'!N75)*'Property Analysis'!$C$8</f>
        <v>1016339.3542785831</v>
      </c>
      <c r="O30" s="113">
        <f>O28+('Property Analysis'!O73-'Property Analysis'!O75)*'Property Analysis'!$C$8</f>
        <v>1162639.3507645023</v>
      </c>
      <c r="P30" s="113">
        <f>P28+('Property Analysis'!P73-'Property Analysis'!P75)*'Property Analysis'!$C$8</f>
        <v>1316680.5889162191</v>
      </c>
      <c r="Q30" s="114">
        <f>Q28+('Property Analysis'!Q73-'Property Analysis'!Q75)*'Property Analysis'!$C$8</f>
        <v>1478482.9711285939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2:42" ht="14.5" customHeight="1" x14ac:dyDescent="0.35">
      <c r="C31" s="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2:42" ht="14.5" customHeight="1" x14ac:dyDescent="0.35">
      <c r="C32" s="6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2:42" ht="14.5" customHeight="1" x14ac:dyDescent="0.35">
      <c r="C33" s="5"/>
      <c r="L33" s="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2:42" ht="18.5" x14ac:dyDescent="0.45">
      <c r="G34" s="119" t="s">
        <v>77</v>
      </c>
    </row>
    <row r="35" spans="2:42" ht="14.5" customHeight="1" x14ac:dyDescent="0.35">
      <c r="C35" s="7"/>
      <c r="H35" s="1" t="s">
        <v>30</v>
      </c>
      <c r="L35" s="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2:42" ht="14.5" customHeight="1" thickBot="1" x14ac:dyDescent="0.4">
      <c r="C36" s="7"/>
      <c r="H36">
        <v>1</v>
      </c>
      <c r="I36">
        <v>2</v>
      </c>
      <c r="J36" s="14">
        <v>3</v>
      </c>
      <c r="K36">
        <v>4</v>
      </c>
      <c r="L36">
        <v>5</v>
      </c>
      <c r="M36">
        <v>6</v>
      </c>
      <c r="N36">
        <v>7</v>
      </c>
      <c r="O36">
        <v>8</v>
      </c>
      <c r="P36">
        <v>9</v>
      </c>
      <c r="Q36">
        <v>10</v>
      </c>
      <c r="AL36" s="7"/>
      <c r="AM36" s="7"/>
      <c r="AN36" s="7"/>
      <c r="AO36" s="7"/>
      <c r="AP36" s="7"/>
    </row>
    <row r="37" spans="2:42" ht="14.5" customHeight="1" thickBot="1" x14ac:dyDescent="0.4">
      <c r="B37" s="1"/>
      <c r="G37" s="49" t="s">
        <v>67</v>
      </c>
      <c r="H37" s="96">
        <f>D3</f>
        <v>120000</v>
      </c>
      <c r="I37" s="96">
        <f>H37*(1+$D$4)</f>
        <v>126000</v>
      </c>
      <c r="J37" s="97">
        <f t="shared" ref="J37:P37" si="7">I37*(1+$D$4)</f>
        <v>132300</v>
      </c>
      <c r="K37" s="96">
        <f t="shared" si="7"/>
        <v>138915</v>
      </c>
      <c r="L37" s="96">
        <f t="shared" si="7"/>
        <v>145860.75</v>
      </c>
      <c r="M37" s="96">
        <f t="shared" si="7"/>
        <v>153153.78750000001</v>
      </c>
      <c r="N37" s="96">
        <f t="shared" si="7"/>
        <v>160811.47687500002</v>
      </c>
      <c r="O37" s="96">
        <f t="shared" si="7"/>
        <v>168852.05071875002</v>
      </c>
      <c r="P37" s="96">
        <f t="shared" si="7"/>
        <v>177294.65325468752</v>
      </c>
      <c r="Q37" s="98">
        <f t="shared" ref="Q37" si="8">P37*(1+$D$4)</f>
        <v>186159.3859174219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8"/>
      <c r="AM37" s="8"/>
      <c r="AN37" s="8"/>
      <c r="AO37" s="8"/>
      <c r="AP37" s="8"/>
    </row>
    <row r="38" spans="2:42" ht="14.5" customHeight="1" thickBot="1" x14ac:dyDescent="0.4">
      <c r="H38" s="6"/>
      <c r="I38" s="6"/>
      <c r="J38" s="1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2:42" ht="14.5" customHeight="1" x14ac:dyDescent="0.35">
      <c r="C39" s="1"/>
      <c r="D39" s="1"/>
      <c r="E39" s="1"/>
      <c r="G39" s="99" t="s">
        <v>78</v>
      </c>
      <c r="H39" s="32" cm="1">
        <f t="array" ref="H39">_xlfn.LET(_xlpm.x, H37, SUMPRODUCT(--(_xlpm.x&gt;={1;14000;48000;70000;180000}),(_xlpm.x-{0;14001;48001;70001;180001}),{0.105;0.07;0.125;0.03;0.06}))</f>
        <v>30519.775000000001</v>
      </c>
      <c r="I39" s="32" cm="1">
        <f t="array" ref="I39">_xlfn.LET(_xlpm.x, I37, SUMPRODUCT(--(_xlpm.x&gt;={1;14000;48000;70000;180000}),(_xlpm.x-{0;14001;48001;70001;180001}),{0.105;0.07;0.125;0.03;0.06}))</f>
        <v>32499.775000000001</v>
      </c>
      <c r="J39" s="100" cm="1">
        <f t="array" ref="J39">_xlfn.LET(_xlpm.x, J37, SUMPRODUCT(--(_xlpm.x&gt;={1;14000;48000;70000;180000}),(_xlpm.x-{0;14001;48001;70001;180001}),{0.105;0.07;0.125;0.03;0.06}))</f>
        <v>34578.775000000001</v>
      </c>
      <c r="K39" s="32" cm="1">
        <f t="array" ref="K39">_xlfn.LET(_xlpm.x, K37, SUMPRODUCT(--(_xlpm.x&gt;={1;14000;48000;70000;180000}),(_xlpm.x-{0;14001;48001;70001;180001}),{0.105;0.07;0.125;0.03;0.06}))</f>
        <v>36761.724999999999</v>
      </c>
      <c r="L39" s="32" cm="1">
        <f t="array" ref="L39">_xlfn.LET(_xlpm.x, L37, SUMPRODUCT(--(_xlpm.x&gt;={1;14000;48000;70000;180000}),(_xlpm.x-{0;14001;48001;70001;180001}),{0.105;0.07;0.125;0.03;0.06}))</f>
        <v>39053.822500000002</v>
      </c>
      <c r="M39" s="32" cm="1">
        <f t="array" ref="M39">_xlfn.LET(_xlpm.x, M37, SUMPRODUCT(--(_xlpm.x&gt;={1;14000;48000;70000;180000}),(_xlpm.x-{0;14001;48001;70001;180001}),{0.105;0.07;0.125;0.03;0.06}))</f>
        <v>41460.524875000003</v>
      </c>
      <c r="N39" s="32" cm="1">
        <f t="array" ref="N39">_xlfn.LET(_xlpm.x, N37, SUMPRODUCT(--(_xlpm.x&gt;={1;14000;48000;70000;180000}),(_xlpm.x-{0;14001;48001;70001;180001}),{0.105;0.07;0.125;0.03;0.06}))</f>
        <v>43987.562368750005</v>
      </c>
      <c r="O39" s="32" cm="1">
        <f t="array" ref="O39">_xlfn.LET(_xlpm.x, O37, SUMPRODUCT(--(_xlpm.x&gt;={1;14000;48000;70000;180000}),(_xlpm.x-{0;14001;48001;70001;180001}),{0.105;0.07;0.125;0.03;0.06}))</f>
        <v>46640.951737187512</v>
      </c>
      <c r="P39" s="32" cm="1">
        <f t="array" ref="P39">_xlfn.LET(_xlpm.x, P37, SUMPRODUCT(--(_xlpm.x&gt;={1;14000;48000;70000;180000}),(_xlpm.x-{0;14001;48001;70001;180001}),{0.105;0.07;0.125;0.03;0.06}))</f>
        <v>49427.010574046879</v>
      </c>
      <c r="Q39" s="33" cm="1">
        <f t="array" ref="Q39">_xlfn.LET(_xlpm.x, Q37, SUMPRODUCT(--(_xlpm.x&gt;={1;14000;48000;70000;180000}),(_xlpm.x-{0;14001;48001;70001;180001}),{0.105;0.07;0.125;0.03;0.06}))</f>
        <v>52721.875507794539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7"/>
      <c r="AM39" s="7"/>
      <c r="AN39" s="7"/>
      <c r="AO39" s="7"/>
      <c r="AP39" s="7"/>
    </row>
    <row r="40" spans="2:42" s="1" customFormat="1" ht="14.5" customHeight="1" x14ac:dyDescent="0.35">
      <c r="C40"/>
      <c r="D40"/>
      <c r="E40"/>
      <c r="G40" s="25" t="s">
        <v>73</v>
      </c>
      <c r="H40" s="101">
        <f>52*'Property Analysis'!$C$19*(1+'Property Analysis'!$C$26)^('Personal Financial Analysis'!H36-1)</f>
        <v>10400</v>
      </c>
      <c r="I40" s="101">
        <f>52*'Property Analysis'!$C$19*(1+'Property Analysis'!$C$26)^('Personal Financial Analysis'!I36-1)</f>
        <v>10816</v>
      </c>
      <c r="J40" s="102">
        <f>52*'Property Analysis'!$C$19*(1+'Property Analysis'!$C$26)^('Personal Financial Analysis'!J36-1)</f>
        <v>11248.640000000001</v>
      </c>
      <c r="K40" s="101">
        <f>52*'Property Analysis'!$C$19*(1+'Property Analysis'!$C$26)^('Personal Financial Analysis'!K36-1)</f>
        <v>11698.5856</v>
      </c>
      <c r="L40" s="101">
        <f>52*'Property Analysis'!$C$19*(1+'Property Analysis'!$C$26)^('Personal Financial Analysis'!L36-1)</f>
        <v>12166.529024000003</v>
      </c>
      <c r="M40" s="101">
        <f>52*'Property Analysis'!$C$19*(1+'Property Analysis'!$C$26)^('Personal Financial Analysis'!M36-1)</f>
        <v>12653.190184960004</v>
      </c>
      <c r="N40" s="101">
        <f>52*'Property Analysis'!$C$19*(1+'Property Analysis'!$C$26)^('Personal Financial Analysis'!N36-1)</f>
        <v>13159.317792358404</v>
      </c>
      <c r="O40" s="101">
        <f>52*'Property Analysis'!$C$19*(1+'Property Analysis'!$C$26)^('Personal Financial Analysis'!O36-1)</f>
        <v>13685.690504052738</v>
      </c>
      <c r="P40" s="101">
        <f>52*'Property Analysis'!$C$19*(1+'Property Analysis'!$C$26)^('Personal Financial Analysis'!P36-1)</f>
        <v>14233.11812421485</v>
      </c>
      <c r="Q40" s="37">
        <f>52*'Property Analysis'!$C$19*(1+'Property Analysis'!$C$26)^('Personal Financial Analysis'!Q36-1)</f>
        <v>14802.442849183446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2:42" ht="14.5" customHeight="1" thickBot="1" x14ac:dyDescent="0.4">
      <c r="G41" s="107" t="s">
        <v>69</v>
      </c>
      <c r="H41" s="108">
        <f>'Property Analysis'!C7+H37-SUM(H39:H40)</f>
        <v>283080.22499999998</v>
      </c>
      <c r="I41" s="108">
        <f>I37-SUM(I39:I40)</f>
        <v>82684.225000000006</v>
      </c>
      <c r="J41" s="108">
        <f t="shared" ref="J41:P41" si="9">J37-SUM(J39:J40)</f>
        <v>86472.584999999992</v>
      </c>
      <c r="K41" s="108">
        <f t="shared" si="9"/>
        <v>90454.689400000003</v>
      </c>
      <c r="L41" s="108">
        <f t="shared" si="9"/>
        <v>94640.398476000002</v>
      </c>
      <c r="M41" s="108">
        <f t="shared" si="9"/>
        <v>99040.072440040007</v>
      </c>
      <c r="N41" s="108">
        <f t="shared" si="9"/>
        <v>103664.59671389162</v>
      </c>
      <c r="O41" s="108">
        <f t="shared" si="9"/>
        <v>108525.40847750977</v>
      </c>
      <c r="P41" s="108">
        <f t="shared" si="9"/>
        <v>113634.52455642579</v>
      </c>
      <c r="Q41" s="109">
        <f t="shared" ref="Q41" si="10">Q37-SUM(Q39:Q40)</f>
        <v>118635.06756044392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2:42" ht="14.5" customHeight="1" thickBot="1" x14ac:dyDescent="0.4">
      <c r="G42" s="93" t="s">
        <v>89</v>
      </c>
      <c r="H42" s="94">
        <f>SUM($H$41:H41)</f>
        <v>283080.22499999998</v>
      </c>
      <c r="I42" s="94">
        <f>SUM($H$41:I41)</f>
        <v>365764.44999999995</v>
      </c>
      <c r="J42" s="106">
        <f>SUM($H$41:J41)</f>
        <v>452237.03499999992</v>
      </c>
      <c r="K42" s="94">
        <f>SUM($H$41:K41)</f>
        <v>542691.72439999995</v>
      </c>
      <c r="L42" s="94">
        <f>SUM($H$41:L41)</f>
        <v>637332.12287599989</v>
      </c>
      <c r="M42" s="94">
        <f>SUM($H$41:M41)</f>
        <v>736372.19531603996</v>
      </c>
      <c r="N42" s="94">
        <f>SUM($H$41:N41)</f>
        <v>840036.79202993156</v>
      </c>
      <c r="O42" s="94">
        <f>SUM($H$41:O41)</f>
        <v>948562.2005074413</v>
      </c>
      <c r="P42" s="94">
        <f>SUM($H$41:P41)</f>
        <v>1062196.7250638672</v>
      </c>
      <c r="Q42" s="95">
        <f>SUM($H$41:Q41)</f>
        <v>1180831.7926243111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2:42" ht="14.5" customHeight="1" thickBot="1" x14ac:dyDescent="0.4"/>
    <row r="44" spans="2:42" ht="14.5" customHeight="1" thickBot="1" x14ac:dyDescent="0.4">
      <c r="G44" s="112" t="s">
        <v>75</v>
      </c>
      <c r="H44" s="113">
        <f>H42</f>
        <v>283080.22499999998</v>
      </c>
      <c r="I44" s="113">
        <f>I42</f>
        <v>365764.44999999995</v>
      </c>
      <c r="J44" s="113">
        <f t="shared" ref="J44:P44" si="11">J42</f>
        <v>452237.03499999992</v>
      </c>
      <c r="K44" s="113">
        <f t="shared" si="11"/>
        <v>542691.72439999995</v>
      </c>
      <c r="L44" s="113">
        <f t="shared" si="11"/>
        <v>637332.12287599989</v>
      </c>
      <c r="M44" s="113">
        <f t="shared" si="11"/>
        <v>736372.19531603996</v>
      </c>
      <c r="N44" s="113">
        <f t="shared" si="11"/>
        <v>840036.79202993156</v>
      </c>
      <c r="O44" s="113">
        <f t="shared" si="11"/>
        <v>948562.2005074413</v>
      </c>
      <c r="P44" s="113">
        <f t="shared" si="11"/>
        <v>1062196.7250638672</v>
      </c>
      <c r="Q44" s="114">
        <f t="shared" ref="Q44" si="12">Q42</f>
        <v>1180831.7926243111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8" spans="2:42" ht="14.5" customHeight="1" x14ac:dyDescent="0.35">
      <c r="G48" s="1"/>
    </row>
    <row r="53" spans="3:10" ht="14.5" customHeight="1" x14ac:dyDescent="0.35">
      <c r="C53" s="1"/>
      <c r="D53" s="1"/>
      <c r="E53" s="1"/>
    </row>
    <row r="54" spans="3:10" s="1" customFormat="1" ht="14.5" customHeight="1" x14ac:dyDescent="0.35">
      <c r="C54"/>
      <c r="D54"/>
      <c r="E54"/>
      <c r="G54"/>
      <c r="H54"/>
      <c r="I54"/>
      <c r="J54" s="17"/>
    </row>
    <row r="55" spans="3:10" ht="14.5" customHeight="1" x14ac:dyDescent="0.35">
      <c r="G55" s="1"/>
      <c r="H55" s="1"/>
      <c r="I55" s="1"/>
    </row>
    <row r="64" spans="3:10" ht="14.5" customHeight="1" x14ac:dyDescent="0.35">
      <c r="C64" s="1"/>
      <c r="D64" s="1"/>
      <c r="E64" s="1"/>
    </row>
    <row r="65" spans="3:10" s="1" customFormat="1" ht="14.5" customHeight="1" x14ac:dyDescent="0.35">
      <c r="C65"/>
      <c r="D65"/>
      <c r="E65"/>
      <c r="G65"/>
      <c r="H65"/>
      <c r="I65"/>
      <c r="J65" s="17"/>
    </row>
    <row r="66" spans="3:10" ht="14.5" customHeight="1" x14ac:dyDescent="0.35">
      <c r="G66" s="1"/>
      <c r="H66" s="1"/>
      <c r="I66" s="1"/>
    </row>
    <row r="68" spans="3:10" ht="14.5" customHeight="1" x14ac:dyDescent="0.35">
      <c r="C68" s="1"/>
      <c r="D68" s="1"/>
      <c r="E68" s="1"/>
    </row>
    <row r="69" spans="3:10" s="1" customFormat="1" ht="14.5" customHeight="1" x14ac:dyDescent="0.35">
      <c r="C69"/>
      <c r="D69"/>
      <c r="E69"/>
      <c r="G69"/>
      <c r="H69"/>
      <c r="I69"/>
      <c r="J69" s="17"/>
    </row>
    <row r="70" spans="3:10" ht="14.5" customHeight="1" x14ac:dyDescent="0.35">
      <c r="G70" s="1"/>
      <c r="H70" s="1"/>
      <c r="I70" s="1"/>
    </row>
  </sheetData>
  <mergeCells count="1">
    <mergeCell ref="C15:E1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A4DAB66-EE54-432A-A9A0-3B1A43F1562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Analysis</vt:lpstr>
      <vt:lpstr>Personal Financial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Alferink</dc:creator>
  <cp:lastModifiedBy>Henry Alferink</cp:lastModifiedBy>
  <dcterms:created xsi:type="dcterms:W3CDTF">2023-10-18T05:42:49Z</dcterms:created>
  <dcterms:modified xsi:type="dcterms:W3CDTF">2023-11-11T04:16:26Z</dcterms:modified>
</cp:coreProperties>
</file>