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codeName="ThisWorkbook" defaultThemeVersion="124226"/>
  <xr:revisionPtr revIDLastSave="0" documentId="13_ncr:1_{120705BC-AF70-4EEC-9A59-1CB8DEEA7E0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" sheetId="4" r:id="rId1"/>
    <sheet name="Brix" sheetId="1" r:id="rId2"/>
    <sheet name="fg_conc" sheetId="5" r:id="rId3"/>
    <sheet name="fg_temp" sheetId="7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9" i="7" l="1"/>
  <c r="E59" i="7"/>
  <c r="D59" i="7"/>
  <c r="C59" i="7"/>
  <c r="B59" i="7"/>
  <c r="A59" i="7"/>
  <c r="F58" i="7"/>
  <c r="E58" i="7"/>
  <c r="D58" i="7"/>
  <c r="C58" i="7"/>
  <c r="B58" i="7"/>
  <c r="A58" i="7"/>
  <c r="F57" i="7"/>
  <c r="E57" i="7"/>
  <c r="D57" i="7"/>
  <c r="C57" i="7"/>
  <c r="B57" i="7"/>
  <c r="A57" i="7"/>
  <c r="F56" i="7"/>
  <c r="E56" i="7"/>
  <c r="D56" i="7"/>
  <c r="C56" i="7"/>
  <c r="B56" i="7"/>
  <c r="A56" i="7"/>
  <c r="F55" i="7"/>
  <c r="E55" i="7"/>
  <c r="D55" i="7"/>
  <c r="C55" i="7"/>
  <c r="B55" i="7"/>
  <c r="A55" i="7"/>
  <c r="F54" i="7"/>
  <c r="E54" i="7"/>
  <c r="D54" i="7"/>
  <c r="C54" i="7"/>
  <c r="B54" i="7"/>
  <c r="A54" i="7"/>
  <c r="F53" i="7"/>
  <c r="E53" i="7"/>
  <c r="D53" i="7"/>
  <c r="C53" i="7"/>
  <c r="B53" i="7"/>
  <c r="A53" i="7"/>
  <c r="F52" i="7"/>
  <c r="E52" i="7"/>
  <c r="D52" i="7"/>
  <c r="C52" i="7"/>
  <c r="B52" i="7"/>
  <c r="A52" i="7"/>
  <c r="F51" i="7"/>
  <c r="E51" i="7"/>
  <c r="D51" i="7"/>
  <c r="C51" i="7"/>
  <c r="A51" i="7"/>
  <c r="F50" i="7"/>
  <c r="E50" i="7"/>
  <c r="D50" i="7"/>
  <c r="C50" i="7"/>
  <c r="B50" i="7"/>
  <c r="A50" i="7"/>
  <c r="F49" i="7"/>
  <c r="E49" i="7"/>
  <c r="D49" i="7"/>
  <c r="C49" i="7"/>
  <c r="B49" i="7"/>
  <c r="A49" i="7"/>
  <c r="F48" i="7"/>
  <c r="E48" i="7"/>
  <c r="D48" i="7"/>
  <c r="C48" i="7"/>
  <c r="B48" i="7"/>
  <c r="A48" i="7"/>
  <c r="F47" i="7"/>
  <c r="E47" i="7"/>
  <c r="D47" i="7"/>
  <c r="C47" i="7"/>
  <c r="B47" i="7"/>
  <c r="A47" i="7"/>
  <c r="F46" i="7"/>
  <c r="E46" i="7"/>
  <c r="D46" i="7"/>
  <c r="C46" i="7"/>
  <c r="B46" i="7"/>
  <c r="A46" i="7"/>
  <c r="F45" i="7"/>
  <c r="E45" i="7"/>
  <c r="D45" i="7"/>
  <c r="C45" i="7"/>
  <c r="B45" i="7"/>
  <c r="A45" i="7"/>
  <c r="F44" i="7"/>
  <c r="E44" i="7"/>
  <c r="D44" i="7"/>
  <c r="C44" i="7"/>
  <c r="B44" i="7"/>
  <c r="A44" i="7"/>
  <c r="F43" i="7"/>
  <c r="E43" i="7"/>
  <c r="D43" i="7"/>
  <c r="C43" i="7"/>
  <c r="B43" i="7"/>
  <c r="A43" i="7"/>
  <c r="F42" i="7"/>
  <c r="E42" i="7"/>
  <c r="D42" i="7"/>
  <c r="C42" i="7"/>
  <c r="B42" i="7"/>
  <c r="A42" i="7"/>
  <c r="F41" i="7"/>
  <c r="E41" i="7"/>
  <c r="D41" i="7"/>
  <c r="C41" i="7"/>
  <c r="B41" i="7"/>
  <c r="A41" i="7"/>
  <c r="F40" i="7"/>
  <c r="E40" i="7"/>
  <c r="D40" i="7"/>
  <c r="C40" i="7"/>
  <c r="B40" i="7"/>
  <c r="A40" i="7"/>
  <c r="F39" i="7"/>
  <c r="E39" i="7"/>
  <c r="D39" i="7"/>
  <c r="C39" i="7"/>
  <c r="B39" i="7"/>
  <c r="A39" i="7"/>
  <c r="F38" i="7"/>
  <c r="E38" i="7"/>
  <c r="D38" i="7"/>
  <c r="C38" i="7"/>
  <c r="B38" i="7"/>
  <c r="A38" i="7"/>
  <c r="F37" i="7"/>
  <c r="E37" i="7"/>
  <c r="D37" i="7"/>
  <c r="C37" i="7"/>
  <c r="B37" i="7"/>
  <c r="A37" i="7"/>
  <c r="F36" i="7"/>
  <c r="E36" i="7"/>
  <c r="D36" i="7"/>
  <c r="C36" i="7"/>
  <c r="B36" i="7"/>
  <c r="A36" i="7"/>
  <c r="F35" i="7"/>
  <c r="E35" i="7"/>
  <c r="D35" i="7"/>
  <c r="C35" i="7"/>
  <c r="B35" i="7"/>
  <c r="A35" i="7"/>
  <c r="F34" i="7"/>
  <c r="E34" i="7"/>
  <c r="D34" i="7"/>
  <c r="C34" i="7"/>
  <c r="B34" i="7"/>
  <c r="A34" i="7"/>
  <c r="F33" i="7"/>
  <c r="E33" i="7"/>
  <c r="D33" i="7"/>
  <c r="C33" i="7"/>
  <c r="B33" i="7"/>
  <c r="A33" i="7"/>
  <c r="F32" i="7"/>
  <c r="E32" i="7"/>
  <c r="D32" i="7"/>
  <c r="C32" i="7"/>
  <c r="B32" i="7"/>
  <c r="A32" i="7"/>
  <c r="F31" i="7"/>
  <c r="E31" i="7"/>
  <c r="D31" i="7"/>
  <c r="C31" i="7"/>
  <c r="B31" i="7"/>
  <c r="A31" i="7"/>
  <c r="F30" i="7"/>
  <c r="E30" i="7"/>
  <c r="D30" i="7"/>
  <c r="C30" i="7"/>
  <c r="B30" i="7"/>
  <c r="A30" i="7"/>
  <c r="F29" i="7"/>
  <c r="E29" i="7"/>
  <c r="D29" i="7"/>
  <c r="C29" i="7"/>
  <c r="B29" i="7"/>
  <c r="A29" i="7"/>
  <c r="F28" i="7"/>
  <c r="E28" i="7"/>
  <c r="D28" i="7"/>
  <c r="C28" i="7"/>
  <c r="B28" i="7"/>
  <c r="A28" i="7"/>
  <c r="F27" i="7"/>
  <c r="E27" i="7"/>
  <c r="D27" i="7"/>
  <c r="C27" i="7"/>
  <c r="B27" i="7"/>
  <c r="A27" i="7"/>
  <c r="F26" i="7"/>
  <c r="E26" i="7"/>
  <c r="D26" i="7"/>
  <c r="C26" i="7"/>
  <c r="B26" i="7"/>
  <c r="A26" i="7"/>
  <c r="F25" i="7"/>
  <c r="E25" i="7"/>
  <c r="D25" i="7"/>
  <c r="C25" i="7"/>
  <c r="B25" i="7"/>
  <c r="A25" i="7"/>
  <c r="F24" i="7"/>
  <c r="E24" i="7"/>
  <c r="D24" i="7"/>
  <c r="C24" i="7"/>
  <c r="B24" i="7"/>
  <c r="A24" i="7"/>
  <c r="F23" i="7"/>
  <c r="E23" i="7"/>
  <c r="D23" i="7"/>
  <c r="C23" i="7"/>
  <c r="B23" i="7"/>
  <c r="A23" i="7"/>
  <c r="F22" i="7"/>
  <c r="E22" i="7"/>
  <c r="D22" i="7"/>
  <c r="C22" i="7"/>
  <c r="B22" i="7"/>
  <c r="A22" i="7"/>
  <c r="F21" i="7"/>
  <c r="E21" i="7"/>
  <c r="D21" i="7"/>
  <c r="C21" i="7"/>
  <c r="B21" i="7"/>
  <c r="A21" i="7"/>
  <c r="F20" i="7"/>
  <c r="E20" i="7"/>
  <c r="D20" i="7"/>
  <c r="C20" i="7"/>
  <c r="B20" i="7"/>
  <c r="A20" i="7"/>
  <c r="F19" i="7"/>
  <c r="E19" i="7"/>
  <c r="D19" i="7"/>
  <c r="C19" i="7"/>
  <c r="B19" i="7"/>
  <c r="A19" i="7"/>
  <c r="F18" i="7"/>
  <c r="E18" i="7"/>
  <c r="D18" i="7"/>
  <c r="C18" i="7"/>
  <c r="B18" i="7"/>
  <c r="A18" i="7"/>
  <c r="F17" i="7"/>
  <c r="E17" i="7"/>
  <c r="D17" i="7"/>
  <c r="C17" i="7"/>
  <c r="B17" i="7"/>
  <c r="A17" i="7"/>
  <c r="F16" i="7"/>
  <c r="E16" i="7"/>
  <c r="D16" i="7"/>
  <c r="C16" i="7"/>
  <c r="B16" i="7"/>
  <c r="A16" i="7"/>
  <c r="F15" i="7"/>
  <c r="E15" i="7"/>
  <c r="D15" i="7"/>
  <c r="C15" i="7"/>
  <c r="B15" i="7"/>
  <c r="A15" i="7"/>
  <c r="F14" i="7"/>
  <c r="E14" i="7"/>
  <c r="D14" i="7"/>
  <c r="C14" i="7"/>
  <c r="B14" i="7"/>
  <c r="A14" i="7"/>
  <c r="F13" i="7"/>
  <c r="E13" i="7"/>
  <c r="D13" i="7"/>
  <c r="C13" i="7"/>
  <c r="B13" i="7"/>
  <c r="A13" i="7"/>
  <c r="F12" i="7"/>
  <c r="E12" i="7"/>
  <c r="D12" i="7"/>
  <c r="C12" i="7"/>
  <c r="B12" i="7"/>
  <c r="A12" i="7"/>
  <c r="F11" i="7"/>
  <c r="E11" i="7"/>
  <c r="D11" i="7"/>
  <c r="C11" i="7"/>
  <c r="B11" i="7"/>
  <c r="A11" i="7"/>
  <c r="F10" i="7"/>
  <c r="E10" i="7"/>
  <c r="D10" i="7"/>
  <c r="C10" i="7"/>
  <c r="B10" i="7"/>
  <c r="A10" i="7"/>
  <c r="F9" i="7"/>
  <c r="E9" i="7"/>
  <c r="D9" i="7"/>
  <c r="C9" i="7"/>
  <c r="B9" i="7"/>
  <c r="A9" i="7"/>
  <c r="F8" i="7"/>
  <c r="E8" i="7"/>
  <c r="D8" i="7"/>
  <c r="C8" i="7"/>
  <c r="B8" i="7"/>
  <c r="A8" i="7"/>
  <c r="F7" i="7"/>
  <c r="E7" i="7"/>
  <c r="D7" i="7"/>
  <c r="C7" i="7"/>
  <c r="B7" i="7"/>
  <c r="A7" i="7"/>
  <c r="F6" i="7"/>
  <c r="E6" i="7"/>
  <c r="D6" i="7"/>
  <c r="C6" i="7"/>
  <c r="B6" i="7"/>
  <c r="A6" i="7"/>
  <c r="F5" i="7"/>
  <c r="E5" i="7"/>
  <c r="D5" i="7"/>
  <c r="C5" i="7"/>
  <c r="B5" i="7"/>
  <c r="A5" i="7"/>
  <c r="F4" i="7"/>
  <c r="E4" i="7"/>
  <c r="D4" i="7"/>
  <c r="C4" i="7"/>
  <c r="B4" i="7"/>
  <c r="A4" i="7"/>
  <c r="F3" i="7"/>
  <c r="E3" i="7"/>
  <c r="D3" i="7"/>
  <c r="C3" i="7"/>
  <c r="B3" i="7"/>
  <c r="A3" i="7"/>
  <c r="F2" i="7"/>
  <c r="E2" i="7"/>
  <c r="D2" i="7"/>
  <c r="C2" i="7"/>
  <c r="B2" i="7"/>
  <c r="A2" i="7"/>
  <c r="B7" i="4"/>
  <c r="B5" i="4"/>
  <c r="D12" i="1"/>
  <c r="D7" i="1"/>
  <c r="D8" i="1"/>
  <c r="D9" i="1"/>
  <c r="D10" i="1"/>
  <c r="D11" i="1"/>
  <c r="E5" i="1"/>
  <c r="E6" i="1"/>
  <c r="E7" i="1"/>
  <c r="E8" i="1"/>
  <c r="E9" i="1"/>
  <c r="E10" i="1"/>
  <c r="E11" i="1"/>
  <c r="E4" i="1"/>
  <c r="B12" i="1"/>
  <c r="B7" i="1"/>
  <c r="B8" i="1"/>
  <c r="B9" i="1"/>
  <c r="B10" i="1"/>
  <c r="B11" i="1"/>
  <c r="C4" i="1"/>
  <c r="C5" i="1" s="1"/>
  <c r="C6" i="1" s="1"/>
  <c r="C7" i="1" s="1"/>
  <c r="C8" i="1" s="1"/>
  <c r="C9" i="1" s="1"/>
  <c r="C10" i="1" s="1"/>
  <c r="C11" i="1" s="1"/>
  <c r="C3" i="1"/>
  <c r="B4" i="1"/>
  <c r="B3" i="1"/>
  <c r="D4" i="1"/>
  <c r="D3" i="1"/>
  <c r="B5" i="1"/>
  <c r="C2" i="1"/>
  <c r="D5" i="1" l="1"/>
  <c r="D6" i="1"/>
  <c r="B6" i="1"/>
  <c r="B14" i="4"/>
  <c r="B15" i="4"/>
  <c r="B16" i="4"/>
  <c r="B17" i="4"/>
  <c r="B18" i="4"/>
</calcChain>
</file>

<file path=xl/sharedStrings.xml><?xml version="1.0" encoding="utf-8"?>
<sst xmlns="http://schemas.openxmlformats.org/spreadsheetml/2006/main" count="61" uniqueCount="61">
  <si>
    <t>Mass flow of cane sugar (kg/h)</t>
  </si>
  <si>
    <t>Mass flow of impurities (kg/h)</t>
  </si>
  <si>
    <t>Mass flow of cane bagasse (kg/h)</t>
  </si>
  <si>
    <t>Mass flow of NCS (kg/h)</t>
  </si>
  <si>
    <t>Mass flow of cachaza (kg/h)</t>
  </si>
  <si>
    <t>Mass flow of cane bagasse in wet basis (wb) (kg/h)</t>
  </si>
  <si>
    <t>Mass fraction of moisture in cane bagasse (kg H2O/kg cb)</t>
  </si>
  <si>
    <t>Mass fraction of C in cane bagasse (kg C/kg cb)</t>
  </si>
  <si>
    <t>Mass fraction of H in cane bagasse (kg H/kg cb)</t>
  </si>
  <si>
    <t>Mass fraction of O in cane bagasse (kg O/kg cb)</t>
  </si>
  <si>
    <t>Mass fraction of N in cane bagasse (kg N/kg cb)</t>
  </si>
  <si>
    <t>Mill Data</t>
  </si>
  <si>
    <t>Pre-cleaning of sugarcane juice</t>
  </si>
  <si>
    <t>Juice data</t>
  </si>
  <si>
    <t>Fuel data</t>
  </si>
  <si>
    <t>Jugo</t>
  </si>
  <si>
    <t>Name File</t>
  </si>
  <si>
    <t>Corrections for excess air</t>
  </si>
  <si>
    <t>yes/no?</t>
  </si>
  <si>
    <t>Value (0-1)</t>
  </si>
  <si>
    <t>Mass fraction of ash in cane bagasse (kg ash/kg cb)</t>
  </si>
  <si>
    <t>Air data</t>
  </si>
  <si>
    <t>Atmospheric Pressure (mmHg)</t>
  </si>
  <si>
    <t>Vapor Pressure (mmHg)</t>
  </si>
  <si>
    <t>Boiler Data</t>
  </si>
  <si>
    <t>Steam Mass flow (kg/h)</t>
  </si>
  <si>
    <t>Res1</t>
  </si>
  <si>
    <t>no</t>
  </si>
  <si>
    <t>Concentración</t>
  </si>
  <si>
    <t>Clarificadora</t>
  </si>
  <si>
    <t>Evap1</t>
  </si>
  <si>
    <t>Evap2</t>
  </si>
  <si>
    <t>Evap3</t>
  </si>
  <si>
    <t>Variable</t>
  </si>
  <si>
    <t>Value</t>
  </si>
  <si>
    <t>OpenHeatExchanger(OE)</t>
  </si>
  <si>
    <t>BrixIn</t>
  </si>
  <si>
    <t>BrixOut</t>
  </si>
  <si>
    <t>TIn(°C)</t>
  </si>
  <si>
    <t>TOut(°C)</t>
  </si>
  <si>
    <t>Evap4</t>
  </si>
  <si>
    <t>Evap5</t>
  </si>
  <si>
    <t>Evap6</t>
  </si>
  <si>
    <t>Evap7</t>
  </si>
  <si>
    <t>Evap8</t>
  </si>
  <si>
    <t>Steam Pressure in boiler (Kpa)</t>
  </si>
  <si>
    <t>Condensed Pressure (Kpa)</t>
  </si>
  <si>
    <t>Steam Pressure in evporation (Kpa)</t>
  </si>
  <si>
    <t>R(CO2)</t>
  </si>
  <si>
    <t>S(CO)</t>
  </si>
  <si>
    <t>T(O2)</t>
  </si>
  <si>
    <t>U(N2)</t>
  </si>
  <si>
    <t>W(NO)</t>
  </si>
  <si>
    <t>X(NO2)</t>
  </si>
  <si>
    <t>Z(CH4)</t>
  </si>
  <si>
    <t>T1(°K)</t>
  </si>
  <si>
    <t>T2(°K)</t>
  </si>
  <si>
    <t>T3(°K)</t>
  </si>
  <si>
    <t>T4(°K)</t>
  </si>
  <si>
    <t>T5(°K)</t>
  </si>
  <si>
    <t>T6(°K)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</si>
</sst>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"/>
    <numFmt numFmtId="167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2" fillId="0" borderId="0" xfId="0" applyFont="1"/>
    <xf numFmtId="2" fontId="0" fillId="0" borderId="0" xfId="0" applyNumberFormat="1"/>
    <xf numFmtId="20" fontId="0" fillId="0" borderId="0" xfId="0" applyNumberFormat="1"/>
    <xf numFmtId="164" fontId="0" fillId="0" borderId="0" xfId="0" applyNumberFormat="1"/>
    <xf numFmtId="0" fontId="0" fillId="0" borderId="1" xfId="0" applyBorder="1"/>
    <xf numFmtId="0" fontId="3" fillId="0" borderId="0" xfId="0" applyFont="1"/>
    <xf numFmtId="2" fontId="3" fillId="0" borderId="0" xfId="0" applyNumberFormat="1" applyFont="1"/>
    <xf numFmtId="0" fontId="0" fillId="0" borderId="0" xfId="0" applyFill="1" applyBorder="1"/>
    <xf numFmtId="165" fontId="0" fillId="0" borderId="0" xfId="0" applyNumberFormat="1"/>
    <xf numFmtId="166" fontId="0" fillId="0" borderId="0" xfId="0" applyNumberFormat="1"/>
    <xf numFmtId="0" fontId="0" fillId="0" borderId="0" xfId="0" applyBorder="1"/>
    <xf numFmtId="167" fontId="4" fillId="0" borderId="0" xfId="0" applyNumberFormat="1" applyFont="1" applyBorder="1"/>
    <xf numFmtId="16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30"/>
  <sheetViews>
    <sheetView zoomScale="80" zoomScaleNormal="80" workbookViewId="0">
      <selection activeCell="F11" sqref="F11"/>
    </sheetView>
  </sheetViews>
  <sheetFormatPr baseColWidth="10" defaultRowHeight="14.4" x14ac:dyDescent="0.3"/>
  <cols>
    <col min="1" max="1" width="51.88671875" bestFit="1" customWidth="1"/>
  </cols>
  <sheetData>
    <row r="1" spans="1:16" x14ac:dyDescent="0.3">
      <c r="A1" s="7" t="s">
        <v>33</v>
      </c>
      <c r="B1" s="7" t="s">
        <v>34</v>
      </c>
    </row>
    <row r="2" spans="1:16" x14ac:dyDescent="0.3">
      <c r="A2" s="2" t="s">
        <v>16</v>
      </c>
      <c r="B2" t="s">
        <v>26</v>
      </c>
    </row>
    <row r="3" spans="1:16" x14ac:dyDescent="0.3">
      <c r="A3" s="2" t="s">
        <v>11</v>
      </c>
    </row>
    <row r="4" spans="1:16" x14ac:dyDescent="0.3">
      <c r="A4" t="s">
        <v>0</v>
      </c>
      <c r="B4" s="3">
        <v>2000</v>
      </c>
      <c r="L4" s="4"/>
      <c r="M4" s="4"/>
      <c r="N4" s="4"/>
      <c r="O4" s="3"/>
      <c r="P4" s="3"/>
    </row>
    <row r="5" spans="1:16" x14ac:dyDescent="0.3">
      <c r="A5" t="s">
        <v>2</v>
      </c>
      <c r="B5" s="3">
        <f>B4*0.6</f>
        <v>1200</v>
      </c>
      <c r="L5" s="4"/>
      <c r="M5" s="4"/>
      <c r="N5" s="4"/>
      <c r="O5" s="3"/>
      <c r="P5" s="3"/>
    </row>
    <row r="6" spans="1:16" x14ac:dyDescent="0.3">
      <c r="A6" s="2" t="s">
        <v>12</v>
      </c>
      <c r="L6" s="4"/>
      <c r="M6" s="4"/>
      <c r="N6" s="4"/>
      <c r="O6" s="3"/>
      <c r="P6" s="3"/>
    </row>
    <row r="7" spans="1:16" x14ac:dyDescent="0.3">
      <c r="A7" t="s">
        <v>1</v>
      </c>
      <c r="B7" s="3">
        <f>B4*0.04</f>
        <v>80</v>
      </c>
      <c r="F7" s="3"/>
      <c r="G7" s="3"/>
      <c r="H7" s="3"/>
      <c r="P7" s="3"/>
    </row>
    <row r="8" spans="1:16" x14ac:dyDescent="0.3">
      <c r="A8" s="2" t="s">
        <v>13</v>
      </c>
      <c r="F8" s="3"/>
      <c r="G8" s="3"/>
      <c r="H8" s="3"/>
    </row>
    <row r="9" spans="1:16" x14ac:dyDescent="0.3">
      <c r="A9" t="s">
        <v>3</v>
      </c>
      <c r="B9" s="3">
        <v>200</v>
      </c>
      <c r="E9" s="4"/>
    </row>
    <row r="10" spans="1:16" x14ac:dyDescent="0.3">
      <c r="A10" t="s">
        <v>4</v>
      </c>
      <c r="B10">
        <v>60</v>
      </c>
      <c r="E10" s="4"/>
    </row>
    <row r="11" spans="1:16" x14ac:dyDescent="0.3">
      <c r="A11" s="2" t="s">
        <v>14</v>
      </c>
      <c r="E11" s="4"/>
    </row>
    <row r="12" spans="1:16" x14ac:dyDescent="0.3">
      <c r="A12" t="s">
        <v>5</v>
      </c>
      <c r="B12" s="3">
        <v>440.56</v>
      </c>
    </row>
    <row r="13" spans="1:16" x14ac:dyDescent="0.3">
      <c r="A13" t="s">
        <v>6</v>
      </c>
      <c r="B13" s="1">
        <v>0.49709999999999999</v>
      </c>
    </row>
    <row r="14" spans="1:16" x14ac:dyDescent="0.3">
      <c r="A14" t="s">
        <v>7</v>
      </c>
      <c r="B14" s="7">
        <f>49.1211840888067/100</f>
        <v>0.49121184088806702</v>
      </c>
    </row>
    <row r="15" spans="1:16" x14ac:dyDescent="0.3">
      <c r="A15" t="s">
        <v>8</v>
      </c>
      <c r="B15" s="7">
        <f>4.34782608695652/100</f>
        <v>4.3478260869565195E-2</v>
      </c>
    </row>
    <row r="16" spans="1:16" x14ac:dyDescent="0.3">
      <c r="A16" t="s">
        <v>9</v>
      </c>
      <c r="B16" s="7">
        <f>38.5753931544866/100</f>
        <v>0.38575393154486598</v>
      </c>
      <c r="E16" s="4"/>
      <c r="K16" s="3"/>
    </row>
    <row r="17" spans="1:9" x14ac:dyDescent="0.3">
      <c r="A17" t="s">
        <v>10</v>
      </c>
      <c r="B17" s="7">
        <f>0.462534690101745/100</f>
        <v>4.6253469010174506E-3</v>
      </c>
      <c r="E17" s="4"/>
      <c r="F17" s="4"/>
      <c r="I17" s="5"/>
    </row>
    <row r="18" spans="1:9" x14ac:dyDescent="0.3">
      <c r="A18" t="s">
        <v>20</v>
      </c>
      <c r="B18" s="7">
        <f>7.49306197964847/100</f>
        <v>7.4930619796484702E-2</v>
      </c>
      <c r="E18" s="4"/>
      <c r="F18" s="4"/>
      <c r="I18" s="5"/>
    </row>
    <row r="19" spans="1:9" x14ac:dyDescent="0.3">
      <c r="A19" s="2" t="s">
        <v>17</v>
      </c>
      <c r="E19" s="4"/>
      <c r="F19" s="4"/>
      <c r="I19" s="5"/>
    </row>
    <row r="20" spans="1:9" x14ac:dyDescent="0.3">
      <c r="A20" t="s">
        <v>18</v>
      </c>
      <c r="B20" t="s">
        <v>27</v>
      </c>
      <c r="E20" s="4"/>
      <c r="F20" s="4"/>
      <c r="I20" s="5"/>
    </row>
    <row r="21" spans="1:9" x14ac:dyDescent="0.3">
      <c r="A21" t="s">
        <v>19</v>
      </c>
      <c r="B21">
        <v>0.85</v>
      </c>
      <c r="E21" s="4"/>
      <c r="F21" s="4"/>
      <c r="I21" s="5"/>
    </row>
    <row r="22" spans="1:9" x14ac:dyDescent="0.3">
      <c r="A22" s="2" t="s">
        <v>21</v>
      </c>
      <c r="E22" s="4"/>
      <c r="F22" s="4"/>
      <c r="I22" s="5"/>
    </row>
    <row r="23" spans="1:9" x14ac:dyDescent="0.3">
      <c r="A23" t="s">
        <v>22</v>
      </c>
      <c r="B23">
        <v>628.76</v>
      </c>
      <c r="E23" s="4"/>
      <c r="F23" s="4"/>
      <c r="I23" s="5"/>
    </row>
    <row r="24" spans="1:9" x14ac:dyDescent="0.3">
      <c r="A24" t="s">
        <v>23</v>
      </c>
      <c r="B24">
        <v>22.395</v>
      </c>
      <c r="E24" s="4"/>
      <c r="F24" s="4"/>
      <c r="I24" s="5"/>
    </row>
    <row r="25" spans="1:9" x14ac:dyDescent="0.3">
      <c r="A25" s="2" t="s">
        <v>24</v>
      </c>
      <c r="E25" s="4"/>
      <c r="F25" s="4"/>
      <c r="I25" s="5"/>
    </row>
    <row r="26" spans="1:9" x14ac:dyDescent="0.3">
      <c r="A26" t="s">
        <v>25</v>
      </c>
      <c r="B26">
        <v>1012.92</v>
      </c>
      <c r="E26" s="4"/>
      <c r="F26" s="4"/>
      <c r="I26" s="5"/>
    </row>
    <row r="27" spans="1:9" x14ac:dyDescent="0.3">
      <c r="A27" t="s">
        <v>45</v>
      </c>
      <c r="B27" s="10">
        <v>741.49</v>
      </c>
      <c r="E27" s="4"/>
      <c r="F27" s="4"/>
      <c r="I27" s="5"/>
    </row>
    <row r="28" spans="1:9" x14ac:dyDescent="0.3">
      <c r="A28" t="s">
        <v>46</v>
      </c>
      <c r="B28" s="5">
        <v>203.75</v>
      </c>
      <c r="I28" s="5"/>
    </row>
    <row r="29" spans="1:9" x14ac:dyDescent="0.3">
      <c r="A29" t="s">
        <v>47</v>
      </c>
      <c r="B29" s="11">
        <v>101</v>
      </c>
      <c r="E29" s="4"/>
    </row>
    <row r="30" spans="1:9" x14ac:dyDescent="0.3">
      <c r="I3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13"/>
  <sheetViews>
    <sheetView zoomScale="80" zoomScaleNormal="80" workbookViewId="0">
      <selection activeCell="G16" sqref="G16"/>
    </sheetView>
  </sheetViews>
  <sheetFormatPr baseColWidth="10" defaultColWidth="9.109375" defaultRowHeight="14.4" x14ac:dyDescent="0.3"/>
  <cols>
    <col min="1" max="1" width="22.44140625" bestFit="1" customWidth="1"/>
    <col min="4" max="4" width="10.33203125" bestFit="1" customWidth="1"/>
  </cols>
  <sheetData>
    <row r="1" spans="1:6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6" x14ac:dyDescent="0.3">
      <c r="A2" t="s">
        <v>15</v>
      </c>
      <c r="B2" s="8">
        <v>22.45</v>
      </c>
      <c r="C2" s="3">
        <f>B2</f>
        <v>22.45</v>
      </c>
      <c r="D2">
        <v>25</v>
      </c>
      <c r="E2" s="3">
        <v>25</v>
      </c>
    </row>
    <row r="3" spans="1:6" x14ac:dyDescent="0.3">
      <c r="A3" t="s">
        <v>29</v>
      </c>
      <c r="B3" s="3">
        <f>C2</f>
        <v>22.45</v>
      </c>
      <c r="C3" s="3">
        <f>+C2+5</f>
        <v>27.45</v>
      </c>
      <c r="D3" s="3">
        <f>E2</f>
        <v>25</v>
      </c>
      <c r="E3" s="3">
        <v>80</v>
      </c>
    </row>
    <row r="4" spans="1:6" x14ac:dyDescent="0.3">
      <c r="A4" t="s">
        <v>30</v>
      </c>
      <c r="B4" s="3">
        <f>C3</f>
        <v>27.45</v>
      </c>
      <c r="C4" s="3">
        <f t="shared" ref="C4:C11" si="0">+C3+5</f>
        <v>32.450000000000003</v>
      </c>
      <c r="D4" s="3">
        <f>E3</f>
        <v>80</v>
      </c>
      <c r="E4" s="3">
        <f>+E3+3</f>
        <v>83</v>
      </c>
    </row>
    <row r="5" spans="1:6" x14ac:dyDescent="0.3">
      <c r="A5" t="s">
        <v>31</v>
      </c>
      <c r="B5" s="3">
        <f t="shared" ref="B5:B11" si="1">C4</f>
        <v>32.450000000000003</v>
      </c>
      <c r="C5" s="3">
        <f t="shared" si="0"/>
        <v>37.450000000000003</v>
      </c>
      <c r="D5" s="3">
        <f t="shared" ref="D5:D12" si="2">E4</f>
        <v>83</v>
      </c>
      <c r="E5" s="3">
        <f t="shared" ref="E5:E11" si="3">+E4+3</f>
        <v>86</v>
      </c>
    </row>
    <row r="6" spans="1:6" x14ac:dyDescent="0.3">
      <c r="A6" t="s">
        <v>32</v>
      </c>
      <c r="B6" s="3">
        <f t="shared" si="1"/>
        <v>37.450000000000003</v>
      </c>
      <c r="C6" s="3">
        <f t="shared" si="0"/>
        <v>42.45</v>
      </c>
      <c r="D6" s="3">
        <f t="shared" si="2"/>
        <v>86</v>
      </c>
      <c r="E6" s="3">
        <f t="shared" si="3"/>
        <v>89</v>
      </c>
    </row>
    <row r="7" spans="1:6" x14ac:dyDescent="0.3">
      <c r="A7" t="s">
        <v>40</v>
      </c>
      <c r="B7" s="3">
        <f t="shared" si="1"/>
        <v>42.45</v>
      </c>
      <c r="C7" s="3">
        <f t="shared" si="0"/>
        <v>47.45</v>
      </c>
      <c r="D7" s="3">
        <f t="shared" si="2"/>
        <v>89</v>
      </c>
      <c r="E7" s="3">
        <f t="shared" si="3"/>
        <v>92</v>
      </c>
    </row>
    <row r="8" spans="1:6" x14ac:dyDescent="0.3">
      <c r="A8" s="6" t="s">
        <v>41</v>
      </c>
      <c r="B8" s="3">
        <f t="shared" si="1"/>
        <v>47.45</v>
      </c>
      <c r="C8" s="3">
        <f t="shared" si="0"/>
        <v>52.45</v>
      </c>
      <c r="D8" s="3">
        <f t="shared" si="2"/>
        <v>92</v>
      </c>
      <c r="E8" s="3">
        <f t="shared" si="3"/>
        <v>95</v>
      </c>
    </row>
    <row r="9" spans="1:6" x14ac:dyDescent="0.3">
      <c r="A9" s="9" t="s">
        <v>42</v>
      </c>
      <c r="B9" s="3">
        <f t="shared" si="1"/>
        <v>52.45</v>
      </c>
      <c r="C9" s="3">
        <f t="shared" si="0"/>
        <v>57.45</v>
      </c>
      <c r="D9" s="3">
        <f t="shared" si="2"/>
        <v>95</v>
      </c>
      <c r="E9" s="3">
        <f t="shared" si="3"/>
        <v>98</v>
      </c>
    </row>
    <row r="10" spans="1:6" x14ac:dyDescent="0.3">
      <c r="A10" s="9" t="s">
        <v>43</v>
      </c>
      <c r="B10" s="3">
        <f t="shared" si="1"/>
        <v>57.45</v>
      </c>
      <c r="C10" s="3">
        <f t="shared" si="0"/>
        <v>62.45</v>
      </c>
      <c r="D10" s="3">
        <f t="shared" si="2"/>
        <v>98</v>
      </c>
      <c r="E10" s="3">
        <f t="shared" si="3"/>
        <v>101</v>
      </c>
    </row>
    <row r="11" spans="1:6" x14ac:dyDescent="0.3">
      <c r="A11" s="9" t="s">
        <v>44</v>
      </c>
      <c r="B11" s="3">
        <f t="shared" si="1"/>
        <v>62.45</v>
      </c>
      <c r="C11" s="3">
        <f t="shared" si="0"/>
        <v>67.45</v>
      </c>
      <c r="D11" s="3">
        <f t="shared" si="2"/>
        <v>101</v>
      </c>
      <c r="E11" s="3">
        <f t="shared" si="3"/>
        <v>104</v>
      </c>
    </row>
    <row r="12" spans="1:6" x14ac:dyDescent="0.3">
      <c r="A12" s="6" t="s">
        <v>28</v>
      </c>
      <c r="B12" s="3">
        <f>C11</f>
        <v>67.45</v>
      </c>
      <c r="C12" s="3">
        <v>96.1</v>
      </c>
      <c r="D12" s="3">
        <f t="shared" si="2"/>
        <v>104</v>
      </c>
      <c r="E12" s="3">
        <v>120</v>
      </c>
    </row>
    <row r="13" spans="1:6" x14ac:dyDescent="0.3">
      <c r="F13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4E59-B1EF-4177-8312-01743EFDA6F7}">
  <dimension ref="A1:G61"/>
  <sheetViews>
    <sheetView workbookViewId="0">
      <selection activeCell="J17" sqref="J17"/>
    </sheetView>
  </sheetViews>
  <sheetFormatPr baseColWidth="10" defaultRowHeight="14.4" x14ac:dyDescent="0.3"/>
  <sheetData>
    <row r="1" spans="1:7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3">
      <c r="A2">
        <v>4.9799999999999997E-2</v>
      </c>
      <c r="B2">
        <v>3.4999999999999997E-5</v>
      </c>
      <c r="C2">
        <v>0.15770000000000001</v>
      </c>
      <c r="D2">
        <v>0.79246499999999997</v>
      </c>
      <c r="E2">
        <v>0</v>
      </c>
      <c r="F2">
        <v>0</v>
      </c>
      <c r="G2">
        <v>0</v>
      </c>
    </row>
    <row r="3" spans="1:7" x14ac:dyDescent="0.3">
      <c r="A3">
        <v>5.6099999999999997E-2</v>
      </c>
      <c r="B3">
        <v>3.0000000000000001E-5</v>
      </c>
      <c r="C3">
        <v>0.15110000000000001</v>
      </c>
      <c r="D3">
        <v>0.79276999999999997</v>
      </c>
      <c r="E3">
        <v>0</v>
      </c>
      <c r="F3">
        <v>0</v>
      </c>
      <c r="G3">
        <v>0</v>
      </c>
    </row>
    <row r="4" spans="1:7" x14ac:dyDescent="0.3">
      <c r="A4">
        <v>6.08E-2</v>
      </c>
      <c r="B4">
        <v>3.9999999999999998E-6</v>
      </c>
      <c r="C4">
        <v>0.1462</v>
      </c>
      <c r="D4">
        <v>0.79299600000000003</v>
      </c>
      <c r="E4">
        <v>0</v>
      </c>
      <c r="F4">
        <v>0</v>
      </c>
      <c r="G4">
        <v>0</v>
      </c>
    </row>
    <row r="5" spans="1:7" x14ac:dyDescent="0.3">
      <c r="A5">
        <v>6.4899999999999999E-2</v>
      </c>
      <c r="B5">
        <v>2.0000000000000002E-5</v>
      </c>
      <c r="C5">
        <v>0.14180000000000001</v>
      </c>
      <c r="D5">
        <v>0.79327999999999999</v>
      </c>
      <c r="E5">
        <v>0</v>
      </c>
      <c r="F5">
        <v>0</v>
      </c>
      <c r="G5">
        <v>0</v>
      </c>
    </row>
    <row r="6" spans="1:7" x14ac:dyDescent="0.3">
      <c r="A6">
        <v>7.0000000000000007E-2</v>
      </c>
      <c r="B6">
        <v>5.5999999999999999E-5</v>
      </c>
      <c r="C6">
        <v>0.1366</v>
      </c>
      <c r="D6">
        <v>0.79334400000000005</v>
      </c>
      <c r="E6">
        <v>0</v>
      </c>
      <c r="F6">
        <v>0</v>
      </c>
      <c r="G6">
        <v>0</v>
      </c>
    </row>
    <row r="7" spans="1:7" x14ac:dyDescent="0.3">
      <c r="A7">
        <v>7.5999999999999998E-2</v>
      </c>
      <c r="B7">
        <v>5.5999999999999999E-5</v>
      </c>
      <c r="C7">
        <v>0.13020000000000001</v>
      </c>
      <c r="D7">
        <v>0.79374400000000001</v>
      </c>
      <c r="E7">
        <v>0</v>
      </c>
      <c r="F7">
        <v>0</v>
      </c>
      <c r="G7">
        <v>0</v>
      </c>
    </row>
    <row r="8" spans="1:7" x14ac:dyDescent="0.3">
      <c r="A8">
        <v>7.6999999999999999E-2</v>
      </c>
      <c r="B8">
        <v>7.8999999999999996E-5</v>
      </c>
      <c r="C8">
        <v>0.12909999999999999</v>
      </c>
      <c r="D8">
        <v>0.793821</v>
      </c>
      <c r="E8">
        <v>0</v>
      </c>
      <c r="F8">
        <v>0</v>
      </c>
      <c r="G8">
        <v>0</v>
      </c>
    </row>
    <row r="9" spans="1:7" x14ac:dyDescent="0.3">
      <c r="A9">
        <v>8.4500000000000006E-2</v>
      </c>
      <c r="B9">
        <v>3.28E-4</v>
      </c>
      <c r="C9">
        <v>0.12130000000000001</v>
      </c>
      <c r="D9">
        <v>0.79387200000000002</v>
      </c>
      <c r="E9">
        <v>0</v>
      </c>
      <c r="F9">
        <v>0</v>
      </c>
      <c r="G9">
        <v>0</v>
      </c>
    </row>
    <row r="10" spans="1:7" x14ac:dyDescent="0.3">
      <c r="A10">
        <v>6.9199999999999998E-2</v>
      </c>
      <c r="B10">
        <v>1.3240000000000001E-3</v>
      </c>
      <c r="C10">
        <v>0.13739999999999999</v>
      </c>
      <c r="D10">
        <v>0.792076</v>
      </c>
      <c r="E10">
        <v>0</v>
      </c>
      <c r="F10">
        <v>0</v>
      </c>
      <c r="G10">
        <v>0</v>
      </c>
    </row>
    <row r="11" spans="1:7" x14ac:dyDescent="0.3">
      <c r="A11">
        <v>6.8599999999999994E-2</v>
      </c>
      <c r="B11">
        <v>1.768E-3</v>
      </c>
      <c r="C11">
        <v>0.13800000000000001</v>
      </c>
      <c r="D11">
        <v>0.791632</v>
      </c>
      <c r="E11">
        <v>0</v>
      </c>
      <c r="F11">
        <v>0</v>
      </c>
      <c r="G11">
        <v>0</v>
      </c>
    </row>
    <row r="12" spans="1:7" x14ac:dyDescent="0.3">
      <c r="A12">
        <v>8.6699999999999999E-2</v>
      </c>
      <c r="B12">
        <v>7.1500000000000003E-4</v>
      </c>
      <c r="C12">
        <v>0.11890000000000001</v>
      </c>
      <c r="D12">
        <v>0.79368499999999997</v>
      </c>
      <c r="E12">
        <v>0</v>
      </c>
      <c r="F12">
        <v>0</v>
      </c>
      <c r="G12">
        <v>0</v>
      </c>
    </row>
    <row r="13" spans="1:7" x14ac:dyDescent="0.3">
      <c r="A13">
        <v>8.9399999999999993E-2</v>
      </c>
      <c r="B13">
        <v>7.6199999999999998E-4</v>
      </c>
      <c r="C13">
        <v>0.11609999999999999</v>
      </c>
      <c r="D13">
        <v>0.79373800000000005</v>
      </c>
      <c r="E13">
        <v>0</v>
      </c>
      <c r="F13">
        <v>0</v>
      </c>
      <c r="G13">
        <v>0</v>
      </c>
    </row>
    <row r="14" spans="1:7" x14ac:dyDescent="0.3">
      <c r="A14">
        <v>8.5500000000000007E-2</v>
      </c>
      <c r="B14">
        <v>2.2100000000000002E-3</v>
      </c>
      <c r="C14">
        <v>0.1202</v>
      </c>
      <c r="D14">
        <v>0.79208999999999996</v>
      </c>
      <c r="E14">
        <v>0</v>
      </c>
      <c r="F14">
        <v>0</v>
      </c>
      <c r="G14">
        <v>0</v>
      </c>
    </row>
    <row r="15" spans="1:7" x14ac:dyDescent="0.3">
      <c r="A15">
        <v>8.0399999999999999E-2</v>
      </c>
      <c r="B15">
        <v>1.2290000000000001E-3</v>
      </c>
      <c r="C15">
        <v>0.12559999999999999</v>
      </c>
      <c r="D15">
        <v>0.792771</v>
      </c>
      <c r="E15">
        <v>0</v>
      </c>
      <c r="F15">
        <v>0</v>
      </c>
      <c r="G15">
        <v>0</v>
      </c>
    </row>
    <row r="16" spans="1:7" x14ac:dyDescent="0.3">
      <c r="A16">
        <v>7.9299999999999995E-2</v>
      </c>
      <c r="B16">
        <v>6.0800000000000003E-4</v>
      </c>
      <c r="C16">
        <v>0.12670000000000001</v>
      </c>
      <c r="D16">
        <v>0.79339199999999999</v>
      </c>
      <c r="E16">
        <v>0</v>
      </c>
      <c r="F16">
        <v>0</v>
      </c>
      <c r="G16">
        <v>0</v>
      </c>
    </row>
    <row r="17" spans="1:7" x14ac:dyDescent="0.3">
      <c r="A17">
        <v>8.14E-2</v>
      </c>
      <c r="B17">
        <v>3.6600000000000001E-4</v>
      </c>
      <c r="C17">
        <v>0.1245</v>
      </c>
      <c r="D17">
        <v>0.79373400000000005</v>
      </c>
      <c r="E17">
        <v>0</v>
      </c>
      <c r="F17">
        <v>0</v>
      </c>
      <c r="G17">
        <v>0</v>
      </c>
    </row>
    <row r="18" spans="1:7" x14ac:dyDescent="0.3">
      <c r="A18">
        <v>7.9100000000000004E-2</v>
      </c>
      <c r="B18">
        <v>3.4600000000000001E-4</v>
      </c>
      <c r="C18">
        <v>0.127</v>
      </c>
      <c r="D18">
        <v>0.79355399999999998</v>
      </c>
      <c r="E18">
        <v>0</v>
      </c>
      <c r="F18">
        <v>0</v>
      </c>
      <c r="G18">
        <v>0</v>
      </c>
    </row>
    <row r="19" spans="1:7" x14ac:dyDescent="0.3">
      <c r="A19">
        <v>7.5800000000000006E-2</v>
      </c>
      <c r="B19">
        <v>3.2000000000000003E-4</v>
      </c>
      <c r="C19">
        <v>0.13039999999999999</v>
      </c>
      <c r="D19">
        <v>0.79347999999999996</v>
      </c>
      <c r="E19">
        <v>0</v>
      </c>
      <c r="F19">
        <v>0</v>
      </c>
      <c r="G19">
        <v>0</v>
      </c>
    </row>
    <row r="20" spans="1:7" x14ac:dyDescent="0.3">
      <c r="A20">
        <v>7.2700000000000001E-2</v>
      </c>
      <c r="B20">
        <v>2.34E-4</v>
      </c>
      <c r="C20">
        <v>0.13370000000000001</v>
      </c>
      <c r="D20">
        <v>0.79336600000000002</v>
      </c>
      <c r="E20">
        <v>0</v>
      </c>
      <c r="F20">
        <v>0</v>
      </c>
      <c r="G20">
        <v>0</v>
      </c>
    </row>
    <row r="21" spans="1:7" x14ac:dyDescent="0.3">
      <c r="A21">
        <v>6.6000000000000003E-2</v>
      </c>
      <c r="B21">
        <v>3.0200000000000002E-4</v>
      </c>
      <c r="C21">
        <v>0.14069999999999999</v>
      </c>
      <c r="D21">
        <v>0.79299799999999998</v>
      </c>
      <c r="E21">
        <v>0</v>
      </c>
      <c r="F21">
        <v>0</v>
      </c>
      <c r="G21">
        <v>0</v>
      </c>
    </row>
    <row r="22" spans="1:7" x14ac:dyDescent="0.3">
      <c r="A22">
        <v>6.3600000000000004E-2</v>
      </c>
      <c r="B22">
        <v>2.4899999999999998E-4</v>
      </c>
      <c r="C22">
        <v>0.14330000000000001</v>
      </c>
      <c r="D22">
        <v>0.79285099999999997</v>
      </c>
      <c r="E22">
        <v>0</v>
      </c>
      <c r="F22">
        <v>0</v>
      </c>
      <c r="G22">
        <v>0</v>
      </c>
    </row>
    <row r="23" spans="1:7" x14ac:dyDescent="0.3">
      <c r="A23">
        <v>6.2799999999999995E-2</v>
      </c>
      <c r="B23">
        <v>1.5699999999999999E-4</v>
      </c>
      <c r="C23">
        <v>0.14399999999999999</v>
      </c>
      <c r="D23">
        <v>0.79304300000000005</v>
      </c>
      <c r="E23">
        <v>0</v>
      </c>
      <c r="F23">
        <v>0</v>
      </c>
      <c r="G23">
        <v>0</v>
      </c>
    </row>
    <row r="24" spans="1:7" x14ac:dyDescent="0.3">
      <c r="A24">
        <v>5.0700000000000002E-2</v>
      </c>
      <c r="B24">
        <v>7.8100000000000001E-4</v>
      </c>
      <c r="C24">
        <v>0.15679999999999999</v>
      </c>
      <c r="D24">
        <v>0.79171899999999995</v>
      </c>
      <c r="E24">
        <v>0</v>
      </c>
      <c r="F24">
        <v>0</v>
      </c>
      <c r="G24">
        <v>0</v>
      </c>
    </row>
    <row r="25" spans="1:7" x14ac:dyDescent="0.3">
      <c r="A25">
        <v>4.99E-2</v>
      </c>
      <c r="B25">
        <v>3.28E-4</v>
      </c>
      <c r="C25">
        <v>0.15759999999999999</v>
      </c>
      <c r="D25">
        <v>0.79217199999999999</v>
      </c>
      <c r="E25">
        <v>0</v>
      </c>
      <c r="F25">
        <v>0</v>
      </c>
      <c r="G25">
        <v>0</v>
      </c>
    </row>
    <row r="26" spans="1:7" x14ac:dyDescent="0.3">
      <c r="A26">
        <v>5.4300000000000001E-2</v>
      </c>
      <c r="B26">
        <v>1.05E-4</v>
      </c>
      <c r="C26">
        <v>0.153</v>
      </c>
      <c r="D26">
        <v>0.79259500000000005</v>
      </c>
      <c r="E26">
        <v>0</v>
      </c>
      <c r="F26">
        <v>0</v>
      </c>
      <c r="G26">
        <v>0</v>
      </c>
    </row>
    <row r="27" spans="1:7" x14ac:dyDescent="0.3">
      <c r="A27">
        <v>6.0699999999999997E-2</v>
      </c>
      <c r="B27">
        <v>6.7999999999999999E-5</v>
      </c>
      <c r="C27">
        <v>0.1462</v>
      </c>
      <c r="D27">
        <v>0.79303199999999996</v>
      </c>
      <c r="E27">
        <v>0</v>
      </c>
      <c r="F27">
        <v>0</v>
      </c>
      <c r="G27">
        <v>0</v>
      </c>
    </row>
    <row r="28" spans="1:7" x14ac:dyDescent="0.3">
      <c r="A28">
        <v>6.2799999999999995E-2</v>
      </c>
      <c r="B28">
        <v>6.2000000000000003E-5</v>
      </c>
      <c r="C28">
        <v>0.14410000000000001</v>
      </c>
      <c r="D28">
        <v>0.79303800000000002</v>
      </c>
      <c r="E28">
        <v>0</v>
      </c>
      <c r="F28">
        <v>0</v>
      </c>
      <c r="G28">
        <v>0</v>
      </c>
    </row>
    <row r="29" spans="1:7" x14ac:dyDescent="0.3">
      <c r="A29">
        <v>6.88E-2</v>
      </c>
      <c r="B29">
        <v>4.3999999999999999E-5</v>
      </c>
      <c r="C29">
        <v>0.13769999999999999</v>
      </c>
      <c r="D29">
        <v>0.79345600000000005</v>
      </c>
      <c r="E29">
        <v>0</v>
      </c>
      <c r="F29">
        <v>0</v>
      </c>
      <c r="G29">
        <v>0</v>
      </c>
    </row>
    <row r="30" spans="1:7" x14ac:dyDescent="0.3">
      <c r="A30">
        <v>7.51E-2</v>
      </c>
      <c r="B30">
        <v>1.2300000000000001E-4</v>
      </c>
      <c r="C30">
        <v>0.13120000000000001</v>
      </c>
      <c r="D30">
        <v>0.79357699999999998</v>
      </c>
      <c r="E30">
        <v>0</v>
      </c>
      <c r="F30">
        <v>0</v>
      </c>
      <c r="G30">
        <v>0</v>
      </c>
    </row>
    <row r="31" spans="1:7" x14ac:dyDescent="0.3">
      <c r="A31">
        <v>7.4399999999999994E-2</v>
      </c>
      <c r="B31">
        <v>1.0380000000000001E-3</v>
      </c>
      <c r="C31">
        <v>0.13189999999999999</v>
      </c>
      <c r="D31">
        <v>0.79266199999999998</v>
      </c>
      <c r="E31">
        <v>0</v>
      </c>
      <c r="F31">
        <v>0</v>
      </c>
      <c r="G31">
        <v>0</v>
      </c>
    </row>
    <row r="32" spans="1:7" x14ac:dyDescent="0.3">
      <c r="A32">
        <v>7.5600000000000001E-2</v>
      </c>
      <c r="B32">
        <v>2.5969999999999999E-3</v>
      </c>
      <c r="C32">
        <v>0.13070000000000001</v>
      </c>
      <c r="D32">
        <v>0.791103</v>
      </c>
      <c r="E32">
        <v>0</v>
      </c>
      <c r="F32">
        <v>0</v>
      </c>
      <c r="G32">
        <v>0</v>
      </c>
    </row>
    <row r="33" spans="1:7" x14ac:dyDescent="0.3">
      <c r="A33">
        <v>7.4700000000000003E-2</v>
      </c>
      <c r="B33">
        <v>1.897E-3</v>
      </c>
      <c r="C33">
        <v>0.13159999999999999</v>
      </c>
      <c r="D33">
        <v>0.79180300000000003</v>
      </c>
      <c r="E33">
        <v>0</v>
      </c>
      <c r="F33">
        <v>0</v>
      </c>
      <c r="G33">
        <v>0</v>
      </c>
    </row>
    <row r="34" spans="1:7" x14ac:dyDescent="0.3">
      <c r="A34">
        <v>6.2300000000000001E-2</v>
      </c>
      <c r="B34">
        <v>1.366E-3</v>
      </c>
      <c r="C34">
        <v>0.14460000000000001</v>
      </c>
      <c r="D34">
        <v>0.79173400000000005</v>
      </c>
      <c r="E34">
        <v>0</v>
      </c>
      <c r="F34">
        <v>0</v>
      </c>
      <c r="G34">
        <v>0</v>
      </c>
    </row>
    <row r="35" spans="1:7" x14ac:dyDescent="0.3">
      <c r="A35">
        <v>5.8900000000000001E-2</v>
      </c>
      <c r="B35">
        <v>1.021E-3</v>
      </c>
      <c r="C35">
        <v>0.14810000000000001</v>
      </c>
      <c r="D35">
        <v>0.79197899999999999</v>
      </c>
      <c r="E35">
        <v>0</v>
      </c>
      <c r="F35">
        <v>0</v>
      </c>
      <c r="G35">
        <v>0</v>
      </c>
    </row>
    <row r="36" spans="1:7" x14ac:dyDescent="0.3">
      <c r="A36">
        <v>4.9099999999999998E-2</v>
      </c>
      <c r="B36">
        <v>9.2900000000000003E-4</v>
      </c>
      <c r="C36">
        <v>0.15840000000000001</v>
      </c>
      <c r="D36">
        <v>0.79157100000000002</v>
      </c>
      <c r="E36">
        <v>0</v>
      </c>
      <c r="F36">
        <v>0</v>
      </c>
      <c r="G36">
        <v>0</v>
      </c>
    </row>
    <row r="37" spans="1:7" x14ac:dyDescent="0.3">
      <c r="A37">
        <v>4.0300000000000002E-2</v>
      </c>
      <c r="B37">
        <v>1.0430000000000001E-3</v>
      </c>
      <c r="C37">
        <v>0.16769999999999999</v>
      </c>
      <c r="D37">
        <v>0.79095700000000002</v>
      </c>
      <c r="E37">
        <v>0</v>
      </c>
      <c r="F37">
        <v>0</v>
      </c>
      <c r="G37">
        <v>0</v>
      </c>
    </row>
    <row r="38" spans="1:7" x14ac:dyDescent="0.3">
      <c r="A38">
        <v>4.1599999999999998E-2</v>
      </c>
      <c r="B38">
        <v>1.0870000000000001E-3</v>
      </c>
      <c r="C38">
        <v>0.16639999999999999</v>
      </c>
      <c r="D38">
        <v>0.79091299999999998</v>
      </c>
      <c r="E38">
        <v>0</v>
      </c>
      <c r="F38">
        <v>0</v>
      </c>
      <c r="G38">
        <v>0</v>
      </c>
    </row>
    <row r="39" spans="1:7" x14ac:dyDescent="0.3">
      <c r="A39">
        <v>4.6300000000000001E-2</v>
      </c>
      <c r="B39">
        <v>9.6599999999999995E-4</v>
      </c>
      <c r="C39">
        <v>0.16139999999999999</v>
      </c>
      <c r="D39">
        <v>0.79133399999999998</v>
      </c>
      <c r="E39">
        <v>0</v>
      </c>
      <c r="F39">
        <v>0</v>
      </c>
      <c r="G39">
        <v>0</v>
      </c>
    </row>
    <row r="40" spans="1:7" x14ac:dyDescent="0.3">
      <c r="A40">
        <v>4.9799999999999997E-2</v>
      </c>
      <c r="B40">
        <v>9.859999999999999E-4</v>
      </c>
      <c r="C40">
        <v>0.15770000000000001</v>
      </c>
      <c r="D40">
        <v>0.79151400000000005</v>
      </c>
      <c r="E40">
        <v>0</v>
      </c>
      <c r="F40">
        <v>0</v>
      </c>
      <c r="G40">
        <v>0</v>
      </c>
    </row>
    <row r="41" spans="1:7" x14ac:dyDescent="0.3">
      <c r="A41">
        <v>6.7500000000000004E-2</v>
      </c>
      <c r="B41">
        <v>9.4200000000000002E-4</v>
      </c>
      <c r="C41">
        <v>0.1391</v>
      </c>
      <c r="D41">
        <v>0.792458</v>
      </c>
      <c r="E41">
        <v>0</v>
      </c>
      <c r="F41">
        <v>0</v>
      </c>
      <c r="G41">
        <v>0</v>
      </c>
    </row>
    <row r="42" spans="1:7" x14ac:dyDescent="0.3">
      <c r="A42">
        <v>9.4100000000000003E-2</v>
      </c>
      <c r="B42">
        <v>7.8100000000000001E-4</v>
      </c>
      <c r="C42">
        <v>0.11119999999999999</v>
      </c>
      <c r="D42">
        <v>0.79391900000000004</v>
      </c>
      <c r="E42">
        <v>0</v>
      </c>
      <c r="F42">
        <v>0</v>
      </c>
      <c r="G42">
        <v>0</v>
      </c>
    </row>
    <row r="43" spans="1:7" x14ac:dyDescent="0.3">
      <c r="A43">
        <v>8.0600000000000005E-2</v>
      </c>
      <c r="B43">
        <v>2.6570000000000001E-3</v>
      </c>
      <c r="C43">
        <v>0.12540000000000001</v>
      </c>
      <c r="D43">
        <v>0.79134300000000002</v>
      </c>
      <c r="E43">
        <v>0</v>
      </c>
      <c r="F43">
        <v>0</v>
      </c>
      <c r="G43">
        <v>0</v>
      </c>
    </row>
    <row r="44" spans="1:7" x14ac:dyDescent="0.3">
      <c r="A44">
        <v>7.8600000000000003E-2</v>
      </c>
      <c r="B44">
        <v>2.6090000000000002E-3</v>
      </c>
      <c r="C44">
        <v>0.1275</v>
      </c>
      <c r="D44">
        <v>0.79129099999999997</v>
      </c>
      <c r="E44">
        <v>0</v>
      </c>
      <c r="F44">
        <v>0</v>
      </c>
      <c r="G44">
        <v>0</v>
      </c>
    </row>
    <row r="45" spans="1:7" x14ac:dyDescent="0.3">
      <c r="A45">
        <v>7.7899999999999997E-2</v>
      </c>
      <c r="B45">
        <v>6.7000000000000002E-4</v>
      </c>
      <c r="C45">
        <v>0.12820000000000001</v>
      </c>
      <c r="D45">
        <v>0.79322999999999999</v>
      </c>
      <c r="E45">
        <v>0</v>
      </c>
      <c r="F45">
        <v>0</v>
      </c>
      <c r="G45">
        <v>0</v>
      </c>
    </row>
    <row r="46" spans="1:7" x14ac:dyDescent="0.3">
      <c r="A46">
        <v>7.0800000000000002E-2</v>
      </c>
      <c r="B46">
        <v>3.1599999999999998E-4</v>
      </c>
      <c r="C46">
        <v>0.1356</v>
      </c>
      <c r="D46">
        <v>0.79328399999999999</v>
      </c>
      <c r="E46">
        <v>0</v>
      </c>
      <c r="F46">
        <v>0</v>
      </c>
      <c r="G46">
        <v>0</v>
      </c>
    </row>
    <row r="47" spans="1:7" x14ac:dyDescent="0.3">
      <c r="A47">
        <v>4.9000000000000002E-2</v>
      </c>
      <c r="B47">
        <v>2.9300000000000002E-4</v>
      </c>
      <c r="C47">
        <v>0.1585</v>
      </c>
      <c r="D47">
        <v>0.79220699999999999</v>
      </c>
      <c r="E47">
        <v>0</v>
      </c>
      <c r="F47">
        <v>0</v>
      </c>
      <c r="G47">
        <v>0</v>
      </c>
    </row>
    <row r="48" spans="1:7" x14ac:dyDescent="0.3">
      <c r="A48">
        <v>4.3400000000000001E-2</v>
      </c>
      <c r="B48">
        <v>4.9700000000000005E-4</v>
      </c>
      <c r="C48">
        <v>0.16439999999999999</v>
      </c>
      <c r="D48">
        <v>0.79170300000000005</v>
      </c>
      <c r="E48">
        <v>0</v>
      </c>
      <c r="F48">
        <v>0</v>
      </c>
      <c r="G48">
        <v>0</v>
      </c>
    </row>
    <row r="49" spans="1:7" x14ac:dyDescent="0.3">
      <c r="A49">
        <v>4.2799999999999998E-2</v>
      </c>
      <c r="B49">
        <v>4.5199999999999998E-4</v>
      </c>
      <c r="C49">
        <v>0.1651</v>
      </c>
      <c r="D49">
        <v>0.79164800000000002</v>
      </c>
      <c r="E49">
        <v>0</v>
      </c>
      <c r="F49">
        <v>0</v>
      </c>
      <c r="G49">
        <v>0</v>
      </c>
    </row>
    <row r="50" spans="1:7" x14ac:dyDescent="0.3">
      <c r="A50">
        <v>4.9200000000000001E-2</v>
      </c>
      <c r="B50">
        <v>4.1599999999999997E-4</v>
      </c>
      <c r="C50">
        <v>0.1583</v>
      </c>
      <c r="D50">
        <v>0.79208400000000001</v>
      </c>
      <c r="E50">
        <v>0</v>
      </c>
      <c r="F50">
        <v>0</v>
      </c>
      <c r="G50">
        <v>0</v>
      </c>
    </row>
    <row r="51" spans="1:7" x14ac:dyDescent="0.3">
      <c r="A51">
        <v>5.1700000000000003E-2</v>
      </c>
      <c r="B51">
        <v>3.8000000000000002E-4</v>
      </c>
      <c r="C51">
        <v>0.15570000000000001</v>
      </c>
      <c r="D51">
        <v>0.79222000000000004</v>
      </c>
      <c r="E51">
        <v>0</v>
      </c>
      <c r="F51">
        <v>0</v>
      </c>
      <c r="G51">
        <v>0</v>
      </c>
    </row>
    <row r="52" spans="1:7" x14ac:dyDescent="0.3">
      <c r="A52">
        <v>5.5599999999999997E-2</v>
      </c>
      <c r="B52">
        <v>3.0899999999999998E-4</v>
      </c>
      <c r="C52">
        <v>0.15160000000000001</v>
      </c>
      <c r="D52">
        <v>0.79249099999999995</v>
      </c>
      <c r="E52">
        <v>0</v>
      </c>
      <c r="F52">
        <v>0</v>
      </c>
      <c r="G52">
        <v>0</v>
      </c>
    </row>
    <row r="53" spans="1:7" x14ac:dyDescent="0.3">
      <c r="A53">
        <v>6.2300000000000001E-2</v>
      </c>
      <c r="B53">
        <v>2.4600000000000002E-4</v>
      </c>
      <c r="C53">
        <v>0.14460000000000001</v>
      </c>
      <c r="D53">
        <v>0.79285399999999995</v>
      </c>
      <c r="E53">
        <v>0</v>
      </c>
      <c r="F53">
        <v>0</v>
      </c>
      <c r="G53">
        <v>0</v>
      </c>
    </row>
    <row r="54" spans="1:7" x14ac:dyDescent="0.3">
      <c r="A54">
        <v>6.6600000000000006E-2</v>
      </c>
      <c r="B54">
        <v>1.74E-4</v>
      </c>
      <c r="C54">
        <v>0.14000000000000001</v>
      </c>
      <c r="D54">
        <v>0.79322599999999999</v>
      </c>
      <c r="E54">
        <v>0</v>
      </c>
      <c r="F54">
        <v>0</v>
      </c>
      <c r="G54">
        <v>0</v>
      </c>
    </row>
    <row r="55" spans="1:7" x14ac:dyDescent="0.3">
      <c r="A55">
        <v>6.5100000000000005E-2</v>
      </c>
      <c r="B55">
        <v>1.1900000000000001E-4</v>
      </c>
      <c r="C55">
        <v>0.14169999999999999</v>
      </c>
      <c r="D55">
        <v>0.79308100000000004</v>
      </c>
      <c r="E55">
        <v>0</v>
      </c>
      <c r="F55">
        <v>0</v>
      </c>
      <c r="G55">
        <v>0</v>
      </c>
    </row>
    <row r="56" spans="1:7" x14ac:dyDescent="0.3">
      <c r="A56">
        <v>6.7699999999999996E-2</v>
      </c>
      <c r="B56">
        <v>1.1400000000000001E-4</v>
      </c>
      <c r="C56">
        <v>0.13900000000000001</v>
      </c>
      <c r="D56">
        <v>0.79318599999999995</v>
      </c>
      <c r="E56">
        <v>0</v>
      </c>
      <c r="F56">
        <v>0</v>
      </c>
      <c r="G56">
        <v>0</v>
      </c>
    </row>
    <row r="57" spans="1:7" x14ac:dyDescent="0.3">
      <c r="A57">
        <v>7.3999999999999996E-2</v>
      </c>
      <c r="B57">
        <v>3.1700000000000001E-4</v>
      </c>
      <c r="C57">
        <v>0.1323</v>
      </c>
      <c r="D57">
        <v>0.79338299999999995</v>
      </c>
      <c r="E57">
        <v>0</v>
      </c>
      <c r="F57">
        <v>0</v>
      </c>
      <c r="G57">
        <v>0</v>
      </c>
    </row>
    <row r="58" spans="1:7" x14ac:dyDescent="0.3">
      <c r="A58">
        <v>0.1045</v>
      </c>
      <c r="B58">
        <v>5.4799999999999998E-4</v>
      </c>
      <c r="C58">
        <v>0.1003</v>
      </c>
      <c r="D58">
        <v>0.79465200000000003</v>
      </c>
      <c r="E58">
        <v>0</v>
      </c>
      <c r="F58">
        <v>0</v>
      </c>
      <c r="G58">
        <v>0</v>
      </c>
    </row>
    <row r="59" spans="1:7" x14ac:dyDescent="0.3">
      <c r="A59">
        <v>0.11550000000000001</v>
      </c>
      <c r="B59">
        <v>3.3790000000000001E-3</v>
      </c>
      <c r="C59">
        <v>8.8700000000000001E-2</v>
      </c>
      <c r="D59">
        <v>0.79242100000000004</v>
      </c>
      <c r="E59">
        <v>0</v>
      </c>
      <c r="F59">
        <v>0</v>
      </c>
      <c r="G59">
        <v>0</v>
      </c>
    </row>
    <row r="60" spans="1:7" x14ac:dyDescent="0.3">
      <c r="A60">
        <v>0.1164</v>
      </c>
      <c r="B60">
        <v>1.1988E-2</v>
      </c>
      <c r="C60">
        <v>8.7800000000000003E-2</v>
      </c>
      <c r="D60">
        <v>0.78381199999999995</v>
      </c>
      <c r="E60">
        <v>0</v>
      </c>
      <c r="F60">
        <v>0</v>
      </c>
      <c r="G60">
        <v>0</v>
      </c>
    </row>
    <row r="61" spans="1:7" x14ac:dyDescent="0.3">
      <c r="A61">
        <v>0.1091</v>
      </c>
      <c r="B61">
        <v>1.9130999999999999E-2</v>
      </c>
      <c r="C61">
        <v>9.5399999999999999E-2</v>
      </c>
      <c r="D61">
        <v>0.77636899999999998</v>
      </c>
      <c r="E61">
        <v>0</v>
      </c>
      <c r="F61">
        <v>0</v>
      </c>
      <c r="G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6FB3-A2E4-425B-AE5B-71BF30DCFA91}">
  <dimension ref="A1:F61"/>
  <sheetViews>
    <sheetView tabSelected="1" workbookViewId="0">
      <selection activeCell="G6" sqref="G6"/>
    </sheetView>
  </sheetViews>
  <sheetFormatPr baseColWidth="10" defaultRowHeight="14.4" x14ac:dyDescent="0.3"/>
  <cols>
    <col min="1" max="1" width="15.5546875" bestFit="1" customWidth="1"/>
    <col min="2" max="2" width="14.5546875" bestFit="1" customWidth="1"/>
  </cols>
  <sheetData>
    <row r="1" spans="1:6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 s="12">
        <f>954.8+273.15</f>
        <v>1227.9499999999998</v>
      </c>
      <c r="B2" s="12">
        <f>767.3+273.15</f>
        <v>1040.4499999999998</v>
      </c>
      <c r="C2" s="12">
        <f>753.8+273.15</f>
        <v>1026.9499999999998</v>
      </c>
      <c r="D2" s="12">
        <f>682.5+273.15</f>
        <v>955.65</v>
      </c>
      <c r="E2" s="12">
        <f>648.2+273.15</f>
        <v>921.35</v>
      </c>
      <c r="F2" s="13">
        <f>279.9+273.15</f>
        <v>553.04999999999995</v>
      </c>
    </row>
    <row r="3" spans="1:6" x14ac:dyDescent="0.3">
      <c r="A3" s="12">
        <f>954.8+273.15</f>
        <v>1227.9499999999998</v>
      </c>
      <c r="B3" s="12">
        <f>767.3+273.15</f>
        <v>1040.4499999999998</v>
      </c>
      <c r="C3" s="12">
        <f>753.8+273.15</f>
        <v>1026.9499999999998</v>
      </c>
      <c r="D3" s="12">
        <f>682.5+273.15</f>
        <v>955.65</v>
      </c>
      <c r="E3" s="12">
        <f>648.2+273.15</f>
        <v>921.35</v>
      </c>
      <c r="F3" s="13">
        <f>279.9+273.15</f>
        <v>553.04999999999995</v>
      </c>
    </row>
    <row r="4" spans="1:6" x14ac:dyDescent="0.3">
      <c r="A4" s="12">
        <f>968.5+273.15</f>
        <v>1241.6500000000001</v>
      </c>
      <c r="B4" s="12">
        <f>762.6+273.15</f>
        <v>1035.75</v>
      </c>
      <c r="C4" s="12">
        <f>754.5+273.15</f>
        <v>1027.6500000000001</v>
      </c>
      <c r="D4" s="12">
        <f>674.6+273.15</f>
        <v>947.75</v>
      </c>
      <c r="E4" s="12">
        <f>638.9+273.15</f>
        <v>912.05</v>
      </c>
      <c r="F4" s="13">
        <f>282.8+273.15</f>
        <v>555.95000000000005</v>
      </c>
    </row>
    <row r="5" spans="1:6" x14ac:dyDescent="0.3">
      <c r="A5" s="12">
        <f>968.5+273.15</f>
        <v>1241.6500000000001</v>
      </c>
      <c r="B5" s="12">
        <f>762.6+273.15</f>
        <v>1035.75</v>
      </c>
      <c r="C5" s="12">
        <f>754.5+273.15</f>
        <v>1027.6500000000001</v>
      </c>
      <c r="D5" s="12">
        <f>674.6+273.15</f>
        <v>947.75</v>
      </c>
      <c r="E5" s="12">
        <f>638.9+273.15</f>
        <v>912.05</v>
      </c>
      <c r="F5" s="13">
        <f>282.8+273.15</f>
        <v>555.95000000000005</v>
      </c>
    </row>
    <row r="6" spans="1:6" x14ac:dyDescent="0.3">
      <c r="A6" s="12">
        <f>981.3+273.15</f>
        <v>1254.4499999999998</v>
      </c>
      <c r="B6" s="12">
        <f>793.8+273.15</f>
        <v>1066.9499999999998</v>
      </c>
      <c r="C6" s="12">
        <f>780.4+273.15</f>
        <v>1053.55</v>
      </c>
      <c r="D6" s="12">
        <f>703+273.15</f>
        <v>976.15</v>
      </c>
      <c r="E6" s="12">
        <f>666.7+273.15</f>
        <v>939.85</v>
      </c>
      <c r="F6" s="13">
        <f>287.5+273.15</f>
        <v>560.65</v>
      </c>
    </row>
    <row r="7" spans="1:6" x14ac:dyDescent="0.3">
      <c r="A7" s="12">
        <f>981.3+273.15</f>
        <v>1254.4499999999998</v>
      </c>
      <c r="B7" s="12">
        <f>793.8+273.15</f>
        <v>1066.9499999999998</v>
      </c>
      <c r="C7" s="12">
        <f>780.4+273.15</f>
        <v>1053.55</v>
      </c>
      <c r="D7" s="12">
        <f>703+273.15</f>
        <v>976.15</v>
      </c>
      <c r="E7" s="12">
        <f>666.7+273.15</f>
        <v>939.85</v>
      </c>
      <c r="F7" s="13">
        <f>287.5+273.15</f>
        <v>560.65</v>
      </c>
    </row>
    <row r="8" spans="1:6" x14ac:dyDescent="0.3">
      <c r="A8" s="12">
        <f>936.5+273.15</f>
        <v>1209.6500000000001</v>
      </c>
      <c r="B8" s="12">
        <f>825.3+273.15</f>
        <v>1098.4499999999998</v>
      </c>
      <c r="C8" s="12">
        <f>788.2+273.15</f>
        <v>1061.3499999999999</v>
      </c>
      <c r="D8" s="12">
        <f>738.8+273.15</f>
        <v>1011.9499999999999</v>
      </c>
      <c r="E8" s="12">
        <f>704+273.15</f>
        <v>977.15</v>
      </c>
      <c r="F8" s="13">
        <f>290.3+273.15</f>
        <v>563.45000000000005</v>
      </c>
    </row>
    <row r="9" spans="1:6" x14ac:dyDescent="0.3">
      <c r="A9" s="12">
        <f>936.5+273.15</f>
        <v>1209.6500000000001</v>
      </c>
      <c r="B9" s="12">
        <f>825.3+273.15</f>
        <v>1098.4499999999998</v>
      </c>
      <c r="C9" s="12">
        <f>788.2+273.15</f>
        <v>1061.3499999999999</v>
      </c>
      <c r="D9" s="12">
        <f>738.8+273.15</f>
        <v>1011.9499999999999</v>
      </c>
      <c r="E9" s="12">
        <f>704+273.15</f>
        <v>977.15</v>
      </c>
      <c r="F9" s="13">
        <f>290.3+273.15</f>
        <v>563.45000000000005</v>
      </c>
    </row>
    <row r="10" spans="1:6" x14ac:dyDescent="0.3">
      <c r="A10" s="12">
        <f>929.1+273.15</f>
        <v>1202.25</v>
      </c>
      <c r="B10" s="12">
        <f>832.1+273.15</f>
        <v>1105.25</v>
      </c>
      <c r="C10" s="12">
        <f>775.5+273.15</f>
        <v>1048.6500000000001</v>
      </c>
      <c r="D10" s="12">
        <f>755.7+273.15</f>
        <v>1028.8499999999999</v>
      </c>
      <c r="E10" s="12">
        <f>725.8+273.15</f>
        <v>998.94999999999993</v>
      </c>
      <c r="F10" s="13">
        <f>290.2+273.15</f>
        <v>563.34999999999991</v>
      </c>
    </row>
    <row r="11" spans="1:6" x14ac:dyDescent="0.3">
      <c r="A11" s="12">
        <f>929.1+273.15</f>
        <v>1202.25</v>
      </c>
      <c r="B11" s="12">
        <f>832.1+273.15</f>
        <v>1105.25</v>
      </c>
      <c r="C11" s="12">
        <f>775.5+273.15</f>
        <v>1048.6500000000001</v>
      </c>
      <c r="D11" s="12">
        <f>755.7+273.15</f>
        <v>1028.8499999999999</v>
      </c>
      <c r="E11" s="12">
        <f>725.8+273.15</f>
        <v>998.94999999999993</v>
      </c>
      <c r="F11" s="13">
        <f>290.2+273.15</f>
        <v>563.34999999999991</v>
      </c>
    </row>
    <row r="12" spans="1:6" x14ac:dyDescent="0.3">
      <c r="A12" s="12">
        <f>967.3+273.15</f>
        <v>1240.4499999999998</v>
      </c>
      <c r="B12" s="12">
        <f>819.4+273.15</f>
        <v>1092.55</v>
      </c>
      <c r="C12" s="12">
        <f>753.7+273.15</f>
        <v>1026.8499999999999</v>
      </c>
      <c r="D12" s="12">
        <f>746.7+273.15</f>
        <v>1019.85</v>
      </c>
      <c r="E12" s="12">
        <f>716.9+273.15</f>
        <v>990.05</v>
      </c>
      <c r="F12" s="13">
        <f>297.9+273.15</f>
        <v>571.04999999999995</v>
      </c>
    </row>
    <row r="13" spans="1:6" x14ac:dyDescent="0.3">
      <c r="A13" s="12">
        <f>967.3+273.15</f>
        <v>1240.4499999999998</v>
      </c>
      <c r="B13" s="12">
        <f>819.4+273.15</f>
        <v>1092.55</v>
      </c>
      <c r="C13" s="12">
        <f>753.7+273.15</f>
        <v>1026.8499999999999</v>
      </c>
      <c r="D13" s="12">
        <f>746.7+273.15</f>
        <v>1019.85</v>
      </c>
      <c r="E13" s="12">
        <f>716.9+273.15</f>
        <v>990.05</v>
      </c>
      <c r="F13" s="13">
        <f>297.9+273.15</f>
        <v>571.04999999999995</v>
      </c>
    </row>
    <row r="14" spans="1:6" x14ac:dyDescent="0.3">
      <c r="A14" s="12">
        <f>1010.5+273.15</f>
        <v>1283.6500000000001</v>
      </c>
      <c r="B14" s="12">
        <f>807.1+273.15</f>
        <v>1080.25</v>
      </c>
      <c r="C14" s="12">
        <f>740.8+273.15</f>
        <v>1013.9499999999999</v>
      </c>
      <c r="D14" s="12">
        <f>730+273.15</f>
        <v>1003.15</v>
      </c>
      <c r="E14" s="12">
        <f>699.6+273.15</f>
        <v>972.75</v>
      </c>
      <c r="F14" s="13">
        <f>306.5+273.15</f>
        <v>579.65</v>
      </c>
    </row>
    <row r="15" spans="1:6" x14ac:dyDescent="0.3">
      <c r="A15" s="12">
        <f>1010.5+273.15</f>
        <v>1283.6500000000001</v>
      </c>
      <c r="B15" s="12">
        <f>807.1+273.15</f>
        <v>1080.25</v>
      </c>
      <c r="C15" s="12">
        <f>740.8+273.15</f>
        <v>1013.9499999999999</v>
      </c>
      <c r="D15" s="12">
        <f>730+273.15</f>
        <v>1003.15</v>
      </c>
      <c r="E15" s="12">
        <f>699.6+273.15</f>
        <v>972.75</v>
      </c>
      <c r="F15" s="13">
        <f>306.5+273.15</f>
        <v>579.65</v>
      </c>
    </row>
    <row r="16" spans="1:6" x14ac:dyDescent="0.3">
      <c r="A16" s="12">
        <f>1037.6+273.15</f>
        <v>1310.75</v>
      </c>
      <c r="B16" s="12">
        <f>803.5+273.15</f>
        <v>1076.6500000000001</v>
      </c>
      <c r="C16" s="12">
        <f>733.6+273.15</f>
        <v>1006.75</v>
      </c>
      <c r="D16" s="12">
        <f>717.7+273.15</f>
        <v>990.85</v>
      </c>
      <c r="E16" s="12">
        <f>685+273.15</f>
        <v>958.15</v>
      </c>
      <c r="F16" s="13">
        <f>305.4+273.15</f>
        <v>578.54999999999995</v>
      </c>
    </row>
    <row r="17" spans="1:6" x14ac:dyDescent="0.3">
      <c r="A17" s="12">
        <f>1037.6+273.15</f>
        <v>1310.75</v>
      </c>
      <c r="B17" s="12">
        <f>803.5+273.15</f>
        <v>1076.6500000000001</v>
      </c>
      <c r="C17" s="12">
        <f>733.6+273.15</f>
        <v>1006.75</v>
      </c>
      <c r="D17" s="12">
        <f>717.7+273.15</f>
        <v>990.85</v>
      </c>
      <c r="E17" s="12">
        <f>685+273.15</f>
        <v>958.15</v>
      </c>
      <c r="F17" s="13">
        <f>305.4+273.15</f>
        <v>578.54999999999995</v>
      </c>
    </row>
    <row r="18" spans="1:6" x14ac:dyDescent="0.3">
      <c r="A18" s="12">
        <f>1017.7+273.15</f>
        <v>1290.8499999999999</v>
      </c>
      <c r="B18" s="12">
        <f>779+273.15</f>
        <v>1052.1500000000001</v>
      </c>
      <c r="C18" s="12">
        <f>738.6+273.15</f>
        <v>1011.75</v>
      </c>
      <c r="D18" s="12">
        <f>699.5+273.15</f>
        <v>972.65</v>
      </c>
      <c r="E18" s="12">
        <f>665.1+273.15</f>
        <v>938.25</v>
      </c>
      <c r="F18" s="13">
        <f>304.4+273.15</f>
        <v>577.54999999999995</v>
      </c>
    </row>
    <row r="19" spans="1:6" x14ac:dyDescent="0.3">
      <c r="A19" s="12">
        <f>1017.7+273.15</f>
        <v>1290.8499999999999</v>
      </c>
      <c r="B19" s="12">
        <f>779+273.15</f>
        <v>1052.1500000000001</v>
      </c>
      <c r="C19" s="12">
        <f>738.6+273.15</f>
        <v>1011.75</v>
      </c>
      <c r="D19" s="12">
        <f>699.5+273.15</f>
        <v>972.65</v>
      </c>
      <c r="E19" s="12">
        <f>665.1+273.15</f>
        <v>938.25</v>
      </c>
      <c r="F19" s="13">
        <f>304.4+273.15</f>
        <v>577.54999999999995</v>
      </c>
    </row>
    <row r="20" spans="1:6" x14ac:dyDescent="0.3">
      <c r="A20" s="12">
        <f>969.2+273.15</f>
        <v>1242.3499999999999</v>
      </c>
      <c r="B20" s="12">
        <f>702.2+273.15</f>
        <v>975.35</v>
      </c>
      <c r="C20" s="12">
        <f>708.7+273.15</f>
        <v>981.85</v>
      </c>
      <c r="D20" s="12">
        <f>631.2+273.15</f>
        <v>904.35</v>
      </c>
      <c r="E20" s="12">
        <f>602.1+273.15</f>
        <v>875.25</v>
      </c>
      <c r="F20" s="13">
        <f>302.6+273.15</f>
        <v>575.75</v>
      </c>
    </row>
    <row r="21" spans="1:6" x14ac:dyDescent="0.3">
      <c r="A21" s="12">
        <f>969.2+273.15</f>
        <v>1242.3499999999999</v>
      </c>
      <c r="B21" s="12">
        <f>702.2+273.15</f>
        <v>975.35</v>
      </c>
      <c r="C21" s="12">
        <f>708.7+273.15</f>
        <v>981.85</v>
      </c>
      <c r="D21" s="12">
        <f>631.2+273.15</f>
        <v>904.35</v>
      </c>
      <c r="E21" s="12">
        <f>602.1+273.15</f>
        <v>875.25</v>
      </c>
      <c r="F21" s="13">
        <f>302.6+273.15</f>
        <v>575.75</v>
      </c>
    </row>
    <row r="22" spans="1:6" x14ac:dyDescent="0.3">
      <c r="A22" s="12">
        <f>933.6+273.15</f>
        <v>1206.75</v>
      </c>
      <c r="B22" s="12">
        <f>669.8+273.15</f>
        <v>942.94999999999993</v>
      </c>
      <c r="C22" s="12">
        <f>681.5+273.15</f>
        <v>954.65</v>
      </c>
      <c r="D22" s="12">
        <f>603.6+273.15</f>
        <v>876.75</v>
      </c>
      <c r="E22" s="12">
        <f>578.2+273.15</f>
        <v>851.35</v>
      </c>
      <c r="F22" s="13">
        <f>298.8+273.15</f>
        <v>571.95000000000005</v>
      </c>
    </row>
    <row r="23" spans="1:6" x14ac:dyDescent="0.3">
      <c r="A23" s="12">
        <f>933.6+273.15</f>
        <v>1206.75</v>
      </c>
      <c r="B23" s="12">
        <f>669.8+273.15</f>
        <v>942.94999999999993</v>
      </c>
      <c r="C23" s="12">
        <f>681.5+273.15</f>
        <v>954.65</v>
      </c>
      <c r="D23" s="12">
        <f>603.6+273.15</f>
        <v>876.75</v>
      </c>
      <c r="E23" s="12">
        <f>578.2+273.15</f>
        <v>851.35</v>
      </c>
      <c r="F23" s="13">
        <f>298.8+273.15</f>
        <v>571.95000000000005</v>
      </c>
    </row>
    <row r="24" spans="1:6" x14ac:dyDescent="0.3">
      <c r="A24" s="12">
        <f>922.9+273.15</f>
        <v>1196.05</v>
      </c>
      <c r="B24" s="12">
        <f>683.4+273.15</f>
        <v>956.55</v>
      </c>
      <c r="C24" s="12">
        <f>681.5+273.15</f>
        <v>954.65</v>
      </c>
      <c r="D24" s="12">
        <f>615.8+273.15</f>
        <v>888.94999999999993</v>
      </c>
      <c r="E24" s="12">
        <f>588.5+273.15</f>
        <v>861.65</v>
      </c>
      <c r="F24" s="13">
        <f>290.9+273.15</f>
        <v>564.04999999999995</v>
      </c>
    </row>
    <row r="25" spans="1:6" x14ac:dyDescent="0.3">
      <c r="A25" s="12">
        <f>922.9+273.15</f>
        <v>1196.05</v>
      </c>
      <c r="B25" s="12">
        <f>683.4+273.15</f>
        <v>956.55</v>
      </c>
      <c r="C25" s="12">
        <f>681.5+273.15</f>
        <v>954.65</v>
      </c>
      <c r="D25" s="12">
        <f>615.8+273.15</f>
        <v>888.94999999999993</v>
      </c>
      <c r="E25" s="12">
        <f>588.5+273.15</f>
        <v>861.65</v>
      </c>
      <c r="F25" s="13">
        <f>290.9+273.15</f>
        <v>564.04999999999995</v>
      </c>
    </row>
    <row r="26" spans="1:6" x14ac:dyDescent="0.3">
      <c r="A26" s="12">
        <f>911.9+273.15</f>
        <v>1185.05</v>
      </c>
      <c r="B26" s="12">
        <f>708.4+273.15</f>
        <v>981.55</v>
      </c>
      <c r="C26" s="12">
        <f>688.1+273.15</f>
        <v>961.25</v>
      </c>
      <c r="D26" s="12">
        <f>638.1+273.15</f>
        <v>911.25</v>
      </c>
      <c r="E26" s="12">
        <f>608.1+273.15</f>
        <v>881.25</v>
      </c>
      <c r="F26" s="13">
        <f>286.7+273.15</f>
        <v>559.84999999999991</v>
      </c>
    </row>
    <row r="27" spans="1:6" x14ac:dyDescent="0.3">
      <c r="A27" s="12">
        <f>911.9+273.15</f>
        <v>1185.05</v>
      </c>
      <c r="B27" s="12">
        <f>708.4+273.15</f>
        <v>981.55</v>
      </c>
      <c r="C27" s="12">
        <f>688.1+273.15</f>
        <v>961.25</v>
      </c>
      <c r="D27" s="12">
        <f>638.1+273.15</f>
        <v>911.25</v>
      </c>
      <c r="E27" s="12">
        <f>608.1+273.15</f>
        <v>881.25</v>
      </c>
      <c r="F27" s="13">
        <f>286.7+273.15</f>
        <v>559.84999999999991</v>
      </c>
    </row>
    <row r="28" spans="1:6" x14ac:dyDescent="0.3">
      <c r="A28" s="12">
        <f>911.2+273.15</f>
        <v>1184.3499999999999</v>
      </c>
      <c r="B28" s="12">
        <f>709.2+273.15</f>
        <v>982.35</v>
      </c>
      <c r="C28" s="12">
        <f>681.6+273.15</f>
        <v>954.75</v>
      </c>
      <c r="D28" s="12">
        <f>639.4+273.15</f>
        <v>912.55</v>
      </c>
      <c r="E28" s="12">
        <f>609.4+273.15</f>
        <v>882.55</v>
      </c>
      <c r="F28" s="13">
        <f>288.7+273.15</f>
        <v>561.84999999999991</v>
      </c>
    </row>
    <row r="29" spans="1:6" x14ac:dyDescent="0.3">
      <c r="A29" s="12">
        <f>911.2+273.15</f>
        <v>1184.3499999999999</v>
      </c>
      <c r="B29" s="12">
        <f>709.2+273.15</f>
        <v>982.35</v>
      </c>
      <c r="C29" s="12">
        <f>681.6+273.15</f>
        <v>954.75</v>
      </c>
      <c r="D29" s="12">
        <f>639.4+273.15</f>
        <v>912.55</v>
      </c>
      <c r="E29" s="12">
        <f>609.4+273.15</f>
        <v>882.55</v>
      </c>
      <c r="F29" s="13">
        <f>288.7+273.15</f>
        <v>561.84999999999991</v>
      </c>
    </row>
    <row r="30" spans="1:6" x14ac:dyDescent="0.3">
      <c r="A30" s="14">
        <f>907.6+273.15</f>
        <v>1180.75</v>
      </c>
      <c r="B30" s="14">
        <f>700.4+273.15</f>
        <v>973.55</v>
      </c>
      <c r="C30" s="14">
        <f>664.2+273.15</f>
        <v>937.35</v>
      </c>
      <c r="D30" s="14">
        <f>631.2+273.15</f>
        <v>904.35</v>
      </c>
      <c r="E30" s="14">
        <f>602.8+273.15</f>
        <v>875.94999999999993</v>
      </c>
      <c r="F30" s="14">
        <f>293+273.15</f>
        <v>566.15</v>
      </c>
    </row>
    <row r="31" spans="1:6" x14ac:dyDescent="0.3">
      <c r="A31" s="14">
        <f>907.6+273.15</f>
        <v>1180.75</v>
      </c>
      <c r="B31" s="14">
        <f>700.4+273.15</f>
        <v>973.55</v>
      </c>
      <c r="C31" s="14">
        <f>664.2+273.15</f>
        <v>937.35</v>
      </c>
      <c r="D31" s="14">
        <f>631.2+273.15</f>
        <v>904.35</v>
      </c>
      <c r="E31" s="14">
        <f>602.8+273.15</f>
        <v>875.94999999999993</v>
      </c>
      <c r="F31" s="14">
        <f>293+273.15</f>
        <v>566.15</v>
      </c>
    </row>
    <row r="32" spans="1:6" x14ac:dyDescent="0.3">
      <c r="A32" s="14">
        <f>887.3+273.15</f>
        <v>1160.4499999999998</v>
      </c>
      <c r="B32" s="14">
        <f>652.3+273.15</f>
        <v>925.44999999999993</v>
      </c>
      <c r="C32" s="14">
        <f>644.3+273.15</f>
        <v>917.44999999999993</v>
      </c>
      <c r="D32" s="14">
        <f>591.6+273.15</f>
        <v>864.75</v>
      </c>
      <c r="E32" s="14">
        <f>565.7+273.15</f>
        <v>838.85</v>
      </c>
      <c r="F32" s="14">
        <f>293.7+273.15</f>
        <v>566.84999999999991</v>
      </c>
    </row>
    <row r="33" spans="1:6" x14ac:dyDescent="0.3">
      <c r="A33" s="14">
        <f>887.3+273.15</f>
        <v>1160.4499999999998</v>
      </c>
      <c r="B33" s="14">
        <f>652.3+273.15</f>
        <v>925.44999999999993</v>
      </c>
      <c r="C33" s="14">
        <f>644.3+273.15</f>
        <v>917.44999999999993</v>
      </c>
      <c r="D33" s="14">
        <f>591.6+273.15</f>
        <v>864.75</v>
      </c>
      <c r="E33" s="14">
        <f>565.7+273.15</f>
        <v>838.85</v>
      </c>
      <c r="F33" s="14">
        <f>293.7+273.15</f>
        <v>566.84999999999991</v>
      </c>
    </row>
    <row r="34" spans="1:6" x14ac:dyDescent="0.3">
      <c r="A34" s="14">
        <f>896.8+273.15</f>
        <v>1169.9499999999998</v>
      </c>
      <c r="B34" s="14">
        <f>670+273.15</f>
        <v>943.15</v>
      </c>
      <c r="C34" s="14">
        <f>654+273.15</f>
        <v>927.15</v>
      </c>
      <c r="D34" s="14">
        <f>602.9+273.15</f>
        <v>876.05</v>
      </c>
      <c r="E34" s="14">
        <f>569.9+273.15</f>
        <v>843.05</v>
      </c>
      <c r="F34" s="14">
        <f>291.6+273.15</f>
        <v>564.75</v>
      </c>
    </row>
    <row r="35" spans="1:6" x14ac:dyDescent="0.3">
      <c r="A35" s="14">
        <f>896.8+273.15</f>
        <v>1169.9499999999998</v>
      </c>
      <c r="B35" s="14">
        <f>670+273.15</f>
        <v>943.15</v>
      </c>
      <c r="C35" s="14">
        <f>654+273.15</f>
        <v>927.15</v>
      </c>
      <c r="D35" s="14">
        <f>602.9+273.15</f>
        <v>876.05</v>
      </c>
      <c r="E35" s="14">
        <f>569.9+273.15</f>
        <v>843.05</v>
      </c>
      <c r="F35" s="14">
        <f>291.6+273.15</f>
        <v>564.75</v>
      </c>
    </row>
    <row r="36" spans="1:6" x14ac:dyDescent="0.3">
      <c r="A36" s="14">
        <f>897.5+273.15</f>
        <v>1170.6500000000001</v>
      </c>
      <c r="B36" s="14">
        <f>741.2+273.15</f>
        <v>1014.35</v>
      </c>
      <c r="C36" s="14">
        <f>691.3+273.15</f>
        <v>964.44999999999993</v>
      </c>
      <c r="D36" s="14">
        <f>675.6+273.15</f>
        <v>948.75</v>
      </c>
      <c r="E36" s="14">
        <f>650+273.15</f>
        <v>923.15</v>
      </c>
      <c r="F36" s="14">
        <f>284.9+273.15</f>
        <v>558.04999999999995</v>
      </c>
    </row>
    <row r="37" spans="1:6" x14ac:dyDescent="0.3">
      <c r="A37" s="14">
        <f>897.5+273.15</f>
        <v>1170.6500000000001</v>
      </c>
      <c r="B37" s="14">
        <f>741.2+273.15</f>
        <v>1014.35</v>
      </c>
      <c r="C37" s="14">
        <f>691.3+273.15</f>
        <v>964.44999999999993</v>
      </c>
      <c r="D37" s="14">
        <f>675.6+273.15</f>
        <v>948.75</v>
      </c>
      <c r="E37" s="14">
        <f>650+273.15</f>
        <v>923.15</v>
      </c>
      <c r="F37" s="14">
        <f>284.9+273.15</f>
        <v>558.04999999999995</v>
      </c>
    </row>
    <row r="38" spans="1:6" x14ac:dyDescent="0.3">
      <c r="A38" s="14">
        <f>930.6+273.15</f>
        <v>1203.75</v>
      </c>
      <c r="B38" s="14">
        <f>801.4+273.15</f>
        <v>1074.55</v>
      </c>
      <c r="C38" s="14">
        <f>723.9+273.15</f>
        <v>997.05</v>
      </c>
      <c r="D38" s="14">
        <f>730.3+273.15</f>
        <v>1003.4499999999999</v>
      </c>
      <c r="E38" s="14">
        <f>704.6+273.15</f>
        <v>977.75</v>
      </c>
      <c r="F38" s="14">
        <f>278.3+273.15</f>
        <v>551.45000000000005</v>
      </c>
    </row>
    <row r="39" spans="1:6" x14ac:dyDescent="0.3">
      <c r="A39" s="14">
        <f>930.6+273.15</f>
        <v>1203.75</v>
      </c>
      <c r="B39" s="14">
        <f>801.4+273.15</f>
        <v>1074.55</v>
      </c>
      <c r="C39" s="14">
        <f>723.9+273.15</f>
        <v>997.05</v>
      </c>
      <c r="D39" s="14">
        <f>730.3+273.15</f>
        <v>1003.4499999999999</v>
      </c>
      <c r="E39" s="14">
        <f>704.6+273.15</f>
        <v>977.75</v>
      </c>
      <c r="F39" s="14">
        <f>278.3+273.15</f>
        <v>551.45000000000005</v>
      </c>
    </row>
    <row r="40" spans="1:6" x14ac:dyDescent="0.3">
      <c r="A40" s="14">
        <f>946.2+273.15</f>
        <v>1219.3499999999999</v>
      </c>
      <c r="B40" s="14">
        <f>821.3+273.15</f>
        <v>1094.4499999999998</v>
      </c>
      <c r="C40" s="14">
        <f>717+273.15</f>
        <v>990.15</v>
      </c>
      <c r="D40" s="14">
        <f>740.3+273.15</f>
        <v>1013.4499999999999</v>
      </c>
      <c r="E40" s="14">
        <f>709.9+273.15</f>
        <v>983.05</v>
      </c>
      <c r="F40" s="14">
        <f>278.5+273.15</f>
        <v>551.65</v>
      </c>
    </row>
    <row r="41" spans="1:6" x14ac:dyDescent="0.3">
      <c r="A41" s="14">
        <f>946.2+273.15</f>
        <v>1219.3499999999999</v>
      </c>
      <c r="B41" s="14">
        <f>821.3+273.15</f>
        <v>1094.4499999999998</v>
      </c>
      <c r="C41" s="14">
        <f>717+273.15</f>
        <v>990.15</v>
      </c>
      <c r="D41" s="14">
        <f>740.3+273.15</f>
        <v>1013.4499999999999</v>
      </c>
      <c r="E41" s="14">
        <f>709.9+273.15</f>
        <v>983.05</v>
      </c>
      <c r="F41" s="14">
        <f>278.5+273.15</f>
        <v>551.65</v>
      </c>
    </row>
    <row r="42" spans="1:6" x14ac:dyDescent="0.3">
      <c r="A42" s="14">
        <f>959+273.15</f>
        <v>1232.1500000000001</v>
      </c>
      <c r="B42" s="14">
        <f>760.3+273.15</f>
        <v>1033.4499999999998</v>
      </c>
      <c r="C42" s="14">
        <f>703.8+273.15</f>
        <v>976.94999999999993</v>
      </c>
      <c r="D42" s="14">
        <f>685.8+273.15</f>
        <v>958.94999999999993</v>
      </c>
      <c r="E42" s="14">
        <f>654.4+273.15</f>
        <v>927.55</v>
      </c>
      <c r="F42" s="14">
        <f>293.9+273.15</f>
        <v>567.04999999999995</v>
      </c>
    </row>
    <row r="43" spans="1:6" x14ac:dyDescent="0.3">
      <c r="A43" s="14">
        <f>959+273.15</f>
        <v>1232.1500000000001</v>
      </c>
      <c r="B43" s="14">
        <f>760.3+273.15</f>
        <v>1033.4499999999998</v>
      </c>
      <c r="C43" s="14">
        <f>703.8+273.15</f>
        <v>976.94999999999993</v>
      </c>
      <c r="D43" s="14">
        <f>685.8+273.15</f>
        <v>958.94999999999993</v>
      </c>
      <c r="E43" s="14">
        <f>654.4+273.15</f>
        <v>927.55</v>
      </c>
      <c r="F43" s="14">
        <f>293.9+273.15</f>
        <v>567.04999999999995</v>
      </c>
    </row>
    <row r="44" spans="1:6" x14ac:dyDescent="0.3">
      <c r="A44" s="14">
        <f>926+273.15</f>
        <v>1199.1500000000001</v>
      </c>
      <c r="B44" s="14">
        <f>685.1+273.15</f>
        <v>958.25</v>
      </c>
      <c r="C44" s="14">
        <f>669.1+273.15</f>
        <v>942.25</v>
      </c>
      <c r="D44" s="14">
        <f>621.2+273.15</f>
        <v>894.35</v>
      </c>
      <c r="E44" s="14">
        <f>594.5+273.15</f>
        <v>867.65</v>
      </c>
      <c r="F44" s="14">
        <f>297.2+273.15</f>
        <v>570.34999999999991</v>
      </c>
    </row>
    <row r="45" spans="1:6" x14ac:dyDescent="0.3">
      <c r="A45" s="14">
        <f>926+273.15</f>
        <v>1199.1500000000001</v>
      </c>
      <c r="B45" s="14">
        <f>685.1+273.15</f>
        <v>958.25</v>
      </c>
      <c r="C45" s="14">
        <f>669.1+273.15</f>
        <v>942.25</v>
      </c>
      <c r="D45" s="14">
        <f>621.2+273.15</f>
        <v>894.35</v>
      </c>
      <c r="E45" s="14">
        <f>594.5+273.15</f>
        <v>867.65</v>
      </c>
      <c r="F45" s="14">
        <f>297.2+273.15</f>
        <v>570.34999999999991</v>
      </c>
    </row>
    <row r="46" spans="1:6" x14ac:dyDescent="0.3">
      <c r="A46" s="14">
        <f>915.1+273.15</f>
        <v>1188.25</v>
      </c>
      <c r="B46" s="14">
        <f>718.7+273.15</f>
        <v>991.85</v>
      </c>
      <c r="C46" s="14">
        <f>680.6+273.15</f>
        <v>953.75</v>
      </c>
      <c r="D46" s="14">
        <f>639.1+273.15</f>
        <v>912.25</v>
      </c>
      <c r="E46" s="14">
        <f>608.5+273.15</f>
        <v>881.65</v>
      </c>
      <c r="F46" s="14">
        <f>297.6+273.15</f>
        <v>570.75</v>
      </c>
    </row>
    <row r="47" spans="1:6" x14ac:dyDescent="0.3">
      <c r="A47" s="14">
        <f>915.1+273.15</f>
        <v>1188.25</v>
      </c>
      <c r="B47" s="14">
        <f>718.7+273.15</f>
        <v>991.85</v>
      </c>
      <c r="C47" s="14">
        <f>680.6+273.15</f>
        <v>953.75</v>
      </c>
      <c r="D47" s="14">
        <f>639.1+273.15</f>
        <v>912.25</v>
      </c>
      <c r="E47" s="14">
        <f>608.5+273.15</f>
        <v>881.65</v>
      </c>
      <c r="F47" s="14">
        <f>297.6+273.15</f>
        <v>570.75</v>
      </c>
    </row>
    <row r="48" spans="1:6" x14ac:dyDescent="0.3">
      <c r="A48" s="14">
        <f>912.7+273.15</f>
        <v>1185.8499999999999</v>
      </c>
      <c r="B48" s="14">
        <f>741.3+273.15</f>
        <v>1014.4499999999999</v>
      </c>
      <c r="C48" s="14">
        <f>697.2+273.15</f>
        <v>970.35</v>
      </c>
      <c r="D48" s="14">
        <f>660.3+273.15</f>
        <v>933.44999999999993</v>
      </c>
      <c r="E48" s="14">
        <f>628.6+273.15</f>
        <v>901.75</v>
      </c>
      <c r="F48" s="14">
        <f>287+273.15</f>
        <v>560.15</v>
      </c>
    </row>
    <row r="49" spans="1:6" x14ac:dyDescent="0.3">
      <c r="A49" s="14">
        <f>912.7+273.15</f>
        <v>1185.8499999999999</v>
      </c>
      <c r="B49" s="14">
        <f>741.3+273.15</f>
        <v>1014.4499999999999</v>
      </c>
      <c r="C49" s="14">
        <f>697.2+273.15</f>
        <v>970.35</v>
      </c>
      <c r="D49" s="14">
        <f>660.3+273.15</f>
        <v>933.44999999999993</v>
      </c>
      <c r="E49" s="14">
        <f>628.6+273.15</f>
        <v>901.75</v>
      </c>
      <c r="F49" s="14">
        <f>287+273.15</f>
        <v>560.15</v>
      </c>
    </row>
    <row r="50" spans="1:6" x14ac:dyDescent="0.3">
      <c r="A50" s="14">
        <f>932.8+273.15</f>
        <v>1205.9499999999998</v>
      </c>
      <c r="B50" s="14">
        <f>787.7+273.15</f>
        <v>1060.8499999999999</v>
      </c>
      <c r="C50" s="14">
        <f>712.2+273.15</f>
        <v>985.35</v>
      </c>
      <c r="D50" s="14">
        <f>698.8+273.15</f>
        <v>971.94999999999993</v>
      </c>
      <c r="E50" s="14">
        <f>665.3+273.15</f>
        <v>938.44999999999993</v>
      </c>
      <c r="F50" s="14">
        <f>280.2+273.15</f>
        <v>553.34999999999991</v>
      </c>
    </row>
    <row r="51" spans="1:6" x14ac:dyDescent="0.3">
      <c r="A51" s="14">
        <f>932.8+273.15</f>
        <v>1205.9499999999998</v>
      </c>
      <c r="B51" s="14">
        <v>787.7</v>
      </c>
      <c r="C51" s="14">
        <f>712.2+273.15</f>
        <v>985.35</v>
      </c>
      <c r="D51" s="14">
        <f>698.8+273.15</f>
        <v>971.94999999999993</v>
      </c>
      <c r="E51" s="14">
        <f>665.3+273.15</f>
        <v>938.44999999999993</v>
      </c>
      <c r="F51" s="14">
        <f>280.2+273.15</f>
        <v>553.34999999999991</v>
      </c>
    </row>
    <row r="52" spans="1:6" x14ac:dyDescent="0.3">
      <c r="A52" s="14">
        <f>891.8+273.15</f>
        <v>1164.9499999999998</v>
      </c>
      <c r="B52" s="14">
        <f>712.4+273.15</f>
        <v>985.55</v>
      </c>
      <c r="C52" s="14">
        <f>681.3+273.15</f>
        <v>954.44999999999993</v>
      </c>
      <c r="D52" s="14">
        <f>640.1+273.15</f>
        <v>913.25</v>
      </c>
      <c r="E52" s="14">
        <f>610+273.15</f>
        <v>883.15</v>
      </c>
      <c r="F52" s="14">
        <f>281.6+273.15</f>
        <v>554.75</v>
      </c>
    </row>
    <row r="53" spans="1:6" x14ac:dyDescent="0.3">
      <c r="A53" s="14">
        <f>891.8+273.15</f>
        <v>1164.9499999999998</v>
      </c>
      <c r="B53" s="14">
        <f>712.4+273.15</f>
        <v>985.55</v>
      </c>
      <c r="C53" s="14">
        <f>681.3+273.15</f>
        <v>954.44999999999993</v>
      </c>
      <c r="D53" s="14">
        <f>640.1+273.15</f>
        <v>913.25</v>
      </c>
      <c r="E53" s="14">
        <f>610+273.15</f>
        <v>883.15</v>
      </c>
      <c r="F53" s="14">
        <f>281.6+273.15</f>
        <v>554.75</v>
      </c>
    </row>
    <row r="54" spans="1:6" x14ac:dyDescent="0.3">
      <c r="A54" s="14">
        <f>836.3+273.15</f>
        <v>1109.4499999999998</v>
      </c>
      <c r="B54" s="14">
        <f>664.9+273.15</f>
        <v>938.05</v>
      </c>
      <c r="C54" s="14">
        <f>642.4+273.15</f>
        <v>915.55</v>
      </c>
      <c r="D54" s="14">
        <f>598.9+273.15</f>
        <v>872.05</v>
      </c>
      <c r="E54" s="14">
        <f>573.4+273.15</f>
        <v>846.55</v>
      </c>
      <c r="F54" s="14">
        <f>285.1+273.15</f>
        <v>558.25</v>
      </c>
    </row>
    <row r="55" spans="1:6" x14ac:dyDescent="0.3">
      <c r="A55" s="14">
        <f>836.3+273.15</f>
        <v>1109.4499999999998</v>
      </c>
      <c r="B55" s="14">
        <f>664.9+273.15</f>
        <v>938.05</v>
      </c>
      <c r="C55" s="14">
        <f>642.4+273.15</f>
        <v>915.55</v>
      </c>
      <c r="D55" s="14">
        <f>598.9+273.15</f>
        <v>872.05</v>
      </c>
      <c r="E55" s="14">
        <f>573.4+273.15</f>
        <v>846.55</v>
      </c>
      <c r="F55" s="14">
        <f>285.1+273.15</f>
        <v>558.25</v>
      </c>
    </row>
    <row r="56" spans="1:6" x14ac:dyDescent="0.3">
      <c r="A56" s="14">
        <f>818+273.15</f>
        <v>1091.1500000000001</v>
      </c>
      <c r="B56" s="14">
        <f>652.4+273.15</f>
        <v>925.55</v>
      </c>
      <c r="C56" s="14">
        <f>632.6+273.15</f>
        <v>905.75</v>
      </c>
      <c r="D56" s="14">
        <f>590.6+273.15</f>
        <v>863.75</v>
      </c>
      <c r="E56" s="14">
        <f>565.8+273.15</f>
        <v>838.94999999999993</v>
      </c>
      <c r="F56" s="14">
        <f>286.6+273.15</f>
        <v>559.75</v>
      </c>
    </row>
    <row r="57" spans="1:6" x14ac:dyDescent="0.3">
      <c r="A57" s="14">
        <f>818+273.15</f>
        <v>1091.1500000000001</v>
      </c>
      <c r="B57" s="14">
        <f>652.4+273.15</f>
        <v>925.55</v>
      </c>
      <c r="C57" s="14">
        <f>632.6+273.15</f>
        <v>905.75</v>
      </c>
      <c r="D57" s="14">
        <f>590.6+273.15</f>
        <v>863.75</v>
      </c>
      <c r="E57" s="14">
        <f>565.8+273.15</f>
        <v>838.94999999999993</v>
      </c>
      <c r="F57" s="14">
        <f>286.6+273.15</f>
        <v>559.75</v>
      </c>
    </row>
    <row r="58" spans="1:6" x14ac:dyDescent="0.3">
      <c r="A58" s="14">
        <f>851+273.15</f>
        <v>1124.1500000000001</v>
      </c>
      <c r="B58" s="14">
        <f>668.4+273.15</f>
        <v>941.55</v>
      </c>
      <c r="C58" s="14">
        <f>643.7+273.15</f>
        <v>916.85</v>
      </c>
      <c r="D58" s="14">
        <f>604.3+273.15</f>
        <v>877.44999999999993</v>
      </c>
      <c r="E58" s="14">
        <f>577.5+273.15</f>
        <v>850.65</v>
      </c>
      <c r="F58" s="14">
        <f>307.3+273.15</f>
        <v>580.45000000000005</v>
      </c>
    </row>
    <row r="59" spans="1:6" x14ac:dyDescent="0.3">
      <c r="A59" s="14">
        <f>851+273.15</f>
        <v>1124.1500000000001</v>
      </c>
      <c r="B59" s="14">
        <f>668.4+273.15</f>
        <v>941.55</v>
      </c>
      <c r="C59" s="14">
        <f>643.7+273.15</f>
        <v>916.85</v>
      </c>
      <c r="D59" s="14">
        <f>604.3+273.15</f>
        <v>877.44999999999993</v>
      </c>
      <c r="E59" s="14">
        <f>577.5+273.15</f>
        <v>850.65</v>
      </c>
      <c r="F59" s="14">
        <f>307.3+273.15</f>
        <v>580.45000000000005</v>
      </c>
    </row>
    <row r="60" spans="1:6" x14ac:dyDescent="0.3">
      <c r="A60" s="14">
        <v>1124.1500000000001</v>
      </c>
      <c r="B60" s="14">
        <v>941.55</v>
      </c>
      <c r="C60" s="14">
        <v>916.85</v>
      </c>
      <c r="D60" s="14">
        <v>877.45</v>
      </c>
      <c r="E60" s="14">
        <v>850.65</v>
      </c>
      <c r="F60" s="14">
        <v>580.45000000000005</v>
      </c>
    </row>
    <row r="61" spans="1:6" x14ac:dyDescent="0.3">
      <c r="A61" s="14">
        <v>1124.1500000000001</v>
      </c>
      <c r="B61" s="14">
        <v>941.55</v>
      </c>
      <c r="C61" s="14">
        <v>916.85</v>
      </c>
      <c r="D61" s="14">
        <v>877.45</v>
      </c>
      <c r="E61" s="14">
        <v>850.65</v>
      </c>
      <c r="F61" s="14">
        <v>580.45000000000005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</vt:lpstr>
      <vt:lpstr>Brix</vt:lpstr>
      <vt:lpstr>fg_conc</vt:lpstr>
      <vt:lpstr>fg_temp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2022-06-24T13:41:51Z</dcterms:modified>
</cp:coreProperties>
</file>