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05EA9FC8-5CB3-4404-AAA6-6C45911049E3}" xr6:coauthVersionLast="36" xr6:coauthVersionMax="36" xr10:uidLastSave="{00000000-0000-0000-0000-000000000000}"/>
  <bookViews>
    <workbookView xWindow="240" yWindow="105" windowWidth="14805" windowHeight="8010" activeTab="2" xr2:uid="{00000000-000D-0000-FFFF-FFFF00000000}"/>
  </bookViews>
  <sheets>
    <sheet name="Calculo General Hornilla" sheetId="1" r:id="rId1"/>
    <sheet name="Mod Program" sheetId="2" r:id="rId2"/>
    <sheet name="Hoja2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3" i="1" l="1"/>
  <c r="M39" i="1" l="1"/>
  <c r="M40" i="1"/>
  <c r="I119" i="1" l="1"/>
  <c r="C82" i="1" l="1"/>
  <c r="I109" i="1" l="1"/>
  <c r="Q131" i="1" l="1"/>
  <c r="R131" i="1" s="1"/>
  <c r="S131" i="1" s="1"/>
  <c r="T131" i="1" s="1"/>
  <c r="U131" i="1" s="1"/>
  <c r="V131" i="1" s="1"/>
  <c r="W131" i="1" s="1"/>
  <c r="X131" i="1" s="1"/>
  <c r="E186" i="1" l="1"/>
  <c r="F186" i="1"/>
  <c r="G186" i="1"/>
  <c r="H186" i="1"/>
  <c r="I186" i="1"/>
  <c r="J186" i="1"/>
  <c r="K186" i="1"/>
  <c r="D186" i="1"/>
  <c r="E220" i="1"/>
  <c r="F220" i="1"/>
  <c r="G220" i="1"/>
  <c r="H220" i="1"/>
  <c r="I220" i="1"/>
  <c r="J220" i="1"/>
  <c r="K220" i="1"/>
  <c r="D220" i="1"/>
  <c r="E141" i="1"/>
  <c r="D185" i="1" l="1"/>
  <c r="N188" i="1"/>
  <c r="N186" i="1"/>
  <c r="O4" i="2"/>
  <c r="N4" i="2"/>
  <c r="N11" i="2" s="1"/>
  <c r="F180" i="1"/>
  <c r="G180" i="1"/>
  <c r="H180" i="1"/>
  <c r="I180" i="1"/>
  <c r="J180" i="1"/>
  <c r="K180" i="1"/>
  <c r="L180" i="1"/>
  <c r="M180" i="1"/>
  <c r="E180" i="1"/>
  <c r="F168" i="1"/>
  <c r="G168" i="1"/>
  <c r="H168" i="1"/>
  <c r="I168" i="1"/>
  <c r="J168" i="1"/>
  <c r="K168" i="1"/>
  <c r="L168" i="1"/>
  <c r="M168" i="1"/>
  <c r="E168" i="1"/>
  <c r="N189" i="1" l="1"/>
  <c r="V4" i="2"/>
  <c r="P4" i="2"/>
  <c r="Q4" i="2"/>
  <c r="R4" i="2"/>
  <c r="S4" i="2"/>
  <c r="T4" i="2"/>
  <c r="U4" i="2"/>
  <c r="N12" i="2"/>
  <c r="N6" i="2"/>
  <c r="N7" i="2"/>
  <c r="N8" i="2"/>
  <c r="N9" i="2"/>
  <c r="N10" i="2"/>
  <c r="P5" i="2" l="1"/>
  <c r="R11" i="2"/>
  <c r="V11" i="2"/>
  <c r="U5" i="2"/>
  <c r="T11" i="2"/>
  <c r="T5" i="2"/>
  <c r="S11" i="2"/>
  <c r="Q11" i="2"/>
  <c r="R5" i="2"/>
  <c r="O11" i="2"/>
  <c r="U11" i="2"/>
  <c r="V5" i="2"/>
  <c r="S5" i="2"/>
  <c r="O5" i="2"/>
  <c r="Q5" i="2"/>
  <c r="P11" i="2"/>
  <c r="T10" i="2"/>
  <c r="Q10" i="2"/>
  <c r="S10" i="2"/>
  <c r="R10" i="2"/>
  <c r="P10" i="2"/>
  <c r="O10" i="2"/>
  <c r="V10" i="2"/>
  <c r="U10" i="2"/>
  <c r="P9" i="2"/>
  <c r="U9" i="2"/>
  <c r="O9" i="2"/>
  <c r="V9" i="2"/>
  <c r="T9" i="2"/>
  <c r="S9" i="2"/>
  <c r="R9" i="2"/>
  <c r="Q9" i="2"/>
  <c r="T8" i="2"/>
  <c r="Q8" i="2"/>
  <c r="U8" i="2"/>
  <c r="S8" i="2"/>
  <c r="R8" i="2"/>
  <c r="P8" i="2"/>
  <c r="O8" i="2"/>
  <c r="V8" i="2"/>
  <c r="S7" i="2"/>
  <c r="P7" i="2"/>
  <c r="R7" i="2"/>
  <c r="Q7" i="2"/>
  <c r="V7" i="2"/>
  <c r="U7" i="2"/>
  <c r="O7" i="2"/>
  <c r="T7" i="2"/>
  <c r="R6" i="2"/>
  <c r="Q6" i="2"/>
  <c r="P6" i="2"/>
  <c r="S6" i="2"/>
  <c r="V6" i="2"/>
  <c r="U6" i="2"/>
  <c r="T6" i="2"/>
  <c r="O6" i="2"/>
  <c r="V12" i="2"/>
  <c r="S12" i="2"/>
  <c r="U12" i="2"/>
  <c r="T12" i="2"/>
  <c r="O12" i="2"/>
  <c r="R12" i="2"/>
  <c r="Q12" i="2"/>
  <c r="P12" i="2"/>
  <c r="Q179" i="2" l="1"/>
  <c r="P179" i="2"/>
  <c r="O179" i="2"/>
  <c r="N179" i="2"/>
  <c r="M179" i="2"/>
  <c r="L179" i="2"/>
  <c r="Q178" i="2"/>
  <c r="P178" i="2"/>
  <c r="O178" i="2"/>
  <c r="N178" i="2"/>
  <c r="M178" i="2"/>
  <c r="L178" i="2"/>
  <c r="G178" i="2"/>
  <c r="Q177" i="2"/>
  <c r="P177" i="2"/>
  <c r="O177" i="2"/>
  <c r="N177" i="2"/>
  <c r="M177" i="2"/>
  <c r="L177" i="2"/>
  <c r="Q176" i="2"/>
  <c r="P176" i="2"/>
  <c r="O176" i="2"/>
  <c r="N176" i="2"/>
  <c r="M176" i="2"/>
  <c r="L176" i="2"/>
  <c r="M159" i="1" l="1"/>
  <c r="N153" i="1" l="1"/>
  <c r="F144" i="1" l="1"/>
  <c r="G144" i="1" s="1"/>
  <c r="H144" i="1" s="1"/>
  <c r="I144" i="1" s="1"/>
  <c r="J144" i="1" s="1"/>
  <c r="K144" i="1" s="1"/>
  <c r="L144" i="1" s="1"/>
  <c r="M144" i="1" s="1"/>
  <c r="M138" i="1"/>
  <c r="F141" i="1"/>
  <c r="G141" i="1"/>
  <c r="H141" i="1"/>
  <c r="I141" i="1"/>
  <c r="J141" i="1"/>
  <c r="K141" i="1"/>
  <c r="L141" i="1"/>
  <c r="M141" i="1"/>
  <c r="C8" i="2" l="1"/>
  <c r="C9" i="2" s="1"/>
  <c r="G117" i="1" l="1"/>
  <c r="J26" i="4" l="1"/>
  <c r="I21" i="4" l="1"/>
  <c r="C20" i="4"/>
  <c r="G28" i="4" s="1"/>
  <c r="C10" i="4"/>
  <c r="G5" i="4"/>
  <c r="C22" i="4" l="1"/>
  <c r="G6" i="4"/>
  <c r="G7" i="4" s="1"/>
  <c r="G8" i="4" s="1"/>
  <c r="C14" i="4" s="1"/>
  <c r="C7" i="4"/>
  <c r="G25" i="4" s="1"/>
  <c r="F21" i="2"/>
  <c r="G21" i="2"/>
  <c r="H21" i="2"/>
  <c r="I21" i="2"/>
  <c r="J21" i="2"/>
  <c r="K21" i="2"/>
  <c r="L21" i="2"/>
  <c r="F22" i="2"/>
  <c r="G158" i="2" s="1"/>
  <c r="G22" i="2"/>
  <c r="H158" i="2" s="1"/>
  <c r="H22" i="2"/>
  <c r="I158" i="2" s="1"/>
  <c r="I22" i="2"/>
  <c r="J158" i="2" s="1"/>
  <c r="J22" i="2"/>
  <c r="K158" i="2" s="1"/>
  <c r="K22" i="2"/>
  <c r="L158" i="2" s="1"/>
  <c r="L22" i="2"/>
  <c r="M158" i="2" s="1"/>
  <c r="M22" i="2"/>
  <c r="N158" i="2" s="1"/>
  <c r="F23" i="2"/>
  <c r="G23" i="2"/>
  <c r="H23" i="2"/>
  <c r="I23" i="2"/>
  <c r="J23" i="2"/>
  <c r="K23" i="2"/>
  <c r="L23" i="2"/>
  <c r="M23" i="2"/>
  <c r="F24" i="2"/>
  <c r="G24" i="2"/>
  <c r="H24" i="2"/>
  <c r="I24" i="2"/>
  <c r="J24" i="2"/>
  <c r="K24" i="2"/>
  <c r="L24" i="2"/>
  <c r="M24" i="2"/>
  <c r="F25" i="2"/>
  <c r="G25" i="2"/>
  <c r="H25" i="2"/>
  <c r="I25" i="2"/>
  <c r="J25" i="2"/>
  <c r="K25" i="2"/>
  <c r="L25" i="2"/>
  <c r="M25" i="2"/>
  <c r="F26" i="2"/>
  <c r="G26" i="2"/>
  <c r="H26" i="2"/>
  <c r="I26" i="2"/>
  <c r="J26" i="2"/>
  <c r="K26" i="2"/>
  <c r="L26" i="2"/>
  <c r="M26" i="2"/>
  <c r="F27" i="2"/>
  <c r="G27" i="2"/>
  <c r="H27" i="2"/>
  <c r="I27" i="2"/>
  <c r="J27" i="2"/>
  <c r="K27" i="2"/>
  <c r="L27" i="2"/>
  <c r="M27" i="2"/>
  <c r="F28" i="2"/>
  <c r="G28" i="2"/>
  <c r="H28" i="2"/>
  <c r="I28" i="2"/>
  <c r="J28" i="2"/>
  <c r="K28" i="2"/>
  <c r="L28" i="2"/>
  <c r="M28" i="2"/>
  <c r="G29" i="2"/>
  <c r="M29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E21" i="2"/>
  <c r="E22" i="2"/>
  <c r="F158" i="2" s="1"/>
  <c r="E23" i="2"/>
  <c r="C65" i="2" s="1"/>
  <c r="E24" i="2"/>
  <c r="C100" i="2" s="1"/>
  <c r="E25" i="2"/>
  <c r="C85" i="2" s="1"/>
  <c r="E26" i="2"/>
  <c r="C115" i="2" s="1"/>
  <c r="E27" i="2"/>
  <c r="C101" i="2" s="1"/>
  <c r="E28" i="2"/>
  <c r="E30" i="2"/>
  <c r="C119" i="2" s="1"/>
  <c r="E31" i="2"/>
  <c r="C83" i="2" s="1"/>
  <c r="E32" i="2"/>
  <c r="E33" i="2"/>
  <c r="BU137" i="2"/>
  <c r="BU131" i="2"/>
  <c r="BU120" i="2"/>
  <c r="BU121" i="2" s="1"/>
  <c r="BU115" i="2"/>
  <c r="BU105" i="2"/>
  <c r="BU104" i="2"/>
  <c r="BU110" i="2" s="1"/>
  <c r="BU99" i="2"/>
  <c r="BU106" i="2" s="1"/>
  <c r="BU86" i="2"/>
  <c r="CA83" i="2" s="1"/>
  <c r="CA85" i="2"/>
  <c r="BX81" i="2"/>
  <c r="BX88" i="2" s="1"/>
  <c r="BU70" i="2"/>
  <c r="BY69" i="2" s="1"/>
  <c r="BY70" i="2" s="1"/>
  <c r="BY68" i="2"/>
  <c r="BU67" i="2"/>
  <c r="BU78" i="2" s="1"/>
  <c r="BK137" i="2"/>
  <c r="BK131" i="2"/>
  <c r="BK120" i="2"/>
  <c r="BK121" i="2" s="1"/>
  <c r="BK115" i="2"/>
  <c r="BK105" i="2"/>
  <c r="BK104" i="2"/>
  <c r="BK110" i="2" s="1"/>
  <c r="BK99" i="2"/>
  <c r="BK106" i="2" s="1"/>
  <c r="BK86" i="2"/>
  <c r="BQ83" i="2" s="1"/>
  <c r="BQ85" i="2"/>
  <c r="BN81" i="2"/>
  <c r="BK70" i="2"/>
  <c r="BO69" i="2" s="1"/>
  <c r="BO70" i="2" s="1"/>
  <c r="BO68" i="2"/>
  <c r="BK67" i="2"/>
  <c r="BK78" i="2" s="1"/>
  <c r="BA137" i="2"/>
  <c r="BA131" i="2"/>
  <c r="BA120" i="2"/>
  <c r="BA121" i="2" s="1"/>
  <c r="BA115" i="2"/>
  <c r="BA105" i="2"/>
  <c r="BA104" i="2"/>
  <c r="BA110" i="2" s="1"/>
  <c r="BA99" i="2"/>
  <c r="BA106" i="2" s="1"/>
  <c r="BA86" i="2"/>
  <c r="BG83" i="2" s="1"/>
  <c r="BG85" i="2"/>
  <c r="BG86" i="2" s="1"/>
  <c r="BG87" i="2" s="1"/>
  <c r="BG88" i="2" s="1"/>
  <c r="BD81" i="2"/>
  <c r="BA70" i="2"/>
  <c r="BE69" i="2" s="1"/>
  <c r="BE70" i="2" s="1"/>
  <c r="BE68" i="2"/>
  <c r="BE71" i="2" s="1"/>
  <c r="BA74" i="2" s="1"/>
  <c r="BA67" i="2"/>
  <c r="BA72" i="2" s="1"/>
  <c r="AQ137" i="2"/>
  <c r="AQ139" i="2" s="1"/>
  <c r="AQ131" i="2"/>
  <c r="AQ120" i="2"/>
  <c r="AQ121" i="2" s="1"/>
  <c r="AQ123" i="2" s="1"/>
  <c r="AQ115" i="2"/>
  <c r="AQ105" i="2"/>
  <c r="AQ104" i="2"/>
  <c r="AQ110" i="2" s="1"/>
  <c r="AQ99" i="2"/>
  <c r="AQ106" i="2" s="1"/>
  <c r="AQ86" i="2"/>
  <c r="AW83" i="2" s="1"/>
  <c r="AW85" i="2"/>
  <c r="AW86" i="2" s="1"/>
  <c r="AT81" i="2"/>
  <c r="AQ70" i="2"/>
  <c r="AU69" i="2" s="1"/>
  <c r="AU70" i="2" s="1"/>
  <c r="AU68" i="2"/>
  <c r="AQ67" i="2"/>
  <c r="AQ78" i="2" s="1"/>
  <c r="AG137" i="2"/>
  <c r="AG131" i="2"/>
  <c r="AG120" i="2"/>
  <c r="AG121" i="2" s="1"/>
  <c r="AG115" i="2"/>
  <c r="AG105" i="2"/>
  <c r="AG104" i="2"/>
  <c r="AG110" i="2" s="1"/>
  <c r="AG99" i="2"/>
  <c r="AG106" i="2" s="1"/>
  <c r="AG86" i="2"/>
  <c r="AM83" i="2" s="1"/>
  <c r="AM85" i="2"/>
  <c r="AM86" i="2" s="1"/>
  <c r="AJ81" i="2"/>
  <c r="AJ82" i="2" s="1"/>
  <c r="AG70" i="2"/>
  <c r="AK69" i="2" s="1"/>
  <c r="AK70" i="2" s="1"/>
  <c r="AK68" i="2"/>
  <c r="AG67" i="2"/>
  <c r="AG78" i="2" s="1"/>
  <c r="W137" i="2"/>
  <c r="W131" i="2"/>
  <c r="W120" i="2"/>
  <c r="W121" i="2" s="1"/>
  <c r="W115" i="2"/>
  <c r="W105" i="2"/>
  <c r="W104" i="2"/>
  <c r="W110" i="2" s="1"/>
  <c r="W99" i="2"/>
  <c r="W106" i="2" s="1"/>
  <c r="W86" i="2"/>
  <c r="AC83" i="2" s="1"/>
  <c r="AC85" i="2"/>
  <c r="Z81" i="2"/>
  <c r="Z88" i="2" s="1"/>
  <c r="W70" i="2"/>
  <c r="AA69" i="2"/>
  <c r="AA70" i="2" s="1"/>
  <c r="AA68" i="2"/>
  <c r="W67" i="2"/>
  <c r="W78" i="2" s="1"/>
  <c r="M137" i="2"/>
  <c r="M131" i="2"/>
  <c r="M120" i="2"/>
  <c r="M121" i="2" s="1"/>
  <c r="M115" i="2"/>
  <c r="M105" i="2"/>
  <c r="M104" i="2"/>
  <c r="M110" i="2" s="1"/>
  <c r="M99" i="2"/>
  <c r="M106" i="2" s="1"/>
  <c r="M86" i="2"/>
  <c r="S83" i="2" s="1"/>
  <c r="S85" i="2"/>
  <c r="S86" i="2" s="1"/>
  <c r="P81" i="2"/>
  <c r="P83" i="2" s="1"/>
  <c r="M70" i="2"/>
  <c r="Q69" i="2" s="1"/>
  <c r="Q70" i="2" s="1"/>
  <c r="Q68" i="2"/>
  <c r="M67" i="2"/>
  <c r="M78" i="2" s="1"/>
  <c r="AQ72" i="2" l="1"/>
  <c r="AA71" i="2"/>
  <c r="W74" i="2" s="1"/>
  <c r="AW82" i="2"/>
  <c r="AJ83" i="2"/>
  <c r="AQ138" i="2"/>
  <c r="P82" i="2"/>
  <c r="BO71" i="2"/>
  <c r="BK74" i="2" s="1"/>
  <c r="AS137" i="2"/>
  <c r="BA108" i="2"/>
  <c r="S87" i="2"/>
  <c r="S88" i="2" s="1"/>
  <c r="W108" i="2"/>
  <c r="AW84" i="2"/>
  <c r="AQ142" i="2"/>
  <c r="BD82" i="2"/>
  <c r="BU72" i="2"/>
  <c r="Q71" i="2"/>
  <c r="M74" i="2" s="1"/>
  <c r="AK71" i="2"/>
  <c r="AG74" i="2" s="1"/>
  <c r="BK72" i="2"/>
  <c r="BK76" i="2" s="1"/>
  <c r="M72" i="2"/>
  <c r="AJ85" i="2"/>
  <c r="AJ86" i="2" s="1"/>
  <c r="AQ108" i="2"/>
  <c r="BD88" i="2"/>
  <c r="BX82" i="2"/>
  <c r="AM87" i="2"/>
  <c r="AM88" i="2" s="1"/>
  <c r="AU71" i="2"/>
  <c r="AQ74" i="2" s="1"/>
  <c r="AQ76" i="2" s="1"/>
  <c r="P85" i="2"/>
  <c r="P86" i="2" s="1"/>
  <c r="C86" i="2"/>
  <c r="C99" i="2"/>
  <c r="C132" i="2"/>
  <c r="C137" i="2" s="1"/>
  <c r="E137" i="2" s="1"/>
  <c r="C97" i="2"/>
  <c r="C129" i="2"/>
  <c r="C131" i="2"/>
  <c r="C81" i="2"/>
  <c r="C130" i="2"/>
  <c r="C69" i="2"/>
  <c r="C114" i="2"/>
  <c r="C120" i="2" s="1"/>
  <c r="C70" i="2"/>
  <c r="C102" i="2"/>
  <c r="C66" i="2"/>
  <c r="C113" i="2"/>
  <c r="C88" i="2"/>
  <c r="C82" i="2"/>
  <c r="C98" i="2"/>
  <c r="C105" i="2" s="1"/>
  <c r="C116" i="2"/>
  <c r="C117" i="2"/>
  <c r="C84" i="2"/>
  <c r="C135" i="2"/>
  <c r="G26" i="4"/>
  <c r="I20" i="4" s="1"/>
  <c r="C18" i="4"/>
  <c r="C12" i="4"/>
  <c r="C16" i="4" s="1"/>
  <c r="BX91" i="2"/>
  <c r="BX92" i="2" s="1"/>
  <c r="BX89" i="2"/>
  <c r="BX90" i="2" s="1"/>
  <c r="BY71" i="2"/>
  <c r="BU74" i="2" s="1"/>
  <c r="BU123" i="2"/>
  <c r="BU122" i="2"/>
  <c r="BU126" i="2" s="1"/>
  <c r="BU108" i="2"/>
  <c r="CA82" i="2"/>
  <c r="CA84" i="2" s="1"/>
  <c r="BW137" i="2"/>
  <c r="BX83" i="2"/>
  <c r="BX85" i="2" s="1"/>
  <c r="BX86" i="2" s="1"/>
  <c r="CA86" i="2"/>
  <c r="CA87" i="2" s="1"/>
  <c r="CA88" i="2" s="1"/>
  <c r="BU138" i="2"/>
  <c r="BU142" i="2" s="1"/>
  <c r="BU139" i="2"/>
  <c r="BK108" i="2"/>
  <c r="BK123" i="2"/>
  <c r="BK122" i="2"/>
  <c r="BK126" i="2" s="1"/>
  <c r="BQ82" i="2"/>
  <c r="BQ84" i="2" s="1"/>
  <c r="BM137" i="2"/>
  <c r="BN83" i="2"/>
  <c r="BN84" i="2" s="1"/>
  <c r="BN87" i="2" s="1"/>
  <c r="BQ86" i="2"/>
  <c r="BQ87" i="2" s="1"/>
  <c r="BQ88" i="2" s="1"/>
  <c r="BK138" i="2"/>
  <c r="BK142" i="2" s="1"/>
  <c r="BK139" i="2"/>
  <c r="BN82" i="2"/>
  <c r="BN88" i="2"/>
  <c r="BA76" i="2"/>
  <c r="BA123" i="2"/>
  <c r="BA122" i="2"/>
  <c r="BA126" i="2" s="1"/>
  <c r="BA78" i="2"/>
  <c r="BC137" i="2"/>
  <c r="BD83" i="2"/>
  <c r="BA138" i="2"/>
  <c r="BA142" i="2" s="1"/>
  <c r="BG82" i="2"/>
  <c r="BG84" i="2" s="1"/>
  <c r="BG89" i="2" s="1"/>
  <c r="BA91" i="2" s="1"/>
  <c r="BA139" i="2"/>
  <c r="AQ124" i="2"/>
  <c r="AQ125" i="2" s="1"/>
  <c r="AT82" i="2"/>
  <c r="AT83" i="2"/>
  <c r="AT85" i="2" s="1"/>
  <c r="AT86" i="2" s="1"/>
  <c r="AQ122" i="2"/>
  <c r="AQ126" i="2" s="1"/>
  <c r="AW87" i="2"/>
  <c r="AW88" i="2" s="1"/>
  <c r="AQ140" i="2"/>
  <c r="AQ141" i="2" s="1"/>
  <c r="AT88" i="2"/>
  <c r="AG108" i="2"/>
  <c r="AG123" i="2"/>
  <c r="AG122" i="2"/>
  <c r="AG126" i="2" s="1"/>
  <c r="AM82" i="2"/>
  <c r="AM84" i="2" s="1"/>
  <c r="AM89" i="2" s="1"/>
  <c r="AG91" i="2" s="1"/>
  <c r="AI137" i="2"/>
  <c r="AG139" i="2"/>
  <c r="AJ84" i="2"/>
  <c r="AJ87" i="2" s="1"/>
  <c r="AG138" i="2"/>
  <c r="AG142" i="2" s="1"/>
  <c r="AG72" i="2"/>
  <c r="AJ88" i="2"/>
  <c r="W123" i="2"/>
  <c r="W122" i="2"/>
  <c r="W126" i="2" s="1"/>
  <c r="Z91" i="2"/>
  <c r="Z92" i="2" s="1"/>
  <c r="Z89" i="2"/>
  <c r="AC82" i="2"/>
  <c r="AC84" i="2" s="1"/>
  <c r="Y137" i="2"/>
  <c r="Z83" i="2"/>
  <c r="Z85" i="2" s="1"/>
  <c r="Z86" i="2" s="1"/>
  <c r="AC86" i="2"/>
  <c r="AC87" i="2" s="1"/>
  <c r="AC88" i="2" s="1"/>
  <c r="W138" i="2"/>
  <c r="W142" i="2" s="1"/>
  <c r="Z82" i="2"/>
  <c r="W72" i="2"/>
  <c r="W76" i="2" s="1"/>
  <c r="Z90" i="2"/>
  <c r="W139" i="2"/>
  <c r="M108" i="2"/>
  <c r="M123" i="2"/>
  <c r="M122" i="2"/>
  <c r="M126" i="2" s="1"/>
  <c r="S82" i="2"/>
  <c r="S84" i="2" s="1"/>
  <c r="S89" i="2" s="1"/>
  <c r="M91" i="2" s="1"/>
  <c r="O137" i="2"/>
  <c r="P88" i="2"/>
  <c r="M138" i="2"/>
  <c r="M142" i="2" s="1"/>
  <c r="M139" i="2"/>
  <c r="P84" i="2"/>
  <c r="P87" i="2" s="1"/>
  <c r="AW89" i="2" l="1"/>
  <c r="AQ91" i="2" s="1"/>
  <c r="BX84" i="2"/>
  <c r="BX87" i="2" s="1"/>
  <c r="G27" i="4"/>
  <c r="AT84" i="2"/>
  <c r="AT87" i="2" s="1"/>
  <c r="BU76" i="2"/>
  <c r="AG76" i="2"/>
  <c r="BD91" i="2"/>
  <c r="BD92" i="2" s="1"/>
  <c r="BD89" i="2"/>
  <c r="BD90" i="2" s="1"/>
  <c r="BU89" i="2"/>
  <c r="BU94" i="2" s="1"/>
  <c r="W90" i="2"/>
  <c r="BN85" i="2"/>
  <c r="BN86" i="2" s="1"/>
  <c r="BU90" i="2"/>
  <c r="BQ89" i="2"/>
  <c r="BK91" i="2" s="1"/>
  <c r="Z84" i="2"/>
  <c r="Z87" i="2" s="1"/>
  <c r="W89" i="2" s="1"/>
  <c r="W94" i="2" s="1"/>
  <c r="M76" i="2"/>
  <c r="C104" i="2"/>
  <c r="C110" i="2" s="1"/>
  <c r="C106" i="2"/>
  <c r="C108" i="2" s="1"/>
  <c r="C139" i="2"/>
  <c r="C140" i="2" s="1"/>
  <c r="C141" i="2" s="1"/>
  <c r="C138" i="2"/>
  <c r="C121" i="2"/>
  <c r="C123" i="2" s="1"/>
  <c r="C124" i="2" s="1"/>
  <c r="C125" i="2" s="1"/>
  <c r="BU140" i="2"/>
  <c r="BU141" i="2" s="1"/>
  <c r="BU124" i="2"/>
  <c r="BU125" i="2" s="1"/>
  <c r="CA89" i="2"/>
  <c r="BU91" i="2" s="1"/>
  <c r="BK140" i="2"/>
  <c r="BK141" i="2" s="1"/>
  <c r="BK124" i="2"/>
  <c r="BK125" i="2" s="1"/>
  <c r="BN89" i="2"/>
  <c r="BN90" i="2" s="1"/>
  <c r="BN91" i="2"/>
  <c r="BN92" i="2" s="1"/>
  <c r="BK89" i="2" s="1"/>
  <c r="BK94" i="2" s="1"/>
  <c r="BD85" i="2"/>
  <c r="BD86" i="2" s="1"/>
  <c r="BD84" i="2"/>
  <c r="BD87" i="2" s="1"/>
  <c r="BA140" i="2"/>
  <c r="BA141" i="2" s="1"/>
  <c r="BA124" i="2"/>
  <c r="BA125" i="2" s="1"/>
  <c r="AT91" i="2"/>
  <c r="AT92" i="2" s="1"/>
  <c r="AQ89" i="2" s="1"/>
  <c r="AQ94" i="2" s="1"/>
  <c r="AT89" i="2"/>
  <c r="AT90" i="2" s="1"/>
  <c r="AQ90" i="2" s="1"/>
  <c r="AQ92" i="2" s="1"/>
  <c r="AJ91" i="2"/>
  <c r="AJ92" i="2" s="1"/>
  <c r="AG89" i="2" s="1"/>
  <c r="AG94" i="2" s="1"/>
  <c r="AJ89" i="2"/>
  <c r="AJ90" i="2" s="1"/>
  <c r="AG90" i="2" s="1"/>
  <c r="AG92" i="2" s="1"/>
  <c r="AG124" i="2"/>
  <c r="AG125" i="2" s="1"/>
  <c r="AG140" i="2"/>
  <c r="AG141" i="2" s="1"/>
  <c r="AC89" i="2"/>
  <c r="W91" i="2" s="1"/>
  <c r="W92" i="2" s="1"/>
  <c r="W140" i="2"/>
  <c r="W141" i="2" s="1"/>
  <c r="W124" i="2"/>
  <c r="W125" i="2" s="1"/>
  <c r="P89" i="2"/>
  <c r="P90" i="2" s="1"/>
  <c r="M90" i="2" s="1"/>
  <c r="M92" i="2" s="1"/>
  <c r="P91" i="2"/>
  <c r="P92" i="2" s="1"/>
  <c r="M89" i="2" s="1"/>
  <c r="M94" i="2" s="1"/>
  <c r="M124" i="2"/>
  <c r="M125" i="2" s="1"/>
  <c r="M140" i="2"/>
  <c r="M141" i="2" s="1"/>
  <c r="BK90" i="2" l="1"/>
  <c r="BA89" i="2"/>
  <c r="BA94" i="2" s="1"/>
  <c r="BA90" i="2"/>
  <c r="BA92" i="2" s="1"/>
  <c r="BK92" i="2"/>
  <c r="BU92" i="2"/>
  <c r="C122" i="2"/>
  <c r="I44" i="1"/>
  <c r="D33" i="1"/>
  <c r="I33" i="1" s="1"/>
  <c r="I38" i="1" s="1"/>
  <c r="I37" i="1" l="1"/>
  <c r="I43" i="1" s="1"/>
  <c r="L29" i="2"/>
  <c r="J60" i="1"/>
  <c r="K29" i="2" s="1"/>
  <c r="J29" i="2"/>
  <c r="I29" i="2"/>
  <c r="G60" i="1"/>
  <c r="H29" i="2" s="1"/>
  <c r="L51" i="1"/>
  <c r="E60" i="1"/>
  <c r="F29" i="2" s="1"/>
  <c r="D60" i="1"/>
  <c r="E29" i="2" s="1"/>
  <c r="D51" i="1"/>
  <c r="E51" i="1"/>
  <c r="F179" i="1" l="1"/>
  <c r="E179" i="1"/>
  <c r="L52" i="1"/>
  <c r="M127" i="1" s="1"/>
  <c r="M179" i="1"/>
  <c r="C118" i="2"/>
  <c r="C126" i="2" s="1"/>
  <c r="C87" i="2"/>
  <c r="C134" i="2"/>
  <c r="C142" i="2" s="1"/>
  <c r="E1" i="2"/>
  <c r="N1" i="2" s="1"/>
  <c r="N2" i="2" s="1"/>
  <c r="E20" i="2"/>
  <c r="M1" i="2"/>
  <c r="M4" i="2" s="1"/>
  <c r="M20" i="2"/>
  <c r="F51" i="1"/>
  <c r="F20" i="2"/>
  <c r="F1" i="2"/>
  <c r="O1" i="2" s="1"/>
  <c r="G20" i="2" l="1"/>
  <c r="G179" i="1"/>
  <c r="M21" i="2"/>
  <c r="E5" i="2"/>
  <c r="E3" i="2"/>
  <c r="M5" i="2"/>
  <c r="M2" i="2"/>
  <c r="M3" i="2"/>
  <c r="M6" i="2"/>
  <c r="G51" i="1"/>
  <c r="V1" i="2"/>
  <c r="V3" i="2" s="1"/>
  <c r="N3" i="2"/>
  <c r="E2" i="2"/>
  <c r="E4" i="2"/>
  <c r="E6" i="2"/>
  <c r="G1" i="2"/>
  <c r="P1" i="2" s="1"/>
  <c r="P2" i="2" s="1"/>
  <c r="O2" i="2"/>
  <c r="O3" i="2"/>
  <c r="F5" i="2"/>
  <c r="F4" i="2"/>
  <c r="F6" i="2"/>
  <c r="F2" i="2"/>
  <c r="F3" i="2"/>
  <c r="H20" i="2" l="1"/>
  <c r="H179" i="1"/>
  <c r="H51" i="1"/>
  <c r="G4" i="2"/>
  <c r="G6" i="2"/>
  <c r="H1" i="2"/>
  <c r="H2" i="2" s="1"/>
  <c r="G5" i="2"/>
  <c r="V2" i="2"/>
  <c r="G3" i="2"/>
  <c r="P3" i="2"/>
  <c r="G2" i="2"/>
  <c r="I1" i="2" l="1"/>
  <c r="I5" i="2" s="1"/>
  <c r="I179" i="1"/>
  <c r="I51" i="1"/>
  <c r="I20" i="2"/>
  <c r="Q1" i="2"/>
  <c r="Q3" i="2" s="1"/>
  <c r="H3" i="2"/>
  <c r="H6" i="2"/>
  <c r="H5" i="2"/>
  <c r="H4" i="2"/>
  <c r="I6" i="2" l="1"/>
  <c r="R1" i="2"/>
  <c r="R3" i="2" s="1"/>
  <c r="I3" i="2"/>
  <c r="I2" i="2"/>
  <c r="I4" i="2"/>
  <c r="J1" i="2"/>
  <c r="J4" i="2" s="1"/>
  <c r="J179" i="1"/>
  <c r="J51" i="1"/>
  <c r="J20" i="2"/>
  <c r="Q2" i="2"/>
  <c r="K51" i="1" l="1"/>
  <c r="L1" i="2" s="1"/>
  <c r="R2" i="2"/>
  <c r="J6" i="2"/>
  <c r="J2" i="2"/>
  <c r="J5" i="2"/>
  <c r="S1" i="2"/>
  <c r="S2" i="2" s="1"/>
  <c r="J3" i="2"/>
  <c r="K1" i="2"/>
  <c r="K3" i="2" s="1"/>
  <c r="K179" i="1"/>
  <c r="K20" i="2"/>
  <c r="L20" i="2" l="1"/>
  <c r="L179" i="1"/>
  <c r="S3" i="2"/>
  <c r="K5" i="2"/>
  <c r="K4" i="2"/>
  <c r="K6" i="2"/>
  <c r="T1" i="2"/>
  <c r="T2" i="2" s="1"/>
  <c r="K2" i="2"/>
  <c r="L3" i="2"/>
  <c r="L2" i="2"/>
  <c r="L5" i="2"/>
  <c r="L4" i="2"/>
  <c r="U1" i="2"/>
  <c r="L6" i="2"/>
  <c r="I82" i="2"/>
  <c r="G69" i="2"/>
  <c r="G70" i="2" s="1"/>
  <c r="I85" i="2"/>
  <c r="I86" i="2" s="1"/>
  <c r="G68" i="2"/>
  <c r="C67" i="2"/>
  <c r="C72" i="2" s="1"/>
  <c r="F81" i="2"/>
  <c r="F83" i="2" s="1"/>
  <c r="T3" i="2" l="1"/>
  <c r="U3" i="2"/>
  <c r="U2" i="2"/>
  <c r="G71" i="2"/>
  <c r="C74" i="2" s="1"/>
  <c r="C76" i="2" s="1"/>
  <c r="C78" i="2"/>
  <c r="F85" i="2"/>
  <c r="F86" i="2" s="1"/>
  <c r="F88" i="2"/>
  <c r="F91" i="2" s="1"/>
  <c r="F92" i="2" s="1"/>
  <c r="I83" i="2"/>
  <c r="I84" i="2" s="1"/>
  <c r="F82" i="2"/>
  <c r="I87" i="2"/>
  <c r="I88" i="2" s="1"/>
  <c r="F84" i="2"/>
  <c r="F87" i="2" s="1"/>
  <c r="F89" i="2" l="1"/>
  <c r="F90" i="2" s="1"/>
  <c r="C90" i="2" s="1"/>
  <c r="C89" i="2"/>
  <c r="C94" i="2" s="1"/>
  <c r="I89" i="2"/>
  <c r="C91" i="2" s="1"/>
  <c r="C92" i="2" l="1"/>
  <c r="C84" i="1"/>
  <c r="C93" i="1" l="1"/>
  <c r="I17" i="1" l="1"/>
  <c r="I16" i="1"/>
  <c r="I5" i="1" l="1"/>
  <c r="I8" i="1" l="1"/>
  <c r="D20" i="1"/>
  <c r="I10" i="1"/>
  <c r="D189" i="1" s="1"/>
  <c r="D14" i="1" l="1"/>
  <c r="C3" i="2"/>
  <c r="D12" i="1"/>
  <c r="I15" i="1"/>
  <c r="N16" i="1"/>
  <c r="N15" i="1"/>
  <c r="N14" i="1"/>
  <c r="D22" i="1"/>
  <c r="C173" i="2" s="1"/>
  <c r="I7" i="1"/>
  <c r="S11" i="1" l="1"/>
  <c r="I24" i="1"/>
  <c r="C81" i="1"/>
  <c r="H109" i="1" s="1"/>
  <c r="S15" i="1"/>
  <c r="C79" i="1" s="1"/>
  <c r="S5" i="1"/>
  <c r="D25" i="1"/>
  <c r="E129" i="1"/>
  <c r="S13" i="1"/>
  <c r="I108" i="1" s="1"/>
  <c r="J107" i="1" s="1"/>
  <c r="K107" i="1" s="1"/>
  <c r="N7" i="1" l="1"/>
  <c r="N8" i="1"/>
  <c r="N6" i="1"/>
  <c r="N10" i="1" s="1"/>
  <c r="F129" i="1"/>
  <c r="G129" i="1" s="1"/>
  <c r="H129" i="1" s="1"/>
  <c r="I129" i="1" s="1"/>
  <c r="J129" i="1" s="1"/>
  <c r="K129" i="1" s="1"/>
  <c r="L129" i="1" s="1"/>
  <c r="M129" i="1" s="1"/>
  <c r="C103" i="1"/>
  <c r="C91" i="1"/>
  <c r="I110" i="1" s="1"/>
  <c r="K112" i="1" s="1"/>
  <c r="I11" i="1"/>
  <c r="N12" i="1" l="1"/>
  <c r="N22" i="1" s="1"/>
  <c r="S7" i="1" s="1"/>
  <c r="N11" i="1"/>
  <c r="C102" i="1"/>
  <c r="C100" i="1"/>
  <c r="C101" i="1"/>
  <c r="C111" i="1" s="1"/>
  <c r="I12" i="1"/>
  <c r="N18" i="1"/>
  <c r="N19" i="1" l="1"/>
  <c r="D42" i="1"/>
  <c r="I42" i="1" s="1"/>
  <c r="I45" i="1" s="1"/>
  <c r="C109" i="1"/>
  <c r="C104" i="1"/>
  <c r="C105" i="1" s="1"/>
  <c r="N20" i="1"/>
  <c r="N21" i="1" s="1"/>
  <c r="K115" i="1" l="1"/>
  <c r="P43" i="1"/>
  <c r="G115" i="1" s="1"/>
  <c r="S9" i="1"/>
  <c r="C110" i="1"/>
  <c r="H104" i="1"/>
  <c r="H105" i="1"/>
  <c r="H106" i="1"/>
  <c r="C106" i="1"/>
  <c r="D32" i="1" l="1"/>
  <c r="I32" i="1" s="1"/>
  <c r="O31" i="1"/>
  <c r="M33" i="1" s="1"/>
  <c r="C113" i="1"/>
  <c r="K118" i="1" s="1"/>
  <c r="K116" i="1"/>
  <c r="C114" i="1"/>
  <c r="C107" i="1"/>
  <c r="C112" i="1" s="1"/>
  <c r="I106" i="1"/>
  <c r="I105" i="1"/>
  <c r="I104" i="1"/>
  <c r="M34" i="1" l="1"/>
  <c r="M37" i="1" s="1"/>
  <c r="P33" i="1"/>
  <c r="N33" i="1"/>
  <c r="R33" i="1"/>
  <c r="O33" i="1"/>
  <c r="K117" i="1"/>
  <c r="K106" i="1"/>
  <c r="K104" i="1"/>
  <c r="L104" i="1"/>
  <c r="K119" i="1"/>
  <c r="L106" i="1"/>
  <c r="L105" i="1"/>
  <c r="J105" i="1"/>
  <c r="J106" i="1"/>
  <c r="J104" i="1"/>
  <c r="C118" i="1"/>
  <c r="K105" i="1"/>
  <c r="C117" i="1"/>
  <c r="C177" i="2" s="1"/>
  <c r="E177" i="2" s="1"/>
  <c r="O34" i="1" l="1"/>
  <c r="O35" i="1"/>
  <c r="R34" i="1"/>
  <c r="N34" i="1"/>
  <c r="P35" i="1"/>
  <c r="P34" i="1"/>
  <c r="M35" i="1"/>
  <c r="M36" i="1" s="1"/>
  <c r="C176" i="2"/>
  <c r="E176" i="2" s="1"/>
  <c r="E180" i="2" s="1"/>
  <c r="C120" i="1"/>
  <c r="K120" i="1"/>
  <c r="G106" i="1"/>
  <c r="G111" i="1" s="1"/>
  <c r="K111" i="1" s="1"/>
  <c r="G105" i="1"/>
  <c r="G110" i="1" s="1"/>
  <c r="K110" i="1" s="1"/>
  <c r="G104" i="1"/>
  <c r="M38" i="1" l="1"/>
  <c r="R37" i="1"/>
  <c r="Q37" i="1" s="1"/>
  <c r="N37" i="1"/>
  <c r="P37" i="1"/>
  <c r="P38" i="1" s="1"/>
  <c r="P36" i="1"/>
  <c r="N35" i="1"/>
  <c r="N36" i="1" s="1"/>
  <c r="R35" i="1"/>
  <c r="R38" i="1" s="1"/>
  <c r="O36" i="1"/>
  <c r="O37" i="1"/>
  <c r="O38" i="1" s="1"/>
  <c r="I148" i="2"/>
  <c r="L148" i="2"/>
  <c r="K148" i="2"/>
  <c r="J148" i="2"/>
  <c r="M148" i="2"/>
  <c r="Q104" i="1"/>
  <c r="P107" i="1" s="1"/>
  <c r="G109" i="1"/>
  <c r="K109" i="1" s="1"/>
  <c r="P104" i="1"/>
  <c r="O107" i="1" s="1"/>
  <c r="N38" i="1" l="1"/>
  <c r="Q38" i="1" s="1"/>
  <c r="R36" i="1"/>
  <c r="M150" i="2"/>
  <c r="M149" i="2"/>
  <c r="J150" i="2"/>
  <c r="J149" i="2"/>
  <c r="K149" i="2"/>
  <c r="K150" i="2"/>
  <c r="L150" i="2"/>
  <c r="L149" i="2"/>
  <c r="I149" i="2"/>
  <c r="I150" i="2"/>
  <c r="G112" i="1"/>
  <c r="R104" i="1" s="1"/>
  <c r="O104" i="1"/>
  <c r="Q107" i="1" s="1"/>
  <c r="P112" i="1" s="1"/>
  <c r="Q32" i="1" l="1"/>
  <c r="Q34" i="1"/>
  <c r="Q36" i="1"/>
  <c r="Q35" i="1"/>
  <c r="D36" i="1" s="1"/>
  <c r="D37" i="1"/>
  <c r="D43" i="1" s="1"/>
  <c r="D34" i="1"/>
  <c r="D38" i="1"/>
  <c r="D35" i="1"/>
  <c r="Q147" i="2"/>
  <c r="Q146" i="2"/>
  <c r="O112" i="1"/>
  <c r="Q112" i="1" s="1"/>
  <c r="N113" i="1" s="1"/>
  <c r="O113" i="1" s="1"/>
  <c r="D44" i="1" l="1"/>
  <c r="D45" i="1" s="1"/>
  <c r="R112" i="1"/>
  <c r="P113" i="1"/>
  <c r="Q113" i="1" s="1"/>
  <c r="N114" i="1" s="1"/>
  <c r="P114" i="1" s="1"/>
  <c r="O114" i="1" l="1"/>
  <c r="Q114" i="1" s="1"/>
  <c r="N115" i="1" s="1"/>
  <c r="P115" i="1" s="1"/>
  <c r="R113" i="1"/>
  <c r="O115" i="1" l="1"/>
  <c r="Q115" i="1" s="1"/>
  <c r="R114" i="1"/>
  <c r="N116" i="1" l="1"/>
  <c r="R115" i="1"/>
  <c r="P116" i="1" l="1"/>
  <c r="O116" i="1"/>
  <c r="Q116" i="1" l="1"/>
  <c r="N117" i="1" s="1"/>
  <c r="R116" i="1" l="1"/>
  <c r="P117" i="1"/>
  <c r="O117" i="1"/>
  <c r="Q117" i="1" l="1"/>
  <c r="N118" i="1" s="1"/>
  <c r="R117" i="1" l="1"/>
  <c r="P118" i="1"/>
  <c r="O118" i="1"/>
  <c r="Q118" i="1" l="1"/>
  <c r="N119" i="1" s="1"/>
  <c r="R118" i="1" l="1"/>
  <c r="P119" i="1"/>
  <c r="O119" i="1"/>
  <c r="Q119" i="1" l="1"/>
  <c r="R119" i="1" s="1"/>
  <c r="N120" i="1" l="1"/>
  <c r="P120" i="1" s="1"/>
  <c r="C116" i="1" l="1"/>
  <c r="D146" i="2" s="1"/>
  <c r="D147" i="2" s="1"/>
  <c r="O120" i="1"/>
  <c r="Q120" i="1" s="1"/>
  <c r="R120" i="1" s="1"/>
  <c r="S97" i="1" l="1"/>
  <c r="S96" i="1"/>
  <c r="G119" i="1"/>
  <c r="D148" i="2" s="1"/>
  <c r="E80" i="1"/>
  <c r="Q148" i="2" l="1"/>
  <c r="Q149" i="2" s="1"/>
  <c r="D149" i="2" s="1"/>
  <c r="D153" i="2"/>
  <c r="D155" i="2" l="1"/>
  <c r="D156" i="2" s="1"/>
  <c r="I191" i="1" l="1"/>
  <c r="G137" i="1" s="1"/>
  <c r="I190" i="1"/>
  <c r="J191" i="1"/>
  <c r="F137" i="1" s="1"/>
  <c r="J190" i="1"/>
  <c r="F159" i="1" l="1"/>
  <c r="F138" i="1"/>
  <c r="G159" i="1"/>
  <c r="G138" i="1"/>
  <c r="I192" i="1"/>
  <c r="J192" i="1"/>
  <c r="J197" i="1"/>
  <c r="K191" i="1"/>
  <c r="E137" i="1" s="1"/>
  <c r="K190" i="1"/>
  <c r="E159" i="1" l="1"/>
  <c r="E138" i="1"/>
  <c r="K197" i="1"/>
  <c r="K192" i="1"/>
  <c r="E188" i="1"/>
  <c r="F188" i="1" s="1"/>
  <c r="E189" i="1"/>
  <c r="D190" i="1"/>
  <c r="E190" i="1"/>
  <c r="D191" i="1"/>
  <c r="D192" i="1" s="1"/>
  <c r="D197" i="1" l="1"/>
  <c r="D193" i="1"/>
  <c r="D194" i="1" s="1"/>
  <c r="L154" i="2" s="1"/>
  <c r="F189" i="1"/>
  <c r="G188" i="1"/>
  <c r="F191" i="1"/>
  <c r="F190" i="1"/>
  <c r="E191" i="1"/>
  <c r="K137" i="1" l="1"/>
  <c r="L137" i="1"/>
  <c r="E192" i="1"/>
  <c r="E197" i="1"/>
  <c r="F192" i="1"/>
  <c r="J137" i="1"/>
  <c r="F197" i="1"/>
  <c r="G190" i="1"/>
  <c r="G191" i="1"/>
  <c r="H188" i="1"/>
  <c r="G189" i="1"/>
  <c r="F193" i="1" s="1"/>
  <c r="F194" i="1" s="1"/>
  <c r="J154" i="2" s="1"/>
  <c r="E193" i="1"/>
  <c r="E194" i="1" s="1"/>
  <c r="K154" i="2" s="1"/>
  <c r="J138" i="1" l="1"/>
  <c r="J159" i="1"/>
  <c r="H189" i="1"/>
  <c r="G193" i="1" s="1"/>
  <c r="H190" i="1"/>
  <c r="H191" i="1"/>
  <c r="I137" i="1"/>
  <c r="G192" i="1"/>
  <c r="G197" i="1"/>
  <c r="L159" i="1"/>
  <c r="L138" i="1"/>
  <c r="K138" i="1"/>
  <c r="K159" i="1"/>
  <c r="G194" i="1" l="1"/>
  <c r="I154" i="2" s="1"/>
  <c r="I159" i="1"/>
  <c r="I138" i="1"/>
  <c r="H137" i="1"/>
  <c r="H197" i="1"/>
  <c r="I197" i="1"/>
  <c r="H192" i="1"/>
  <c r="I189" i="1"/>
  <c r="H193" i="1" s="1"/>
  <c r="H194" i="1" s="1"/>
  <c r="H154" i="2" s="1"/>
  <c r="H159" i="1" l="1"/>
  <c r="H138" i="1"/>
  <c r="J189" i="1"/>
  <c r="K189" i="1" l="1"/>
  <c r="J193" i="1"/>
  <c r="J194" i="1"/>
  <c r="I193" i="1"/>
  <c r="I194" i="1" s="1"/>
  <c r="G154" i="2" s="1"/>
  <c r="K193" i="1" l="1"/>
  <c r="K194" i="1" s="1"/>
  <c r="L192" i="1"/>
  <c r="E130" i="1"/>
  <c r="E140" i="1" s="1"/>
  <c r="E131" i="1"/>
  <c r="E136" i="1" s="1"/>
  <c r="E132" i="1"/>
  <c r="E133" i="1"/>
  <c r="E151" i="1"/>
  <c r="E152" i="1"/>
  <c r="E160" i="1" s="1"/>
  <c r="E171" i="1" s="1"/>
  <c r="E153" i="1"/>
  <c r="E161" i="1" s="1"/>
  <c r="E172" i="1" s="1"/>
  <c r="E158" i="1"/>
  <c r="E163" i="1"/>
  <c r="E173" i="1" s="1"/>
  <c r="K208" i="2"/>
  <c r="K209" i="2" s="1"/>
  <c r="K211" i="2"/>
  <c r="K212" i="2"/>
  <c r="K213" i="2"/>
  <c r="K214" i="2"/>
  <c r="K210" i="2" l="1"/>
  <c r="K216" i="2" s="1"/>
  <c r="E139" i="1"/>
  <c r="E174" i="1"/>
  <c r="E142" i="1"/>
  <c r="F160" i="2" l="1"/>
  <c r="F161" i="2"/>
  <c r="F163" i="2"/>
  <c r="F159" i="2" s="1"/>
  <c r="E143" i="1" s="1"/>
  <c r="E146" i="1" s="1"/>
  <c r="E147" i="1" s="1"/>
  <c r="E181" i="1" s="1"/>
  <c r="F164" i="2"/>
  <c r="K195" i="1" l="1"/>
  <c r="K196" i="1" s="1"/>
  <c r="K198" i="1" s="1"/>
  <c r="K214" i="1"/>
  <c r="K216" i="1" s="1"/>
  <c r="E154" i="2"/>
  <c r="D218" i="1"/>
  <c r="F162" i="2"/>
  <c r="E153" i="2" l="1"/>
  <c r="E155" i="2" l="1"/>
  <c r="E156" i="2" s="1"/>
  <c r="F130" i="1"/>
  <c r="F131" i="1"/>
  <c r="F136" i="1" s="1"/>
  <c r="F142" i="1" s="1"/>
  <c r="F132" i="1"/>
  <c r="F133" i="1"/>
  <c r="F151" i="1"/>
  <c r="F153" i="1" s="1"/>
  <c r="F161" i="1" s="1"/>
  <c r="F172" i="1" s="1"/>
  <c r="F158" i="1"/>
  <c r="F163" i="1"/>
  <c r="F173" i="1" s="1"/>
  <c r="L208" i="2"/>
  <c r="L214" i="2" s="1"/>
  <c r="F152" i="1" l="1"/>
  <c r="F160" i="1" s="1"/>
  <c r="F171" i="1" s="1"/>
  <c r="F140" i="1"/>
  <c r="F139" i="1"/>
  <c r="G164" i="2"/>
  <c r="G161" i="2"/>
  <c r="G160" i="2"/>
  <c r="G159" i="2" s="1"/>
  <c r="F143" i="1" s="1"/>
  <c r="F146" i="1" s="1"/>
  <c r="F147" i="1" s="1"/>
  <c r="F181" i="1" s="1"/>
  <c r="G163" i="2"/>
  <c r="F174" i="1"/>
  <c r="L213" i="2"/>
  <c r="L211" i="2"/>
  <c r="L212" i="2"/>
  <c r="L209" i="2"/>
  <c r="L210" i="2"/>
  <c r="G162" i="2" l="1"/>
  <c r="L216" i="2"/>
  <c r="F154" i="2"/>
  <c r="J214" i="1"/>
  <c r="J216" i="1" s="1"/>
  <c r="E218" i="1"/>
  <c r="J195" i="1"/>
  <c r="J196" i="1" s="1"/>
  <c r="J198" i="1" s="1"/>
  <c r="F153" i="2"/>
  <c r="O154" i="2"/>
  <c r="F155" i="2" l="1"/>
  <c r="F156" i="2" s="1"/>
  <c r="G153" i="2"/>
  <c r="H153" i="2" l="1"/>
  <c r="G155" i="2"/>
  <c r="G156" i="2" s="1"/>
  <c r="G130" i="1" l="1"/>
  <c r="G131" i="1"/>
  <c r="G132" i="1"/>
  <c r="G133" i="1"/>
  <c r="G151" i="1"/>
  <c r="G158" i="1"/>
  <c r="G163" i="1" s="1"/>
  <c r="G173" i="1" s="1"/>
  <c r="M208" i="2"/>
  <c r="I153" i="2"/>
  <c r="H155" i="2"/>
  <c r="H156" i="2" s="1"/>
  <c r="G152" i="1" l="1"/>
  <c r="G160" i="1" s="1"/>
  <c r="G171" i="1" s="1"/>
  <c r="G153" i="1"/>
  <c r="G161" i="1" s="1"/>
  <c r="G172" i="1" s="1"/>
  <c r="H130" i="1"/>
  <c r="H131" i="1"/>
  <c r="H132" i="1"/>
  <c r="H151" i="1"/>
  <c r="H158" i="1"/>
  <c r="H163" i="1" s="1"/>
  <c r="H173" i="1" s="1"/>
  <c r="H133" i="1"/>
  <c r="N208" i="2"/>
  <c r="M214" i="2"/>
  <c r="M210" i="2"/>
  <c r="M213" i="2"/>
  <c r="M212" i="2"/>
  <c r="M211" i="2"/>
  <c r="M209" i="2"/>
  <c r="G139" i="1"/>
  <c r="G140" i="1"/>
  <c r="G136" i="1"/>
  <c r="G142" i="1" s="1"/>
  <c r="J153" i="2"/>
  <c r="I155" i="2"/>
  <c r="I156" i="2" s="1"/>
  <c r="M216" i="2" l="1"/>
  <c r="H152" i="1"/>
  <c r="H160" i="1" s="1"/>
  <c r="H171" i="1" s="1"/>
  <c r="H153" i="1"/>
  <c r="H161" i="1" s="1"/>
  <c r="H172" i="1" s="1"/>
  <c r="J155" i="2"/>
  <c r="J156" i="2" s="1"/>
  <c r="K153" i="2"/>
  <c r="H140" i="1"/>
  <c r="H139" i="1"/>
  <c r="H161" i="2"/>
  <c r="H164" i="2"/>
  <c r="H160" i="2"/>
  <c r="H159" i="2" s="1"/>
  <c r="G143" i="1" s="1"/>
  <c r="G146" i="1" s="1"/>
  <c r="G147" i="1" s="1"/>
  <c r="H163" i="2"/>
  <c r="H136" i="1"/>
  <c r="H142" i="1" s="1"/>
  <c r="N213" i="2"/>
  <c r="N211" i="2"/>
  <c r="N214" i="2"/>
  <c r="N212" i="2"/>
  <c r="N210" i="2"/>
  <c r="N209" i="2"/>
  <c r="G174" i="1"/>
  <c r="G181" i="1" l="1"/>
  <c r="N216" i="2"/>
  <c r="I214" i="1"/>
  <c r="I216" i="1" s="1"/>
  <c r="F218" i="1"/>
  <c r="I195" i="1"/>
  <c r="I196" i="1" s="1"/>
  <c r="I198" i="1" s="1"/>
  <c r="H174" i="1"/>
  <c r="O208" i="2"/>
  <c r="I130" i="1"/>
  <c r="I131" i="1"/>
  <c r="I132" i="1"/>
  <c r="I133" i="1"/>
  <c r="I151" i="1"/>
  <c r="I158" i="1"/>
  <c r="I163" i="1" s="1"/>
  <c r="I173" i="1" s="1"/>
  <c r="I161" i="2"/>
  <c r="I164" i="2"/>
  <c r="I159" i="2" s="1"/>
  <c r="H143" i="1" s="1"/>
  <c r="H146" i="1" s="1"/>
  <c r="H147" i="1" s="1"/>
  <c r="I163" i="2"/>
  <c r="I160" i="2"/>
  <c r="L153" i="2"/>
  <c r="K155" i="2"/>
  <c r="K156" i="2" s="1"/>
  <c r="H162" i="2"/>
  <c r="I162" i="2" l="1"/>
  <c r="O214" i="2"/>
  <c r="O212" i="2"/>
  <c r="O213" i="2"/>
  <c r="O210" i="2"/>
  <c r="O209" i="2"/>
  <c r="O211" i="2"/>
  <c r="P208" i="2"/>
  <c r="J130" i="1"/>
  <c r="J131" i="1"/>
  <c r="J132" i="1"/>
  <c r="J133" i="1"/>
  <c r="J151" i="1"/>
  <c r="J158" i="1"/>
  <c r="J163" i="1" s="1"/>
  <c r="J173" i="1" s="1"/>
  <c r="H181" i="1"/>
  <c r="I136" i="1"/>
  <c r="I142" i="1" s="1"/>
  <c r="Q208" i="2"/>
  <c r="K130" i="1"/>
  <c r="K132" i="1"/>
  <c r="K131" i="1"/>
  <c r="K133" i="1"/>
  <c r="K158" i="1"/>
  <c r="K163" i="1" s="1"/>
  <c r="K173" i="1" s="1"/>
  <c r="K151" i="1"/>
  <c r="I152" i="1"/>
  <c r="I160" i="1" s="1"/>
  <c r="I171" i="1" s="1"/>
  <c r="I153" i="1"/>
  <c r="I161" i="1" s="1"/>
  <c r="I172" i="1" s="1"/>
  <c r="M153" i="2"/>
  <c r="M155" i="2" s="1"/>
  <c r="M156" i="2" s="1"/>
  <c r="P156" i="2" s="1"/>
  <c r="L155" i="2"/>
  <c r="L156" i="2" s="1"/>
  <c r="M128" i="1" s="1"/>
  <c r="I139" i="1"/>
  <c r="I140" i="1"/>
  <c r="I174" i="1" l="1"/>
  <c r="J160" i="2"/>
  <c r="J161" i="2"/>
  <c r="J163" i="2"/>
  <c r="J164" i="2"/>
  <c r="J159" i="2" s="1"/>
  <c r="I143" i="1" s="1"/>
  <c r="I146" i="1" s="1"/>
  <c r="I147" i="1" s="1"/>
  <c r="I181" i="1" s="1"/>
  <c r="M131" i="1"/>
  <c r="M158" i="1"/>
  <c r="M163" i="1" s="1"/>
  <c r="M173" i="1" s="1"/>
  <c r="M151" i="1"/>
  <c r="M133" i="1"/>
  <c r="M132" i="1"/>
  <c r="M130" i="1"/>
  <c r="J152" i="1"/>
  <c r="J160" i="1" s="1"/>
  <c r="J171" i="1" s="1"/>
  <c r="J153" i="1"/>
  <c r="J161" i="1" s="1"/>
  <c r="J172" i="1" s="1"/>
  <c r="K153" i="1"/>
  <c r="K161" i="1" s="1"/>
  <c r="K172" i="1" s="1"/>
  <c r="K152" i="1"/>
  <c r="K160" i="1" s="1"/>
  <c r="K171" i="1" s="1"/>
  <c r="P209" i="2"/>
  <c r="P214" i="2"/>
  <c r="P213" i="2"/>
  <c r="P211" i="2"/>
  <c r="P212" i="2"/>
  <c r="P210" i="2"/>
  <c r="J139" i="1"/>
  <c r="J140" i="1"/>
  <c r="H214" i="1"/>
  <c r="H216" i="1" s="1"/>
  <c r="H195" i="1"/>
  <c r="H196" i="1" s="1"/>
  <c r="H198" i="1" s="1"/>
  <c r="G218" i="1"/>
  <c r="O216" i="2"/>
  <c r="K136" i="1"/>
  <c r="K142" i="1"/>
  <c r="K139" i="1"/>
  <c r="K140" i="1"/>
  <c r="Q210" i="2"/>
  <c r="Q214" i="2"/>
  <c r="Q209" i="2"/>
  <c r="Q213" i="2"/>
  <c r="Q212" i="2"/>
  <c r="Q211" i="2"/>
  <c r="J136" i="1"/>
  <c r="J142" i="1" s="1"/>
  <c r="K174" i="1" l="1"/>
  <c r="P216" i="2"/>
  <c r="G214" i="1"/>
  <c r="G216" i="1" s="1"/>
  <c r="G195" i="1"/>
  <c r="G196" i="1" s="1"/>
  <c r="G198" i="1" s="1"/>
  <c r="H218" i="1"/>
  <c r="K159" i="2"/>
  <c r="J143" i="1" s="1"/>
  <c r="J146" i="1" s="1"/>
  <c r="J147" i="1" s="1"/>
  <c r="K160" i="2"/>
  <c r="K161" i="2"/>
  <c r="K163" i="2"/>
  <c r="K164" i="2"/>
  <c r="L164" i="2"/>
  <c r="L160" i="2"/>
  <c r="L161" i="2"/>
  <c r="L163" i="2"/>
  <c r="R208" i="2"/>
  <c r="L158" i="1"/>
  <c r="L163" i="1" s="1"/>
  <c r="L173" i="1" s="1"/>
  <c r="L132" i="1"/>
  <c r="L130" i="1"/>
  <c r="L151" i="1"/>
  <c r="L133" i="1"/>
  <c r="L131" i="1"/>
  <c r="M136" i="1"/>
  <c r="M142" i="1" s="1"/>
  <c r="J174" i="1"/>
  <c r="Q216" i="2"/>
  <c r="M140" i="1"/>
  <c r="M139" i="1"/>
  <c r="J162" i="2"/>
  <c r="M152" i="1"/>
  <c r="M160" i="1" s="1"/>
  <c r="M171" i="1" s="1"/>
  <c r="M153" i="1"/>
  <c r="M161" i="1" s="1"/>
  <c r="M172" i="1" s="1"/>
  <c r="J181" i="1" l="1"/>
  <c r="N161" i="2"/>
  <c r="N163" i="2"/>
  <c r="N160" i="2"/>
  <c r="N162" i="2" s="1"/>
  <c r="N164" i="2"/>
  <c r="R211" i="2"/>
  <c r="R210" i="2"/>
  <c r="R209" i="2"/>
  <c r="R212" i="2"/>
  <c r="R214" i="2"/>
  <c r="R213" i="2"/>
  <c r="M174" i="1"/>
  <c r="L136" i="1"/>
  <c r="L142" i="1" s="1"/>
  <c r="K162" i="2"/>
  <c r="F195" i="1"/>
  <c r="F196" i="1" s="1"/>
  <c r="F198" i="1" s="1"/>
  <c r="F214" i="1"/>
  <c r="F216" i="1" s="1"/>
  <c r="I218" i="1"/>
  <c r="L152" i="1"/>
  <c r="L160" i="1" s="1"/>
  <c r="L171" i="1" s="1"/>
  <c r="L153" i="1"/>
  <c r="L161" i="1" s="1"/>
  <c r="L172" i="1" s="1"/>
  <c r="L162" i="2"/>
  <c r="L140" i="1"/>
  <c r="L139" i="1"/>
  <c r="L159" i="2"/>
  <c r="K143" i="1" s="1"/>
  <c r="K146" i="1" s="1"/>
  <c r="K147" i="1" s="1"/>
  <c r="K181" i="1" s="1"/>
  <c r="R216" i="2" l="1"/>
  <c r="N159" i="2"/>
  <c r="M143" i="1" s="1"/>
  <c r="M146" i="1" s="1"/>
  <c r="M147" i="1" s="1"/>
  <c r="M181" i="1" s="1"/>
  <c r="L174" i="1"/>
  <c r="J218" i="1"/>
  <c r="E195" i="1"/>
  <c r="E196" i="1" s="1"/>
  <c r="E198" i="1" s="1"/>
  <c r="E214" i="1"/>
  <c r="E216" i="1" s="1"/>
  <c r="M160" i="2"/>
  <c r="M161" i="2"/>
  <c r="M163" i="2"/>
  <c r="M164" i="2"/>
  <c r="M162" i="2" l="1"/>
  <c r="M159" i="2"/>
  <c r="L143" i="1" s="1"/>
  <c r="L146" i="1" s="1"/>
  <c r="L147" i="1" s="1"/>
  <c r="L181" i="1" s="1"/>
  <c r="D195" i="1" l="1"/>
  <c r="D196" i="1" s="1"/>
  <c r="D198" i="1" s="1"/>
  <c r="K218" i="1"/>
  <c r="D214" i="1"/>
  <c r="D216" i="1" s="1"/>
</calcChain>
</file>

<file path=xl/sharedStrings.xml><?xml version="1.0" encoding="utf-8"?>
<sst xmlns="http://schemas.openxmlformats.org/spreadsheetml/2006/main" count="2164" uniqueCount="537">
  <si>
    <t>Datos de Entrada</t>
  </si>
  <si>
    <t>Capacidad de la hornilla</t>
  </si>
  <si>
    <r>
      <t>m</t>
    </r>
    <r>
      <rPr>
        <sz val="8"/>
        <color theme="1"/>
        <rFont val="Calibri"/>
        <family val="2"/>
        <scheme val="minor"/>
      </rPr>
      <t>p</t>
    </r>
  </si>
  <si>
    <t>Kg/h</t>
  </si>
  <si>
    <t>Eficiencia Tentativa</t>
  </si>
  <si>
    <r>
      <t>E</t>
    </r>
    <r>
      <rPr>
        <sz val="8"/>
        <color theme="1"/>
        <rFont val="Calibri"/>
        <family val="2"/>
        <scheme val="minor"/>
      </rPr>
      <t>ff</t>
    </r>
  </si>
  <si>
    <t>%</t>
  </si>
  <si>
    <r>
      <t>B</t>
    </r>
    <r>
      <rPr>
        <sz val="8"/>
        <color theme="1"/>
        <rFont val="Calibri"/>
        <family val="2"/>
        <scheme val="minor"/>
      </rPr>
      <t>p</t>
    </r>
  </si>
  <si>
    <t>Humedad del bagazo</t>
  </si>
  <si>
    <r>
      <t>H</t>
    </r>
    <r>
      <rPr>
        <sz val="8"/>
        <color theme="1"/>
        <rFont val="Calibri"/>
        <family val="2"/>
        <scheme val="minor"/>
      </rPr>
      <t>b</t>
    </r>
  </si>
  <si>
    <t>Exceso de Aire</t>
  </si>
  <si>
    <t>λ</t>
  </si>
  <si>
    <t>Extraccion</t>
  </si>
  <si>
    <t>Extr</t>
  </si>
  <si>
    <t>Porcentaje de Fibra</t>
  </si>
  <si>
    <t>Altura del Sitio</t>
  </si>
  <si>
    <t>h</t>
  </si>
  <si>
    <t>m</t>
  </si>
  <si>
    <t>Temperatura Ambiente</t>
  </si>
  <si>
    <r>
      <t>T</t>
    </r>
    <r>
      <rPr>
        <sz val="8"/>
        <color theme="1"/>
        <rFont val="Calibri"/>
        <family val="2"/>
        <scheme val="minor"/>
      </rPr>
      <t>a</t>
    </r>
  </si>
  <si>
    <t>°C</t>
  </si>
  <si>
    <t>Presion Atmosferica</t>
  </si>
  <si>
    <r>
      <t>P</t>
    </r>
    <r>
      <rPr>
        <sz val="8"/>
        <color theme="1"/>
        <rFont val="Calibri"/>
        <family val="2"/>
        <scheme val="minor"/>
      </rPr>
      <t>a</t>
    </r>
  </si>
  <si>
    <t>mmHG</t>
  </si>
  <si>
    <r>
      <t>T</t>
    </r>
    <r>
      <rPr>
        <sz val="8"/>
        <color theme="1"/>
        <rFont val="Calibri"/>
        <family val="2"/>
        <scheme val="minor"/>
      </rPr>
      <t>e</t>
    </r>
  </si>
  <si>
    <r>
      <rPr>
        <sz val="11"/>
        <color theme="1"/>
        <rFont val="Calibri"/>
        <family val="2"/>
      </rPr>
      <t>ΔH</t>
    </r>
    <r>
      <rPr>
        <sz val="8"/>
        <color theme="1"/>
        <rFont val="Calibri"/>
        <family val="2"/>
      </rPr>
      <t>v</t>
    </r>
  </si>
  <si>
    <t>KJ/kg</t>
  </si>
  <si>
    <r>
      <t>C</t>
    </r>
    <r>
      <rPr>
        <sz val="8"/>
        <color theme="1"/>
        <rFont val="Calibri"/>
        <family val="2"/>
        <scheme val="minor"/>
      </rPr>
      <t>p</t>
    </r>
  </si>
  <si>
    <t>KJ/Kg °C</t>
  </si>
  <si>
    <r>
      <t>m</t>
    </r>
    <r>
      <rPr>
        <sz val="8"/>
        <color theme="1"/>
        <rFont val="Calibri"/>
        <family val="2"/>
        <scheme val="minor"/>
      </rPr>
      <t>EV</t>
    </r>
  </si>
  <si>
    <t>kg</t>
  </si>
  <si>
    <r>
      <t>m</t>
    </r>
    <r>
      <rPr>
        <sz val="8"/>
        <color theme="1"/>
        <rFont val="Calibri"/>
        <family val="2"/>
        <scheme val="minor"/>
      </rPr>
      <t>Cl</t>
    </r>
  </si>
  <si>
    <t>CSS del Jugo De Caña</t>
  </si>
  <si>
    <r>
      <t>Css</t>
    </r>
    <r>
      <rPr>
        <sz val="8"/>
        <color theme="1"/>
        <rFont val="Calibri"/>
        <family val="2"/>
        <scheme val="minor"/>
      </rPr>
      <t>i</t>
    </r>
  </si>
  <si>
    <t>°Bx</t>
  </si>
  <si>
    <t>CSS  del Jugo Calrificado</t>
  </si>
  <si>
    <r>
      <t>Css</t>
    </r>
    <r>
      <rPr>
        <sz val="8"/>
        <color theme="1"/>
        <rFont val="Calibri"/>
        <family val="2"/>
        <scheme val="minor"/>
      </rPr>
      <t>Cl</t>
    </r>
  </si>
  <si>
    <r>
      <t>Css</t>
    </r>
    <r>
      <rPr>
        <sz val="8"/>
        <color theme="1"/>
        <rFont val="Calibri"/>
        <family val="2"/>
        <scheme val="minor"/>
      </rPr>
      <t>TE</t>
    </r>
  </si>
  <si>
    <t>CSS Jugo Concentrado</t>
  </si>
  <si>
    <t>f</t>
  </si>
  <si>
    <t>Masa de Jugo</t>
  </si>
  <si>
    <r>
      <t>m</t>
    </r>
    <r>
      <rPr>
        <sz val="8"/>
        <color theme="1"/>
        <rFont val="Calibri"/>
        <family val="2"/>
        <scheme val="minor"/>
      </rPr>
      <t>j</t>
    </r>
  </si>
  <si>
    <t>Masa de Caña</t>
  </si>
  <si>
    <r>
      <t>m</t>
    </r>
    <r>
      <rPr>
        <sz val="8"/>
        <color theme="1"/>
        <rFont val="Calibri"/>
        <family val="2"/>
        <scheme val="minor"/>
      </rPr>
      <t>c</t>
    </r>
  </si>
  <si>
    <t>Masa de agua a Evaporar</t>
  </si>
  <si>
    <r>
      <t>m</t>
    </r>
    <r>
      <rPr>
        <sz val="8"/>
        <color theme="1"/>
        <rFont val="Calibri"/>
        <family val="2"/>
        <scheme val="minor"/>
      </rPr>
      <t>H2O</t>
    </r>
  </si>
  <si>
    <t>Calor Total Requerido</t>
  </si>
  <si>
    <t>Qt</t>
  </si>
  <si>
    <t>KW</t>
  </si>
  <si>
    <t>Calor espesifico jugo Ini</t>
  </si>
  <si>
    <t>Calor espesifico jugo clf</t>
  </si>
  <si>
    <t>Calor espesifico jugo eva 3</t>
  </si>
  <si>
    <r>
      <t>m</t>
    </r>
    <r>
      <rPr>
        <sz val="8"/>
        <color theme="1"/>
        <rFont val="Calibri"/>
        <family val="2"/>
        <scheme val="minor"/>
      </rPr>
      <t>Cn</t>
    </r>
  </si>
  <si>
    <t>Qcl</t>
  </si>
  <si>
    <t>Qev1</t>
  </si>
  <si>
    <t>Qcn</t>
  </si>
  <si>
    <t>Densidad inicial P. Clf</t>
  </si>
  <si>
    <r>
      <rPr>
        <sz val="11"/>
        <color theme="1"/>
        <rFont val="Calibri"/>
        <family val="2"/>
      </rPr>
      <t>ρ</t>
    </r>
    <r>
      <rPr>
        <sz val="8"/>
        <color theme="1"/>
        <rFont val="Calibri"/>
        <family val="2"/>
      </rPr>
      <t>Clf</t>
    </r>
  </si>
  <si>
    <t>kg/m3</t>
  </si>
  <si>
    <t>Densidad inicial P. Eva 1</t>
  </si>
  <si>
    <r>
      <t>ρ</t>
    </r>
    <r>
      <rPr>
        <sz val="8"/>
        <color theme="1"/>
        <rFont val="Calibri"/>
        <family val="2"/>
      </rPr>
      <t>Eva1</t>
    </r>
  </si>
  <si>
    <t>Densidad inicial P. Con</t>
  </si>
  <si>
    <r>
      <t>ρ</t>
    </r>
    <r>
      <rPr>
        <sz val="8"/>
        <color theme="1"/>
        <rFont val="Calibri"/>
        <family val="2"/>
      </rPr>
      <t>Con</t>
    </r>
  </si>
  <si>
    <t>Bagazillo en Prelimpiador</t>
  </si>
  <si>
    <t>Cachaza</t>
  </si>
  <si>
    <t>Chz</t>
  </si>
  <si>
    <t>Bgz</t>
  </si>
  <si>
    <t>CSS Panela</t>
  </si>
  <si>
    <t>Humedad inicial bagazo</t>
  </si>
  <si>
    <t>Hibv</t>
  </si>
  <si>
    <t>CSS  del Jugo Posevaporacion</t>
  </si>
  <si>
    <t>Masa entrada Clarificacion</t>
  </si>
  <si>
    <t>Masa Entrada Evaporacion</t>
  </si>
  <si>
    <t>Masa Entrada Concentracion</t>
  </si>
  <si>
    <t>Calor Requerido Clarificacion</t>
  </si>
  <si>
    <t>Calor Requerido Evaporacion</t>
  </si>
  <si>
    <t>Calor Requerido Concentracion</t>
  </si>
  <si>
    <t>Entalpia de Vaporizacion Eva</t>
  </si>
  <si>
    <t>Entalpia de Vaporizacion Clf</t>
  </si>
  <si>
    <t>Entalpia de Vaporizacion Con</t>
  </si>
  <si>
    <t>Masas</t>
  </si>
  <si>
    <t>Calores Requeridos</t>
  </si>
  <si>
    <t>Temperatura Ebullicion Eva</t>
  </si>
  <si>
    <t>Temperatura Ebullicion Clf</t>
  </si>
  <si>
    <t>Teperatura Ebullicion Con</t>
  </si>
  <si>
    <r>
      <t>T</t>
    </r>
    <r>
      <rPr>
        <sz val="8"/>
        <color theme="1"/>
        <rFont val="Calibri"/>
        <family val="2"/>
        <scheme val="minor"/>
      </rPr>
      <t>Sclf</t>
    </r>
  </si>
  <si>
    <r>
      <t>T</t>
    </r>
    <r>
      <rPr>
        <sz val="8"/>
        <color theme="1"/>
        <rFont val="Calibri"/>
        <family val="2"/>
        <scheme val="minor"/>
      </rPr>
      <t>SEva</t>
    </r>
  </si>
  <si>
    <r>
      <t>T</t>
    </r>
    <r>
      <rPr>
        <sz val="8"/>
        <color theme="1"/>
        <rFont val="Calibri"/>
        <family val="2"/>
        <scheme val="minor"/>
      </rPr>
      <t>SCon</t>
    </r>
  </si>
  <si>
    <t>Densidades</t>
  </si>
  <si>
    <t>Temperatura Ebullición Agua</t>
  </si>
  <si>
    <t>Kg</t>
  </si>
  <si>
    <t>m^2</t>
  </si>
  <si>
    <t>Otros Datos</t>
  </si>
  <si>
    <t>Calor Suministrado</t>
  </si>
  <si>
    <r>
      <t>Q</t>
    </r>
    <r>
      <rPr>
        <sz val="8"/>
        <color theme="1"/>
        <rFont val="Calibri"/>
        <family val="2"/>
        <scheme val="minor"/>
      </rPr>
      <t>sum</t>
    </r>
  </si>
  <si>
    <t>Poder Calorifico Vagazo</t>
  </si>
  <si>
    <t>VCN</t>
  </si>
  <si>
    <t>MJ/kg</t>
  </si>
  <si>
    <t>Area de Parrilla</t>
  </si>
  <si>
    <t>Apar</t>
  </si>
  <si>
    <t>Masa de bagazo humedo</t>
  </si>
  <si>
    <r>
      <t>m</t>
    </r>
    <r>
      <rPr>
        <sz val="8"/>
        <color theme="1"/>
        <rFont val="Calibri"/>
        <family val="2"/>
        <scheme val="minor"/>
      </rPr>
      <t>ev</t>
    </r>
  </si>
  <si>
    <t>Masa de Bagazo seco</t>
  </si>
  <si>
    <r>
      <t>M</t>
    </r>
    <r>
      <rPr>
        <sz val="8"/>
        <color theme="1"/>
        <rFont val="Calibri"/>
        <family val="2"/>
        <scheme val="minor"/>
      </rPr>
      <t>bs</t>
    </r>
  </si>
  <si>
    <t>Numero de Pailas</t>
  </si>
  <si>
    <t>Ad</t>
  </si>
  <si>
    <t>Temperatura de Combustion</t>
  </si>
  <si>
    <t>Masa de Bagazo</t>
  </si>
  <si>
    <t>Eficiencia de Combustion</t>
  </si>
  <si>
    <t>Humedad del Bagazo</t>
  </si>
  <si>
    <t>Exeso de Aire</t>
  </si>
  <si>
    <t>K</t>
  </si>
  <si>
    <t>Carbono</t>
  </si>
  <si>
    <t>C</t>
  </si>
  <si>
    <t>Hidrogeno</t>
  </si>
  <si>
    <t>H</t>
  </si>
  <si>
    <t>Oxigeno</t>
  </si>
  <si>
    <t>O</t>
  </si>
  <si>
    <t>Escorias</t>
  </si>
  <si>
    <t>E</t>
  </si>
  <si>
    <t>Masa de Bagazo Seco</t>
  </si>
  <si>
    <t>g/mol</t>
  </si>
  <si>
    <t>H2</t>
  </si>
  <si>
    <t>CO2</t>
  </si>
  <si>
    <t>CO</t>
  </si>
  <si>
    <t>H2O</t>
  </si>
  <si>
    <t>O2</t>
  </si>
  <si>
    <t>N2</t>
  </si>
  <si>
    <t>Entrada</t>
  </si>
  <si>
    <t>F(x)</t>
  </si>
  <si>
    <r>
      <t>T</t>
    </r>
    <r>
      <rPr>
        <sz val="8"/>
        <color theme="1"/>
        <rFont val="Calibri"/>
        <family val="2"/>
        <scheme val="minor"/>
      </rPr>
      <t>ad</t>
    </r>
  </si>
  <si>
    <r>
      <t>T</t>
    </r>
    <r>
      <rPr>
        <sz val="8"/>
        <color theme="1"/>
        <rFont val="Calibri"/>
        <family val="2"/>
        <scheme val="minor"/>
      </rPr>
      <t>ad</t>
    </r>
    <r>
      <rPr>
        <sz val="11"/>
        <color theme="1"/>
        <rFont val="Calibri"/>
        <family val="2"/>
        <scheme val="minor"/>
      </rPr>
      <t>^2</t>
    </r>
  </si>
  <si>
    <r>
      <t>T</t>
    </r>
    <r>
      <rPr>
        <sz val="8"/>
        <color theme="1"/>
        <rFont val="Calibri"/>
        <family val="2"/>
        <scheme val="minor"/>
      </rPr>
      <t>ad</t>
    </r>
    <r>
      <rPr>
        <sz val="11"/>
        <color theme="1"/>
        <rFont val="Calibri"/>
        <family val="2"/>
        <scheme val="minor"/>
      </rPr>
      <t>^-1</t>
    </r>
  </si>
  <si>
    <t>C en bagazo</t>
  </si>
  <si>
    <t>kmol</t>
  </si>
  <si>
    <t>A</t>
  </si>
  <si>
    <t>B</t>
  </si>
  <si>
    <t>D</t>
  </si>
  <si>
    <t>H2 en bagazo</t>
  </si>
  <si>
    <t>O2 en bagazo</t>
  </si>
  <si>
    <t>F'(x)</t>
  </si>
  <si>
    <r>
      <t>T</t>
    </r>
    <r>
      <rPr>
        <sz val="8"/>
        <color theme="1"/>
        <rFont val="Calibri"/>
        <family val="2"/>
        <scheme val="minor"/>
      </rPr>
      <t>ad</t>
    </r>
    <r>
      <rPr>
        <sz val="11"/>
        <color theme="1"/>
        <rFont val="Calibri"/>
        <family val="2"/>
        <scheme val="minor"/>
      </rPr>
      <t>^-2</t>
    </r>
  </si>
  <si>
    <t>H2O en bagazo</t>
  </si>
  <si>
    <t>O2 req</t>
  </si>
  <si>
    <t>O2 sum</t>
  </si>
  <si>
    <t>N2 sum</t>
  </si>
  <si>
    <t>Salida</t>
  </si>
  <si>
    <t>x i</t>
  </si>
  <si>
    <t>F(xi)</t>
  </si>
  <si>
    <t>F'(xi)</t>
  </si>
  <si>
    <t>Xi+1</t>
  </si>
  <si>
    <t>tolenrancia</t>
  </si>
  <si>
    <t>n7</t>
  </si>
  <si>
    <t>CO2 producidos</t>
  </si>
  <si>
    <t>mol</t>
  </si>
  <si>
    <t>Aini</t>
  </si>
  <si>
    <t>n8</t>
  </si>
  <si>
    <t>CO producidos</t>
  </si>
  <si>
    <t>Bini</t>
  </si>
  <si>
    <t>H2O producidos</t>
  </si>
  <si>
    <t>Cini</t>
  </si>
  <si>
    <t>n9</t>
  </si>
  <si>
    <t>H2O Totales</t>
  </si>
  <si>
    <t>R</t>
  </si>
  <si>
    <t>J/mol K</t>
  </si>
  <si>
    <t>n10</t>
  </si>
  <si>
    <t>O2 producidos</t>
  </si>
  <si>
    <t>n11</t>
  </si>
  <si>
    <t>N2 producidos</t>
  </si>
  <si>
    <t>RA</t>
  </si>
  <si>
    <t>RB/2</t>
  </si>
  <si>
    <t>RC</t>
  </si>
  <si>
    <t>Gases Totales</t>
  </si>
  <si>
    <t>masa de Gases Total</t>
  </si>
  <si>
    <t>g</t>
  </si>
  <si>
    <t>Plana</t>
  </si>
  <si>
    <t>War</t>
  </si>
  <si>
    <t>Tipo de camara</t>
  </si>
  <si>
    <t>Tpcam</t>
  </si>
  <si>
    <t>Semiesferica  Concentradora</t>
  </si>
  <si>
    <t>Semicilindrica Aleteada Concentradora</t>
  </si>
  <si>
    <t>Plana Aleteada Concentradora</t>
  </si>
  <si>
    <t>Pirtubular Cuadrada Aleteada Concentradora</t>
  </si>
  <si>
    <t>Acanalada Aleteada Concentradora</t>
  </si>
  <si>
    <r>
      <t xml:space="preserve">H </t>
    </r>
    <r>
      <rPr>
        <sz val="8"/>
        <rFont val="Calibri"/>
        <family val="2"/>
        <scheme val="minor"/>
      </rPr>
      <t xml:space="preserve">fn </t>
    </r>
  </si>
  <si>
    <r>
      <t xml:space="preserve">H </t>
    </r>
    <r>
      <rPr>
        <sz val="8"/>
        <color theme="1"/>
        <rFont val="Calibri"/>
        <family val="2"/>
        <scheme val="minor"/>
      </rPr>
      <t>fl</t>
    </r>
  </si>
  <si>
    <t xml:space="preserve">A </t>
  </si>
  <si>
    <t>d</t>
  </si>
  <si>
    <t>x1</t>
  </si>
  <si>
    <r>
      <t xml:space="preserve">H </t>
    </r>
    <r>
      <rPr>
        <sz val="8"/>
        <color theme="1"/>
        <rFont val="Calibri"/>
        <family val="2"/>
        <scheme val="minor"/>
      </rPr>
      <t>fn</t>
    </r>
  </si>
  <si>
    <r>
      <t>h</t>
    </r>
    <r>
      <rPr>
        <sz val="8"/>
        <color theme="1"/>
        <rFont val="Calibri"/>
        <family val="2"/>
        <scheme val="minor"/>
      </rPr>
      <t>c</t>
    </r>
  </si>
  <si>
    <t>ϴ</t>
  </si>
  <si>
    <t>rad</t>
  </si>
  <si>
    <t>x2</t>
  </si>
  <si>
    <r>
      <t xml:space="preserve">Ang  </t>
    </r>
    <r>
      <rPr>
        <sz val="12"/>
        <color theme="1"/>
        <rFont val="Calibri"/>
        <family val="2"/>
      </rPr>
      <t>α</t>
    </r>
  </si>
  <si>
    <t>A1</t>
  </si>
  <si>
    <t>L</t>
  </si>
  <si>
    <t>s</t>
  </si>
  <si>
    <t>h fa</t>
  </si>
  <si>
    <t>x</t>
  </si>
  <si>
    <r>
      <t>A</t>
    </r>
    <r>
      <rPr>
        <sz val="8"/>
        <color theme="1"/>
        <rFont val="Calibri"/>
        <family val="2"/>
        <scheme val="minor"/>
      </rPr>
      <t>sccil</t>
    </r>
  </si>
  <si>
    <t>m2</t>
  </si>
  <si>
    <t>A2</t>
  </si>
  <si>
    <r>
      <t>V</t>
    </r>
    <r>
      <rPr>
        <sz val="8"/>
        <color theme="1"/>
        <rFont val="Calibri"/>
        <family val="2"/>
        <scheme val="minor"/>
      </rPr>
      <t>cil</t>
    </r>
  </si>
  <si>
    <t>m3</t>
  </si>
  <si>
    <t>N Aletas</t>
  </si>
  <si>
    <t>N Alets X Can</t>
  </si>
  <si>
    <t>V</t>
  </si>
  <si>
    <r>
      <t>A</t>
    </r>
    <r>
      <rPr>
        <sz val="8"/>
        <color theme="1"/>
        <rFont val="Calibri"/>
        <family val="2"/>
        <scheme val="minor"/>
      </rPr>
      <t>cil</t>
    </r>
  </si>
  <si>
    <t>Ax</t>
  </si>
  <si>
    <t>h Aletas</t>
  </si>
  <si>
    <t>H Aleas</t>
  </si>
  <si>
    <r>
      <t>V</t>
    </r>
    <r>
      <rPr>
        <sz val="6"/>
        <color theme="1"/>
        <rFont val="Calibri"/>
        <family val="2"/>
        <scheme val="minor"/>
      </rPr>
      <t>TJ</t>
    </r>
  </si>
  <si>
    <t>h Al</t>
  </si>
  <si>
    <r>
      <t>R</t>
    </r>
    <r>
      <rPr>
        <sz val="8"/>
        <color theme="1"/>
        <rFont val="Calibri"/>
        <family val="2"/>
        <scheme val="minor"/>
      </rPr>
      <t>ca</t>
    </r>
  </si>
  <si>
    <t>Area</t>
  </si>
  <si>
    <t>Lado Tubo</t>
  </si>
  <si>
    <t>Lado canal</t>
  </si>
  <si>
    <r>
      <t>A</t>
    </r>
    <r>
      <rPr>
        <sz val="6"/>
        <color theme="1"/>
        <rFont val="Calibri"/>
        <family val="2"/>
        <scheme val="minor"/>
      </rPr>
      <t>TC</t>
    </r>
  </si>
  <si>
    <r>
      <t>V</t>
    </r>
    <r>
      <rPr>
        <sz val="8"/>
        <color theme="1"/>
        <rFont val="Calibri"/>
        <family val="2"/>
        <scheme val="minor"/>
      </rPr>
      <t>sc</t>
    </r>
  </si>
  <si>
    <r>
      <t>Volumen</t>
    </r>
    <r>
      <rPr>
        <sz val="8"/>
        <color theme="1"/>
        <rFont val="Calibri"/>
        <family val="2"/>
        <scheme val="minor"/>
      </rPr>
      <t xml:space="preserve"> Fon</t>
    </r>
  </si>
  <si>
    <t>N Tubos</t>
  </si>
  <si>
    <t>N Canales</t>
  </si>
  <si>
    <r>
      <t>V</t>
    </r>
    <r>
      <rPr>
        <sz val="6"/>
        <color theme="1"/>
        <rFont val="Calibri"/>
        <family val="2"/>
        <scheme val="minor"/>
      </rPr>
      <t>FA</t>
    </r>
  </si>
  <si>
    <r>
      <t>V</t>
    </r>
    <r>
      <rPr>
        <sz val="8"/>
        <color theme="1"/>
        <rFont val="Calibri"/>
        <family val="2"/>
        <scheme val="minor"/>
      </rPr>
      <t>ca</t>
    </r>
  </si>
  <si>
    <t>Volumen</t>
  </si>
  <si>
    <r>
      <t>A</t>
    </r>
    <r>
      <rPr>
        <sz val="8"/>
        <color theme="1"/>
        <rFont val="Calibri"/>
        <family val="2"/>
        <scheme val="minor"/>
      </rPr>
      <t>sc</t>
    </r>
  </si>
  <si>
    <r>
      <t>V</t>
    </r>
    <r>
      <rPr>
        <sz val="6"/>
        <color theme="1"/>
        <rFont val="Calibri"/>
        <family val="2"/>
        <scheme val="minor"/>
      </rPr>
      <t>TPA</t>
    </r>
  </si>
  <si>
    <r>
      <t>A</t>
    </r>
    <r>
      <rPr>
        <sz val="8"/>
        <color theme="1"/>
        <rFont val="Calibri"/>
        <family val="2"/>
        <scheme val="minor"/>
      </rPr>
      <t>ca</t>
    </r>
  </si>
  <si>
    <t>% de Llenado</t>
  </si>
  <si>
    <t>Volumen T</t>
  </si>
  <si>
    <t>Area TTC</t>
  </si>
  <si>
    <t>Atam</t>
  </si>
  <si>
    <t>Btam</t>
  </si>
  <si>
    <t>Ctam</t>
  </si>
  <si>
    <t>mbgPCN</t>
  </si>
  <si>
    <r>
      <t>Δ</t>
    </r>
    <r>
      <rPr>
        <sz val="8.8000000000000007"/>
        <color theme="1"/>
        <rFont val="Calibri"/>
        <family val="2"/>
      </rPr>
      <t xml:space="preserve">H </t>
    </r>
    <r>
      <rPr>
        <sz val="8"/>
        <color theme="1"/>
        <rFont val="Calibri"/>
        <family val="2"/>
      </rPr>
      <t>formacion</t>
    </r>
  </si>
  <si>
    <t>Paila N°</t>
  </si>
  <si>
    <t>Aleteada</t>
  </si>
  <si>
    <t>Orden del flujo</t>
  </si>
  <si>
    <t>Tipo de Paila</t>
  </si>
  <si>
    <r>
      <t xml:space="preserve">H </t>
    </r>
    <r>
      <rPr>
        <sz val="8"/>
        <rFont val="Calibri"/>
        <family val="2"/>
        <scheme val="minor"/>
      </rPr>
      <t xml:space="preserve">fl </t>
    </r>
    <r>
      <rPr>
        <sz val="11"/>
        <rFont val="Calibri"/>
        <family val="2"/>
        <scheme val="minor"/>
      </rPr>
      <t>(m)</t>
    </r>
  </si>
  <si>
    <r>
      <t xml:space="preserve">H </t>
    </r>
    <r>
      <rPr>
        <sz val="8"/>
        <rFont val="Calibri"/>
        <family val="2"/>
        <scheme val="minor"/>
      </rPr>
      <t xml:space="preserve">fn </t>
    </r>
    <r>
      <rPr>
        <sz val="11"/>
        <rFont val="Calibri"/>
        <family val="2"/>
        <scheme val="minor"/>
      </rPr>
      <t>(m)</t>
    </r>
  </si>
  <si>
    <r>
      <t xml:space="preserve">Ang  </t>
    </r>
    <r>
      <rPr>
        <sz val="12"/>
        <rFont val="Calibri"/>
        <family val="2"/>
      </rPr>
      <t>α °</t>
    </r>
  </si>
  <si>
    <t>A  (m)</t>
  </si>
  <si>
    <t>L  (m)</t>
  </si>
  <si>
    <t>Altura Fondo</t>
  </si>
  <si>
    <t>Ancho del Fondo</t>
  </si>
  <si>
    <t>Altura de Falca</t>
  </si>
  <si>
    <t>Angulo de Falca</t>
  </si>
  <si>
    <t>Longitud</t>
  </si>
  <si>
    <t>Altura de Aletas</t>
  </si>
  <si>
    <t>Altura del Casco</t>
  </si>
  <si>
    <t>Longitud del Lado Canal</t>
  </si>
  <si>
    <t>Longitud lado tubo</t>
  </si>
  <si>
    <t>Nps</t>
  </si>
  <si>
    <t>Npa</t>
  </si>
  <si>
    <t>SI</t>
  </si>
  <si>
    <t>NO</t>
  </si>
  <si>
    <t>Lc  (m)</t>
  </si>
  <si>
    <t>Lt  (m)</t>
  </si>
  <si>
    <t>Orf</t>
  </si>
  <si>
    <t>TpPA</t>
  </si>
  <si>
    <t>si/no</t>
  </si>
  <si>
    <r>
      <t>H</t>
    </r>
    <r>
      <rPr>
        <sz val="8"/>
        <rFont val="Calibri"/>
        <family val="2"/>
        <scheme val="minor"/>
      </rPr>
      <t xml:space="preserve">al </t>
    </r>
    <r>
      <rPr>
        <sz val="11"/>
        <rFont val="Calibri"/>
        <family val="2"/>
        <scheme val="minor"/>
      </rPr>
      <t>(m)</t>
    </r>
  </si>
  <si>
    <r>
      <t>h</t>
    </r>
    <r>
      <rPr>
        <sz val="8"/>
        <rFont val="Calibri"/>
        <family val="2"/>
        <scheme val="minor"/>
      </rPr>
      <t xml:space="preserve">c </t>
    </r>
    <r>
      <rPr>
        <sz val="11"/>
        <rFont val="Calibri"/>
        <family val="2"/>
        <scheme val="minor"/>
      </rPr>
      <t>(m)</t>
    </r>
  </si>
  <si>
    <t>Numero de Aletas</t>
  </si>
  <si>
    <t>PLANA</t>
  </si>
  <si>
    <t>ACANALADA</t>
  </si>
  <si>
    <t>Geometria de Pailas</t>
  </si>
  <si>
    <t>PIROTUBULAR</t>
  </si>
  <si>
    <t xml:space="preserve">Geometria </t>
  </si>
  <si>
    <t>Ancho Seccion</t>
  </si>
  <si>
    <t>Longitud Seccion</t>
  </si>
  <si>
    <t>Area Calculada</t>
  </si>
  <si>
    <t>Area Necesaria de Parrilla</t>
  </si>
  <si>
    <t>Arp</t>
  </si>
  <si>
    <t>Ancho de Seccion</t>
  </si>
  <si>
    <t>Numero de Secciones</t>
  </si>
  <si>
    <t>Ansp</t>
  </si>
  <si>
    <t>Lonsp</t>
  </si>
  <si>
    <t>N°sp</t>
  </si>
  <si>
    <t>Ancho de Parrilla</t>
  </si>
  <si>
    <t>AnPrr</t>
  </si>
  <si>
    <t>ArpC</t>
  </si>
  <si>
    <t>AD</t>
  </si>
  <si>
    <t>Geometria de la camara</t>
  </si>
  <si>
    <t>Parrilla Calculada</t>
  </si>
  <si>
    <t>Parrilla Manual</t>
  </si>
  <si>
    <t>Volumen Calculado</t>
  </si>
  <si>
    <t>Ancho de camara</t>
  </si>
  <si>
    <t>Longitud Camara</t>
  </si>
  <si>
    <t xml:space="preserve">Altura camara </t>
  </si>
  <si>
    <t>Vcam</t>
  </si>
  <si>
    <t>AnCam</t>
  </si>
  <si>
    <t>LonCam</t>
  </si>
  <si>
    <t>Hcam</t>
  </si>
  <si>
    <t>m^3</t>
  </si>
  <si>
    <t>N° Secciones Lon</t>
  </si>
  <si>
    <t>N° Secciones An</t>
  </si>
  <si>
    <t>N° Secciones An cl</t>
  </si>
  <si>
    <t>Secciones Totales</t>
  </si>
  <si>
    <t>Numero de Hileras</t>
  </si>
  <si>
    <t>N°hPrr</t>
  </si>
  <si>
    <t>Numero de hileras</t>
  </si>
  <si>
    <t>Especial &gt; 40 Kg</t>
  </si>
  <si>
    <t>Geometria de Ducto</t>
  </si>
  <si>
    <t>Composiscion de bagazo seco en %</t>
  </si>
  <si>
    <t>Area De Intercambio</t>
  </si>
  <si>
    <t>Geometria de la camara Manual</t>
  </si>
  <si>
    <t>Datos De entrada</t>
  </si>
  <si>
    <t>Altura de Ducto</t>
  </si>
  <si>
    <t>Perimetro</t>
  </si>
  <si>
    <t>Area Flujo Ducto</t>
  </si>
  <si>
    <t>Volumen de Paila</t>
  </si>
  <si>
    <t>SEMICILINDRICA</t>
  </si>
  <si>
    <t>H_Duc</t>
  </si>
  <si>
    <t>A_flux</t>
  </si>
  <si>
    <t>P_plux</t>
  </si>
  <si>
    <t>Volumen Fondo</t>
  </si>
  <si>
    <t>Volumen Falca</t>
  </si>
  <si>
    <t>A_IT</t>
  </si>
  <si>
    <r>
      <t>V</t>
    </r>
    <r>
      <rPr>
        <sz val="8"/>
        <color theme="1"/>
        <rFont val="Calibri"/>
        <family val="2"/>
        <scheme val="minor"/>
      </rPr>
      <t>fon</t>
    </r>
  </si>
  <si>
    <t>Intercambio de Calor</t>
  </si>
  <si>
    <t>Aflux</t>
  </si>
  <si>
    <t>Pflux</t>
  </si>
  <si>
    <t>An_Duc_F</t>
  </si>
  <si>
    <t>An_Duc_M</t>
  </si>
  <si>
    <t>D_H</t>
  </si>
  <si>
    <t>An_sup</t>
  </si>
  <si>
    <t>Area Flux</t>
  </si>
  <si>
    <t>A3</t>
  </si>
  <si>
    <t>A3=A4</t>
  </si>
  <si>
    <t>P1</t>
  </si>
  <si>
    <t>P2</t>
  </si>
  <si>
    <t>P3=P4</t>
  </si>
  <si>
    <t>θ1</t>
  </si>
  <si>
    <t>R1</t>
  </si>
  <si>
    <t>Transferencia de Calor Por Conveccion</t>
  </si>
  <si>
    <t>Humedad del Aire</t>
  </si>
  <si>
    <r>
      <t xml:space="preserve">kg </t>
    </r>
    <r>
      <rPr>
        <sz val="8"/>
        <color theme="1"/>
        <rFont val="Calibri"/>
        <family val="2"/>
        <scheme val="minor"/>
      </rPr>
      <t>H2O</t>
    </r>
    <r>
      <rPr>
        <sz val="11"/>
        <color theme="1"/>
        <rFont val="Calibri"/>
        <family val="2"/>
        <scheme val="minor"/>
      </rPr>
      <t>/kg</t>
    </r>
    <r>
      <rPr>
        <sz val="8"/>
        <color theme="1"/>
        <rFont val="Calibri"/>
        <family val="2"/>
        <scheme val="minor"/>
      </rPr>
      <t xml:space="preserve"> aire seco</t>
    </r>
  </si>
  <si>
    <t>Temeratura Ambiente</t>
  </si>
  <si>
    <t>H2O en aire</t>
  </si>
  <si>
    <t>n12</t>
  </si>
  <si>
    <r>
      <rPr>
        <sz val="12"/>
        <color theme="1"/>
        <rFont val="Calibri"/>
        <family val="2"/>
        <scheme val="minor"/>
      </rPr>
      <t>n</t>
    </r>
    <r>
      <rPr>
        <sz val="8"/>
        <color theme="1"/>
        <rFont val="Calibri"/>
        <family val="2"/>
        <scheme val="minor"/>
      </rPr>
      <t>2</t>
    </r>
  </si>
  <si>
    <r>
      <rPr>
        <sz val="12"/>
        <color theme="1"/>
        <rFont val="Calibri"/>
        <family val="2"/>
        <scheme val="minor"/>
      </rPr>
      <t>n</t>
    </r>
    <r>
      <rPr>
        <sz val="8"/>
        <color theme="1"/>
        <rFont val="Calibri"/>
        <family val="2"/>
        <scheme val="minor"/>
      </rPr>
      <t>1</t>
    </r>
  </si>
  <si>
    <r>
      <t>n</t>
    </r>
    <r>
      <rPr>
        <sz val="8"/>
        <color theme="1"/>
        <rFont val="Calibri"/>
        <family val="2"/>
        <scheme val="minor"/>
      </rPr>
      <t>3</t>
    </r>
  </si>
  <si>
    <r>
      <t>n</t>
    </r>
    <r>
      <rPr>
        <sz val="8"/>
        <color theme="1"/>
        <rFont val="Calibri"/>
        <family val="2"/>
        <scheme val="minor"/>
      </rPr>
      <t>4</t>
    </r>
  </si>
  <si>
    <r>
      <t>n</t>
    </r>
    <r>
      <rPr>
        <sz val="8"/>
        <color theme="1"/>
        <rFont val="Calibri"/>
        <family val="2"/>
        <scheme val="minor"/>
      </rPr>
      <t>5</t>
    </r>
  </si>
  <si>
    <r>
      <t>n</t>
    </r>
    <r>
      <rPr>
        <sz val="8"/>
        <color theme="1"/>
        <rFont val="Calibri"/>
        <family val="2"/>
        <scheme val="minor"/>
      </rPr>
      <t>6</t>
    </r>
  </si>
  <si>
    <t>Temperatura de llama</t>
  </si>
  <si>
    <t>Temperatura</t>
  </si>
  <si>
    <t>T</t>
  </si>
  <si>
    <t>Presion</t>
  </si>
  <si>
    <t>P</t>
  </si>
  <si>
    <t>Cp</t>
  </si>
  <si>
    <t>KJ/kg.°C</t>
  </si>
  <si>
    <t>Densidad</t>
  </si>
  <si>
    <t>ρ</t>
  </si>
  <si>
    <t>kg/m^3</t>
  </si>
  <si>
    <t>Viscosidad Dinamica</t>
  </si>
  <si>
    <t>μ</t>
  </si>
  <si>
    <t>Kg/m s</t>
  </si>
  <si>
    <t>Coef Conduct Termica</t>
  </si>
  <si>
    <t>KW/m°C</t>
  </si>
  <si>
    <t>Area de Flujo</t>
  </si>
  <si>
    <t>Velocidad de Gases</t>
  </si>
  <si>
    <t>√</t>
  </si>
  <si>
    <t>m/s</t>
  </si>
  <si>
    <t>Temperatura deSuperficie</t>
  </si>
  <si>
    <r>
      <t>T</t>
    </r>
    <r>
      <rPr>
        <sz val="8"/>
        <color theme="1"/>
        <rFont val="Calibri"/>
        <family val="2"/>
      </rPr>
      <t>sp</t>
    </r>
  </si>
  <si>
    <t>Visc Dinamic Superfi</t>
  </si>
  <si>
    <t>Kg/ m s</t>
  </si>
  <si>
    <t>Viscosidad Cinematica</t>
  </si>
  <si>
    <t>ϑ</t>
  </si>
  <si>
    <t>Kg/m^2</t>
  </si>
  <si>
    <t>N° Prandlt</t>
  </si>
  <si>
    <t>N pr</t>
  </si>
  <si>
    <t>ad</t>
  </si>
  <si>
    <t>Diametro Hidraulico</t>
  </si>
  <si>
    <r>
      <t>D</t>
    </r>
    <r>
      <rPr>
        <sz val="8"/>
        <color theme="1"/>
        <rFont val="Calibri"/>
        <family val="2"/>
      </rPr>
      <t>h</t>
    </r>
  </si>
  <si>
    <t>Numero de Reynolds</t>
  </si>
  <si>
    <r>
      <t>N</t>
    </r>
    <r>
      <rPr>
        <sz val="8"/>
        <color theme="1"/>
        <rFont val="Calibri"/>
        <family val="2"/>
      </rPr>
      <t>re</t>
    </r>
  </si>
  <si>
    <t>No. Nusselt P.S.E</t>
  </si>
  <si>
    <r>
      <t>N</t>
    </r>
    <r>
      <rPr>
        <sz val="8"/>
        <color theme="1"/>
        <rFont val="Calibri"/>
        <family val="2"/>
      </rPr>
      <t>u</t>
    </r>
  </si>
  <si>
    <t>No. Nusselt  Nre&lt;1e5</t>
  </si>
  <si>
    <t>No. Nusselt  Nre&gt;5e5</t>
  </si>
  <si>
    <t>No. Nusselt  1e5&lt; Nre &lt;5e5</t>
  </si>
  <si>
    <t>Altura del Ducto</t>
  </si>
  <si>
    <t>Hd</t>
  </si>
  <si>
    <t>Coeficiente de convección</t>
  </si>
  <si>
    <t>KW/m^2°C</t>
  </si>
  <si>
    <t>Area Transferencia Calor Paila</t>
  </si>
  <si>
    <r>
      <t>A</t>
    </r>
    <r>
      <rPr>
        <sz val="8"/>
        <color theme="1"/>
        <rFont val="Calibri"/>
        <family val="2"/>
        <scheme val="minor"/>
      </rPr>
      <t>TTC</t>
    </r>
  </si>
  <si>
    <t>Calor por Conveccion</t>
  </si>
  <si>
    <r>
      <t>Q</t>
    </r>
    <r>
      <rPr>
        <sz val="9"/>
        <color theme="1"/>
        <rFont val="Calibri"/>
        <family val="2"/>
        <scheme val="minor"/>
      </rPr>
      <t>cnv</t>
    </r>
  </si>
  <si>
    <t>atm</t>
  </si>
  <si>
    <t>NA</t>
  </si>
  <si>
    <t>Tipo de ladrillo</t>
  </si>
  <si>
    <t>Refractario</t>
  </si>
  <si>
    <t>Comun</t>
  </si>
  <si>
    <t>W/m°C</t>
  </si>
  <si>
    <t>W</t>
  </si>
  <si>
    <t>Esp Camara</t>
  </si>
  <si>
    <t>Q Perd Camara</t>
  </si>
  <si>
    <t>Area TTL Cam</t>
  </si>
  <si>
    <t>-----</t>
  </si>
  <si>
    <t>Semirefractario</t>
  </si>
  <si>
    <t>Entalpia Inicial del Gas</t>
  </si>
  <si>
    <t>Entalpia Salida Camara de Combustion</t>
  </si>
  <si>
    <t>N</t>
  </si>
  <si>
    <t>Temperatura Antes 1° Paila</t>
  </si>
  <si>
    <t>Kw</t>
  </si>
  <si>
    <t>T^2</t>
  </si>
  <si>
    <t>a</t>
  </si>
  <si>
    <t>b</t>
  </si>
  <si>
    <t>c</t>
  </si>
  <si>
    <t>Numero de Paila</t>
  </si>
  <si>
    <t>Entalpia</t>
  </si>
  <si>
    <t>e</t>
  </si>
  <si>
    <t>i</t>
  </si>
  <si>
    <t>j</t>
  </si>
  <si>
    <t>Entalpia/masa</t>
  </si>
  <si>
    <t>Calor Transferido Total</t>
  </si>
  <si>
    <t>salida</t>
  </si>
  <si>
    <t>CP inicial Gases</t>
  </si>
  <si>
    <t>R Gas Ideal</t>
  </si>
  <si>
    <t>Latm/molK</t>
  </si>
  <si>
    <t>Remplazar</t>
  </si>
  <si>
    <t>Reemplazar por variacion Brix</t>
  </si>
  <si>
    <t>Temperatura de Paredes</t>
  </si>
  <si>
    <t>Calcaular</t>
  </si>
  <si>
    <t>Temperatua Pared</t>
  </si>
  <si>
    <t>Temperatura Piso</t>
  </si>
  <si>
    <t>Tpad</t>
  </si>
  <si>
    <t>Tpis</t>
  </si>
  <si>
    <t>Temperatura del Gas</t>
  </si>
  <si>
    <t>Tgas</t>
  </si>
  <si>
    <t>Calor Por Radiación</t>
  </si>
  <si>
    <t>Temperatura Gases</t>
  </si>
  <si>
    <t>Temperatura Fondo Paila</t>
  </si>
  <si>
    <t>Temperatura Pared</t>
  </si>
  <si>
    <t>C. de Boltzman</t>
  </si>
  <si>
    <t>σ</t>
  </si>
  <si>
    <t>W/m^2*K^4</t>
  </si>
  <si>
    <t>Emisividad Gases</t>
  </si>
  <si>
    <t>Emisividad Fondo Paila</t>
  </si>
  <si>
    <t>Emisividad Ducto</t>
  </si>
  <si>
    <t>Area Paredes</t>
  </si>
  <si>
    <t>Area Piso</t>
  </si>
  <si>
    <t>Area Paila</t>
  </si>
  <si>
    <t>Factor de forma Pared</t>
  </si>
  <si>
    <t>Factor de Forma Piso</t>
  </si>
  <si>
    <t>SEMIESFERICA</t>
  </si>
  <si>
    <r>
      <t>T</t>
    </r>
    <r>
      <rPr>
        <sz val="8"/>
        <rFont val="Calibri"/>
        <family val="2"/>
        <scheme val="minor"/>
      </rPr>
      <t>g</t>
    </r>
  </si>
  <si>
    <r>
      <t>T</t>
    </r>
    <r>
      <rPr>
        <sz val="8"/>
        <rFont val="Calibri"/>
        <family val="2"/>
        <scheme val="minor"/>
      </rPr>
      <t>fp</t>
    </r>
  </si>
  <si>
    <r>
      <t>T</t>
    </r>
    <r>
      <rPr>
        <sz val="8"/>
        <rFont val="Calibri"/>
        <family val="2"/>
        <scheme val="minor"/>
      </rPr>
      <t>pd</t>
    </r>
  </si>
  <si>
    <r>
      <t>T</t>
    </r>
    <r>
      <rPr>
        <sz val="8"/>
        <rFont val="Calibri"/>
        <family val="2"/>
        <scheme val="minor"/>
      </rPr>
      <t>pi</t>
    </r>
  </si>
  <si>
    <r>
      <t>A</t>
    </r>
    <r>
      <rPr>
        <sz val="8"/>
        <rFont val="Calibri"/>
        <family val="2"/>
      </rPr>
      <t>gas</t>
    </r>
  </si>
  <si>
    <r>
      <t>ϵ</t>
    </r>
    <r>
      <rPr>
        <sz val="6"/>
        <rFont val="Calibri"/>
        <family val="2"/>
        <scheme val="minor"/>
      </rPr>
      <t>g</t>
    </r>
  </si>
  <si>
    <r>
      <t>ϵ</t>
    </r>
    <r>
      <rPr>
        <sz val="6"/>
        <rFont val="Calibri"/>
        <family val="2"/>
        <scheme val="minor"/>
      </rPr>
      <t>fp</t>
    </r>
  </si>
  <si>
    <t>Presion Absoluta Gas</t>
  </si>
  <si>
    <t>Fraccion Molar</t>
  </si>
  <si>
    <t>mol/mol</t>
  </si>
  <si>
    <t>Emisividad</t>
  </si>
  <si>
    <t>Presion Par</t>
  </si>
  <si>
    <t>Emisisvidad</t>
  </si>
  <si>
    <t>Factor de Co</t>
  </si>
  <si>
    <t>Relacion</t>
  </si>
  <si>
    <t>longitud caracteristica</t>
  </si>
  <si>
    <t>humedad 0%</t>
  </si>
  <si>
    <t>Humedad 10%</t>
  </si>
  <si>
    <t>Humedad 20%</t>
  </si>
  <si>
    <t>Humedad 30%</t>
  </si>
  <si>
    <t>Humedad 40%</t>
  </si>
  <si>
    <t>Humedad 50%</t>
  </si>
  <si>
    <t>Presion Parc</t>
  </si>
  <si>
    <t>Tempertaura</t>
  </si>
  <si>
    <t>Humedad</t>
  </si>
  <si>
    <t>emisividad promedio</t>
  </si>
  <si>
    <t>Cambiar por valores calculados</t>
  </si>
  <si>
    <r>
      <t>F</t>
    </r>
    <r>
      <rPr>
        <sz val="8"/>
        <rFont val="Calibri"/>
        <family val="2"/>
        <scheme val="minor"/>
      </rPr>
      <t>FPA</t>
    </r>
  </si>
  <si>
    <r>
      <t>F</t>
    </r>
    <r>
      <rPr>
        <sz val="8"/>
        <rFont val="Calibri"/>
        <family val="2"/>
        <scheme val="minor"/>
      </rPr>
      <t>FPI</t>
    </r>
  </si>
  <si>
    <r>
      <t>A</t>
    </r>
    <r>
      <rPr>
        <sz val="8"/>
        <rFont val="Calibri"/>
        <family val="2"/>
        <scheme val="minor"/>
      </rPr>
      <t>pi</t>
    </r>
  </si>
  <si>
    <r>
      <t>A</t>
    </r>
    <r>
      <rPr>
        <sz val="8"/>
        <rFont val="Calibri"/>
        <family val="2"/>
        <scheme val="minor"/>
      </rPr>
      <t>pd</t>
    </r>
  </si>
  <si>
    <t>Calor desde las Paredes</t>
  </si>
  <si>
    <t>Calor desde el Piso</t>
  </si>
  <si>
    <t>Calor desde el Gas</t>
  </si>
  <si>
    <t>Total Q R P Paila</t>
  </si>
  <si>
    <r>
      <t>Q</t>
    </r>
    <r>
      <rPr>
        <sz val="8"/>
        <color theme="1"/>
        <rFont val="Calibri"/>
        <family val="2"/>
        <scheme val="minor"/>
      </rPr>
      <t>rpd</t>
    </r>
  </si>
  <si>
    <r>
      <t>Q</t>
    </r>
    <r>
      <rPr>
        <sz val="8"/>
        <color theme="1"/>
        <rFont val="Calibri"/>
        <family val="2"/>
        <scheme val="minor"/>
      </rPr>
      <t>rpi</t>
    </r>
  </si>
  <si>
    <r>
      <t>Q</t>
    </r>
    <r>
      <rPr>
        <sz val="8"/>
        <color theme="1"/>
        <rFont val="Calibri"/>
        <family val="2"/>
        <scheme val="minor"/>
      </rPr>
      <t>rgas</t>
    </r>
  </si>
  <si>
    <r>
      <t>TQ</t>
    </r>
    <r>
      <rPr>
        <sz val="8"/>
        <color theme="1"/>
        <rFont val="Calibri"/>
        <family val="2"/>
        <scheme val="minor"/>
      </rPr>
      <t>rppa</t>
    </r>
  </si>
  <si>
    <t xml:space="preserve">No. Nusselt </t>
  </si>
  <si>
    <t>Numero de Nuselt</t>
  </si>
  <si>
    <t>Pirotubular Cuadrada Aleteada Concentradora</t>
  </si>
  <si>
    <t>No. Nusselt Pirotubular Re&lt;2,3e3</t>
  </si>
  <si>
    <t>remplazar</t>
  </si>
  <si>
    <r>
      <t>ϵ</t>
    </r>
    <r>
      <rPr>
        <sz val="6"/>
        <rFont val="Calibri"/>
        <family val="2"/>
        <scheme val="minor"/>
      </rPr>
      <t>d</t>
    </r>
  </si>
  <si>
    <t>Total Calor transferido desde el Gas</t>
  </si>
  <si>
    <t>Total transferencia de Calor</t>
  </si>
  <si>
    <t>Total Q</t>
  </si>
  <si>
    <t>Concentracion de Solidos Solubles</t>
  </si>
  <si>
    <t>Concentracion de Solidos</t>
  </si>
  <si>
    <t>inicial</t>
  </si>
  <si>
    <t>Final</t>
  </si>
  <si>
    <t>Incremento de ss</t>
  </si>
  <si>
    <t>T E ss CSS</t>
  </si>
  <si>
    <t>Calor Especifico a Presión Cte</t>
  </si>
  <si>
    <t>Calor Especifico P Cte jugo</t>
  </si>
  <si>
    <t>CPj</t>
  </si>
  <si>
    <t>Temperatura de Ebullicion</t>
  </si>
  <si>
    <t>mj</t>
  </si>
  <si>
    <t>Masa de Jugo Enrada</t>
  </si>
  <si>
    <r>
      <t>m</t>
    </r>
    <r>
      <rPr>
        <sz val="8"/>
        <rFont val="Calibri"/>
        <family val="2"/>
        <scheme val="minor"/>
      </rPr>
      <t>H2O</t>
    </r>
  </si>
  <si>
    <t>Entalpia de Vaporización</t>
  </si>
  <si>
    <t>∆hv</t>
  </si>
  <si>
    <t>Q cc</t>
  </si>
  <si>
    <t>Masa de Agua a Evaporar</t>
  </si>
  <si>
    <t>Calor Nece Calc por Etapa</t>
  </si>
  <si>
    <t>Calor  Disp Calc Por Etapa</t>
  </si>
  <si>
    <t>Orsde según Concentracion</t>
  </si>
  <si>
    <t>Orccs</t>
  </si>
  <si>
    <t>Masa de Jugo entrada</t>
  </si>
  <si>
    <t>Concentracion de Solidos calculada</t>
  </si>
  <si>
    <t>Calor disponible</t>
  </si>
  <si>
    <t>Delta de Temperatura</t>
  </si>
  <si>
    <t>Q Dp</t>
  </si>
  <si>
    <t>Cp del Jugo</t>
  </si>
  <si>
    <t>Css</t>
  </si>
  <si>
    <t>∆ T</t>
  </si>
  <si>
    <t>Bagazo Sunistrado</t>
  </si>
  <si>
    <t>Fcb</t>
  </si>
  <si>
    <t>Kg/Kg</t>
  </si>
  <si>
    <t>Factor Consumo Bagazo</t>
  </si>
  <si>
    <t>mp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</si>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</sst>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.8000000000000007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</font>
    <font>
      <sz val="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6">
    <xf numFmtId="0" fontId="0" fillId="0" borderId="0" xfId="0"/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2" borderId="4" xfId="0" applyNumberFormat="1" applyFill="1" applyBorder="1" applyAlignment="1">
      <alignment horizontal="left" vertical="center"/>
    </xf>
    <xf numFmtId="164" fontId="0" fillId="2" borderId="7" xfId="0" applyNumberFormat="1" applyFill="1" applyBorder="1" applyAlignment="1">
      <alignment horizontal="left" vertical="center"/>
    </xf>
    <xf numFmtId="9" fontId="0" fillId="2" borderId="5" xfId="1" applyFont="1" applyFill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2" borderId="5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164" fontId="0" fillId="2" borderId="37" xfId="0" applyNumberFormat="1" applyFill="1" applyBorder="1" applyAlignment="1">
      <alignment horizontal="left" vertical="center"/>
    </xf>
    <xf numFmtId="164" fontId="0" fillId="2" borderId="38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39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164" fontId="0" fillId="0" borderId="1" xfId="0" applyNumberFormat="1" applyFill="1" applyBorder="1" applyAlignment="1">
      <alignment horizontal="center" vertical="center" shrinkToFit="1"/>
    </xf>
    <xf numFmtId="164" fontId="0" fillId="0" borderId="2" xfId="0" applyNumberFormat="1" applyFill="1" applyBorder="1" applyAlignment="1">
      <alignment horizontal="center" vertical="center" shrinkToFit="1"/>
    </xf>
    <xf numFmtId="164" fontId="0" fillId="0" borderId="3" xfId="0" applyNumberFormat="1" applyFill="1" applyBorder="1" applyAlignment="1">
      <alignment horizontal="center" vertical="center" shrinkToFit="1"/>
    </xf>
    <xf numFmtId="164" fontId="0" fillId="0" borderId="7" xfId="0" applyNumberFormat="1" applyFill="1" applyBorder="1" applyAlignment="1">
      <alignment horizontal="center" vertical="center" shrinkToFit="1"/>
    </xf>
    <xf numFmtId="164" fontId="0" fillId="0" borderId="8" xfId="0" applyNumberFormat="1" applyFill="1" applyBorder="1" applyAlignment="1">
      <alignment horizontal="center" vertical="center" shrinkToFit="1"/>
    </xf>
    <xf numFmtId="164" fontId="0" fillId="0" borderId="8" xfId="0" applyNumberFormat="1" applyBorder="1" applyAlignment="1">
      <alignment horizontal="center" vertical="center" shrinkToFit="1"/>
    </xf>
    <xf numFmtId="164" fontId="0" fillId="0" borderId="9" xfId="0" applyNumberFormat="1" applyBorder="1" applyAlignment="1">
      <alignment horizontal="center" vertical="center" shrinkToFit="1"/>
    </xf>
    <xf numFmtId="164" fontId="0" fillId="0" borderId="4" xfId="0" applyNumberFormat="1" applyBorder="1" applyAlignment="1">
      <alignment horizontal="center" vertical="center" shrinkToFit="1"/>
    </xf>
    <xf numFmtId="164" fontId="0" fillId="0" borderId="5" xfId="0" applyNumberFormat="1" applyFill="1" applyBorder="1" applyAlignment="1">
      <alignment horizontal="center" vertical="center" shrinkToFit="1"/>
    </xf>
    <xf numFmtId="164" fontId="0" fillId="0" borderId="5" xfId="0" applyNumberFormat="1" applyBorder="1" applyAlignment="1">
      <alignment horizontal="center" vertical="center" shrinkToFit="1"/>
    </xf>
    <xf numFmtId="164" fontId="0" fillId="0" borderId="6" xfId="0" applyNumberFormat="1" applyBorder="1" applyAlignment="1">
      <alignment horizontal="center" vertical="center" shrinkToFit="1"/>
    </xf>
    <xf numFmtId="164" fontId="0" fillId="0" borderId="7" xfId="0" applyNumberFormat="1" applyBorder="1" applyAlignment="1">
      <alignment horizontal="center" vertical="center" shrinkToFit="1"/>
    </xf>
    <xf numFmtId="164" fontId="0" fillId="0" borderId="4" xfId="0" applyNumberFormat="1" applyFill="1" applyBorder="1" applyAlignment="1">
      <alignment horizontal="center" vertical="center" shrinkToFit="1"/>
    </xf>
    <xf numFmtId="164" fontId="3" fillId="0" borderId="5" xfId="0" applyNumberFormat="1" applyFont="1" applyBorder="1" applyAlignment="1">
      <alignment horizontal="center" vertical="center" shrinkToFit="1"/>
    </xf>
    <xf numFmtId="164" fontId="0" fillId="0" borderId="6" xfId="0" applyNumberFormat="1" applyFill="1" applyBorder="1" applyAlignment="1">
      <alignment horizontal="center" vertical="center" shrinkToFit="1"/>
    </xf>
    <xf numFmtId="164" fontId="3" fillId="0" borderId="5" xfId="0" applyNumberFormat="1" applyFont="1" applyFill="1" applyBorder="1" applyAlignment="1">
      <alignment horizontal="center" vertical="center" shrinkToFit="1"/>
    </xf>
    <xf numFmtId="164" fontId="0" fillId="0" borderId="13" xfId="0" applyNumberFormat="1" applyFill="1" applyBorder="1" applyAlignment="1">
      <alignment horizontal="center" vertical="center" shrinkToFit="1"/>
    </xf>
    <xf numFmtId="164" fontId="0" fillId="0" borderId="14" xfId="0" applyNumberFormat="1" applyBorder="1" applyAlignment="1">
      <alignment horizontal="center" vertical="center" shrinkToFit="1"/>
    </xf>
    <xf numFmtId="164" fontId="0" fillId="0" borderId="15" xfId="0" applyNumberFormat="1" applyBorder="1" applyAlignment="1">
      <alignment horizontal="center" vertical="center" shrinkToFit="1"/>
    </xf>
    <xf numFmtId="164" fontId="3" fillId="0" borderId="8" xfId="0" applyNumberFormat="1" applyFont="1" applyFill="1" applyBorder="1" applyAlignment="1">
      <alignment horizontal="center" vertical="center" shrinkToFit="1"/>
    </xf>
    <xf numFmtId="164" fontId="0" fillId="0" borderId="9" xfId="0" applyNumberFormat="1" applyFill="1" applyBorder="1" applyAlignment="1">
      <alignment horizontal="center" vertical="center" shrinkToFit="1"/>
    </xf>
    <xf numFmtId="164" fontId="0" fillId="0" borderId="0" xfId="0" applyNumberForma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0" fillId="4" borderId="32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33" xfId="0" applyFill="1" applyBorder="1"/>
    <xf numFmtId="0" fontId="0" fillId="6" borderId="55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0" fillId="5" borderId="26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5" borderId="6" xfId="0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5" xfId="0" applyFill="1" applyBorder="1" applyProtection="1">
      <protection hidden="1"/>
    </xf>
    <xf numFmtId="0" fontId="0" fillId="0" borderId="26" xfId="0" applyFill="1" applyBorder="1" applyProtection="1">
      <protection hidden="1"/>
    </xf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42" xfId="0" applyFill="1" applyBorder="1"/>
    <xf numFmtId="9" fontId="0" fillId="0" borderId="42" xfId="0" applyNumberFormat="1" applyFill="1" applyBorder="1"/>
    <xf numFmtId="0" fontId="0" fillId="0" borderId="33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0" fillId="0" borderId="34" xfId="0" applyFill="1" applyBorder="1"/>
    <xf numFmtId="0" fontId="0" fillId="0" borderId="43" xfId="0" applyFill="1" applyBorder="1"/>
    <xf numFmtId="0" fontId="0" fillId="0" borderId="56" xfId="0" applyFill="1" applyBorder="1"/>
    <xf numFmtId="9" fontId="0" fillId="0" borderId="56" xfId="0" applyNumberFormat="1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4" xfId="0" applyFill="1" applyBorder="1" applyProtection="1">
      <protection hidden="1"/>
    </xf>
    <xf numFmtId="0" fontId="0" fillId="0" borderId="28" xfId="0" applyFill="1" applyBorder="1" applyProtection="1">
      <protection hidden="1"/>
    </xf>
    <xf numFmtId="0" fontId="0" fillId="0" borderId="29" xfId="0" applyFill="1" applyBorder="1" applyProtection="1">
      <protection hidden="1"/>
    </xf>
    <xf numFmtId="0" fontId="0" fillId="0" borderId="30" xfId="0" applyFill="1" applyBorder="1" applyProtection="1">
      <protection hidden="1"/>
    </xf>
    <xf numFmtId="0" fontId="0" fillId="0" borderId="25" xfId="0" applyFill="1" applyBorder="1" applyAlignment="1">
      <alignment horizontal="center"/>
    </xf>
    <xf numFmtId="0" fontId="0" fillId="0" borderId="45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4" fontId="7" fillId="0" borderId="10" xfId="0" applyNumberFormat="1" applyFon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0" borderId="34" xfId="0" applyNumberForma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64" fontId="0" fillId="0" borderId="29" xfId="0" applyNumberFormat="1" applyFill="1" applyBorder="1" applyAlignment="1">
      <alignment horizontal="center" vertical="center"/>
    </xf>
    <xf numFmtId="164" fontId="0" fillId="0" borderId="30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164" fontId="0" fillId="0" borderId="40" xfId="0" applyNumberFormat="1" applyFill="1" applyBorder="1" applyAlignment="1">
      <alignment horizontal="center" vertical="center"/>
    </xf>
    <xf numFmtId="164" fontId="0" fillId="0" borderId="41" xfId="0" applyNumberFormat="1" applyFill="1" applyBorder="1" applyAlignment="1">
      <alignment horizontal="center" vertical="center"/>
    </xf>
    <xf numFmtId="9" fontId="0" fillId="0" borderId="5" xfId="1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164" fontId="0" fillId="0" borderId="0" xfId="0" applyNumberFormat="1"/>
    <xf numFmtId="0" fontId="3" fillId="0" borderId="0" xfId="0" applyFont="1"/>
    <xf numFmtId="164" fontId="0" fillId="0" borderId="0" xfId="0" applyNumberFormat="1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center"/>
    </xf>
    <xf numFmtId="0" fontId="0" fillId="0" borderId="5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9" fontId="0" fillId="5" borderId="5" xfId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64" fontId="0" fillId="5" borderId="11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1" fontId="0" fillId="5" borderId="5" xfId="0" applyNumberFormat="1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1" fontId="0" fillId="5" borderId="8" xfId="0" applyNumberFormat="1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11" fontId="0" fillId="5" borderId="6" xfId="0" applyNumberFormat="1" applyFill="1" applyBorder="1" applyAlignment="1">
      <alignment horizontal="center" vertical="center"/>
    </xf>
    <xf numFmtId="11" fontId="0" fillId="5" borderId="35" xfId="0" applyNumberFormat="1" applyFill="1" applyBorder="1" applyAlignment="1">
      <alignment horizontal="center" vertical="center"/>
    </xf>
    <xf numFmtId="11" fontId="0" fillId="5" borderId="15" xfId="0" applyNumberFormat="1" applyFill="1" applyBorder="1" applyAlignment="1">
      <alignment horizontal="center" vertical="center"/>
    </xf>
    <xf numFmtId="11" fontId="0" fillId="5" borderId="36" xfId="0" applyNumberFormat="1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0" fontId="0" fillId="0" borderId="9" xfId="0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 shrinkToFit="1"/>
    </xf>
    <xf numFmtId="0" fontId="0" fillId="5" borderId="10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1" fontId="0" fillId="5" borderId="9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1" fontId="0" fillId="5" borderId="29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shrinkToFit="1"/>
    </xf>
    <xf numFmtId="2" fontId="0" fillId="5" borderId="10" xfId="0" applyNumberFormat="1" applyFill="1" applyBorder="1" applyAlignment="1">
      <alignment horizontal="center" vertical="center"/>
    </xf>
    <xf numFmtId="11" fontId="0" fillId="5" borderId="11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shrinkToFit="1"/>
    </xf>
    <xf numFmtId="164" fontId="0" fillId="5" borderId="4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164" fontId="0" fillId="0" borderId="4" xfId="0" applyNumberFormat="1" applyFill="1" applyBorder="1" applyAlignment="1">
      <alignment horizontal="left" vertical="center"/>
    </xf>
    <xf numFmtId="164" fontId="0" fillId="0" borderId="7" xfId="0" applyNumberFormat="1" applyFill="1" applyBorder="1" applyAlignment="1">
      <alignment horizontal="left" vertical="center"/>
    </xf>
    <xf numFmtId="0" fontId="0" fillId="5" borderId="33" xfId="0" applyFill="1" applyBorder="1" applyAlignment="1">
      <alignment horizontal="left" vertical="center"/>
    </xf>
    <xf numFmtId="0" fontId="0" fillId="5" borderId="28" xfId="0" applyFill="1" applyBorder="1" applyAlignment="1">
      <alignment horizontal="left" vertical="center"/>
    </xf>
    <xf numFmtId="0" fontId="0" fillId="5" borderId="25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5" borderId="33" xfId="0" applyFill="1" applyBorder="1" applyAlignment="1">
      <alignment horizontal="left" vertical="center" shrinkToFit="1"/>
    </xf>
    <xf numFmtId="0" fontId="0" fillId="5" borderId="28" xfId="0" applyFill="1" applyBorder="1" applyAlignment="1">
      <alignment horizontal="left" vertical="center" shrinkToFit="1"/>
    </xf>
    <xf numFmtId="164" fontId="0" fillId="0" borderId="19" xfId="0" applyNumberFormat="1" applyFill="1" applyBorder="1" applyAlignment="1">
      <alignment horizontal="center" vertical="center"/>
    </xf>
    <xf numFmtId="164" fontId="0" fillId="0" borderId="2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0" borderId="5" xfId="0" applyBorder="1"/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7" fillId="0" borderId="0" xfId="0" applyFont="1" applyBorder="1"/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9" fontId="7" fillId="0" borderId="5" xfId="0" applyNumberFormat="1" applyFont="1" applyFill="1" applyBorder="1" applyAlignment="1">
      <alignment horizontal="center" vertical="center"/>
    </xf>
    <xf numFmtId="10" fontId="7" fillId="0" borderId="5" xfId="0" applyNumberFormat="1" applyFont="1" applyFill="1" applyBorder="1" applyAlignment="1">
      <alignment horizontal="center" vertical="center"/>
    </xf>
    <xf numFmtId="0" fontId="7" fillId="0" borderId="25" xfId="0" applyFont="1" applyBorder="1" applyAlignment="1">
      <alignment vertical="center"/>
    </xf>
    <xf numFmtId="0" fontId="16" fillId="0" borderId="26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3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3" xfId="0" applyFont="1" applyBorder="1" applyAlignment="1">
      <alignment horizontal="left" vertical="center"/>
    </xf>
    <xf numFmtId="0" fontId="7" fillId="0" borderId="34" xfId="0" applyFont="1" applyBorder="1" applyAlignment="1">
      <alignment horizontal="center" vertical="center"/>
    </xf>
    <xf numFmtId="9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left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11" fontId="7" fillId="0" borderId="5" xfId="0" applyNumberFormat="1" applyFont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3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6" xfId="0" quotePrefix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11" fontId="7" fillId="0" borderId="35" xfId="0" applyNumberFormat="1" applyFont="1" applyBorder="1" applyAlignment="1">
      <alignment horizontal="center"/>
    </xf>
    <xf numFmtId="0" fontId="7" fillId="7" borderId="35" xfId="0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7" borderId="35" xfId="0" applyNumberFormat="1" applyFill="1" applyBorder="1" applyAlignment="1">
      <alignment horizontal="center" vertical="center"/>
    </xf>
    <xf numFmtId="165" fontId="0" fillId="7" borderId="5" xfId="0" applyNumberFormat="1" applyFill="1" applyBorder="1" applyAlignment="1">
      <alignment horizontal="center" vertical="center"/>
    </xf>
    <xf numFmtId="166" fontId="0" fillId="0" borderId="32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66" fontId="7" fillId="0" borderId="35" xfId="0" applyNumberFormat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42" xfId="0" applyFont="1" applyFill="1" applyBorder="1" applyAlignment="1">
      <alignment horizontal="center"/>
    </xf>
    <xf numFmtId="0" fontId="7" fillId="0" borderId="43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56" xfId="0" applyFont="1" applyFill="1" applyBorder="1" applyAlignment="1">
      <alignment horizontal="center"/>
    </xf>
    <xf numFmtId="0" fontId="7" fillId="0" borderId="59" xfId="0" applyFont="1" applyFill="1" applyBorder="1"/>
    <xf numFmtId="0" fontId="7" fillId="0" borderId="34" xfId="0" applyFont="1" applyFill="1" applyBorder="1"/>
    <xf numFmtId="0" fontId="7" fillId="0" borderId="29" xfId="0" applyFont="1" applyFill="1" applyBorder="1"/>
    <xf numFmtId="0" fontId="7" fillId="0" borderId="30" xfId="0" applyFont="1" applyFill="1" applyBorder="1"/>
    <xf numFmtId="164" fontId="7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7" fillId="7" borderId="58" xfId="0" applyFont="1" applyFill="1" applyBorder="1" applyAlignment="1">
      <alignment horizontal="center" vertical="center"/>
    </xf>
    <xf numFmtId="0" fontId="7" fillId="7" borderId="5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 shrinkToFit="1"/>
    </xf>
    <xf numFmtId="0" fontId="0" fillId="0" borderId="50" xfId="0" applyFill="1" applyBorder="1" applyAlignment="1">
      <alignment horizontal="center" vertical="center" shrinkToFit="1"/>
    </xf>
    <xf numFmtId="0" fontId="0" fillId="0" borderId="49" xfId="0" applyFill="1" applyBorder="1" applyAlignment="1">
      <alignment horizontal="center" vertical="center" shrinkToFit="1"/>
    </xf>
    <xf numFmtId="164" fontId="0" fillId="0" borderId="25" xfId="0" applyNumberFormat="1" applyBorder="1" applyAlignment="1">
      <alignment horizontal="center" vertical="center" shrinkToFit="1"/>
    </xf>
    <xf numFmtId="164" fontId="0" fillId="0" borderId="26" xfId="0" applyNumberFormat="1" applyBorder="1" applyAlignment="1">
      <alignment horizontal="center" vertical="center" shrinkToFit="1"/>
    </xf>
    <xf numFmtId="164" fontId="0" fillId="0" borderId="27" xfId="0" applyNumberFormat="1" applyBorder="1" applyAlignment="1">
      <alignment horizontal="center" vertical="center" shrinkToFit="1"/>
    </xf>
    <xf numFmtId="164" fontId="0" fillId="0" borderId="40" xfId="0" applyNumberFormat="1" applyBorder="1" applyAlignment="1">
      <alignment horizontal="center" vertical="center" shrinkToFit="1"/>
    </xf>
    <xf numFmtId="164" fontId="0" fillId="0" borderId="41" xfId="0" applyNumberFormat="1" applyBorder="1" applyAlignment="1">
      <alignment horizontal="center" vertical="center" shrinkToFit="1"/>
    </xf>
    <xf numFmtId="164" fontId="0" fillId="0" borderId="54" xfId="0" applyNumberFormat="1" applyBorder="1" applyAlignment="1">
      <alignment horizontal="center" vertical="center" shrinkToFit="1"/>
    </xf>
    <xf numFmtId="164" fontId="0" fillId="0" borderId="48" xfId="0" applyNumberFormat="1" applyBorder="1" applyAlignment="1">
      <alignment horizontal="center" vertical="center" shrinkToFit="1"/>
    </xf>
    <xf numFmtId="164" fontId="0" fillId="0" borderId="50" xfId="0" applyNumberFormat="1" applyBorder="1" applyAlignment="1">
      <alignment horizontal="center" vertical="center" shrinkToFit="1"/>
    </xf>
    <xf numFmtId="164" fontId="0" fillId="0" borderId="49" xfId="0" applyNumberFormat="1" applyBorder="1" applyAlignment="1">
      <alignment horizontal="center" vertical="center" shrinkToFit="1"/>
    </xf>
    <xf numFmtId="164" fontId="0" fillId="0" borderId="19" xfId="0" applyNumberFormat="1" applyFill="1" applyBorder="1" applyAlignment="1">
      <alignment horizontal="center" vertical="center"/>
    </xf>
    <xf numFmtId="164" fontId="0" fillId="0" borderId="21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 shrinkToFit="1"/>
    </xf>
    <xf numFmtId="164" fontId="0" fillId="0" borderId="20" xfId="0" applyNumberFormat="1" applyBorder="1" applyAlignment="1">
      <alignment horizontal="center" vertical="center" shrinkToFit="1"/>
    </xf>
    <xf numFmtId="164" fontId="0" fillId="0" borderId="21" xfId="0" applyNumberFormat="1" applyBorder="1" applyAlignment="1">
      <alignment horizontal="center" vertical="center" shrinkToFit="1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 shrinkToFit="1"/>
    </xf>
    <xf numFmtId="164" fontId="0" fillId="0" borderId="23" xfId="0" applyNumberFormat="1" applyFill="1" applyBorder="1" applyAlignment="1">
      <alignment horizontal="center" vertical="center" shrinkToFit="1"/>
    </xf>
    <xf numFmtId="164" fontId="0" fillId="0" borderId="24" xfId="0" applyNumberFormat="1" applyFill="1" applyBorder="1" applyAlignment="1">
      <alignment horizontal="center" vertical="center" shrinkToFit="1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48" xfId="0" applyNumberFormat="1" applyBorder="1" applyAlignment="1">
      <alignment horizontal="center" vertical="center"/>
    </xf>
    <xf numFmtId="164" fontId="0" fillId="0" borderId="50" xfId="0" applyNumberFormat="1" applyBorder="1" applyAlignment="1">
      <alignment horizontal="center" vertical="center"/>
    </xf>
    <xf numFmtId="164" fontId="0" fillId="0" borderId="49" xfId="0" applyNumberFormat="1" applyBorder="1" applyAlignment="1">
      <alignment horizontal="center" vertical="center"/>
    </xf>
    <xf numFmtId="164" fontId="0" fillId="0" borderId="51" xfId="0" applyNumberFormat="1" applyBorder="1" applyAlignment="1">
      <alignment horizontal="center" vertical="center"/>
    </xf>
    <xf numFmtId="164" fontId="0" fillId="0" borderId="52" xfId="0" applyNumberForma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0" borderId="54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  <xf numFmtId="0" fontId="0" fillId="0" borderId="21" xfId="0" applyBorder="1" applyAlignment="1">
      <alignment horizontal="center" vertical="center" shrinkToFit="1"/>
    </xf>
    <xf numFmtId="164" fontId="0" fillId="0" borderId="22" xfId="0" applyNumberFormat="1" applyBorder="1" applyAlignment="1">
      <alignment horizontal="center" vertical="center" shrinkToFit="1"/>
    </xf>
    <xf numFmtId="164" fontId="0" fillId="0" borderId="23" xfId="0" applyNumberFormat="1" applyBorder="1" applyAlignment="1">
      <alignment horizontal="center" vertical="center" shrinkToFit="1"/>
    </xf>
    <xf numFmtId="164" fontId="0" fillId="0" borderId="24" xfId="0" applyNumberForma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0" fontId="0" fillId="0" borderId="23" xfId="0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7" fillId="0" borderId="5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164" fontId="11" fillId="0" borderId="5" xfId="0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7" fillId="0" borderId="25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orcentaje" xfId="1" builtinId="5"/>
  </cellStyles>
  <dxfs count="1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910552597716889E-2"/>
          <c:y val="3.4121748450171623E-2"/>
          <c:w val="0.93217589630381659"/>
          <c:h val="0.90942764125414643"/>
        </c:manualLayout>
      </c:layout>
      <c:scatterChart>
        <c:scatterStyle val="smoothMarker"/>
        <c:varyColors val="0"/>
        <c:ser>
          <c:idx val="1"/>
          <c:order val="1"/>
          <c:tx>
            <c:v>H%=10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 Program'!$K$176:$K$179</c:f>
              <c:numCache>
                <c:formatCode>General</c:formatCode>
                <c:ptCount val="4"/>
                <c:pt idx="0">
                  <c:v>1500</c:v>
                </c:pt>
                <c:pt idx="1">
                  <c:v>1200</c:v>
                </c:pt>
                <c:pt idx="2">
                  <c:v>800</c:v>
                </c:pt>
                <c:pt idx="3">
                  <c:v>400</c:v>
                </c:pt>
              </c:numCache>
            </c:numRef>
          </c:xVal>
          <c:yVal>
            <c:numRef>
              <c:f>'Mod Program'!$M$176:$M$179</c:f>
              <c:numCache>
                <c:formatCode>General</c:formatCode>
                <c:ptCount val="4"/>
                <c:pt idx="0">
                  <c:v>0.12</c:v>
                </c:pt>
                <c:pt idx="1">
                  <c:v>0.156</c:v>
                </c:pt>
                <c:pt idx="2">
                  <c:v>0.24300000000000002</c:v>
                </c:pt>
                <c:pt idx="3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F-4122-B226-94B28540BEAF}"/>
            </c:ext>
          </c:extLst>
        </c:ser>
        <c:ser>
          <c:idx val="2"/>
          <c:order val="2"/>
          <c:tx>
            <c:v>H%=20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'Mod Program'!$K$176:$K$179</c:f>
              <c:numCache>
                <c:formatCode>General</c:formatCode>
                <c:ptCount val="4"/>
                <c:pt idx="0">
                  <c:v>1500</c:v>
                </c:pt>
                <c:pt idx="1">
                  <c:v>1200</c:v>
                </c:pt>
                <c:pt idx="2">
                  <c:v>800</c:v>
                </c:pt>
                <c:pt idx="3">
                  <c:v>400</c:v>
                </c:pt>
              </c:numCache>
            </c:numRef>
          </c:xVal>
          <c:yVal>
            <c:numRef>
              <c:f>'Mod Program'!$N$176:$N$179</c:f>
              <c:numCache>
                <c:formatCode>General</c:formatCode>
                <c:ptCount val="4"/>
                <c:pt idx="0">
                  <c:v>0.12999999999999998</c:v>
                </c:pt>
                <c:pt idx="1">
                  <c:v>0.20200000000000001</c:v>
                </c:pt>
                <c:pt idx="2">
                  <c:v>0.25400000000000006</c:v>
                </c:pt>
                <c:pt idx="3">
                  <c:v>0.251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AF-4122-B226-94B28540BEAF}"/>
            </c:ext>
          </c:extLst>
        </c:ser>
        <c:ser>
          <c:idx val="3"/>
          <c:order val="3"/>
          <c:tx>
            <c:v>H%=30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'Mod Program'!$K$176:$K$179</c:f>
              <c:numCache>
                <c:formatCode>General</c:formatCode>
                <c:ptCount val="4"/>
                <c:pt idx="0">
                  <c:v>1500</c:v>
                </c:pt>
                <c:pt idx="1">
                  <c:v>1200</c:v>
                </c:pt>
                <c:pt idx="2">
                  <c:v>800</c:v>
                </c:pt>
                <c:pt idx="3">
                  <c:v>400</c:v>
                </c:pt>
              </c:numCache>
            </c:numRef>
          </c:xVal>
          <c:yVal>
            <c:numRef>
              <c:f>'Mod Program'!$O$176:$O$179</c:f>
              <c:numCache>
                <c:formatCode>General</c:formatCode>
                <c:ptCount val="4"/>
                <c:pt idx="0">
                  <c:v>0.13999999999999999</c:v>
                </c:pt>
                <c:pt idx="1">
                  <c:v>0.18099999999999999</c:v>
                </c:pt>
                <c:pt idx="2">
                  <c:v>0.25300000000000006</c:v>
                </c:pt>
                <c:pt idx="3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AF-4122-B226-94B28540BEAF}"/>
            </c:ext>
          </c:extLst>
        </c:ser>
        <c:ser>
          <c:idx val="4"/>
          <c:order val="4"/>
          <c:tx>
            <c:v>H%=40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'Mod Program'!$K$176:$K$179</c:f>
              <c:numCache>
                <c:formatCode>General</c:formatCode>
                <c:ptCount val="4"/>
                <c:pt idx="0">
                  <c:v>1500</c:v>
                </c:pt>
                <c:pt idx="1">
                  <c:v>1200</c:v>
                </c:pt>
                <c:pt idx="2">
                  <c:v>800</c:v>
                </c:pt>
                <c:pt idx="3">
                  <c:v>400</c:v>
                </c:pt>
              </c:numCache>
            </c:numRef>
          </c:xVal>
          <c:yVal>
            <c:numRef>
              <c:f>'Mod Program'!$P$176:$P$179</c:f>
              <c:numCache>
                <c:formatCode>General</c:formatCode>
                <c:ptCount val="4"/>
                <c:pt idx="0">
                  <c:v>0.17</c:v>
                </c:pt>
                <c:pt idx="1">
                  <c:v>0.21099999999999999</c:v>
                </c:pt>
                <c:pt idx="2">
                  <c:v>0.26300000000000001</c:v>
                </c:pt>
                <c:pt idx="3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AF-4122-B226-94B28540BEAF}"/>
            </c:ext>
          </c:extLst>
        </c:ser>
        <c:ser>
          <c:idx val="5"/>
          <c:order val="5"/>
          <c:tx>
            <c:v>H%=50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'Mod Program'!$K$176:$K$179</c:f>
              <c:numCache>
                <c:formatCode>General</c:formatCode>
                <c:ptCount val="4"/>
                <c:pt idx="0">
                  <c:v>1500</c:v>
                </c:pt>
                <c:pt idx="1">
                  <c:v>1200</c:v>
                </c:pt>
                <c:pt idx="2">
                  <c:v>800</c:v>
                </c:pt>
                <c:pt idx="3">
                  <c:v>400</c:v>
                </c:pt>
              </c:numCache>
            </c:numRef>
          </c:xVal>
          <c:yVal>
            <c:numRef>
              <c:f>'Mod Program'!$Q$176:$Q$179</c:f>
              <c:numCache>
                <c:formatCode>General</c:formatCode>
                <c:ptCount val="4"/>
                <c:pt idx="0">
                  <c:v>0.18000000000000002</c:v>
                </c:pt>
                <c:pt idx="1">
                  <c:v>0.221</c:v>
                </c:pt>
                <c:pt idx="2">
                  <c:v>0.27300000000000002</c:v>
                </c:pt>
                <c:pt idx="3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AF-4122-B226-94B28540B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60416"/>
        <c:axId val="109660976"/>
      </c:scatterChart>
      <c:scatterChart>
        <c:scatterStyle val="smoothMarker"/>
        <c:varyColors val="0"/>
        <c:ser>
          <c:idx val="0"/>
          <c:order val="0"/>
          <c:tx>
            <c:v>H%=0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'Mod Program'!$K$176:$K$179</c:f>
              <c:numCache>
                <c:formatCode>General</c:formatCode>
                <c:ptCount val="4"/>
                <c:pt idx="0">
                  <c:v>1500</c:v>
                </c:pt>
                <c:pt idx="1">
                  <c:v>1200</c:v>
                </c:pt>
                <c:pt idx="2">
                  <c:v>800</c:v>
                </c:pt>
                <c:pt idx="3">
                  <c:v>400</c:v>
                </c:pt>
              </c:numCache>
            </c:numRef>
          </c:xVal>
          <c:yVal>
            <c:numRef>
              <c:f>'Mod Program'!$L$176:$L$179</c:f>
              <c:numCache>
                <c:formatCode>General</c:formatCode>
                <c:ptCount val="4"/>
                <c:pt idx="0">
                  <c:v>0.11000000000000001</c:v>
                </c:pt>
                <c:pt idx="1">
                  <c:v>0.152</c:v>
                </c:pt>
                <c:pt idx="2">
                  <c:v>0.23400000000000001</c:v>
                </c:pt>
                <c:pt idx="3">
                  <c:v>0.24100000000000002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AF-4122-B226-94B28540B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62096"/>
        <c:axId val="109661536"/>
      </c:scatterChart>
      <c:valAx>
        <c:axId val="109660416"/>
        <c:scaling>
          <c:orientation val="minMax"/>
          <c:max val="1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660976"/>
        <c:crosses val="autoZero"/>
        <c:crossBetween val="midCat"/>
      </c:valAx>
      <c:valAx>
        <c:axId val="109660976"/>
        <c:scaling>
          <c:orientation val="minMax"/>
          <c:max val="0.28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660416"/>
        <c:crosses val="autoZero"/>
        <c:crossBetween val="midCat"/>
      </c:valAx>
      <c:valAx>
        <c:axId val="109661536"/>
        <c:scaling>
          <c:orientation val="minMax"/>
          <c:max val="0.28000000000000003"/>
          <c:min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662096"/>
        <c:crosses val="max"/>
        <c:crossBetween val="midCat"/>
      </c:valAx>
      <c:valAx>
        <c:axId val="10966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66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emisividad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'Mod Program'!$K$208:$R$208</c:f>
              <c:numCache>
                <c:formatCode>General</c:formatCode>
                <c:ptCount val="8"/>
                <c:pt idx="0">
                  <c:v>1223.1500000000001</c:v>
                </c:pt>
                <c:pt idx="1">
                  <c:v>1173.1500000000001</c:v>
                </c:pt>
                <c:pt idx="2">
                  <c:v>1123.1500000000001</c:v>
                </c:pt>
                <c:pt idx="3">
                  <c:v>1073.1500000000001</c:v>
                </c:pt>
                <c:pt idx="4">
                  <c:v>1023.15</c:v>
                </c:pt>
                <c:pt idx="5">
                  <c:v>973.15</c:v>
                </c:pt>
                <c:pt idx="6">
                  <c:v>923.15</c:v>
                </c:pt>
                <c:pt idx="7">
                  <c:v>873.15</c:v>
                </c:pt>
              </c:numCache>
            </c:numRef>
          </c:xVal>
          <c:yVal>
            <c:numRef>
              <c:f>'Mod Program'!$K$216:$R$216</c:f>
              <c:numCache>
                <c:formatCode>General</c:formatCode>
                <c:ptCount val="8"/>
                <c:pt idx="0">
                  <c:v>0.23541841340051808</c:v>
                </c:pt>
                <c:pt idx="1">
                  <c:v>0.24102965111989327</c:v>
                </c:pt>
                <c:pt idx="2">
                  <c:v>0.24685633425593489</c:v>
                </c:pt>
                <c:pt idx="3">
                  <c:v>0.25274721280864326</c:v>
                </c:pt>
                <c:pt idx="4">
                  <c:v>0.25855103677801822</c:v>
                </c:pt>
                <c:pt idx="5">
                  <c:v>0.26411655616405982</c:v>
                </c:pt>
                <c:pt idx="6">
                  <c:v>0.2692925209667682</c:v>
                </c:pt>
                <c:pt idx="7">
                  <c:v>0.27392768118614319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CE-4D0A-8DE1-0549B325D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51200"/>
        <c:axId val="187651760"/>
      </c:scatterChart>
      <c:valAx>
        <c:axId val="187651200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651760"/>
        <c:crosses val="autoZero"/>
        <c:crossBetween val="midCat"/>
      </c:valAx>
      <c:valAx>
        <c:axId val="18765176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6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chart" Target="../charts/chart2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chart" Target="../charts/chart1.xml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819150</xdr:colOff>
      <xdr:row>12</xdr:row>
      <xdr:rowOff>7143</xdr:rowOff>
    </xdr:from>
    <xdr:ext cx="1791709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3427869" y="2352674"/>
              <a:ext cx="1791709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𝐶𝑝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=4,18∗(1−0,006∗</m:t>
                    </m:r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13427869" y="2352674"/>
              <a:ext cx="1791709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CO" sz="1100" b="0" i="0">
                  <a:latin typeface="Cambria Math" panose="02040503050406030204" pitchFamily="18" charset="0"/>
                </a:rPr>
                <a:t>𝐶𝑝〗_𝑗=4,18∗(1−0,006∗𝐵_𝑗)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1357312</xdr:colOff>
      <xdr:row>22</xdr:row>
      <xdr:rowOff>21431</xdr:rowOff>
    </xdr:from>
    <xdr:ext cx="3059364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964531" y="4331494"/>
              <a:ext cx="3059364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=−227.03+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3816,44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18,3036−</m:t>
                        </m:r>
                        <m:func>
                          <m:func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CO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7,5∗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</m:d>
                          </m:e>
                        </m:func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𝐾𝑝𝑎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1964531" y="4331494"/>
              <a:ext cx="3059364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𝑇_𝑒=−227.03+3816,44/(18,3036−ln⁡(7,5∗𝑃) )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→𝑃−𝐾𝑝𝑎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167027</xdr:colOff>
      <xdr:row>8</xdr:row>
      <xdr:rowOff>10204</xdr:rowOff>
    </xdr:from>
    <xdr:ext cx="272113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2775746" y="1581829"/>
              <a:ext cx="272113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𝑣𝑙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=2492,9−2,0523∗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−0,0030752∗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12775746" y="1581829"/>
              <a:ext cx="272113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ℎ〗_</a:t>
              </a:r>
              <a:r>
                <a:rPr lang="es-CO" sz="1100" b="0" i="0">
                  <a:latin typeface="Cambria Math" panose="02040503050406030204" pitchFamily="18" charset="0"/>
                </a:rPr>
                <a:t>𝑣𝑙=2492,9−2,0523∗𝑡−0,0030752∗𝑡^2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542924</xdr:colOff>
      <xdr:row>8</xdr:row>
      <xdr:rowOff>4762</xdr:rowOff>
    </xdr:from>
    <xdr:ext cx="1101134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829674" y="1596798"/>
              <a:ext cx="110113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8829674" y="1596798"/>
              <a:ext cx="110113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𝑚_𝑖∗𝐵_𝑖=𝑚_𝑓∗𝐵_𝑓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330314</xdr:colOff>
      <xdr:row>20</xdr:row>
      <xdr:rowOff>6462</xdr:rowOff>
    </xdr:from>
    <xdr:ext cx="1386598" cy="178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937783" y="3923618"/>
              <a:ext cx="1386598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𝑎𝑡𝑚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−0.0001158∗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2937783" y="3923618"/>
              <a:ext cx="1386598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𝑃_(𝑎𝑡𝑚=) 𝑃∗𝑒^(−0.0001158∗ℎ)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11</xdr:col>
      <xdr:colOff>258017</xdr:colOff>
      <xdr:row>3</xdr:row>
      <xdr:rowOff>35020</xdr:rowOff>
    </xdr:from>
    <xdr:to>
      <xdr:col>13</xdr:col>
      <xdr:colOff>240358</xdr:colOff>
      <xdr:row>4</xdr:row>
      <xdr:rowOff>189033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66736" y="630333"/>
          <a:ext cx="2614189" cy="344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916781</xdr:colOff>
      <xdr:row>16</xdr:row>
      <xdr:rowOff>2381</xdr:rowOff>
    </xdr:from>
    <xdr:ext cx="1808637" cy="184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1526381" y="8451056"/>
              <a:ext cx="1808637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O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𝑅𝑞</m:t>
                      </m:r>
                    </m:sub>
                  </m:sSub>
                  <m:r>
                    <a:rPr lang="es-CO" sz="1100" b="0" i="1">
                      <a:latin typeface="Cambria Math" panose="02040503050406030204" pitchFamily="18" charset="0"/>
                    </a:rPr>
                    <m:t>= </m:t>
                  </m:r>
                </m:oMath>
              </a14:m>
              <a:r>
                <a:rPr lang="es-CO" sz="1100"/>
                <a:t>m*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es-CO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∆</m:t>
                  </m:r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𝑇</m:t>
                  </m:r>
                </m:oMath>
              </a14:m>
              <a:r>
                <a:rPr lang="es-CO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sSub>
                        <m:sSubPr>
                          <m:ctrlP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CO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e>
                        <m:sub>
                          <m:r>
                            <a:rPr lang="es-CO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𝑂</m:t>
                      </m:r>
                    </m:sub>
                  </m:sSub>
                  <m:r>
                    <a:rPr lang="es-CO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∆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𝐻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sub>
                  </m:sSub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1526381" y="8451056"/>
              <a:ext cx="1808637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𝑄_𝑅𝑞= </a:t>
              </a:r>
              <a:r>
                <a:rPr lang="es-CO" sz="1100"/>
                <a:t>m*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𝐶_𝑝∗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</a:t>
              </a:r>
              <a:r>
                <a:rPr lang="es-CO" sz="1100"/>
                <a:t>+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𝑚_(𝐻_2 𝑂)∗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〗_𝑣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6</xdr:col>
      <xdr:colOff>1104864</xdr:colOff>
      <xdr:row>13</xdr:row>
      <xdr:rowOff>13700</xdr:rowOff>
    </xdr:from>
    <xdr:to>
      <xdr:col>8</xdr:col>
      <xdr:colOff>1103894</xdr:colOff>
      <xdr:row>13</xdr:row>
      <xdr:rowOff>165234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5828" y="2585450"/>
          <a:ext cx="2230602" cy="151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610960</xdr:colOff>
      <xdr:row>3</xdr:row>
      <xdr:rowOff>13607</xdr:rowOff>
    </xdr:from>
    <xdr:ext cx="1101134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8897710" y="625928"/>
              <a:ext cx="110113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8897710" y="625928"/>
              <a:ext cx="110113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𝑚_𝑖∗𝐵_𝑖=𝑚_𝑓∗𝐵_𝑓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1019175</xdr:colOff>
      <xdr:row>5</xdr:row>
      <xdr:rowOff>0</xdr:rowOff>
    </xdr:from>
    <xdr:ext cx="1771650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5638800" y="781050"/>
              <a:ext cx="1771650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𝐸𝑥𝑡𝑟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5638800" y="781050"/>
              <a:ext cx="1771650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𝑚_𝑐= 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𝑚_𝑗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𝐸𝑥𝑡𝑟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1083609</xdr:colOff>
      <xdr:row>8</xdr:row>
      <xdr:rowOff>184056</xdr:rowOff>
    </xdr:from>
    <xdr:ext cx="99065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14060021" y="1562380"/>
              <a:ext cx="99065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𝐵𝑉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14060021" y="1562380"/>
              <a:ext cx="99065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𝑚_𝐵𝑉=𝑚_𝑐−𝑚_𝑗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535082</xdr:colOff>
      <xdr:row>11</xdr:row>
      <xdr:rowOff>14287</xdr:rowOff>
    </xdr:from>
    <xdr:ext cx="25679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13511494" y="1964111"/>
              <a:ext cx="25679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O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𝐵𝑆</m:t>
                      </m:r>
                    </m:sub>
                  </m:sSub>
                  <m:r>
                    <a:rPr lang="es-CO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𝑚</m:t>
                      </m:r>
                    </m:e>
                    <m:sub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𝐵𝑉</m:t>
                      </m:r>
                    </m:sub>
                  </m:sSub>
                  <m:r>
                    <a:rPr lang="es-CO" sz="1100" b="0" i="1">
                      <a:latin typeface="Cambria Math" panose="02040503050406030204" pitchFamily="18" charset="0"/>
                    </a:rPr>
                    <m:t>∗((100−</m:t>
                  </m:r>
                  <m:sSub>
                    <m:sSubPr>
                      <m:ctrlP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𝐵𝑉</m:t>
                      </m:r>
                    </m:sub>
                  </m:sSub>
                  <m:r>
                    <a:rPr lang="es-CO" sz="1100" b="0" i="1">
                      <a:latin typeface="Cambria Math" panose="02040503050406030204" pitchFamily="18" charset="0"/>
                    </a:rPr>
                    <m:t>)/(100−</m:t>
                  </m:r>
                  <m:sSub>
                    <m:sSubPr>
                      <m:ctrlP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𝐵𝑆</m:t>
                      </m:r>
                    </m:sub>
                  </m:sSub>
                </m:oMath>
              </a14:m>
              <a:r>
                <a:rPr lang="es-CO" sz="1100"/>
                <a:t>))</a:t>
              </a:r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13511494" y="1964111"/>
              <a:ext cx="25679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𝑚_𝐵𝑆=𝑚_𝐵𝑉∗((100−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𝐻_𝐵𝑉</a:t>
              </a:r>
              <a:r>
                <a:rPr lang="es-CO" sz="1100" b="0" i="0">
                  <a:latin typeface="Cambria Math" panose="02040503050406030204" pitchFamily="18" charset="0"/>
                </a:rPr>
                <a:t>)/(100−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𝐻_𝐵𝑆</a:t>
              </a:r>
              <a:r>
                <a:rPr lang="es-CO" sz="1100"/>
                <a:t>))</a:t>
              </a:r>
            </a:p>
          </xdr:txBody>
        </xdr:sp>
      </mc:Fallback>
    </mc:AlternateContent>
    <xdr:clientData/>
  </xdr:oneCellAnchor>
  <xdr:oneCellAnchor>
    <xdr:from>
      <xdr:col>16</xdr:col>
      <xdr:colOff>925047</xdr:colOff>
      <xdr:row>7</xdr:row>
      <xdr:rowOff>9243</xdr:rowOff>
    </xdr:from>
    <xdr:ext cx="1491113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13901459" y="1185861"/>
              <a:ext cx="1491113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𝑝𝑎𝑟𝑟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𝑃𝑜𝑡𝑒𝑛𝑐𝑖𝑎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/1000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13901459" y="1185861"/>
              <a:ext cx="1491113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𝐴_𝑝𝑎𝑟𝑟=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𝑃𝑜𝑡𝑒𝑛𝑐𝑖𝑎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/1000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947083</xdr:colOff>
      <xdr:row>5</xdr:row>
      <xdr:rowOff>4573</xdr:rowOff>
    </xdr:from>
    <xdr:ext cx="1135696" cy="2043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13923495" y="407985"/>
              <a:ext cx="1135696" cy="204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𝑠𝑢𝑚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𝑎𝑝𝑟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/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𝐸𝑓𝑓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1" name="CuadroTexto 20"/>
            <xdr:cNvSpPr txBox="1"/>
          </xdr:nvSpPr>
          <xdr:spPr>
            <a:xfrm>
              <a:off x="13923495" y="407985"/>
              <a:ext cx="1135696" cy="2043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𝑄_𝑠𝑢𝑚=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𝑄_𝑎𝑝𝑟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/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𝐸𝑓𝑓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523233</xdr:colOff>
      <xdr:row>3</xdr:row>
      <xdr:rowOff>6843</xdr:rowOff>
    </xdr:from>
    <xdr:ext cx="20730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13499645" y="410255"/>
              <a:ext cx="2073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𝑉𝐶𝑁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=17,85−20,35∗(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/100)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2" name="CuadroTexto 21"/>
            <xdr:cNvSpPr txBox="1"/>
          </xdr:nvSpPr>
          <xdr:spPr>
            <a:xfrm>
              <a:off x="13499645" y="410255"/>
              <a:ext cx="20730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𝑉𝐶𝑁=17,85−20,35∗(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𝐻_𝐵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/100)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485662</xdr:colOff>
      <xdr:row>94</xdr:row>
      <xdr:rowOff>7049</xdr:rowOff>
    </xdr:from>
    <xdr:ext cx="2584425" cy="4303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1496562" y="32239649"/>
              <a:ext cx="2584425" cy="430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𝐻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𝑟𝑜𝑑𝑢𝑐𝑡𝑜𝑠</m:t>
                        </m:r>
                      </m:sub>
                      <m:sup/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trlP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sub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𝑇𝑎𝑑</m:t>
                            </m:r>
                          </m:sup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𝐶𝑝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𝑑𝑇</m:t>
                            </m:r>
                          </m:e>
                        </m:nary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</m:t>
                        </m:r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𝑏𝑔</m:t>
                            </m:r>
                          </m:sub>
                        </m:sSub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𝑃𝐶𝑁</m:t>
                        </m:r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3" name="CuadroTexto 22"/>
            <xdr:cNvSpPr txBox="1"/>
          </xdr:nvSpPr>
          <xdr:spPr>
            <a:xfrm>
              <a:off x="11496562" y="32239649"/>
              <a:ext cx="2584425" cy="430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𝐻=∑_𝑃𝑟𝑜𝑑𝑢𝑐𝑡𝑜𝑠▒〖𝑛∫_𝑇𝑎^𝑇𝑎𝑑▒〖𝐶𝑝 𝑑𝑇〗=𝑚_𝑏𝑔∗𝑃𝐶𝑁〗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451645</xdr:colOff>
      <xdr:row>96</xdr:row>
      <xdr:rowOff>75275</xdr:rowOff>
    </xdr:from>
    <xdr:ext cx="3095591" cy="3839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11462545" y="32707925"/>
              <a:ext cx="3095591" cy="383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𝑏𝑔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𝑃𝐶𝑁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trl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sub>
                      <m:sup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𝑇𝑎𝑑</m:t>
                        </m:r>
                      </m:sup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m:rPr>
                            <m:nor/>
                          </m:rPr>
                          <a:rPr lang="es-CO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p>
                          <m:sSup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</m:t>
                            </m:r>
                          </m:sup>
                        </m:s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</m:t>
                        </m:r>
                      </m:e>
                    </m:nary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𝑑𝑇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4" name="CuadroTexto 23"/>
            <xdr:cNvSpPr txBox="1"/>
          </xdr:nvSpPr>
          <xdr:spPr>
            <a:xfrm>
              <a:off x="11462545" y="32707925"/>
              <a:ext cx="3095591" cy="383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𝑚_𝑏𝑔∗𝑃𝐶𝑁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=∫_𝑇𝑎^𝑇𝑎𝑑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〖[𝑛〗_𝑖 𝐴_𝑖+𝑛_𝑖 𝐵_𝑖∗𝑇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𝑛_𝑖 𝐶_𝑖∗𝑇^(−2)]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𝑑𝑇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221458</xdr:colOff>
      <xdr:row>98</xdr:row>
      <xdr:rowOff>166555</xdr:rowOff>
    </xdr:from>
    <xdr:ext cx="3501535" cy="195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12830177" y="9739180"/>
              <a:ext cx="3501535" cy="195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𝑏𝑔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𝑃𝐶𝑁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/2)∗</m:t>
                    </m:r>
                    <m:sSup>
                      <m:sSup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m:rPr>
                        <m:nor/>
                      </m:rPr>
                      <a:rPr lang="es-CO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  <m:sSubSup>
                      <m:sSubSup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𝑇𝑎</m:t>
                        </m:r>
                      </m:sub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𝑇𝑎𝑑</m:t>
                        </m:r>
                      </m:sup>
                    </m:sSub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5" name="CuadroTexto 24"/>
            <xdr:cNvSpPr txBox="1"/>
          </xdr:nvSpPr>
          <xdr:spPr>
            <a:xfrm>
              <a:off x="12830177" y="9739180"/>
              <a:ext cx="3501535" cy="195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𝑚_𝑏𝑔∗𝑃𝐶𝑁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=𝑅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〖[𝑛〗_𝑖 𝐴_𝑖∗𝑇+〖(𝑛〗_𝑖 𝐵_𝑖/2)∗𝑇^2 "−" 𝑛_𝑖 𝐶_𝑖∗𝑇^(−1)]/_𝑇𝑎^𝑇𝑎𝑑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232041</xdr:colOff>
      <xdr:row>100</xdr:row>
      <xdr:rowOff>190367</xdr:rowOff>
    </xdr:from>
    <xdr:ext cx="2741263" cy="1933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4900541" y="10155898"/>
              <a:ext cx="2741263" cy="1933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𝑇𝑎𝑑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𝑅𝐴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𝑎𝑑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𝑅𝐵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sSubSup>
                      <m:sSub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𝑎𝑑</m:t>
                        </m:r>
                      </m:sub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𝑅𝐶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sSubSup>
                      <m:sSub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𝑎𝑑</m:t>
                        </m:r>
                      </m:sub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bSup>
                    <m:r>
                      <a:rPr lang="es-CO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es-CO" sz="1100" b="0"/>
            </a:p>
          </xdr:txBody>
        </xdr:sp>
      </mc:Choice>
      <mc:Fallback xmlns="">
        <xdr:sp macro="" textlink="">
          <xdr:nvSpPr>
            <xdr:cNvPr id="26" name="CuadroTexto 25"/>
            <xdr:cNvSpPr txBox="1"/>
          </xdr:nvSpPr>
          <xdr:spPr>
            <a:xfrm>
              <a:off x="14900541" y="10155898"/>
              <a:ext cx="2741263" cy="1933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𝑓_((𝑇𝑎𝑑))=𝑅𝐴∗𝑇_𝑎𝑑+𝑅𝐵∗𝑇_𝑎𝑑^2+𝑅𝐶∗𝑇_𝑎𝑑^(−1)−𝐶</a:t>
              </a:r>
              <a:endParaRPr lang="es-CO" sz="1100" b="0"/>
            </a:p>
          </xdr:txBody>
        </xdr:sp>
      </mc:Fallback>
    </mc:AlternateContent>
    <xdr:clientData/>
  </xdr:oneCellAnchor>
  <xdr:oneCellAnchor>
    <xdr:from>
      <xdr:col>14</xdr:col>
      <xdr:colOff>557960</xdr:colOff>
      <xdr:row>103</xdr:row>
      <xdr:rowOff>250020</xdr:rowOff>
    </xdr:from>
    <xdr:ext cx="2396297" cy="1933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15624778" y="20581565"/>
              <a:ext cx="2396297" cy="1933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𝑇𝑎𝑑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𝑅𝐴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+2∗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𝑅𝐵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𝑎𝑑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𝑅𝐶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Sup>
                      <m:sSubSup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𝑎𝑑</m:t>
                        </m:r>
                      </m:sub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b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7" name="CuadroTexto 26"/>
            <xdr:cNvSpPr txBox="1"/>
          </xdr:nvSpPr>
          <xdr:spPr>
            <a:xfrm>
              <a:off x="15624778" y="20581565"/>
              <a:ext cx="2396297" cy="1933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𝑓′〗_((𝑇𝑎𝑑))=𝑅𝐴+2∗𝑅𝐵∗𝑇_𝑎𝑑−𝑅𝐶∗𝑇_𝑎𝑑^(−2)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1035750</xdr:colOff>
      <xdr:row>94</xdr:row>
      <xdr:rowOff>11906</xdr:rowOff>
    </xdr:from>
    <xdr:ext cx="1911741" cy="1857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6036375" y="8886031"/>
              <a:ext cx="1911741" cy="185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𝐵𝑇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𝐶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8" name="CuadroTexto 27"/>
            <xdr:cNvSpPr txBox="1"/>
          </xdr:nvSpPr>
          <xdr:spPr>
            <a:xfrm>
              <a:off x="6036375" y="8886031"/>
              <a:ext cx="1911741" cy="1857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𝐶_𝑝=𝑅[𝐴+𝐵𝑇+𝐶𝑇^2+𝐷𝑇^(−2)]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5</xdr:col>
      <xdr:colOff>419100</xdr:colOff>
      <xdr:row>78</xdr:row>
      <xdr:rowOff>19050</xdr:rowOff>
    </xdr:from>
    <xdr:to>
      <xdr:col>15</xdr:col>
      <xdr:colOff>142875</xdr:colOff>
      <xdr:row>92</xdr:row>
      <xdr:rowOff>177966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2850" y="15560675"/>
          <a:ext cx="11630025" cy="287354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47625</xdr:colOff>
      <xdr:row>223</xdr:row>
      <xdr:rowOff>19050</xdr:rowOff>
    </xdr:from>
    <xdr:ext cx="1791709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9277350" y="40852725"/>
              <a:ext cx="1791709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𝐶𝑝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=4,18∗(1−0,006∗</m:t>
                    </m:r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9" name="CuadroTexto 28"/>
            <xdr:cNvSpPr txBox="1"/>
          </xdr:nvSpPr>
          <xdr:spPr>
            <a:xfrm>
              <a:off x="9277350" y="40852725"/>
              <a:ext cx="1791709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CO" sz="1100" b="0" i="0">
                  <a:latin typeface="Cambria Math" panose="02040503050406030204" pitchFamily="18" charset="0"/>
                </a:rPr>
                <a:t>𝐶𝑝〗_𝑗=4,18∗(1−0,006∗𝐵_𝑗)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650081</xdr:colOff>
      <xdr:row>223</xdr:row>
      <xdr:rowOff>166688</xdr:rowOff>
    </xdr:from>
    <xdr:ext cx="1808637" cy="184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3259931" y="41000363"/>
              <a:ext cx="1808637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O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𝑅𝑞</m:t>
                      </m:r>
                    </m:sub>
                  </m:sSub>
                  <m:r>
                    <a:rPr lang="es-CO" sz="1100" b="0" i="1">
                      <a:latin typeface="Cambria Math" panose="02040503050406030204" pitchFamily="18" charset="0"/>
                    </a:rPr>
                    <m:t>= </m:t>
                  </m:r>
                </m:oMath>
              </a14:m>
              <a:r>
                <a:rPr lang="es-CO" sz="1100"/>
                <a:t>m*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es-CO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∆</m:t>
                  </m:r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𝑇</m:t>
                  </m:r>
                </m:oMath>
              </a14:m>
              <a:r>
                <a:rPr lang="es-CO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sSub>
                        <m:sSubPr>
                          <m:ctrlP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CO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e>
                        <m:sub>
                          <m:r>
                            <a:rPr lang="es-CO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𝑂</m:t>
                      </m:r>
                    </m:sub>
                  </m:sSub>
                  <m:r>
                    <a:rPr lang="es-CO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∆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𝐻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sub>
                  </m:sSub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31" name="CuadroTexto 30"/>
            <xdr:cNvSpPr txBox="1"/>
          </xdr:nvSpPr>
          <xdr:spPr>
            <a:xfrm>
              <a:off x="3259931" y="41000363"/>
              <a:ext cx="1808637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𝑄_𝑅𝑞= </a:t>
              </a:r>
              <a:r>
                <a:rPr lang="es-CO" sz="1100"/>
                <a:t>m*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𝐶_𝑝∗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</a:t>
              </a:r>
              <a:r>
                <a:rPr lang="es-CO" sz="1100"/>
                <a:t>+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𝑚_(𝐻_2 𝑂)∗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〗_𝑣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914400</xdr:colOff>
      <xdr:row>223</xdr:row>
      <xdr:rowOff>123825</xdr:rowOff>
    </xdr:from>
    <xdr:ext cx="272113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5686425" y="40957500"/>
              <a:ext cx="272113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𝑣𝑙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=2492,9−2,0523∗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−0,0030752∗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3" name="CuadroTexto 32"/>
            <xdr:cNvSpPr txBox="1"/>
          </xdr:nvSpPr>
          <xdr:spPr>
            <a:xfrm>
              <a:off x="5686425" y="40957500"/>
              <a:ext cx="272113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ℎ〗_</a:t>
              </a:r>
              <a:r>
                <a:rPr lang="es-CO" sz="1100" b="0" i="0">
                  <a:latin typeface="Cambria Math" panose="02040503050406030204" pitchFamily="18" charset="0"/>
                </a:rPr>
                <a:t>𝑣𝑙=2492,9−2,0523∗𝑡−0,0030752∗𝑡^2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30275</xdr:colOff>
      <xdr:row>80</xdr:row>
      <xdr:rowOff>21434</xdr:rowOff>
    </xdr:from>
    <xdr:to>
      <xdr:col>6</xdr:col>
      <xdr:colOff>781341</xdr:colOff>
      <xdr:row>93</xdr:row>
      <xdr:rowOff>188912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2625" y="12013409"/>
          <a:ext cx="3437116" cy="265350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151608</xdr:colOff>
      <xdr:row>65</xdr:row>
      <xdr:rowOff>21433</xdr:rowOff>
    </xdr:from>
    <xdr:to>
      <xdr:col>6</xdr:col>
      <xdr:colOff>1244674</xdr:colOff>
      <xdr:row>75</xdr:row>
      <xdr:rowOff>161926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3958" y="9108283"/>
          <a:ext cx="3779116" cy="206454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19886</xdr:colOff>
      <xdr:row>96</xdr:row>
      <xdr:rowOff>29482</xdr:rowOff>
    </xdr:from>
    <xdr:to>
      <xdr:col>6</xdr:col>
      <xdr:colOff>500672</xdr:colOff>
      <xdr:row>109</xdr:row>
      <xdr:rowOff>180842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5086" y="629557"/>
          <a:ext cx="3163661" cy="26278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39017</xdr:colOff>
      <xdr:row>112</xdr:row>
      <xdr:rowOff>35717</xdr:rowOff>
    </xdr:from>
    <xdr:to>
      <xdr:col>6</xdr:col>
      <xdr:colOff>501588</xdr:colOff>
      <xdr:row>125</xdr:row>
      <xdr:rowOff>166014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9717" y="635792"/>
          <a:ext cx="3145446" cy="260679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7686</xdr:colOff>
      <xdr:row>127</xdr:row>
      <xdr:rowOff>198438</xdr:rowOff>
    </xdr:from>
    <xdr:to>
      <xdr:col>6</xdr:col>
      <xdr:colOff>1058183</xdr:colOff>
      <xdr:row>141</xdr:row>
      <xdr:rowOff>175915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3936" y="21391563"/>
          <a:ext cx="3733372" cy="267622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14</xdr:col>
      <xdr:colOff>30275</xdr:colOff>
      <xdr:row>80</xdr:row>
      <xdr:rowOff>21434</xdr:rowOff>
    </xdr:from>
    <xdr:ext cx="3418066" cy="2643979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7400" y="11832434"/>
          <a:ext cx="3418066" cy="264397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151608</xdr:colOff>
      <xdr:row>65</xdr:row>
      <xdr:rowOff>21433</xdr:rowOff>
    </xdr:from>
    <xdr:ext cx="3760066" cy="2045492"/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733" y="8974933"/>
          <a:ext cx="3760066" cy="204549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19886</xdr:colOff>
      <xdr:row>96</xdr:row>
      <xdr:rowOff>29482</xdr:rowOff>
    </xdr:from>
    <xdr:ext cx="3163661" cy="2627859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7011" y="14888482"/>
          <a:ext cx="3163661" cy="26278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39017</xdr:colOff>
      <xdr:row>112</xdr:row>
      <xdr:rowOff>35717</xdr:rowOff>
    </xdr:from>
    <xdr:ext cx="3145446" cy="2606797"/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6142" y="17942717"/>
          <a:ext cx="3145446" cy="260679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39436</xdr:colOff>
      <xdr:row>128</xdr:row>
      <xdr:rowOff>23813</xdr:rowOff>
    </xdr:from>
    <xdr:ext cx="3717497" cy="2644478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6561" y="20978813"/>
          <a:ext cx="3717497" cy="264447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30275</xdr:colOff>
      <xdr:row>80</xdr:row>
      <xdr:rowOff>21434</xdr:rowOff>
    </xdr:from>
    <xdr:ext cx="3418066" cy="2643979"/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7400" y="11832434"/>
          <a:ext cx="3418066" cy="264397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151608</xdr:colOff>
      <xdr:row>65</xdr:row>
      <xdr:rowOff>21433</xdr:rowOff>
    </xdr:from>
    <xdr:ext cx="3760066" cy="2045492"/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733" y="8974933"/>
          <a:ext cx="3760066" cy="204549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19886</xdr:colOff>
      <xdr:row>96</xdr:row>
      <xdr:rowOff>29482</xdr:rowOff>
    </xdr:from>
    <xdr:ext cx="3163661" cy="2627859"/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7011" y="14888482"/>
          <a:ext cx="3163661" cy="26278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39017</xdr:colOff>
      <xdr:row>112</xdr:row>
      <xdr:rowOff>35717</xdr:rowOff>
    </xdr:from>
    <xdr:ext cx="3145446" cy="2606797"/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6142" y="17942717"/>
          <a:ext cx="3145446" cy="260679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39436</xdr:colOff>
      <xdr:row>128</xdr:row>
      <xdr:rowOff>23813</xdr:rowOff>
    </xdr:from>
    <xdr:ext cx="3717497" cy="2644478"/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6561" y="20978813"/>
          <a:ext cx="3717497" cy="264447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34</xdr:col>
      <xdr:colOff>30275</xdr:colOff>
      <xdr:row>80</xdr:row>
      <xdr:rowOff>21434</xdr:rowOff>
    </xdr:from>
    <xdr:ext cx="3418066" cy="2643979"/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7400" y="11832434"/>
          <a:ext cx="3418066" cy="264397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34</xdr:col>
      <xdr:colOff>151608</xdr:colOff>
      <xdr:row>65</xdr:row>
      <xdr:rowOff>21433</xdr:rowOff>
    </xdr:from>
    <xdr:ext cx="3760066" cy="2045492"/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733" y="8974933"/>
          <a:ext cx="3760066" cy="204549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34</xdr:col>
      <xdr:colOff>19886</xdr:colOff>
      <xdr:row>96</xdr:row>
      <xdr:rowOff>29482</xdr:rowOff>
    </xdr:from>
    <xdr:ext cx="3163661" cy="2627859"/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7011" y="14888482"/>
          <a:ext cx="3163661" cy="26278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34</xdr:col>
      <xdr:colOff>39017</xdr:colOff>
      <xdr:row>112</xdr:row>
      <xdr:rowOff>35717</xdr:rowOff>
    </xdr:from>
    <xdr:ext cx="3145446" cy="2606797"/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6142" y="17942717"/>
          <a:ext cx="3145446" cy="260679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34</xdr:col>
      <xdr:colOff>39436</xdr:colOff>
      <xdr:row>128</xdr:row>
      <xdr:rowOff>23813</xdr:rowOff>
    </xdr:from>
    <xdr:ext cx="3717497" cy="2644478"/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6561" y="20978813"/>
          <a:ext cx="3717497" cy="264447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44</xdr:col>
      <xdr:colOff>30275</xdr:colOff>
      <xdr:row>80</xdr:row>
      <xdr:rowOff>21434</xdr:rowOff>
    </xdr:from>
    <xdr:ext cx="3418066" cy="2643979"/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7400" y="11832434"/>
          <a:ext cx="3418066" cy="264397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44</xdr:col>
      <xdr:colOff>151608</xdr:colOff>
      <xdr:row>65</xdr:row>
      <xdr:rowOff>21433</xdr:rowOff>
    </xdr:from>
    <xdr:ext cx="3760066" cy="2045492"/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733" y="8974933"/>
          <a:ext cx="3760066" cy="204549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44</xdr:col>
      <xdr:colOff>19886</xdr:colOff>
      <xdr:row>96</xdr:row>
      <xdr:rowOff>29482</xdr:rowOff>
    </xdr:from>
    <xdr:ext cx="3163661" cy="2627859"/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7011" y="14888482"/>
          <a:ext cx="3163661" cy="26278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44</xdr:col>
      <xdr:colOff>39017</xdr:colOff>
      <xdr:row>112</xdr:row>
      <xdr:rowOff>35717</xdr:rowOff>
    </xdr:from>
    <xdr:ext cx="3145446" cy="2606797"/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6142" y="17942717"/>
          <a:ext cx="3145446" cy="260679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44</xdr:col>
      <xdr:colOff>39436</xdr:colOff>
      <xdr:row>128</xdr:row>
      <xdr:rowOff>23813</xdr:rowOff>
    </xdr:from>
    <xdr:ext cx="3717497" cy="2644478"/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6561" y="20978813"/>
          <a:ext cx="3717497" cy="264447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30275</xdr:colOff>
      <xdr:row>80</xdr:row>
      <xdr:rowOff>21434</xdr:rowOff>
    </xdr:from>
    <xdr:ext cx="3418066" cy="2643979"/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7400" y="11832434"/>
          <a:ext cx="3418066" cy="264397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151608</xdr:colOff>
      <xdr:row>65</xdr:row>
      <xdr:rowOff>21433</xdr:rowOff>
    </xdr:from>
    <xdr:ext cx="3760066" cy="2045492"/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733" y="8974933"/>
          <a:ext cx="3760066" cy="204549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19886</xdr:colOff>
      <xdr:row>96</xdr:row>
      <xdr:rowOff>29482</xdr:rowOff>
    </xdr:from>
    <xdr:ext cx="3163661" cy="2627859"/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7011" y="14888482"/>
          <a:ext cx="3163661" cy="26278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39017</xdr:colOff>
      <xdr:row>112</xdr:row>
      <xdr:rowOff>35717</xdr:rowOff>
    </xdr:from>
    <xdr:ext cx="3145446" cy="2606797"/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6142" y="17942717"/>
          <a:ext cx="3145446" cy="260679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54</xdr:col>
      <xdr:colOff>39436</xdr:colOff>
      <xdr:row>128</xdr:row>
      <xdr:rowOff>23813</xdr:rowOff>
    </xdr:from>
    <xdr:ext cx="3717497" cy="2644478"/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6561" y="20978813"/>
          <a:ext cx="3717497" cy="264447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64</xdr:col>
      <xdr:colOff>30275</xdr:colOff>
      <xdr:row>80</xdr:row>
      <xdr:rowOff>21434</xdr:rowOff>
    </xdr:from>
    <xdr:ext cx="3418066" cy="2643979"/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7400" y="11832434"/>
          <a:ext cx="3418066" cy="264397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64</xdr:col>
      <xdr:colOff>151608</xdr:colOff>
      <xdr:row>65</xdr:row>
      <xdr:rowOff>21433</xdr:rowOff>
    </xdr:from>
    <xdr:ext cx="3760066" cy="2045492"/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733" y="8974933"/>
          <a:ext cx="3760066" cy="204549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64</xdr:col>
      <xdr:colOff>19886</xdr:colOff>
      <xdr:row>96</xdr:row>
      <xdr:rowOff>29482</xdr:rowOff>
    </xdr:from>
    <xdr:ext cx="3163661" cy="2627859"/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7011" y="14888482"/>
          <a:ext cx="3163661" cy="26278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64</xdr:col>
      <xdr:colOff>39017</xdr:colOff>
      <xdr:row>112</xdr:row>
      <xdr:rowOff>35717</xdr:rowOff>
    </xdr:from>
    <xdr:ext cx="3145446" cy="2606797"/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6142" y="17942717"/>
          <a:ext cx="3145446" cy="260679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64</xdr:col>
      <xdr:colOff>39436</xdr:colOff>
      <xdr:row>128</xdr:row>
      <xdr:rowOff>23813</xdr:rowOff>
    </xdr:from>
    <xdr:ext cx="3717497" cy="2644478"/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6561" y="20978813"/>
          <a:ext cx="3717497" cy="264447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74</xdr:col>
      <xdr:colOff>30275</xdr:colOff>
      <xdr:row>80</xdr:row>
      <xdr:rowOff>21434</xdr:rowOff>
    </xdr:from>
    <xdr:ext cx="3418066" cy="2643979"/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7400" y="11832434"/>
          <a:ext cx="3418066" cy="264397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74</xdr:col>
      <xdr:colOff>151608</xdr:colOff>
      <xdr:row>65</xdr:row>
      <xdr:rowOff>21433</xdr:rowOff>
    </xdr:from>
    <xdr:ext cx="3760066" cy="2045492"/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733" y="8974933"/>
          <a:ext cx="3760066" cy="204549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74</xdr:col>
      <xdr:colOff>19886</xdr:colOff>
      <xdr:row>96</xdr:row>
      <xdr:rowOff>29482</xdr:rowOff>
    </xdr:from>
    <xdr:ext cx="3163661" cy="2627859"/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7011" y="14888482"/>
          <a:ext cx="3163661" cy="26278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74</xdr:col>
      <xdr:colOff>39017</xdr:colOff>
      <xdr:row>112</xdr:row>
      <xdr:rowOff>35717</xdr:rowOff>
    </xdr:from>
    <xdr:ext cx="3145446" cy="2606797"/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6142" y="17942717"/>
          <a:ext cx="3145446" cy="260679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74</xdr:col>
      <xdr:colOff>39436</xdr:colOff>
      <xdr:row>128</xdr:row>
      <xdr:rowOff>23813</xdr:rowOff>
    </xdr:from>
    <xdr:ext cx="3717497" cy="2644478"/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6561" y="20978813"/>
          <a:ext cx="3717497" cy="264447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365125</xdr:colOff>
      <xdr:row>180</xdr:row>
      <xdr:rowOff>49211</xdr:rowOff>
    </xdr:from>
    <xdr:to>
      <xdr:col>17</xdr:col>
      <xdr:colOff>857250</xdr:colOff>
      <xdr:row>201</xdr:row>
      <xdr:rowOff>142874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87312</xdr:colOff>
      <xdr:row>213</xdr:row>
      <xdr:rowOff>65087</xdr:rowOff>
    </xdr:from>
    <xdr:to>
      <xdr:col>15</xdr:col>
      <xdr:colOff>87312</xdr:colOff>
      <xdr:row>227</xdr:row>
      <xdr:rowOff>141287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351633</xdr:colOff>
      <xdr:row>1</xdr:row>
      <xdr:rowOff>40483</xdr:rowOff>
    </xdr:from>
    <xdr:to>
      <xdr:col>19</xdr:col>
      <xdr:colOff>320749</xdr:colOff>
      <xdr:row>11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9633" y="230983"/>
          <a:ext cx="3779116" cy="206454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1</xdr:row>
      <xdr:rowOff>0</xdr:rowOff>
    </xdr:from>
    <xdr:to>
      <xdr:col>14</xdr:col>
      <xdr:colOff>238125</xdr:colOff>
      <xdr:row>19</xdr:row>
      <xdr:rowOff>148319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190500"/>
          <a:ext cx="2514600" cy="361541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8576"/>
  <sheetViews>
    <sheetView zoomScale="80" zoomScaleNormal="80" workbookViewId="0">
      <selection activeCell="M40" sqref="M40"/>
    </sheetView>
  </sheetViews>
  <sheetFormatPr baseColWidth="10" defaultColWidth="9.140625" defaultRowHeight="15" x14ac:dyDescent="0.25"/>
  <cols>
    <col min="1" max="1" width="9.140625" style="14"/>
    <col min="2" max="2" width="32.42578125" style="207" bestFit="1" customWidth="1"/>
    <col min="3" max="3" width="15.7109375" style="14" customWidth="1"/>
    <col min="4" max="10" width="16.7109375" style="14" customWidth="1"/>
    <col min="11" max="11" width="19.140625" style="14" customWidth="1"/>
    <col min="12" max="12" width="20" style="14" customWidth="1"/>
    <col min="13" max="13" width="19.5703125" style="14" customWidth="1"/>
    <col min="14" max="14" width="18.42578125" style="14" customWidth="1"/>
    <col min="15" max="15" width="18.28515625" style="14" customWidth="1"/>
    <col min="16" max="16" width="14.7109375" style="14" bestFit="1" customWidth="1"/>
    <col min="17" max="17" width="24.5703125" style="14" bestFit="1" customWidth="1"/>
    <col min="18" max="18" width="14.7109375" style="14" bestFit="1" customWidth="1"/>
    <col min="19" max="19" width="12.28515625" style="14" bestFit="1" customWidth="1"/>
    <col min="20" max="20" width="6.42578125" style="14" bestFit="1" customWidth="1"/>
    <col min="21" max="21" width="9.140625" style="14"/>
    <col min="22" max="22" width="9.140625" style="229"/>
    <col min="23" max="16384" width="9.140625" style="14"/>
  </cols>
  <sheetData>
    <row r="1" spans="1:22" ht="15.75" thickBot="1" x14ac:dyDescent="0.3">
      <c r="A1" s="359"/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1"/>
    </row>
    <row r="2" spans="1:22" ht="15.75" thickBot="1" x14ac:dyDescent="0.3">
      <c r="V2" s="230"/>
    </row>
    <row r="3" spans="1:22" ht="15.75" thickBot="1" x14ac:dyDescent="0.3">
      <c r="B3" s="208" t="s">
        <v>0</v>
      </c>
      <c r="C3" s="23"/>
      <c r="D3" s="23"/>
      <c r="E3" s="24"/>
      <c r="G3" s="379" t="s">
        <v>80</v>
      </c>
      <c r="H3" s="380"/>
      <c r="I3" s="380"/>
      <c r="J3" s="381"/>
      <c r="K3" s="135"/>
      <c r="L3" s="379" t="s">
        <v>81</v>
      </c>
      <c r="M3" s="380"/>
      <c r="N3" s="380"/>
      <c r="O3" s="381"/>
      <c r="P3" s="135"/>
      <c r="Q3" s="31" t="s">
        <v>92</v>
      </c>
      <c r="R3" s="32"/>
      <c r="S3" s="32"/>
      <c r="T3" s="33"/>
      <c r="V3" s="230"/>
    </row>
    <row r="4" spans="1:22" x14ac:dyDescent="0.25">
      <c r="B4" s="10" t="s">
        <v>1</v>
      </c>
      <c r="C4" s="1" t="s">
        <v>2</v>
      </c>
      <c r="D4" s="1">
        <v>30</v>
      </c>
      <c r="E4" s="2" t="s">
        <v>3</v>
      </c>
      <c r="G4" s="420"/>
      <c r="H4" s="421"/>
      <c r="I4" s="421"/>
      <c r="J4" s="422"/>
      <c r="K4" s="135"/>
      <c r="L4" s="368"/>
      <c r="M4" s="369"/>
      <c r="N4" s="369"/>
      <c r="O4" s="370"/>
      <c r="P4" s="135"/>
      <c r="Q4" s="365"/>
      <c r="R4" s="366"/>
      <c r="S4" s="366"/>
      <c r="T4" s="367"/>
      <c r="V4" s="230"/>
    </row>
    <row r="5" spans="1:22" ht="15.75" thickBot="1" x14ac:dyDescent="0.3">
      <c r="B5" s="131" t="s">
        <v>4</v>
      </c>
      <c r="C5" s="132" t="s">
        <v>5</v>
      </c>
      <c r="D5" s="15">
        <v>0.31430000000000002</v>
      </c>
      <c r="E5" s="133" t="s">
        <v>6</v>
      </c>
      <c r="G5" s="34" t="s">
        <v>40</v>
      </c>
      <c r="H5" s="35" t="s">
        <v>41</v>
      </c>
      <c r="I5" s="36">
        <f>(D4*D11)/D8+((D4*D11)/D8)*D6+((D4*D11)/D8)*D7</f>
        <v>174.71294117647057</v>
      </c>
      <c r="J5" s="37" t="s">
        <v>3</v>
      </c>
      <c r="K5" s="135"/>
      <c r="L5" s="371"/>
      <c r="M5" s="372"/>
      <c r="N5" s="372"/>
      <c r="O5" s="373"/>
      <c r="P5" s="135"/>
      <c r="Q5" s="174" t="s">
        <v>95</v>
      </c>
      <c r="R5" s="175" t="s">
        <v>96</v>
      </c>
      <c r="S5" s="175">
        <f>17.85-20.35*D14</f>
        <v>6.8711750000000027</v>
      </c>
      <c r="T5" s="176" t="s">
        <v>97</v>
      </c>
      <c r="V5" s="230"/>
    </row>
    <row r="6" spans="1:22" x14ac:dyDescent="0.25">
      <c r="B6" s="131" t="s">
        <v>63</v>
      </c>
      <c r="C6" s="132" t="s">
        <v>66</v>
      </c>
      <c r="D6" s="15">
        <v>0.02</v>
      </c>
      <c r="E6" s="133" t="s">
        <v>6</v>
      </c>
      <c r="G6" s="420"/>
      <c r="H6" s="421"/>
      <c r="I6" s="421"/>
      <c r="J6" s="422"/>
      <c r="K6" s="135"/>
      <c r="L6" s="38" t="s">
        <v>83</v>
      </c>
      <c r="M6" s="39" t="s">
        <v>85</v>
      </c>
      <c r="N6" s="40">
        <f>D25+0.2209*EXP(0.0557*D9)</f>
        <v>95.688629839579036</v>
      </c>
      <c r="O6" s="41" t="s">
        <v>20</v>
      </c>
      <c r="P6" s="135"/>
      <c r="Q6" s="365"/>
      <c r="R6" s="366"/>
      <c r="S6" s="366"/>
      <c r="T6" s="367"/>
      <c r="V6" s="230"/>
    </row>
    <row r="7" spans="1:22" x14ac:dyDescent="0.25">
      <c r="B7" s="131" t="s">
        <v>64</v>
      </c>
      <c r="C7" s="132" t="s">
        <v>65</v>
      </c>
      <c r="D7" s="15">
        <v>0.04</v>
      </c>
      <c r="E7" s="133" t="s">
        <v>6</v>
      </c>
      <c r="G7" s="38" t="s">
        <v>42</v>
      </c>
      <c r="H7" s="39" t="s">
        <v>43</v>
      </c>
      <c r="I7" s="40">
        <f>I5/D16</f>
        <v>291.18823529411765</v>
      </c>
      <c r="J7" s="41" t="s">
        <v>3</v>
      </c>
      <c r="K7" s="135"/>
      <c r="L7" s="38" t="s">
        <v>82</v>
      </c>
      <c r="M7" s="39" t="s">
        <v>86</v>
      </c>
      <c r="N7" s="39">
        <f>D25+0.2209*EXP(0.0557*D10)</f>
        <v>109.25096218777557</v>
      </c>
      <c r="O7" s="41" t="s">
        <v>20</v>
      </c>
      <c r="P7" s="135"/>
      <c r="Q7" s="174" t="s">
        <v>93</v>
      </c>
      <c r="R7" s="175" t="s">
        <v>94</v>
      </c>
      <c r="S7" s="175">
        <f>N22/D5</f>
        <v>351.07396150068587</v>
      </c>
      <c r="T7" s="176" t="s">
        <v>48</v>
      </c>
      <c r="V7" s="230"/>
    </row>
    <row r="8" spans="1:22" ht="15.75" thickBot="1" x14ac:dyDescent="0.3">
      <c r="B8" s="10" t="s">
        <v>32</v>
      </c>
      <c r="C8" s="1" t="s">
        <v>33</v>
      </c>
      <c r="D8" s="1">
        <v>17</v>
      </c>
      <c r="E8" s="2" t="s">
        <v>34</v>
      </c>
      <c r="G8" s="42" t="s">
        <v>44</v>
      </c>
      <c r="H8" s="35" t="s">
        <v>45</v>
      </c>
      <c r="I8" s="36">
        <f>I5-D4</f>
        <v>144.71294117647057</v>
      </c>
      <c r="J8" s="37" t="s">
        <v>3</v>
      </c>
      <c r="K8" s="135"/>
      <c r="L8" s="43" t="s">
        <v>84</v>
      </c>
      <c r="M8" s="39" t="s">
        <v>87</v>
      </c>
      <c r="N8" s="39">
        <f>D25+0.2209*EXP(0.0557*D11)</f>
        <v>134.9861525810787</v>
      </c>
      <c r="O8" s="41" t="s">
        <v>20</v>
      </c>
      <c r="P8" s="135"/>
      <c r="Q8" s="365"/>
      <c r="R8" s="366"/>
      <c r="S8" s="366"/>
      <c r="T8" s="367"/>
      <c r="V8" s="230"/>
    </row>
    <row r="9" spans="1:22" x14ac:dyDescent="0.25">
      <c r="B9" s="10" t="s">
        <v>35</v>
      </c>
      <c r="C9" s="1" t="s">
        <v>36</v>
      </c>
      <c r="D9" s="1">
        <v>24</v>
      </c>
      <c r="E9" s="2" t="s">
        <v>34</v>
      </c>
      <c r="G9" s="417"/>
      <c r="H9" s="418"/>
      <c r="I9" s="418"/>
      <c r="J9" s="419"/>
      <c r="K9" s="135"/>
      <c r="L9" s="374"/>
      <c r="M9" s="375"/>
      <c r="N9" s="375"/>
      <c r="O9" s="376"/>
      <c r="P9" s="135"/>
      <c r="Q9" s="174" t="s">
        <v>98</v>
      </c>
      <c r="R9" s="175" t="s">
        <v>99</v>
      </c>
      <c r="S9" s="175">
        <f>S7/1000</f>
        <v>0.35107396150068587</v>
      </c>
      <c r="T9" s="176" t="s">
        <v>91</v>
      </c>
      <c r="V9" s="230"/>
    </row>
    <row r="10" spans="1:22" x14ac:dyDescent="0.25">
      <c r="B10" s="10" t="s">
        <v>70</v>
      </c>
      <c r="C10" s="1" t="s">
        <v>37</v>
      </c>
      <c r="D10" s="1">
        <v>75</v>
      </c>
      <c r="E10" s="2" t="s">
        <v>34</v>
      </c>
      <c r="G10" s="38" t="s">
        <v>71</v>
      </c>
      <c r="H10" s="40" t="s">
        <v>31</v>
      </c>
      <c r="I10" s="40">
        <f>I5-I5*D6-I5*D7</f>
        <v>164.23016470588234</v>
      </c>
      <c r="J10" s="41" t="s">
        <v>30</v>
      </c>
      <c r="K10" s="135"/>
      <c r="L10" s="43" t="s">
        <v>78</v>
      </c>
      <c r="M10" s="44" t="s">
        <v>25</v>
      </c>
      <c r="N10" s="39">
        <f>2492.9-2.0523*((D25+N6)/2)-0.0030752*((D25+N6)/2)^2</f>
        <v>2269.4705605296467</v>
      </c>
      <c r="O10" s="45" t="s">
        <v>26</v>
      </c>
      <c r="P10" s="135"/>
      <c r="Q10" s="365"/>
      <c r="R10" s="366"/>
      <c r="S10" s="366"/>
      <c r="T10" s="367"/>
      <c r="V10" s="230"/>
    </row>
    <row r="11" spans="1:22" x14ac:dyDescent="0.25">
      <c r="B11" s="10" t="s">
        <v>38</v>
      </c>
      <c r="C11" s="1" t="s">
        <v>7</v>
      </c>
      <c r="D11" s="1">
        <v>93.4</v>
      </c>
      <c r="E11" s="2" t="s">
        <v>34</v>
      </c>
      <c r="G11" s="38" t="s">
        <v>72</v>
      </c>
      <c r="H11" s="40" t="s">
        <v>29</v>
      </c>
      <c r="I11" s="40">
        <f>I10*D8/D9</f>
        <v>116.3297</v>
      </c>
      <c r="J11" s="41" t="s">
        <v>30</v>
      </c>
      <c r="K11" s="135"/>
      <c r="L11" s="43" t="s">
        <v>77</v>
      </c>
      <c r="M11" s="44" t="s">
        <v>25</v>
      </c>
      <c r="N11" s="39">
        <f>2492.9-2.0523*((N6+N7)/2)-0.0030752*((N6+N7)/2)^2</f>
        <v>2250.3114559119263</v>
      </c>
      <c r="O11" s="45" t="s">
        <v>26</v>
      </c>
      <c r="P11" s="135"/>
      <c r="Q11" s="43" t="s">
        <v>100</v>
      </c>
      <c r="R11" s="39" t="s">
        <v>101</v>
      </c>
      <c r="S11" s="39">
        <f>I7-I5</f>
        <v>116.47529411764708</v>
      </c>
      <c r="T11" s="176" t="s">
        <v>90</v>
      </c>
      <c r="V11" s="230"/>
    </row>
    <row r="12" spans="1:22" ht="15.75" thickBot="1" x14ac:dyDescent="0.3">
      <c r="B12" s="10" t="s">
        <v>67</v>
      </c>
      <c r="C12" s="132" t="s">
        <v>7</v>
      </c>
      <c r="D12" s="1">
        <f>D11</f>
        <v>93.4</v>
      </c>
      <c r="E12" s="2" t="s">
        <v>34</v>
      </c>
      <c r="G12" s="42" t="s">
        <v>73</v>
      </c>
      <c r="H12" s="36" t="s">
        <v>52</v>
      </c>
      <c r="I12" s="36">
        <f>I11*D9/D10</f>
        <v>37.225504000000001</v>
      </c>
      <c r="J12" s="37" t="s">
        <v>30</v>
      </c>
      <c r="K12" s="135"/>
      <c r="L12" s="43" t="s">
        <v>79</v>
      </c>
      <c r="M12" s="44" t="s">
        <v>25</v>
      </c>
      <c r="N12" s="39">
        <f>2492.9-2.0523*((N7+N8)/2)-0.0030752*((N7+N8)/2)^2</f>
        <v>2196.4158052642438</v>
      </c>
      <c r="O12" s="45" t="s">
        <v>26</v>
      </c>
      <c r="P12" s="135"/>
      <c r="Q12" s="365"/>
      <c r="R12" s="366"/>
      <c r="S12" s="366"/>
      <c r="T12" s="367"/>
      <c r="V12" s="230"/>
    </row>
    <row r="13" spans="1:22" ht="15.75" thickBot="1" x14ac:dyDescent="0.3">
      <c r="B13" s="19" t="s">
        <v>177</v>
      </c>
      <c r="C13" s="20" t="s">
        <v>178</v>
      </c>
      <c r="D13" s="21" t="s">
        <v>176</v>
      </c>
      <c r="E13" s="22" t="s">
        <v>105</v>
      </c>
      <c r="G13" s="414" t="s">
        <v>88</v>
      </c>
      <c r="H13" s="415"/>
      <c r="I13" s="415"/>
      <c r="J13" s="416"/>
      <c r="K13" s="135"/>
      <c r="L13" s="374"/>
      <c r="M13" s="375"/>
      <c r="N13" s="375"/>
      <c r="O13" s="376"/>
      <c r="P13" s="135"/>
      <c r="Q13" s="177" t="s">
        <v>102</v>
      </c>
      <c r="R13" s="178" t="s">
        <v>103</v>
      </c>
      <c r="S13" s="178">
        <f>S11*((100%-D20)/(100%-D14))</f>
        <v>116.47529411764708</v>
      </c>
      <c r="T13" s="179" t="s">
        <v>90</v>
      </c>
      <c r="V13" s="230"/>
    </row>
    <row r="14" spans="1:22" x14ac:dyDescent="0.25">
      <c r="B14" s="131" t="s">
        <v>8</v>
      </c>
      <c r="C14" s="132" t="s">
        <v>9</v>
      </c>
      <c r="D14" s="15">
        <f>IF(D13 = "Plana",30%,D20)</f>
        <v>0.53949999999999987</v>
      </c>
      <c r="E14" s="133" t="s">
        <v>6</v>
      </c>
      <c r="G14" s="385"/>
      <c r="H14" s="386"/>
      <c r="I14" s="386"/>
      <c r="J14" s="387"/>
      <c r="K14" s="135"/>
      <c r="L14" s="43" t="s">
        <v>49</v>
      </c>
      <c r="M14" s="40" t="s">
        <v>27</v>
      </c>
      <c r="N14" s="40">
        <f>4.18*(1-0.006*D8)</f>
        <v>3.7536399999999999</v>
      </c>
      <c r="O14" s="41" t="s">
        <v>28</v>
      </c>
      <c r="P14" s="135"/>
      <c r="Q14" s="180"/>
      <c r="R14" s="180"/>
      <c r="S14" s="180"/>
      <c r="T14" s="180"/>
      <c r="V14" s="230"/>
    </row>
    <row r="15" spans="1:22" x14ac:dyDescent="0.25">
      <c r="B15" s="131" t="s">
        <v>10</v>
      </c>
      <c r="C15" s="134" t="s">
        <v>11</v>
      </c>
      <c r="D15" s="16">
        <v>1.8</v>
      </c>
      <c r="E15" s="133"/>
      <c r="G15" s="43" t="s">
        <v>56</v>
      </c>
      <c r="H15" s="46" t="s">
        <v>57</v>
      </c>
      <c r="I15" s="39">
        <f>997.39+4.46*D8</f>
        <v>1073.21</v>
      </c>
      <c r="J15" s="45" t="s">
        <v>58</v>
      </c>
      <c r="K15" s="135"/>
      <c r="L15" s="43" t="s">
        <v>50</v>
      </c>
      <c r="M15" s="40" t="s">
        <v>27</v>
      </c>
      <c r="N15" s="40">
        <f>4.18*(1-0.006*D9)</f>
        <v>3.5780799999999995</v>
      </c>
      <c r="O15" s="41" t="s">
        <v>28</v>
      </c>
      <c r="P15" s="135"/>
      <c r="Q15" s="14" t="s">
        <v>531</v>
      </c>
      <c r="R15" s="180"/>
      <c r="S15" s="180">
        <f>D26*D4/(1-D14)</f>
        <v>91.205211726384334</v>
      </c>
      <c r="T15" s="180" t="s">
        <v>30</v>
      </c>
      <c r="V15" s="230"/>
    </row>
    <row r="16" spans="1:22" ht="15.75" thickBot="1" x14ac:dyDescent="0.3">
      <c r="B16" s="10" t="s">
        <v>12</v>
      </c>
      <c r="C16" s="1" t="s">
        <v>13</v>
      </c>
      <c r="D16" s="12">
        <v>0.6</v>
      </c>
      <c r="E16" s="2" t="s">
        <v>6</v>
      </c>
      <c r="G16" s="43" t="s">
        <v>59</v>
      </c>
      <c r="H16" s="46" t="s">
        <v>60</v>
      </c>
      <c r="I16" s="39">
        <f>997.39+4.46*D9</f>
        <v>1104.43</v>
      </c>
      <c r="J16" s="45" t="s">
        <v>58</v>
      </c>
      <c r="K16" s="135"/>
      <c r="L16" s="47" t="s">
        <v>51</v>
      </c>
      <c r="M16" s="48" t="s">
        <v>27</v>
      </c>
      <c r="N16" s="48">
        <f>4.18*(1-0.006*D10)</f>
        <v>2.2989999999999999</v>
      </c>
      <c r="O16" s="49" t="s">
        <v>28</v>
      </c>
      <c r="P16" s="135"/>
      <c r="Q16" s="180"/>
      <c r="R16" s="180"/>
      <c r="S16" s="180"/>
      <c r="T16" s="180"/>
      <c r="V16" s="230"/>
    </row>
    <row r="17" spans="1:24" ht="15.75" thickBot="1" x14ac:dyDescent="0.3">
      <c r="B17" s="10" t="s">
        <v>14</v>
      </c>
      <c r="C17" s="1" t="s">
        <v>39</v>
      </c>
      <c r="D17" s="12">
        <v>0.14000000000000001</v>
      </c>
      <c r="E17" s="2" t="s">
        <v>6</v>
      </c>
      <c r="G17" s="34" t="s">
        <v>61</v>
      </c>
      <c r="H17" s="50" t="s">
        <v>62</v>
      </c>
      <c r="I17" s="35">
        <f>997.39+4.46*D10</f>
        <v>1331.8899999999999</v>
      </c>
      <c r="J17" s="51" t="s">
        <v>58</v>
      </c>
      <c r="K17" s="135"/>
      <c r="L17" s="385"/>
      <c r="M17" s="386"/>
      <c r="N17" s="386"/>
      <c r="O17" s="387"/>
      <c r="P17" s="135"/>
      <c r="Q17" s="135"/>
      <c r="R17" s="135"/>
      <c r="S17" s="135">
        <v>14.5</v>
      </c>
      <c r="T17" s="135"/>
      <c r="V17" s="230"/>
    </row>
    <row r="18" spans="1:24" x14ac:dyDescent="0.25">
      <c r="B18" s="10" t="s">
        <v>15</v>
      </c>
      <c r="C18" s="1" t="s">
        <v>16</v>
      </c>
      <c r="D18" s="1">
        <v>1610</v>
      </c>
      <c r="E18" s="2" t="s">
        <v>17</v>
      </c>
      <c r="G18" s="135"/>
      <c r="H18" s="135"/>
      <c r="I18" s="135"/>
      <c r="J18" s="135"/>
      <c r="K18" s="135"/>
      <c r="L18" s="43" t="s">
        <v>74</v>
      </c>
      <c r="M18" s="40" t="s">
        <v>53</v>
      </c>
      <c r="N18" s="40">
        <f>(I10*N14*(N6-D19)+(I10-I11)*N10)/3600</f>
        <v>42.815237415166955</v>
      </c>
      <c r="O18" s="41" t="s">
        <v>48</v>
      </c>
      <c r="P18" s="135"/>
      <c r="Q18" s="135"/>
      <c r="R18" s="135"/>
      <c r="S18" s="135"/>
      <c r="T18" s="135"/>
      <c r="V18" s="230"/>
    </row>
    <row r="19" spans="1:24" ht="15.75" thickBot="1" x14ac:dyDescent="0.3">
      <c r="B19" s="11" t="s">
        <v>18</v>
      </c>
      <c r="C19" s="3" t="s">
        <v>19</v>
      </c>
      <c r="D19" s="3">
        <v>22</v>
      </c>
      <c r="E19" s="4" t="s">
        <v>20</v>
      </c>
      <c r="G19" s="135"/>
      <c r="H19" s="135"/>
      <c r="I19" s="135"/>
      <c r="J19" s="135"/>
      <c r="K19" s="135"/>
      <c r="L19" s="43" t="s">
        <v>75</v>
      </c>
      <c r="M19" s="40" t="s">
        <v>54</v>
      </c>
      <c r="N19" s="40">
        <f>(I11*N15*(N7-N6)+(I11-I12)*N11)/3600</f>
        <v>51.015061842391724</v>
      </c>
      <c r="O19" s="41" t="s">
        <v>48</v>
      </c>
      <c r="P19" s="135"/>
      <c r="Q19" s="135"/>
      <c r="R19" s="135"/>
      <c r="S19" s="135"/>
      <c r="T19" s="135"/>
      <c r="V19" s="230"/>
    </row>
    <row r="20" spans="1:24" x14ac:dyDescent="0.25">
      <c r="B20" s="209" t="s">
        <v>68</v>
      </c>
      <c r="C20" s="5" t="s">
        <v>69</v>
      </c>
      <c r="D20" s="13">
        <f>((I5-I5*(D16+D17))-(I5-I5*(D16+D17))*(D8/100))/(I5*(1-D16))</f>
        <v>0.53949999999999987</v>
      </c>
      <c r="E20" s="26" t="s">
        <v>6</v>
      </c>
      <c r="G20" s="135"/>
      <c r="H20" s="135"/>
      <c r="I20" s="135"/>
      <c r="J20" s="135"/>
      <c r="K20" s="135"/>
      <c r="L20" s="43" t="s">
        <v>76</v>
      </c>
      <c r="M20" s="39" t="s">
        <v>55</v>
      </c>
      <c r="N20" s="39">
        <f>(I12*N16*(N8-N7)+(I12-D4)*N12)/3600</f>
        <v>5.0201849102495624</v>
      </c>
      <c r="O20" s="41" t="s">
        <v>48</v>
      </c>
      <c r="P20" s="135"/>
      <c r="Q20" s="135"/>
      <c r="R20" s="135"/>
      <c r="S20" s="135"/>
      <c r="T20" s="135"/>
      <c r="V20" s="230"/>
    </row>
    <row r="21" spans="1:24" x14ac:dyDescent="0.25">
      <c r="B21" s="405"/>
      <c r="C21" s="406"/>
      <c r="D21" s="406"/>
      <c r="E21" s="407"/>
      <c r="G21" s="135" t="s">
        <v>1</v>
      </c>
      <c r="H21" s="135" t="s">
        <v>535</v>
      </c>
      <c r="I21" s="135">
        <v>120</v>
      </c>
      <c r="J21" s="135" t="s">
        <v>3</v>
      </c>
      <c r="K21" s="135"/>
      <c r="L21" s="38" t="s">
        <v>46</v>
      </c>
      <c r="M21" s="40" t="s">
        <v>47</v>
      </c>
      <c r="N21" s="40">
        <f>SUM(N18:N20)</f>
        <v>98.850484167808247</v>
      </c>
      <c r="O21" s="41" t="s">
        <v>48</v>
      </c>
      <c r="P21" s="135"/>
      <c r="Q21" s="135"/>
      <c r="R21" s="135"/>
      <c r="S21" s="135"/>
      <c r="T21" s="135"/>
      <c r="V21" s="230"/>
    </row>
    <row r="22" spans="1:24" ht="15.75" thickBot="1" x14ac:dyDescent="0.3">
      <c r="B22" s="210" t="s">
        <v>21</v>
      </c>
      <c r="C22" s="25" t="s">
        <v>22</v>
      </c>
      <c r="D22" s="25">
        <f>760*EXP(-0.0001158*D18)</f>
        <v>630.73161123067814</v>
      </c>
      <c r="E22" s="26" t="s">
        <v>23</v>
      </c>
      <c r="G22" s="19" t="s">
        <v>177</v>
      </c>
      <c r="H22" s="20" t="s">
        <v>178</v>
      </c>
      <c r="I22" s="21" t="s">
        <v>176</v>
      </c>
      <c r="J22" s="22" t="s">
        <v>105</v>
      </c>
      <c r="K22" s="135"/>
      <c r="L22" s="42" t="s">
        <v>46</v>
      </c>
      <c r="M22" s="36" t="s">
        <v>47</v>
      </c>
      <c r="N22" s="36">
        <f>(I5*(N8-D19)*N14+I8*((N10+N12)/2))/3600</f>
        <v>110.34254609966557</v>
      </c>
      <c r="O22" s="37" t="s">
        <v>48</v>
      </c>
      <c r="P22" s="135"/>
      <c r="Q22" s="135"/>
      <c r="R22" s="135"/>
      <c r="S22" s="135"/>
      <c r="T22" s="135"/>
      <c r="V22" s="230"/>
    </row>
    <row r="23" spans="1:24" x14ac:dyDescent="0.25">
      <c r="B23" s="408"/>
      <c r="C23" s="409"/>
      <c r="D23" s="409"/>
      <c r="E23" s="410"/>
      <c r="G23" s="135" t="s">
        <v>12</v>
      </c>
      <c r="H23" s="135" t="s">
        <v>13</v>
      </c>
      <c r="I23" s="135">
        <v>0.6</v>
      </c>
      <c r="J23" s="135" t="s">
        <v>6</v>
      </c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V23" s="230"/>
    </row>
    <row r="24" spans="1:24" x14ac:dyDescent="0.25">
      <c r="B24" s="411"/>
      <c r="C24" s="412"/>
      <c r="D24" s="412"/>
      <c r="E24" s="413"/>
      <c r="G24" s="14" t="s">
        <v>42</v>
      </c>
      <c r="H24" s="14" t="s">
        <v>536</v>
      </c>
      <c r="I24" s="341">
        <f>+I7</f>
        <v>291.18823529411765</v>
      </c>
      <c r="J24" s="14" t="s">
        <v>3</v>
      </c>
      <c r="V24" s="230"/>
    </row>
    <row r="25" spans="1:24" ht="15.75" thickBot="1" x14ac:dyDescent="0.3">
      <c r="B25" s="211" t="s">
        <v>89</v>
      </c>
      <c r="C25" s="9" t="s">
        <v>24</v>
      </c>
      <c r="D25" s="9">
        <f>-227.03+3816.44/(18.3036-LN(7.5*(D22*133.3224/1000)))</f>
        <v>94.84769841995157</v>
      </c>
      <c r="E25" s="8" t="s">
        <v>20</v>
      </c>
      <c r="V25" s="230"/>
    </row>
    <row r="26" spans="1:24" ht="15.75" thickBot="1" x14ac:dyDescent="0.3">
      <c r="B26" s="207" t="s">
        <v>534</v>
      </c>
      <c r="C26" s="14" t="s">
        <v>532</v>
      </c>
      <c r="D26" s="14">
        <v>1.4</v>
      </c>
      <c r="E26" s="14" t="s">
        <v>533</v>
      </c>
      <c r="V26" s="230"/>
    </row>
    <row r="27" spans="1:24" ht="15.75" thickBot="1" x14ac:dyDescent="0.3">
      <c r="V27" s="230"/>
      <c r="W27" s="136"/>
      <c r="X27" s="137"/>
    </row>
    <row r="28" spans="1:24" ht="15.75" thickBot="1" x14ac:dyDescent="0.3">
      <c r="V28" s="230"/>
    </row>
    <row r="29" spans="1:24" ht="15.75" thickBot="1" x14ac:dyDescent="0.3">
      <c r="A29" s="359" t="s">
        <v>271</v>
      </c>
      <c r="B29" s="360"/>
      <c r="C29" s="360"/>
      <c r="D29" s="360"/>
      <c r="E29" s="360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0"/>
      <c r="Q29" s="360"/>
      <c r="R29" s="360"/>
      <c r="S29" s="360"/>
      <c r="T29" s="360"/>
      <c r="U29" s="361"/>
      <c r="V29" s="230"/>
    </row>
    <row r="30" spans="1:24" ht="15.75" thickBot="1" x14ac:dyDescent="0.3">
      <c r="V30" s="230"/>
    </row>
    <row r="31" spans="1:24" ht="15.75" thickBot="1" x14ac:dyDescent="0.3">
      <c r="B31" s="382" t="s">
        <v>287</v>
      </c>
      <c r="C31" s="383"/>
      <c r="D31" s="383"/>
      <c r="E31" s="384"/>
      <c r="G31" s="342" t="s">
        <v>288</v>
      </c>
      <c r="H31" s="343"/>
      <c r="I31" s="343"/>
      <c r="J31" s="344"/>
      <c r="L31" s="95" t="s">
        <v>272</v>
      </c>
      <c r="M31" s="78">
        <v>0.155</v>
      </c>
      <c r="N31" s="78" t="s">
        <v>274</v>
      </c>
      <c r="O31" s="78">
        <f>'Calculo General Hornilla'!S9</f>
        <v>0.35107396150068587</v>
      </c>
      <c r="P31" s="79"/>
      <c r="Q31" s="18"/>
      <c r="R31" s="96" t="s">
        <v>305</v>
      </c>
      <c r="V31" s="230"/>
    </row>
    <row r="32" spans="1:24" x14ac:dyDescent="0.25">
      <c r="B32" s="212" t="s">
        <v>275</v>
      </c>
      <c r="C32" s="60" t="s">
        <v>276</v>
      </c>
      <c r="D32" s="60">
        <f>S9</f>
        <v>0.35107396150068587</v>
      </c>
      <c r="E32" s="61" t="s">
        <v>91</v>
      </c>
      <c r="G32" s="224" t="s">
        <v>275</v>
      </c>
      <c r="H32" s="60" t="s">
        <v>276</v>
      </c>
      <c r="I32" s="60">
        <f>D32</f>
        <v>0.35107396150068587</v>
      </c>
      <c r="J32" s="61" t="s">
        <v>91</v>
      </c>
      <c r="L32" s="65" t="s">
        <v>273</v>
      </c>
      <c r="M32" s="17">
        <v>0.75</v>
      </c>
      <c r="N32" s="17">
        <v>1</v>
      </c>
      <c r="O32" s="17">
        <v>1.25</v>
      </c>
      <c r="P32" s="84">
        <v>1.5</v>
      </c>
      <c r="Q32" s="97">
        <f t="shared" ref="Q32:Q37" si="0">IF($D$4&lt;40,R32,IF($Q$38=$M$38,M32,IF($Q$38=$N$38,N32,IF($Q$38=$O$38,O32,P32))))</f>
        <v>0.5</v>
      </c>
      <c r="R32" s="98">
        <v>0.5</v>
      </c>
      <c r="V32" s="230"/>
    </row>
    <row r="33" spans="1:22" ht="15.75" thickBot="1" x14ac:dyDescent="0.3">
      <c r="B33" s="212" t="s">
        <v>277</v>
      </c>
      <c r="C33" s="60" t="s">
        <v>279</v>
      </c>
      <c r="D33" s="60">
        <f>'Calculo General Hornilla'!M31</f>
        <v>0.155</v>
      </c>
      <c r="E33" s="61" t="s">
        <v>17</v>
      </c>
      <c r="G33" s="224" t="s">
        <v>277</v>
      </c>
      <c r="H33" s="60" t="s">
        <v>279</v>
      </c>
      <c r="I33" s="60">
        <f>D33</f>
        <v>0.155</v>
      </c>
      <c r="J33" s="61" t="s">
        <v>17</v>
      </c>
      <c r="L33" s="65" t="s">
        <v>299</v>
      </c>
      <c r="M33" s="17">
        <f>ROUNDUP(($O$31/($M$31*M32)),0.001)</f>
        <v>4</v>
      </c>
      <c r="N33" s="17">
        <f>ROUNDUP(($O$31/($M$31*N32)),0.001)</f>
        <v>3</v>
      </c>
      <c r="O33" s="17">
        <f>ROUNDUP(($O$31/($M$31*O32)),0.001)</f>
        <v>2</v>
      </c>
      <c r="P33" s="17">
        <f>ROUNDUP(($O$31/($M$31*P32)),0.001)</f>
        <v>2</v>
      </c>
      <c r="Q33" s="97">
        <f>IF($D$4&lt;40,R33,IF($Q$38=$M$38,M33,IF($Q$38=$N$38,N33,IF($Q$38=$O$38,O33,P33))))</f>
        <v>5</v>
      </c>
      <c r="R33" s="98">
        <f>ROUNDUP(($O$31/($M$31*R32)),0.001)</f>
        <v>5</v>
      </c>
      <c r="V33" s="230"/>
    </row>
    <row r="34" spans="1:22" ht="15.75" thickBot="1" x14ac:dyDescent="0.3">
      <c r="B34" s="212" t="s">
        <v>273</v>
      </c>
      <c r="C34" s="60" t="s">
        <v>280</v>
      </c>
      <c r="D34" s="60">
        <f>'Calculo General Hornilla'!Q32</f>
        <v>0.5</v>
      </c>
      <c r="E34" s="61" t="s">
        <v>17</v>
      </c>
      <c r="G34" s="224" t="s">
        <v>273</v>
      </c>
      <c r="H34" s="60" t="s">
        <v>280</v>
      </c>
      <c r="I34" s="66">
        <v>1.5</v>
      </c>
      <c r="J34" s="61" t="s">
        <v>17</v>
      </c>
      <c r="L34" s="65" t="s">
        <v>300</v>
      </c>
      <c r="M34" s="18">
        <f>IF(M33&gt;7,ROUNDUP(M33/2,0.1),M33)</f>
        <v>4</v>
      </c>
      <c r="N34" s="18">
        <f>IF(N33&gt;7,ROUNDUP(N33/2,0.1),N33)</f>
        <v>3</v>
      </c>
      <c r="O34" s="18">
        <f>IF(O33&gt;7,ROUNDUP(O33/2,0.1),O33)</f>
        <v>2</v>
      </c>
      <c r="P34" s="18">
        <f>IF(P33&gt;7,ROUNDUP(P33/2,0.1),P33)</f>
        <v>2</v>
      </c>
      <c r="Q34" s="97">
        <f t="shared" si="0"/>
        <v>5</v>
      </c>
      <c r="R34" s="98">
        <f>IF(R33&gt;7,ROUNDUP(R33/2,0.1),R33)</f>
        <v>5</v>
      </c>
      <c r="V34" s="230"/>
    </row>
    <row r="35" spans="1:22" ht="15.75" thickBot="1" x14ac:dyDescent="0.3">
      <c r="B35" s="212" t="s">
        <v>278</v>
      </c>
      <c r="C35" s="60" t="s">
        <v>281</v>
      </c>
      <c r="D35" s="60">
        <f>'Calculo General Hornilla'!Q33</f>
        <v>5</v>
      </c>
      <c r="E35" s="61" t="s">
        <v>285</v>
      </c>
      <c r="G35" s="224" t="s">
        <v>278</v>
      </c>
      <c r="H35" s="60" t="s">
        <v>281</v>
      </c>
      <c r="I35" s="66">
        <v>6</v>
      </c>
      <c r="J35" s="61"/>
      <c r="L35" s="65" t="s">
        <v>298</v>
      </c>
      <c r="M35" s="18">
        <f>IF(M33&lt;7,1,ROUNDUP(M33/M34,0.1))</f>
        <v>1</v>
      </c>
      <c r="N35" s="18">
        <f>IF(N33&lt;7,1,ROUNDUP(N33/N34,0.1))</f>
        <v>1</v>
      </c>
      <c r="O35" s="18">
        <f>IF(O33&lt;7,1,ROUNDUP(O33/O34,0.1))</f>
        <v>1</v>
      </c>
      <c r="P35" s="18">
        <f>IF(P33&lt;7,1,ROUNDUP(P33/P34,0.1))</f>
        <v>1</v>
      </c>
      <c r="Q35" s="97">
        <f t="shared" si="0"/>
        <v>1</v>
      </c>
      <c r="R35" s="98">
        <f>IF(R33&lt;7,1,ROUNDUP(R33/R34,0.1))</f>
        <v>1</v>
      </c>
      <c r="V35" s="230"/>
    </row>
    <row r="36" spans="1:22" ht="15.75" thickBot="1" x14ac:dyDescent="0.3">
      <c r="B36" s="212" t="s">
        <v>302</v>
      </c>
      <c r="C36" s="60" t="s">
        <v>303</v>
      </c>
      <c r="D36" s="60">
        <f>'Calculo General Hornilla'!Q35</f>
        <v>1</v>
      </c>
      <c r="E36" s="61" t="s">
        <v>285</v>
      </c>
      <c r="G36" s="212" t="s">
        <v>304</v>
      </c>
      <c r="H36" s="60"/>
      <c r="I36" s="66">
        <v>1</v>
      </c>
      <c r="J36" s="61" t="s">
        <v>105</v>
      </c>
      <c r="L36" s="65" t="s">
        <v>301</v>
      </c>
      <c r="M36" s="18">
        <f>M34*M35</f>
        <v>4</v>
      </c>
      <c r="N36" s="18">
        <f>N34*N35</f>
        <v>3</v>
      </c>
      <c r="O36" s="18">
        <f>O34*O35</f>
        <v>2</v>
      </c>
      <c r="P36" s="18">
        <f>P34*P35</f>
        <v>2</v>
      </c>
      <c r="Q36" s="97">
        <f t="shared" si="0"/>
        <v>5</v>
      </c>
      <c r="R36" s="98">
        <f>R34*R35</f>
        <v>5</v>
      </c>
      <c r="V36" s="230"/>
    </row>
    <row r="37" spans="1:22" ht="15.75" thickBot="1" x14ac:dyDescent="0.3">
      <c r="B37" s="212" t="s">
        <v>282</v>
      </c>
      <c r="C37" s="60" t="s">
        <v>283</v>
      </c>
      <c r="D37" s="60">
        <f>'Calculo General Hornilla'!Q37</f>
        <v>0.77500000000000002</v>
      </c>
      <c r="E37" s="61" t="s">
        <v>91</v>
      </c>
      <c r="G37" s="224" t="s">
        <v>282</v>
      </c>
      <c r="H37" s="60" t="s">
        <v>283</v>
      </c>
      <c r="I37" s="60">
        <f>I35*I33</f>
        <v>0.92999999999999994</v>
      </c>
      <c r="J37" s="61" t="s">
        <v>91</v>
      </c>
      <c r="L37" s="65" t="s">
        <v>282</v>
      </c>
      <c r="M37" s="17">
        <f>IF($M$31*M34&lt;0.62,5,$M$31*M34)</f>
        <v>0.62</v>
      </c>
      <c r="N37" s="17">
        <f>IF($M$31*N34&lt;0.62,5,$M$31*N34)</f>
        <v>5</v>
      </c>
      <c r="O37" s="17">
        <f>IF($M$31*O34&lt;0.62,5,$M$31*O34)</f>
        <v>5</v>
      </c>
      <c r="P37" s="17">
        <f>IF($M$31*P34&lt;0.62,5,$M$31*P34)</f>
        <v>5</v>
      </c>
      <c r="Q37" s="97">
        <f t="shared" si="0"/>
        <v>0.77500000000000002</v>
      </c>
      <c r="R37" s="98">
        <f>$M$31*R34</f>
        <v>0.77500000000000002</v>
      </c>
      <c r="V37" s="230"/>
    </row>
    <row r="38" spans="1:22" ht="15.75" thickBot="1" x14ac:dyDescent="0.3">
      <c r="B38" s="213" t="s">
        <v>274</v>
      </c>
      <c r="C38" s="138" t="s">
        <v>284</v>
      </c>
      <c r="D38" s="62">
        <f>'Calculo General Hornilla'!Q38</f>
        <v>0.38750000000000001</v>
      </c>
      <c r="E38" s="63" t="s">
        <v>91</v>
      </c>
      <c r="G38" s="225" t="s">
        <v>274</v>
      </c>
      <c r="H38" s="138" t="s">
        <v>284</v>
      </c>
      <c r="I38" s="62">
        <f>I33*I34*I35*I36</f>
        <v>1.395</v>
      </c>
      <c r="J38" s="344" t="s">
        <v>91</v>
      </c>
      <c r="L38" s="88" t="s">
        <v>274</v>
      </c>
      <c r="M38" s="89">
        <f>M32*M35*M37</f>
        <v>0.46499999999999997</v>
      </c>
      <c r="N38" s="89">
        <f>N32*N35*N37</f>
        <v>5</v>
      </c>
      <c r="O38" s="89">
        <f>O32*O35*O37</f>
        <v>6.25</v>
      </c>
      <c r="P38" s="89">
        <f>P32*P35*P37</f>
        <v>7.5</v>
      </c>
      <c r="Q38" s="67">
        <f>IF(D4&lt;40,R38,MIN(M38:P38))</f>
        <v>0.38750000000000001</v>
      </c>
      <c r="R38" s="99">
        <f>(R32*R35)*($M$31*R34)</f>
        <v>0.38750000000000001</v>
      </c>
      <c r="V38" s="230"/>
    </row>
    <row r="39" spans="1:22" x14ac:dyDescent="0.25">
      <c r="G39" s="232"/>
      <c r="H39" s="232"/>
      <c r="I39" s="232"/>
      <c r="J39" s="232"/>
      <c r="L39" s="77" t="s">
        <v>282</v>
      </c>
      <c r="M39" s="79">
        <f>M31*'Calculo General Hornilla'!I35</f>
        <v>0.92999999999999994</v>
      </c>
      <c r="N39" s="18"/>
      <c r="O39" s="18"/>
      <c r="P39" s="18"/>
      <c r="Q39" s="18"/>
      <c r="R39" s="18"/>
    </row>
    <row r="40" spans="1:22" ht="15.75" thickBot="1" x14ac:dyDescent="0.3">
      <c r="G40" s="232"/>
      <c r="H40" s="232"/>
      <c r="I40" s="232"/>
      <c r="J40" s="232"/>
      <c r="L40" s="88" t="s">
        <v>274</v>
      </c>
      <c r="M40" s="90">
        <f>$M$31*'Calculo General Hornilla'!$I$34*'Calculo General Hornilla'!I35</f>
        <v>1.395</v>
      </c>
      <c r="N40" s="18"/>
      <c r="O40" s="18"/>
      <c r="P40" s="18"/>
      <c r="Q40" s="18"/>
      <c r="R40" s="18"/>
      <c r="V40" s="230"/>
    </row>
    <row r="41" spans="1:22" ht="15.75" thickBot="1" x14ac:dyDescent="0.3">
      <c r="B41" s="382" t="s">
        <v>286</v>
      </c>
      <c r="C41" s="383"/>
      <c r="D41" s="383"/>
      <c r="E41" s="384"/>
      <c r="G41" s="342" t="s">
        <v>309</v>
      </c>
      <c r="H41" s="343"/>
      <c r="I41" s="343"/>
      <c r="J41" s="344"/>
      <c r="V41" s="230"/>
    </row>
    <row r="42" spans="1:22" ht="15.75" thickBot="1" x14ac:dyDescent="0.3">
      <c r="B42" s="214" t="s">
        <v>289</v>
      </c>
      <c r="C42" s="68" t="s">
        <v>293</v>
      </c>
      <c r="D42" s="68">
        <f>S7/300</f>
        <v>1.1702465383356195</v>
      </c>
      <c r="E42" s="139" t="s">
        <v>297</v>
      </c>
      <c r="G42" s="212" t="s">
        <v>289</v>
      </c>
      <c r="H42" s="60" t="s">
        <v>293</v>
      </c>
      <c r="I42" s="60">
        <f>D42</f>
        <v>1.1702465383356195</v>
      </c>
      <c r="J42" s="61" t="s">
        <v>297</v>
      </c>
      <c r="V42" s="230"/>
    </row>
    <row r="43" spans="1:22" ht="15.75" thickBot="1" x14ac:dyDescent="0.3">
      <c r="B43" s="212" t="s">
        <v>290</v>
      </c>
      <c r="C43" s="60" t="s">
        <v>294</v>
      </c>
      <c r="D43" s="60">
        <f>D37+0.2</f>
        <v>0.97500000000000009</v>
      </c>
      <c r="E43" s="61" t="s">
        <v>17</v>
      </c>
      <c r="G43" s="212" t="s">
        <v>290</v>
      </c>
      <c r="H43" s="60" t="s">
        <v>294</v>
      </c>
      <c r="I43" s="69">
        <f>I37</f>
        <v>0.92999999999999994</v>
      </c>
      <c r="J43" s="61" t="s">
        <v>17</v>
      </c>
      <c r="P43" s="14">
        <f>D42^(1/3)</f>
        <v>1.0538022504833096</v>
      </c>
      <c r="V43" s="230"/>
    </row>
    <row r="44" spans="1:22" ht="15.75" thickBot="1" x14ac:dyDescent="0.3">
      <c r="B44" s="212" t="s">
        <v>291</v>
      </c>
      <c r="C44" s="60" t="s">
        <v>295</v>
      </c>
      <c r="D44" s="60">
        <f>D34</f>
        <v>0.5</v>
      </c>
      <c r="E44" s="61" t="s">
        <v>17</v>
      </c>
      <c r="G44" s="212" t="s">
        <v>291</v>
      </c>
      <c r="H44" s="60" t="s">
        <v>295</v>
      </c>
      <c r="I44" s="69">
        <f>I34</f>
        <v>1.5</v>
      </c>
      <c r="J44" s="61" t="s">
        <v>17</v>
      </c>
      <c r="V44" s="230"/>
    </row>
    <row r="45" spans="1:22" ht="15.75" thickBot="1" x14ac:dyDescent="0.3">
      <c r="B45" s="213" t="s">
        <v>292</v>
      </c>
      <c r="C45" s="138" t="s">
        <v>296</v>
      </c>
      <c r="D45" s="64">
        <f>D42/(D43*D44)</f>
        <v>2.4005057196628092</v>
      </c>
      <c r="E45" s="63" t="s">
        <v>17</v>
      </c>
      <c r="G45" s="213" t="s">
        <v>292</v>
      </c>
      <c r="H45" s="138" t="s">
        <v>296</v>
      </c>
      <c r="I45" s="342">
        <f>I42/(I43*I44)</f>
        <v>0.8388864074090463</v>
      </c>
      <c r="J45" s="344" t="s">
        <v>17</v>
      </c>
      <c r="V45" s="230"/>
    </row>
    <row r="46" spans="1:22" ht="15.75" thickBot="1" x14ac:dyDescent="0.3">
      <c r="V46" s="230"/>
    </row>
    <row r="47" spans="1:22" ht="15.75" thickBot="1" x14ac:dyDescent="0.3">
      <c r="A47" s="359" t="s">
        <v>269</v>
      </c>
      <c r="B47" s="360"/>
      <c r="C47" s="360"/>
      <c r="D47" s="360"/>
      <c r="E47" s="360"/>
      <c r="F47" s="360"/>
      <c r="G47" s="360"/>
      <c r="H47" s="360"/>
      <c r="I47" s="360"/>
      <c r="J47" s="360"/>
      <c r="K47" s="360"/>
      <c r="L47" s="360"/>
      <c r="M47" s="360"/>
      <c r="N47" s="360"/>
      <c r="O47" s="360"/>
      <c r="P47" s="360"/>
      <c r="Q47" s="360"/>
      <c r="R47" s="360"/>
      <c r="S47" s="360"/>
      <c r="T47" s="360"/>
      <c r="U47" s="361"/>
      <c r="V47" s="230"/>
    </row>
    <row r="48" spans="1:22" ht="15.75" thickBot="1" x14ac:dyDescent="0.3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V48" s="230"/>
    </row>
    <row r="49" spans="2:22" ht="15.75" thickBot="1" x14ac:dyDescent="0.3">
      <c r="B49" s="377" t="s">
        <v>0</v>
      </c>
      <c r="C49" s="378"/>
      <c r="D49" s="52"/>
      <c r="E49" s="52"/>
      <c r="F49" s="29"/>
      <c r="G49" s="29"/>
      <c r="H49" s="29"/>
      <c r="I49" s="29"/>
      <c r="J49" s="29"/>
      <c r="K49" s="29"/>
      <c r="L49" s="29"/>
      <c r="N49" s="27"/>
      <c r="O49" s="27"/>
      <c r="V49" s="230"/>
    </row>
    <row r="50" spans="2:22" ht="15.75" thickBot="1" x14ac:dyDescent="0.3">
      <c r="B50" s="215" t="s">
        <v>104</v>
      </c>
      <c r="C50" s="56" t="s">
        <v>255</v>
      </c>
      <c r="D50" s="129">
        <v>8</v>
      </c>
      <c r="E50" s="128" t="s">
        <v>105</v>
      </c>
      <c r="F50" s="29"/>
      <c r="G50" s="29"/>
      <c r="H50" s="29"/>
      <c r="I50" s="29"/>
      <c r="J50" s="29"/>
      <c r="K50" s="29"/>
      <c r="L50" s="29"/>
      <c r="N50" s="27"/>
      <c r="O50" s="27"/>
      <c r="V50" s="230"/>
    </row>
    <row r="51" spans="2:22" x14ac:dyDescent="0.25">
      <c r="B51" s="216" t="s">
        <v>237</v>
      </c>
      <c r="C51" s="57" t="s">
        <v>256</v>
      </c>
      <c r="D51" s="55">
        <f>IF(D50&gt;0,1,"MELOTERA")</f>
        <v>1</v>
      </c>
      <c r="E51" s="29">
        <f>IF(D50&gt;1,2,"MELOTERA")</f>
        <v>2</v>
      </c>
      <c r="F51" s="29">
        <f>IF($D$50&gt;2,3,IF(E51=2,"MELOTERA",""))</f>
        <v>3</v>
      </c>
      <c r="G51" s="29">
        <f>IF($D$50&gt;3,4,IF(F51=3,"MELOTERA",""))</f>
        <v>4</v>
      </c>
      <c r="H51" s="29">
        <f>IF($D$50&gt;4,5,IF(G51=4,"MELOTERA",""))</f>
        <v>5</v>
      </c>
      <c r="I51" s="29">
        <f>IF($D$50&gt;5,6,IF(H51=5,"MELOTERA",""))</f>
        <v>6</v>
      </c>
      <c r="J51" s="29">
        <f>IF($D$50&gt;6,7,IF(I51=6,"MELOTERA",""))</f>
        <v>7</v>
      </c>
      <c r="K51" s="29">
        <f>IF($D$50&gt;7,8,IF(J51=7,"MELOTERA",""))</f>
        <v>8</v>
      </c>
      <c r="L51" s="29" t="str">
        <f>IF($D$50=8,"MELOTERA","")</f>
        <v>MELOTERA</v>
      </c>
      <c r="N51" s="27"/>
      <c r="O51" s="27"/>
      <c r="P51" s="27"/>
      <c r="Q51" s="27"/>
      <c r="R51" s="27"/>
      <c r="S51" s="27"/>
      <c r="T51" s="27"/>
      <c r="U51" s="27"/>
      <c r="V51" s="230"/>
    </row>
    <row r="52" spans="2:22" x14ac:dyDescent="0.25">
      <c r="B52" s="216" t="s">
        <v>239</v>
      </c>
      <c r="C52" s="57" t="s">
        <v>261</v>
      </c>
      <c r="D52" s="53">
        <v>8</v>
      </c>
      <c r="E52" s="29">
        <v>7</v>
      </c>
      <c r="F52" s="29">
        <v>6</v>
      </c>
      <c r="G52" s="29">
        <v>5</v>
      </c>
      <c r="H52" s="29">
        <v>4</v>
      </c>
      <c r="I52" s="29">
        <v>3</v>
      </c>
      <c r="J52" s="29">
        <v>2</v>
      </c>
      <c r="K52" s="29">
        <v>1</v>
      </c>
      <c r="L52" s="29" t="str">
        <f>L51</f>
        <v>MELOTERA</v>
      </c>
      <c r="N52" s="27"/>
      <c r="O52" s="27"/>
      <c r="P52" s="27"/>
      <c r="Q52" s="27"/>
      <c r="R52" s="27"/>
      <c r="S52" s="27"/>
      <c r="T52" s="27"/>
      <c r="U52" s="27"/>
      <c r="V52" s="230"/>
    </row>
    <row r="53" spans="2:22" x14ac:dyDescent="0.25">
      <c r="B53" s="216" t="s">
        <v>240</v>
      </c>
      <c r="C53" s="57" t="s">
        <v>262</v>
      </c>
      <c r="D53" s="53" t="s">
        <v>453</v>
      </c>
      <c r="E53" s="29" t="s">
        <v>315</v>
      </c>
      <c r="F53" s="29" t="s">
        <v>315</v>
      </c>
      <c r="G53" s="29" t="s">
        <v>270</v>
      </c>
      <c r="H53" s="29" t="s">
        <v>270</v>
      </c>
      <c r="I53" s="29" t="s">
        <v>268</v>
      </c>
      <c r="J53" s="29" t="s">
        <v>268</v>
      </c>
      <c r="K53" s="29" t="s">
        <v>267</v>
      </c>
      <c r="L53" s="29"/>
      <c r="N53" s="27"/>
      <c r="O53" s="27"/>
      <c r="P53" s="27"/>
      <c r="Q53" s="27"/>
      <c r="R53" s="27"/>
      <c r="S53" s="27"/>
      <c r="T53" s="27"/>
      <c r="U53" s="27"/>
      <c r="V53" s="230"/>
    </row>
    <row r="54" spans="2:22" x14ac:dyDescent="0.25">
      <c r="B54" s="216" t="s">
        <v>246</v>
      </c>
      <c r="C54" s="58" t="s">
        <v>242</v>
      </c>
      <c r="D54" s="53">
        <v>0.3</v>
      </c>
      <c r="E54" s="29">
        <v>0.5</v>
      </c>
      <c r="F54" s="29">
        <v>0.5</v>
      </c>
      <c r="G54" s="29">
        <v>0.3</v>
      </c>
      <c r="H54" s="29">
        <v>0.3</v>
      </c>
      <c r="I54" s="29">
        <v>0.3</v>
      </c>
      <c r="J54" s="29">
        <v>0.3</v>
      </c>
      <c r="K54" s="29">
        <v>0.3</v>
      </c>
      <c r="L54" s="29"/>
      <c r="N54" s="27"/>
      <c r="O54" s="27"/>
      <c r="P54" s="27"/>
      <c r="Q54" s="27"/>
      <c r="R54" s="27"/>
      <c r="S54" s="27"/>
      <c r="T54" s="27"/>
      <c r="U54" s="27"/>
      <c r="V54" s="230"/>
    </row>
    <row r="55" spans="2:22" x14ac:dyDescent="0.25">
      <c r="B55" s="216" t="s">
        <v>247</v>
      </c>
      <c r="C55" s="58" t="s">
        <v>244</v>
      </c>
      <c r="D55" s="53">
        <v>0.8</v>
      </c>
      <c r="E55" s="29">
        <v>1.2</v>
      </c>
      <c r="F55" s="29">
        <v>1.2</v>
      </c>
      <c r="G55" s="29">
        <v>1.22</v>
      </c>
      <c r="H55" s="29">
        <v>1.22</v>
      </c>
      <c r="I55" s="29">
        <v>1.2</v>
      </c>
      <c r="J55" s="29">
        <v>1.2</v>
      </c>
      <c r="K55" s="29">
        <v>1.22</v>
      </c>
      <c r="L55" s="29"/>
      <c r="N55" s="27"/>
      <c r="O55" s="27"/>
      <c r="P55" s="27"/>
      <c r="Q55" s="27"/>
      <c r="R55" s="27"/>
      <c r="S55" s="27"/>
      <c r="T55" s="27"/>
      <c r="U55" s="27"/>
      <c r="V55" s="230"/>
    </row>
    <row r="56" spans="2:22" x14ac:dyDescent="0.25">
      <c r="B56" s="216" t="s">
        <v>248</v>
      </c>
      <c r="C56" s="58" t="s">
        <v>241</v>
      </c>
      <c r="D56" s="53">
        <v>0.5</v>
      </c>
      <c r="E56" s="29">
        <v>0.65</v>
      </c>
      <c r="F56" s="29">
        <v>0.65</v>
      </c>
      <c r="G56" s="29">
        <v>0.6</v>
      </c>
      <c r="H56" s="29">
        <v>0.65</v>
      </c>
      <c r="I56" s="29">
        <v>0.65</v>
      </c>
      <c r="J56" s="29">
        <v>0.6</v>
      </c>
      <c r="K56" s="29">
        <v>0.3</v>
      </c>
      <c r="L56" s="29"/>
      <c r="N56" s="27"/>
      <c r="O56" s="27"/>
      <c r="P56" s="27"/>
      <c r="Q56" s="27"/>
      <c r="R56" s="27"/>
      <c r="S56" s="27"/>
      <c r="T56" s="27"/>
      <c r="U56" s="27"/>
      <c r="V56" s="230"/>
    </row>
    <row r="57" spans="2:22" ht="15.75" x14ac:dyDescent="0.25">
      <c r="B57" s="216" t="s">
        <v>249</v>
      </c>
      <c r="C57" s="58" t="s">
        <v>243</v>
      </c>
      <c r="D57" s="53">
        <v>68</v>
      </c>
      <c r="E57" s="29">
        <v>68</v>
      </c>
      <c r="F57" s="29">
        <v>68</v>
      </c>
      <c r="G57" s="29">
        <v>68</v>
      </c>
      <c r="H57" s="29">
        <v>68</v>
      </c>
      <c r="I57" s="29">
        <v>68</v>
      </c>
      <c r="J57" s="29">
        <v>68</v>
      </c>
      <c r="K57" s="29">
        <v>68</v>
      </c>
      <c r="L57" s="29"/>
      <c r="N57" s="27"/>
      <c r="O57" s="27"/>
      <c r="P57" s="27"/>
      <c r="Q57" s="27"/>
      <c r="R57" s="27"/>
      <c r="S57" s="27"/>
      <c r="T57" s="27"/>
      <c r="U57" s="27"/>
      <c r="V57" s="230"/>
    </row>
    <row r="58" spans="2:22" x14ac:dyDescent="0.25">
      <c r="B58" s="216" t="s">
        <v>250</v>
      </c>
      <c r="C58" s="58" t="s">
        <v>245</v>
      </c>
      <c r="D58" s="53">
        <v>0</v>
      </c>
      <c r="E58" s="29">
        <v>1.52</v>
      </c>
      <c r="F58" s="29">
        <v>1.52</v>
      </c>
      <c r="G58" s="29">
        <v>1.5</v>
      </c>
      <c r="H58" s="29">
        <v>2.44</v>
      </c>
      <c r="I58" s="29">
        <v>2.44</v>
      </c>
      <c r="J58" s="29">
        <v>2.4</v>
      </c>
      <c r="K58" s="29">
        <v>2.44</v>
      </c>
      <c r="L58" s="29"/>
      <c r="N58" s="27"/>
      <c r="O58" s="27"/>
      <c r="P58" s="27"/>
      <c r="Q58" s="27"/>
      <c r="R58" s="27"/>
      <c r="S58" s="27"/>
      <c r="T58" s="27"/>
      <c r="U58" s="27"/>
      <c r="V58" s="230"/>
    </row>
    <row r="59" spans="2:22" x14ac:dyDescent="0.25">
      <c r="B59" s="216" t="s">
        <v>238</v>
      </c>
      <c r="C59" s="58" t="s">
        <v>263</v>
      </c>
      <c r="D59" s="53" t="s">
        <v>258</v>
      </c>
      <c r="E59" s="29" t="s">
        <v>258</v>
      </c>
      <c r="F59" s="29" t="s">
        <v>257</v>
      </c>
      <c r="G59" s="29" t="s">
        <v>258</v>
      </c>
      <c r="H59" s="29" t="s">
        <v>257</v>
      </c>
      <c r="I59" s="29" t="s">
        <v>257</v>
      </c>
      <c r="J59" s="29" t="s">
        <v>258</v>
      </c>
      <c r="K59" s="29" t="s">
        <v>257</v>
      </c>
      <c r="L59" s="29"/>
      <c r="N59" s="27"/>
      <c r="O59" s="27"/>
      <c r="P59" s="27"/>
      <c r="Q59" s="27"/>
      <c r="R59" s="27"/>
      <c r="S59" s="27"/>
      <c r="T59" s="27"/>
      <c r="U59" s="27"/>
      <c r="V59" s="230"/>
    </row>
    <row r="60" spans="2:22" x14ac:dyDescent="0.25">
      <c r="B60" s="216" t="s">
        <v>266</v>
      </c>
      <c r="C60" s="58" t="s">
        <v>205</v>
      </c>
      <c r="D60" s="53" t="str">
        <f>IF(D59="NO","NA","")</f>
        <v>NA</v>
      </c>
      <c r="E60" s="29" t="str">
        <f t="shared" ref="E60:G60" si="1">IF(E59="NO","NA","")</f>
        <v>NA</v>
      </c>
      <c r="F60" s="29">
        <v>11</v>
      </c>
      <c r="G60" s="29" t="str">
        <f t="shared" si="1"/>
        <v>NA</v>
      </c>
      <c r="H60" s="29">
        <v>24</v>
      </c>
      <c r="I60" s="29">
        <v>23</v>
      </c>
      <c r="J60" s="29" t="str">
        <f>IF(J59="NO","NA","")</f>
        <v>NA</v>
      </c>
      <c r="K60" s="29">
        <v>23</v>
      </c>
      <c r="L60" s="29"/>
      <c r="N60" s="27"/>
      <c r="O60" s="27"/>
      <c r="P60" s="27"/>
      <c r="Q60" s="27"/>
      <c r="R60" s="27"/>
      <c r="S60" s="27"/>
      <c r="T60" s="27"/>
      <c r="U60" s="27"/>
      <c r="V60" s="230"/>
    </row>
    <row r="61" spans="2:22" x14ac:dyDescent="0.25">
      <c r="B61" s="216" t="s">
        <v>251</v>
      </c>
      <c r="C61" s="58" t="s">
        <v>264</v>
      </c>
      <c r="D61" s="53">
        <v>0</v>
      </c>
      <c r="E61" s="29">
        <v>0</v>
      </c>
      <c r="F61" s="29">
        <v>0.1</v>
      </c>
      <c r="G61" s="29">
        <v>0.1</v>
      </c>
      <c r="H61" s="29">
        <v>0.1</v>
      </c>
      <c r="I61" s="29">
        <v>0.1</v>
      </c>
      <c r="J61" s="29">
        <v>0.1</v>
      </c>
      <c r="K61" s="29">
        <v>0.1</v>
      </c>
      <c r="L61" s="29"/>
      <c r="N61" s="27"/>
      <c r="O61" s="27"/>
      <c r="P61" s="27"/>
      <c r="Q61" s="27"/>
      <c r="R61" s="27"/>
      <c r="S61" s="27"/>
      <c r="T61" s="27"/>
      <c r="U61" s="27"/>
      <c r="V61" s="230"/>
    </row>
    <row r="62" spans="2:22" x14ac:dyDescent="0.25">
      <c r="B62" s="216" t="s">
        <v>252</v>
      </c>
      <c r="C62" s="58" t="s">
        <v>265</v>
      </c>
      <c r="D62" s="119">
        <v>0</v>
      </c>
      <c r="E62" s="120">
        <v>0</v>
      </c>
      <c r="F62" s="120">
        <v>0.2</v>
      </c>
      <c r="G62" s="120">
        <v>0</v>
      </c>
      <c r="H62" s="120">
        <v>0</v>
      </c>
      <c r="I62" s="120">
        <v>0</v>
      </c>
      <c r="J62" s="120">
        <v>0</v>
      </c>
      <c r="K62" s="120">
        <v>0</v>
      </c>
      <c r="L62" s="29"/>
      <c r="N62" s="27"/>
      <c r="O62" s="27"/>
      <c r="P62" s="27"/>
      <c r="Q62" s="27"/>
      <c r="R62" s="27"/>
      <c r="S62" s="27"/>
      <c r="T62" s="27"/>
      <c r="U62" s="27"/>
      <c r="V62" s="230"/>
    </row>
    <row r="63" spans="2:22" x14ac:dyDescent="0.25">
      <c r="B63" s="216" t="s">
        <v>253</v>
      </c>
      <c r="C63" s="58" t="s">
        <v>259</v>
      </c>
      <c r="D63" s="119">
        <v>0</v>
      </c>
      <c r="E63" s="120">
        <v>0</v>
      </c>
      <c r="F63" s="120">
        <v>0</v>
      </c>
      <c r="G63" s="120">
        <v>0</v>
      </c>
      <c r="H63" s="120">
        <v>0</v>
      </c>
      <c r="I63" s="120">
        <v>0.2</v>
      </c>
      <c r="J63" s="120">
        <v>0.2</v>
      </c>
      <c r="K63" s="120">
        <v>0</v>
      </c>
      <c r="L63" s="29"/>
      <c r="N63" s="27"/>
      <c r="O63" s="27"/>
      <c r="P63" s="27"/>
      <c r="Q63" s="27"/>
      <c r="R63" s="27"/>
      <c r="S63" s="27"/>
      <c r="T63" s="27"/>
      <c r="U63" s="27"/>
      <c r="V63" s="230"/>
    </row>
    <row r="64" spans="2:22" ht="15.75" thickBot="1" x14ac:dyDescent="0.3">
      <c r="B64" s="217" t="s">
        <v>254</v>
      </c>
      <c r="C64" s="59" t="s">
        <v>260</v>
      </c>
      <c r="D64" s="119">
        <v>0</v>
      </c>
      <c r="E64" s="120">
        <v>0</v>
      </c>
      <c r="F64" s="120">
        <v>0</v>
      </c>
      <c r="G64" s="120">
        <v>0.2</v>
      </c>
      <c r="H64" s="120">
        <v>0.2</v>
      </c>
      <c r="I64" s="120">
        <v>0</v>
      </c>
      <c r="J64" s="120">
        <v>0</v>
      </c>
      <c r="K64" s="120">
        <v>0</v>
      </c>
      <c r="L64" s="29"/>
      <c r="N64" s="27"/>
      <c r="O64" s="27"/>
      <c r="P64" s="27"/>
      <c r="Q64" s="27"/>
      <c r="R64" s="27"/>
      <c r="S64" s="27"/>
      <c r="T64" s="27"/>
      <c r="U64" s="27"/>
      <c r="V64" s="230"/>
    </row>
    <row r="65" spans="1:22" ht="15.75" thickBot="1" x14ac:dyDescent="0.3">
      <c r="O65" s="27"/>
      <c r="P65" s="27"/>
      <c r="Q65" s="27"/>
      <c r="R65" s="27"/>
      <c r="S65" s="27"/>
      <c r="T65" s="27"/>
      <c r="U65" s="27"/>
      <c r="V65" s="230"/>
    </row>
    <row r="66" spans="1:22" ht="15.75" thickBot="1" x14ac:dyDescent="0.3">
      <c r="A66" s="359" t="s">
        <v>306</v>
      </c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0"/>
      <c r="P66" s="360"/>
      <c r="Q66" s="360"/>
      <c r="R66" s="360"/>
      <c r="S66" s="360"/>
      <c r="T66" s="360"/>
      <c r="U66" s="361"/>
      <c r="V66" s="230"/>
    </row>
    <row r="67" spans="1:22" ht="15.75" thickBot="1" x14ac:dyDescent="0.3">
      <c r="V67" s="230"/>
    </row>
    <row r="68" spans="1:22" ht="15.75" thickBot="1" x14ac:dyDescent="0.3">
      <c r="B68" s="391" t="s">
        <v>310</v>
      </c>
      <c r="C68" s="392"/>
      <c r="V68" s="230"/>
    </row>
    <row r="69" spans="1:22" x14ac:dyDescent="0.25">
      <c r="B69" s="218" t="s">
        <v>311</v>
      </c>
      <c r="C69" s="123" t="s">
        <v>316</v>
      </c>
      <c r="V69" s="230"/>
    </row>
    <row r="70" spans="1:22" x14ac:dyDescent="0.25">
      <c r="B70" s="216" t="s">
        <v>313</v>
      </c>
      <c r="C70" s="58" t="s">
        <v>317</v>
      </c>
      <c r="D70" s="14">
        <v>0.6</v>
      </c>
      <c r="E70" s="14">
        <v>0.5</v>
      </c>
      <c r="F70" s="14">
        <v>0.45</v>
      </c>
      <c r="G70" s="14">
        <v>0.45</v>
      </c>
      <c r="H70" s="14">
        <v>0.4</v>
      </c>
      <c r="I70" s="14">
        <v>0.35</v>
      </c>
      <c r="J70" s="14">
        <v>0.3</v>
      </c>
      <c r="K70" s="14">
        <v>0.25</v>
      </c>
      <c r="L70" s="14">
        <v>0.2</v>
      </c>
      <c r="V70" s="230"/>
    </row>
    <row r="71" spans="1:22" x14ac:dyDescent="0.25">
      <c r="B71" s="216" t="s">
        <v>312</v>
      </c>
      <c r="C71" s="58" t="s">
        <v>318</v>
      </c>
      <c r="V71" s="230"/>
    </row>
    <row r="72" spans="1:22" x14ac:dyDescent="0.25">
      <c r="B72" s="216" t="s">
        <v>319</v>
      </c>
      <c r="C72" s="121" t="s">
        <v>322</v>
      </c>
      <c r="V72" s="230"/>
    </row>
    <row r="73" spans="1:22" x14ac:dyDescent="0.25">
      <c r="B73" s="216" t="s">
        <v>320</v>
      </c>
      <c r="C73" s="121" t="s">
        <v>223</v>
      </c>
      <c r="V73" s="230"/>
    </row>
    <row r="74" spans="1:22" x14ac:dyDescent="0.25">
      <c r="B74" s="216" t="s">
        <v>314</v>
      </c>
      <c r="C74" s="121" t="s">
        <v>227</v>
      </c>
      <c r="V74" s="230"/>
    </row>
    <row r="75" spans="1:22" ht="15.75" thickBot="1" x14ac:dyDescent="0.3">
      <c r="B75" s="217" t="s">
        <v>308</v>
      </c>
      <c r="C75" s="122" t="s">
        <v>321</v>
      </c>
      <c r="V75" s="230"/>
    </row>
    <row r="77" spans="1:22" ht="15.75" thickBot="1" x14ac:dyDescent="0.3">
      <c r="A77" s="359" t="s">
        <v>106</v>
      </c>
      <c r="B77" s="360"/>
      <c r="C77" s="360"/>
      <c r="D77" s="360"/>
      <c r="E77" s="360"/>
      <c r="F77" s="360"/>
      <c r="G77" s="360"/>
      <c r="H77" s="360"/>
      <c r="I77" s="360"/>
      <c r="J77" s="360"/>
      <c r="K77" s="360"/>
      <c r="L77" s="360"/>
      <c r="M77" s="360"/>
      <c r="N77" s="360"/>
      <c r="O77" s="360"/>
      <c r="P77" s="360"/>
      <c r="Q77" s="360"/>
      <c r="R77" s="360"/>
      <c r="S77" s="360"/>
      <c r="T77" s="360"/>
      <c r="U77" s="361"/>
      <c r="V77" s="230"/>
    </row>
    <row r="79" spans="1:22" x14ac:dyDescent="0.25">
      <c r="B79" s="219" t="s">
        <v>107</v>
      </c>
      <c r="C79" s="140">
        <f>S15</f>
        <v>91.205211726384334</v>
      </c>
      <c r="D79" s="141" t="s">
        <v>30</v>
      </c>
      <c r="F79" s="396"/>
      <c r="G79" s="397"/>
      <c r="H79" s="397"/>
      <c r="I79" s="397"/>
      <c r="J79" s="397"/>
      <c r="K79" s="397"/>
      <c r="L79" s="397"/>
      <c r="M79" s="397"/>
      <c r="N79" s="397"/>
      <c r="O79" s="397"/>
      <c r="P79" s="397"/>
      <c r="Q79" s="398"/>
      <c r="V79" s="230"/>
    </row>
    <row r="80" spans="1:22" x14ac:dyDescent="0.25">
      <c r="B80" s="131" t="s">
        <v>108</v>
      </c>
      <c r="C80" s="12">
        <v>0.9</v>
      </c>
      <c r="D80" s="133" t="s">
        <v>6</v>
      </c>
      <c r="E80" s="14">
        <f>C116</f>
        <v>1152.1967659301349</v>
      </c>
      <c r="F80" s="399"/>
      <c r="G80" s="400"/>
      <c r="H80" s="400"/>
      <c r="I80" s="400"/>
      <c r="J80" s="400"/>
      <c r="K80" s="400"/>
      <c r="L80" s="400"/>
      <c r="M80" s="400"/>
      <c r="N80" s="400"/>
      <c r="O80" s="400"/>
      <c r="P80" s="400"/>
      <c r="Q80" s="401"/>
      <c r="V80" s="230"/>
    </row>
    <row r="81" spans="2:22" x14ac:dyDescent="0.25">
      <c r="B81" s="220" t="s">
        <v>109</v>
      </c>
      <c r="C81" s="142">
        <f>D14</f>
        <v>0.53949999999999987</v>
      </c>
      <c r="D81" s="71" t="s">
        <v>6</v>
      </c>
      <c r="F81" s="399"/>
      <c r="G81" s="400"/>
      <c r="H81" s="400"/>
      <c r="I81" s="400"/>
      <c r="J81" s="400"/>
      <c r="K81" s="400"/>
      <c r="L81" s="400"/>
      <c r="M81" s="400"/>
      <c r="N81" s="400"/>
      <c r="O81" s="400"/>
      <c r="P81" s="400"/>
      <c r="Q81" s="401"/>
      <c r="V81" s="230"/>
    </row>
    <row r="82" spans="2:22" x14ac:dyDescent="0.25">
      <c r="B82" s="220" t="s">
        <v>110</v>
      </c>
      <c r="C82" s="340">
        <f>D15</f>
        <v>1.8</v>
      </c>
      <c r="D82" s="71"/>
      <c r="F82" s="399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1"/>
      <c r="V82" s="230"/>
    </row>
    <row r="83" spans="2:22" x14ac:dyDescent="0.25">
      <c r="B83" s="220" t="s">
        <v>339</v>
      </c>
      <c r="C83" s="130">
        <v>0</v>
      </c>
      <c r="D83" s="71" t="s">
        <v>340</v>
      </c>
      <c r="E83" s="14">
        <v>1E-3</v>
      </c>
      <c r="F83" s="399"/>
      <c r="G83" s="400"/>
      <c r="H83" s="400"/>
      <c r="I83" s="400"/>
      <c r="J83" s="400"/>
      <c r="K83" s="400"/>
      <c r="L83" s="400"/>
      <c r="M83" s="400"/>
      <c r="N83" s="400"/>
      <c r="O83" s="400"/>
      <c r="P83" s="400"/>
      <c r="Q83" s="401"/>
      <c r="V83" s="230"/>
    </row>
    <row r="84" spans="2:22" ht="15.75" thickBot="1" x14ac:dyDescent="0.3">
      <c r="B84" s="221" t="s">
        <v>341</v>
      </c>
      <c r="C84" s="144">
        <f>D19+273.15</f>
        <v>295.14999999999998</v>
      </c>
      <c r="D84" s="145" t="s">
        <v>111</v>
      </c>
      <c r="F84" s="399"/>
      <c r="G84" s="400"/>
      <c r="H84" s="400"/>
      <c r="I84" s="400"/>
      <c r="J84" s="400"/>
      <c r="K84" s="400"/>
      <c r="L84" s="400"/>
      <c r="M84" s="400"/>
      <c r="N84" s="400"/>
      <c r="O84" s="400"/>
      <c r="P84" s="400"/>
      <c r="Q84" s="401"/>
      <c r="V84" s="230"/>
    </row>
    <row r="85" spans="2:22" ht="15.75" thickBot="1" x14ac:dyDescent="0.3">
      <c r="F85" s="399"/>
      <c r="G85" s="400"/>
      <c r="H85" s="400"/>
      <c r="I85" s="400"/>
      <c r="J85" s="400"/>
      <c r="K85" s="400"/>
      <c r="L85" s="400"/>
      <c r="M85" s="400"/>
      <c r="N85" s="400"/>
      <c r="O85" s="400"/>
      <c r="P85" s="400"/>
      <c r="Q85" s="401"/>
      <c r="V85" s="230"/>
    </row>
    <row r="86" spans="2:22" x14ac:dyDescent="0.25">
      <c r="B86" s="362" t="s">
        <v>307</v>
      </c>
      <c r="C86" s="363"/>
      <c r="D86" s="364"/>
      <c r="F86" s="399"/>
      <c r="G86" s="400"/>
      <c r="H86" s="400"/>
      <c r="I86" s="400"/>
      <c r="J86" s="400"/>
      <c r="K86" s="400"/>
      <c r="L86" s="400"/>
      <c r="M86" s="400"/>
      <c r="N86" s="400"/>
      <c r="O86" s="400"/>
      <c r="P86" s="400"/>
      <c r="Q86" s="401"/>
      <c r="V86" s="230"/>
    </row>
    <row r="87" spans="2:22" x14ac:dyDescent="0.25">
      <c r="B87" s="220" t="s">
        <v>112</v>
      </c>
      <c r="C87" s="130" t="s">
        <v>113</v>
      </c>
      <c r="D87" s="71">
        <v>0.47</v>
      </c>
      <c r="F87" s="399"/>
      <c r="G87" s="400"/>
      <c r="H87" s="400"/>
      <c r="I87" s="400"/>
      <c r="J87" s="400"/>
      <c r="K87" s="400"/>
      <c r="L87" s="400"/>
      <c r="M87" s="400"/>
      <c r="N87" s="400"/>
      <c r="O87" s="400"/>
      <c r="P87" s="400"/>
      <c r="Q87" s="401"/>
      <c r="V87" s="230"/>
    </row>
    <row r="88" spans="2:22" x14ac:dyDescent="0.25">
      <c r="B88" s="220" t="s">
        <v>114</v>
      </c>
      <c r="C88" s="130" t="s">
        <v>115</v>
      </c>
      <c r="D88" s="71">
        <v>6.5000000000000002E-2</v>
      </c>
      <c r="F88" s="399"/>
      <c r="G88" s="400"/>
      <c r="H88" s="400"/>
      <c r="I88" s="400"/>
      <c r="J88" s="400"/>
      <c r="K88" s="400"/>
      <c r="L88" s="400"/>
      <c r="M88" s="400"/>
      <c r="N88" s="400"/>
      <c r="O88" s="400"/>
      <c r="P88" s="400"/>
      <c r="Q88" s="401"/>
      <c r="V88" s="230"/>
    </row>
    <row r="89" spans="2:22" x14ac:dyDescent="0.25">
      <c r="B89" s="220" t="s">
        <v>116</v>
      </c>
      <c r="C89" s="130" t="s">
        <v>117</v>
      </c>
      <c r="D89" s="71">
        <v>0.44</v>
      </c>
      <c r="F89" s="399"/>
      <c r="G89" s="400"/>
      <c r="H89" s="400"/>
      <c r="I89" s="400"/>
      <c r="J89" s="400"/>
      <c r="K89" s="400"/>
      <c r="L89" s="400"/>
      <c r="M89" s="400"/>
      <c r="N89" s="400"/>
      <c r="O89" s="400"/>
      <c r="P89" s="400"/>
      <c r="Q89" s="401"/>
      <c r="V89" s="230"/>
    </row>
    <row r="90" spans="2:22" x14ac:dyDescent="0.25">
      <c r="B90" s="220" t="s">
        <v>118</v>
      </c>
      <c r="C90" s="130" t="s">
        <v>119</v>
      </c>
      <c r="D90" s="71">
        <v>2.5000000000000001E-2</v>
      </c>
      <c r="F90" s="399"/>
      <c r="G90" s="400"/>
      <c r="H90" s="400"/>
      <c r="I90" s="400"/>
      <c r="J90" s="400"/>
      <c r="K90" s="400"/>
      <c r="L90" s="400"/>
      <c r="M90" s="400"/>
      <c r="N90" s="400"/>
      <c r="O90" s="400"/>
      <c r="P90" s="400"/>
      <c r="Q90" s="401"/>
      <c r="V90" s="230"/>
    </row>
    <row r="91" spans="2:22" ht="15.75" thickBot="1" x14ac:dyDescent="0.3">
      <c r="B91" s="221" t="s">
        <v>120</v>
      </c>
      <c r="C91" s="144">
        <f>C79*(1-C81)</f>
        <v>42</v>
      </c>
      <c r="D91" s="145" t="s">
        <v>30</v>
      </c>
      <c r="F91" s="399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1"/>
      <c r="V91" s="230"/>
    </row>
    <row r="92" spans="2:22" x14ac:dyDescent="0.25">
      <c r="B92" s="222" t="s">
        <v>113</v>
      </c>
      <c r="C92" s="146">
        <v>12.0107</v>
      </c>
      <c r="D92" s="147" t="s">
        <v>121</v>
      </c>
      <c r="F92" s="399"/>
      <c r="G92" s="400"/>
      <c r="H92" s="400"/>
      <c r="I92" s="400"/>
      <c r="J92" s="400"/>
      <c r="K92" s="400"/>
      <c r="L92" s="400"/>
      <c r="M92" s="400"/>
      <c r="N92" s="400"/>
      <c r="O92" s="400"/>
      <c r="P92" s="400"/>
      <c r="Q92" s="401"/>
      <c r="V92" s="230"/>
    </row>
    <row r="93" spans="2:22" ht="15.75" thickBot="1" x14ac:dyDescent="0.3">
      <c r="B93" s="220" t="s">
        <v>122</v>
      </c>
      <c r="C93" s="148">
        <f>1.00794*2</f>
        <v>2.0158800000000001</v>
      </c>
      <c r="D93" s="71" t="s">
        <v>121</v>
      </c>
      <c r="F93" s="402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4"/>
      <c r="V93" s="230"/>
    </row>
    <row r="94" spans="2:22" ht="15.75" thickBot="1" x14ac:dyDescent="0.3">
      <c r="B94" s="220" t="s">
        <v>123</v>
      </c>
      <c r="C94" s="148">
        <v>44.009500000000003</v>
      </c>
      <c r="D94" s="71" t="s">
        <v>121</v>
      </c>
      <c r="V94" s="230"/>
    </row>
    <row r="95" spans="2:22" x14ac:dyDescent="0.25">
      <c r="B95" s="220" t="s">
        <v>124</v>
      </c>
      <c r="C95" s="148">
        <v>28.010100000000001</v>
      </c>
      <c r="D95" s="71" t="s">
        <v>121</v>
      </c>
      <c r="F95" s="149"/>
      <c r="G95" s="150"/>
      <c r="H95" s="150"/>
      <c r="I95" s="150"/>
      <c r="J95" s="151"/>
      <c r="L95" s="182"/>
      <c r="M95" s="183"/>
      <c r="N95" s="183"/>
      <c r="O95" s="183"/>
      <c r="P95" s="184"/>
      <c r="V95" s="230"/>
    </row>
    <row r="96" spans="2:22" x14ac:dyDescent="0.25">
      <c r="B96" s="220" t="s">
        <v>125</v>
      </c>
      <c r="C96" s="148">
        <v>18.015280000000001</v>
      </c>
      <c r="D96" s="71" t="s">
        <v>121</v>
      </c>
      <c r="F96" s="152"/>
      <c r="G96" s="130" t="s">
        <v>135</v>
      </c>
      <c r="H96" s="130" t="s">
        <v>136</v>
      </c>
      <c r="I96" s="130" t="s">
        <v>113</v>
      </c>
      <c r="J96" s="71" t="s">
        <v>137</v>
      </c>
      <c r="L96" s="185"/>
      <c r="M96" s="186"/>
      <c r="N96" s="186"/>
      <c r="O96" s="186"/>
      <c r="P96" s="187"/>
      <c r="R96" s="14" t="s">
        <v>410</v>
      </c>
      <c r="S96" s="188">
        <f>G107*(G101+H101*C116+J101*C116^-2)</f>
        <v>32.977405395036072</v>
      </c>
      <c r="V96" s="230"/>
    </row>
    <row r="97" spans="1:22" x14ac:dyDescent="0.25">
      <c r="B97" s="220" t="s">
        <v>126</v>
      </c>
      <c r="C97" s="148">
        <v>31.998799999999999</v>
      </c>
      <c r="D97" s="71" t="s">
        <v>121</v>
      </c>
      <c r="F97" s="152" t="s">
        <v>123</v>
      </c>
      <c r="G97" s="130">
        <v>5.4569999999999999</v>
      </c>
      <c r="H97" s="153">
        <v>1.0449999999999999E-3</v>
      </c>
      <c r="I97" s="130">
        <v>0</v>
      </c>
      <c r="J97" s="160">
        <v>-115700</v>
      </c>
      <c r="L97" s="185"/>
      <c r="M97" s="186"/>
      <c r="N97" s="186"/>
      <c r="O97" s="186"/>
      <c r="P97" s="187"/>
      <c r="R97" s="14" t="s">
        <v>124</v>
      </c>
      <c r="S97" s="188">
        <f>G107*(G98+H98*C116+J98*C116^-2)</f>
        <v>33.386250834600339</v>
      </c>
      <c r="V97" s="230"/>
    </row>
    <row r="98" spans="1:22" ht="15.75" thickBot="1" x14ac:dyDescent="0.3">
      <c r="B98" s="223" t="s">
        <v>127</v>
      </c>
      <c r="C98" s="154">
        <v>28.013400000000001</v>
      </c>
      <c r="D98" s="155" t="s">
        <v>121</v>
      </c>
      <c r="F98" s="152" t="s">
        <v>124</v>
      </c>
      <c r="G98" s="130">
        <v>3.3759999999999999</v>
      </c>
      <c r="H98" s="153">
        <v>5.5699999999999999E-4</v>
      </c>
      <c r="I98" s="130">
        <v>0</v>
      </c>
      <c r="J98" s="160">
        <v>-3100</v>
      </c>
      <c r="L98" s="185"/>
      <c r="M98" s="186"/>
      <c r="N98" s="186"/>
      <c r="O98" s="186"/>
      <c r="P98" s="187"/>
      <c r="V98" s="230"/>
    </row>
    <row r="99" spans="1:22" x14ac:dyDescent="0.25">
      <c r="B99" s="393" t="s">
        <v>128</v>
      </c>
      <c r="C99" s="394"/>
      <c r="D99" s="395"/>
      <c r="F99" s="152" t="s">
        <v>125</v>
      </c>
      <c r="G99" s="130">
        <v>3.47</v>
      </c>
      <c r="H99" s="153">
        <v>1.4499999999999999E-3</v>
      </c>
      <c r="I99" s="130">
        <v>0</v>
      </c>
      <c r="J99" s="160">
        <v>12100</v>
      </c>
      <c r="L99" s="185"/>
      <c r="M99" s="186"/>
      <c r="N99" s="186"/>
      <c r="O99" s="186"/>
      <c r="P99" s="187"/>
      <c r="V99" s="230"/>
    </row>
    <row r="100" spans="1:22" ht="16.5" thickBot="1" x14ac:dyDescent="0.3">
      <c r="A100" s="14" t="s">
        <v>345</v>
      </c>
      <c r="B100" s="220" t="s">
        <v>133</v>
      </c>
      <c r="C100" s="148">
        <f>C91*D87/C92</f>
        <v>1.643534515057407</v>
      </c>
      <c r="D100" s="71" t="s">
        <v>134</v>
      </c>
      <c r="F100" s="152" t="s">
        <v>126</v>
      </c>
      <c r="G100" s="130">
        <v>3.6389999999999998</v>
      </c>
      <c r="H100" s="153">
        <v>5.0600000000000005E-4</v>
      </c>
      <c r="I100" s="130">
        <v>0</v>
      </c>
      <c r="J100" s="160">
        <v>-22700</v>
      </c>
      <c r="L100" s="190"/>
      <c r="M100" s="191"/>
      <c r="N100" s="191"/>
      <c r="O100" s="191"/>
      <c r="P100" s="192"/>
      <c r="V100" s="230"/>
    </row>
    <row r="101" spans="1:22" ht="16.5" thickBot="1" x14ac:dyDescent="0.3">
      <c r="A101" s="14" t="s">
        <v>344</v>
      </c>
      <c r="B101" s="220" t="s">
        <v>138</v>
      </c>
      <c r="C101" s="148">
        <f>D88*C91/C93</f>
        <v>1.3542472766236084</v>
      </c>
      <c r="D101" s="71" t="s">
        <v>134</v>
      </c>
      <c r="F101" s="143" t="s">
        <v>127</v>
      </c>
      <c r="G101" s="156">
        <v>3.28</v>
      </c>
      <c r="H101" s="157">
        <v>5.9299999999999999E-4</v>
      </c>
      <c r="I101" s="156">
        <v>0</v>
      </c>
      <c r="J101" s="193">
        <v>4000</v>
      </c>
      <c r="V101" s="230"/>
    </row>
    <row r="102" spans="1:22" ht="15.75" thickBot="1" x14ac:dyDescent="0.3">
      <c r="A102" s="14" t="s">
        <v>346</v>
      </c>
      <c r="B102" s="220" t="s">
        <v>139</v>
      </c>
      <c r="C102" s="148">
        <f>D89*C91/C97</f>
        <v>0.57752165706213987</v>
      </c>
      <c r="D102" s="71" t="s">
        <v>134</v>
      </c>
      <c r="N102" s="359"/>
      <c r="O102" s="360"/>
      <c r="P102" s="360"/>
      <c r="Q102" s="360"/>
      <c r="R102" s="361"/>
      <c r="V102" s="230"/>
    </row>
    <row r="103" spans="1:22" ht="19.5" thickBot="1" x14ac:dyDescent="0.3">
      <c r="A103" s="14" t="s">
        <v>347</v>
      </c>
      <c r="B103" s="220" t="s">
        <v>142</v>
      </c>
      <c r="C103" s="148">
        <f>C81*C79/C96</f>
        <v>2.7313042998157306</v>
      </c>
      <c r="D103" s="71" t="s">
        <v>134</v>
      </c>
      <c r="F103" s="64"/>
      <c r="G103" s="63"/>
      <c r="H103" s="158" t="s">
        <v>123</v>
      </c>
      <c r="I103" s="194" t="s">
        <v>124</v>
      </c>
      <c r="J103" s="194" t="s">
        <v>125</v>
      </c>
      <c r="K103" s="194" t="s">
        <v>126</v>
      </c>
      <c r="L103" s="195" t="s">
        <v>127</v>
      </c>
      <c r="N103" s="72" t="s">
        <v>129</v>
      </c>
      <c r="O103" s="68" t="s">
        <v>130</v>
      </c>
      <c r="P103" s="68" t="s">
        <v>131</v>
      </c>
      <c r="Q103" s="68" t="s">
        <v>132</v>
      </c>
      <c r="R103" s="139" t="s">
        <v>113</v>
      </c>
      <c r="V103" s="230"/>
    </row>
    <row r="104" spans="1:22" ht="19.5" thickBot="1" x14ac:dyDescent="0.3">
      <c r="B104" s="220" t="s">
        <v>143</v>
      </c>
      <c r="C104" s="148">
        <f>(C100+C101/2)-C102</f>
        <v>1.7431364963070717</v>
      </c>
      <c r="D104" s="71" t="s">
        <v>134</v>
      </c>
      <c r="F104" s="181" t="s">
        <v>155</v>
      </c>
      <c r="G104" s="147">
        <f>SUM(H104:L104)</f>
        <v>66873.229166373712</v>
      </c>
      <c r="H104" s="159">
        <f>C109*G97</f>
        <v>8071.8910638014431</v>
      </c>
      <c r="I104" s="196">
        <f>G98*C110</f>
        <v>554.85725228338038</v>
      </c>
      <c r="J104" s="196">
        <f>G99*C112</f>
        <v>14176.863970244509</v>
      </c>
      <c r="K104" s="196">
        <f>C113*G100</f>
        <v>5373.6600730638429</v>
      </c>
      <c r="L104" s="147">
        <f>G101*C114</f>
        <v>38695.956806980532</v>
      </c>
      <c r="N104" s="73"/>
      <c r="O104" s="197">
        <f>G109</f>
        <v>556015.59145339765</v>
      </c>
      <c r="P104" s="197">
        <f>G110</f>
        <v>63.6243676280397</v>
      </c>
      <c r="Q104" s="197">
        <f>G111</f>
        <v>902503924.02791512</v>
      </c>
      <c r="R104" s="198">
        <f>G112</f>
        <v>-922408325.13041127</v>
      </c>
      <c r="V104" s="230"/>
    </row>
    <row r="105" spans="1:22" ht="15.75" thickBot="1" x14ac:dyDescent="0.3">
      <c r="A105" s="14" t="s">
        <v>348</v>
      </c>
      <c r="B105" s="220" t="s">
        <v>144</v>
      </c>
      <c r="C105" s="148">
        <f>C104*C82</f>
        <v>3.137645693352729</v>
      </c>
      <c r="D105" s="71" t="s">
        <v>134</v>
      </c>
      <c r="F105" s="152" t="s">
        <v>158</v>
      </c>
      <c r="G105" s="160">
        <f>SUM(H105:L105)</f>
        <v>15.304487796227997</v>
      </c>
      <c r="H105" s="161">
        <f>H97*C109</f>
        <v>1.5457442114114912</v>
      </c>
      <c r="I105" s="153">
        <f>H98*C110</f>
        <v>9.1544872488697526E-2</v>
      </c>
      <c r="J105" s="153">
        <f>C112*H99</f>
        <v>5.9240497858370418</v>
      </c>
      <c r="K105" s="153">
        <f>H100*C113</f>
        <v>0.74720307693605514</v>
      </c>
      <c r="L105" s="160">
        <f>H101*C114</f>
        <v>6.9959458495547118</v>
      </c>
      <c r="N105" s="359"/>
      <c r="O105" s="360"/>
      <c r="P105" s="360"/>
      <c r="Q105" s="360"/>
      <c r="R105" s="361"/>
      <c r="V105" s="230"/>
    </row>
    <row r="106" spans="1:22" ht="19.5" thickBot="1" x14ac:dyDescent="0.3">
      <c r="A106" s="14" t="s">
        <v>349</v>
      </c>
      <c r="B106" s="220" t="s">
        <v>145</v>
      </c>
      <c r="C106" s="148">
        <f>C105*3.76</f>
        <v>11.797547807006261</v>
      </c>
      <c r="D106" s="71" t="s">
        <v>134</v>
      </c>
      <c r="F106" s="189" t="s">
        <v>160</v>
      </c>
      <c r="G106" s="162">
        <f>SUM(H106:L106)</f>
        <v>-108546149.89718109</v>
      </c>
      <c r="H106" s="163">
        <f>J97*C109</f>
        <v>-171141249.05292779</v>
      </c>
      <c r="I106" s="157">
        <f>J98*C110</f>
        <v>-509495.69966779591</v>
      </c>
      <c r="J106" s="157">
        <f>J99*C112</f>
        <v>49435174.074916005</v>
      </c>
      <c r="K106" s="157">
        <f>C113*J100</f>
        <v>-33520770.447526582</v>
      </c>
      <c r="L106" s="193">
        <f>J101*C114</f>
        <v>47190191.228025042</v>
      </c>
      <c r="N106" s="72" t="s">
        <v>140</v>
      </c>
      <c r="O106" s="68" t="s">
        <v>130</v>
      </c>
      <c r="P106" s="68" t="s">
        <v>141</v>
      </c>
      <c r="Q106" s="68" t="s">
        <v>113</v>
      </c>
      <c r="R106" s="139"/>
      <c r="V106" s="230"/>
    </row>
    <row r="107" spans="1:22" ht="19.5" thickBot="1" x14ac:dyDescent="0.3">
      <c r="A107" s="14" t="s">
        <v>152</v>
      </c>
      <c r="B107" s="221" t="s">
        <v>342</v>
      </c>
      <c r="C107" s="144">
        <f>(C106*C98+C105*C97)*C83/C96</f>
        <v>0</v>
      </c>
      <c r="D107" s="145" t="s">
        <v>134</v>
      </c>
      <c r="F107" s="199" t="s">
        <v>163</v>
      </c>
      <c r="G107" s="164">
        <v>8.3144720000000003</v>
      </c>
      <c r="H107" s="62" t="s">
        <v>164</v>
      </c>
      <c r="J107" s="29">
        <f>I108/100</f>
        <v>5380583.0618892517</v>
      </c>
      <c r="K107" s="29">
        <f>J107/1000</f>
        <v>5380.5830618892514</v>
      </c>
      <c r="L107" s="172"/>
      <c r="N107" s="73"/>
      <c r="O107" s="197">
        <f>P104*2</f>
        <v>127.2487352560794</v>
      </c>
      <c r="P107" s="197">
        <f>Q104*-1</f>
        <v>-902503924.02791512</v>
      </c>
      <c r="Q107" s="197">
        <f>O104</f>
        <v>556015.59145339765</v>
      </c>
      <c r="R107" s="198"/>
      <c r="V107" s="230"/>
    </row>
    <row r="108" spans="1:22" ht="15.75" thickBot="1" x14ac:dyDescent="0.3">
      <c r="B108" s="393" t="s">
        <v>146</v>
      </c>
      <c r="C108" s="394"/>
      <c r="D108" s="395"/>
      <c r="F108" s="29"/>
      <c r="I108" s="14">
        <f>H109*C79*1000000</f>
        <v>538058306.18892515</v>
      </c>
      <c r="L108" s="29"/>
      <c r="V108" s="230"/>
    </row>
    <row r="109" spans="1:22" x14ac:dyDescent="0.25">
      <c r="A109" s="14" t="s">
        <v>156</v>
      </c>
      <c r="B109" s="220" t="s">
        <v>153</v>
      </c>
      <c r="C109" s="148">
        <f>C100*C80*1000</f>
        <v>1479.1810635516663</v>
      </c>
      <c r="D109" s="71" t="s">
        <v>154</v>
      </c>
      <c r="F109" s="167" t="s">
        <v>169</v>
      </c>
      <c r="G109" s="141">
        <f>G107*G104</f>
        <v>556015.59145339765</v>
      </c>
      <c r="H109" s="14">
        <f>17.85*(1-(C81+0.13))</f>
        <v>5.8994250000000026</v>
      </c>
      <c r="I109" s="14">
        <f>5028*100</f>
        <v>502800</v>
      </c>
      <c r="J109" s="167" t="s">
        <v>232</v>
      </c>
      <c r="K109" s="141">
        <f>G109*-C84</f>
        <v>-164108001.81747031</v>
      </c>
      <c r="V109" s="230"/>
    </row>
    <row r="110" spans="1:22" ht="15.75" thickBot="1" x14ac:dyDescent="0.3">
      <c r="A110" s="14" t="s">
        <v>161</v>
      </c>
      <c r="B110" s="220" t="s">
        <v>157</v>
      </c>
      <c r="C110" s="148">
        <f>(C100*1000-C109)</f>
        <v>164.35345150574062</v>
      </c>
      <c r="D110" s="71" t="s">
        <v>154</v>
      </c>
      <c r="F110" s="152" t="s">
        <v>170</v>
      </c>
      <c r="G110" s="160">
        <f>G107*G105/2</f>
        <v>63.6243676280397</v>
      </c>
      <c r="H110" s="14">
        <v>17.850000000000001</v>
      </c>
      <c r="I110" s="29">
        <f>H110*C91*1000000</f>
        <v>749700000</v>
      </c>
      <c r="J110" s="152" t="s">
        <v>233</v>
      </c>
      <c r="K110" s="160">
        <f>G110*-(C84^2)</f>
        <v>-5542542.7809135076</v>
      </c>
      <c r="V110" s="230"/>
    </row>
    <row r="111" spans="1:22" ht="15.75" thickBot="1" x14ac:dyDescent="0.3">
      <c r="B111" s="220" t="s">
        <v>159</v>
      </c>
      <c r="C111" s="165">
        <f>C101*1000</f>
        <v>1354.2472766236085</v>
      </c>
      <c r="D111" s="71" t="s">
        <v>154</v>
      </c>
      <c r="F111" s="152" t="s">
        <v>171</v>
      </c>
      <c r="G111" s="160">
        <f>-G107*G106</f>
        <v>902503924.02791512</v>
      </c>
      <c r="J111" s="152" t="s">
        <v>234</v>
      </c>
      <c r="K111" s="160">
        <f>G111*-(C84^-1)</f>
        <v>-3057780.5320274951</v>
      </c>
      <c r="N111" s="199" t="s">
        <v>147</v>
      </c>
      <c r="O111" s="194" t="s">
        <v>148</v>
      </c>
      <c r="P111" s="194" t="s">
        <v>149</v>
      </c>
      <c r="Q111" s="194" t="s">
        <v>150</v>
      </c>
      <c r="R111" s="200" t="s">
        <v>151</v>
      </c>
      <c r="V111" s="230"/>
    </row>
    <row r="112" spans="1:22" ht="15.75" thickBot="1" x14ac:dyDescent="0.3">
      <c r="A112" s="14" t="s">
        <v>165</v>
      </c>
      <c r="B112" s="220" t="s">
        <v>162</v>
      </c>
      <c r="C112" s="148">
        <f>C111+(C107+C103)*1000</f>
        <v>4085.5515764393394</v>
      </c>
      <c r="D112" s="71" t="s">
        <v>154</v>
      </c>
      <c r="F112" s="143" t="s">
        <v>113</v>
      </c>
      <c r="G112" s="145">
        <f>SUM(K109:K112)</f>
        <v>-922408325.13041127</v>
      </c>
      <c r="I112" s="166" t="s">
        <v>236</v>
      </c>
      <c r="J112" s="143" t="s">
        <v>235</v>
      </c>
      <c r="K112" s="145">
        <f>-I110</f>
        <v>-749700000</v>
      </c>
      <c r="N112" s="201">
        <v>2000</v>
      </c>
      <c r="O112" s="202">
        <f t="shared" ref="O112:O120" si="2">$O$104*N112+$P$104*N112^2+$Q$104*N112^(-1)+$R$104</f>
        <v>444571580.25055683</v>
      </c>
      <c r="P112" s="202">
        <f t="shared" ref="P112:P120" si="3">$O$107*N112+$P$107*N112^-2+$Q$107</f>
        <v>810287.43598454946</v>
      </c>
      <c r="Q112" s="202">
        <f>N112-O112/P112</f>
        <v>1451.3408939750191</v>
      </c>
      <c r="R112" s="147">
        <f>ABS(N112-Q112)</f>
        <v>548.65910602498093</v>
      </c>
      <c r="V112" s="230"/>
    </row>
    <row r="113" spans="1:22" x14ac:dyDescent="0.25">
      <c r="A113" s="14" t="s">
        <v>167</v>
      </c>
      <c r="B113" s="220" t="s">
        <v>166</v>
      </c>
      <c r="C113" s="148">
        <f>(C105-C104)*1000+C110/2</f>
        <v>1476.6859227985278</v>
      </c>
      <c r="D113" s="71" t="s">
        <v>154</v>
      </c>
      <c r="N113" s="203">
        <f>Q112</f>
        <v>1451.3408939750191</v>
      </c>
      <c r="O113" s="153">
        <f t="shared" si="2"/>
        <v>19199438.457167268</v>
      </c>
      <c r="P113" s="153">
        <f t="shared" si="3"/>
        <v>740268.42468590103</v>
      </c>
      <c r="Q113" s="153">
        <f>N113-O113/P113</f>
        <v>1425.405114713174</v>
      </c>
      <c r="R113" s="71">
        <f>ABS(N113-Q113)</f>
        <v>25.935779261845028</v>
      </c>
      <c r="V113" s="230"/>
    </row>
    <row r="114" spans="1:22" ht="15.75" thickBot="1" x14ac:dyDescent="0.3">
      <c r="A114" s="14" t="s">
        <v>343</v>
      </c>
      <c r="B114" s="221" t="s">
        <v>168</v>
      </c>
      <c r="C114" s="144">
        <f>C106*1000</f>
        <v>11797.54780700626</v>
      </c>
      <c r="D114" s="145" t="s">
        <v>154</v>
      </c>
      <c r="N114" s="203">
        <f t="shared" ref="N114:N120" si="4">Q113</f>
        <v>1425.405114713174</v>
      </c>
      <c r="O114" s="153">
        <f t="shared" si="2"/>
        <v>43000.057774424553</v>
      </c>
      <c r="P114" s="153">
        <f t="shared" si="3"/>
        <v>736952.39574783982</v>
      </c>
      <c r="Q114" s="153">
        <f t="shared" ref="Q114:Q120" si="5">N114-O114/P114</f>
        <v>1425.3467662255071</v>
      </c>
      <c r="R114" s="71">
        <f t="shared" ref="R114:R120" si="6">ABS(N114-Q114)</f>
        <v>5.8348487666989968E-2</v>
      </c>
      <c r="V114" s="230"/>
    </row>
    <row r="115" spans="1:22" ht="15.75" thickBot="1" x14ac:dyDescent="0.3">
      <c r="F115" s="167" t="s">
        <v>405</v>
      </c>
      <c r="G115" s="140">
        <f>6*P43^2</f>
        <v>6.6629950987421278</v>
      </c>
      <c r="H115" s="141" t="s">
        <v>91</v>
      </c>
      <c r="J115" s="204" t="s">
        <v>153</v>
      </c>
      <c r="K115" s="140">
        <f>(C109*C94)/1000</f>
        <v>65.098019016377066</v>
      </c>
      <c r="L115" s="141" t="s">
        <v>30</v>
      </c>
      <c r="N115" s="203">
        <f t="shared" si="4"/>
        <v>1425.3467662255071</v>
      </c>
      <c r="O115" s="153">
        <f t="shared" si="2"/>
        <v>0.21767306327819824</v>
      </c>
      <c r="P115" s="153">
        <f t="shared" si="3"/>
        <v>736944.93460849556</v>
      </c>
      <c r="Q115" s="153">
        <f t="shared" si="5"/>
        <v>1425.3467659301348</v>
      </c>
      <c r="R115" s="71">
        <f t="shared" si="6"/>
        <v>2.9537227419496048E-7</v>
      </c>
      <c r="V115" s="230"/>
    </row>
    <row r="116" spans="1:22" x14ac:dyDescent="0.25">
      <c r="B116" s="219" t="s">
        <v>350</v>
      </c>
      <c r="C116" s="168">
        <f>N120-273.15</f>
        <v>1152.1967659301349</v>
      </c>
      <c r="D116" s="141" t="s">
        <v>20</v>
      </c>
      <c r="F116" s="169" t="s">
        <v>398</v>
      </c>
      <c r="G116" s="132" t="s">
        <v>399</v>
      </c>
      <c r="H116" s="170" t="s">
        <v>406</v>
      </c>
      <c r="J116" s="152" t="s">
        <v>157</v>
      </c>
      <c r="K116" s="130">
        <f>(C110*C95)/1000</f>
        <v>4.6035566120209461</v>
      </c>
      <c r="L116" s="71" t="s">
        <v>30</v>
      </c>
      <c r="N116" s="203">
        <f t="shared" si="4"/>
        <v>1425.3467659301348</v>
      </c>
      <c r="O116" s="153">
        <f t="shared" si="2"/>
        <v>0</v>
      </c>
      <c r="P116" s="153">
        <f t="shared" si="3"/>
        <v>736944.93457072577</v>
      </c>
      <c r="Q116" s="153">
        <f t="shared" si="5"/>
        <v>1425.3467659301348</v>
      </c>
      <c r="R116" s="71">
        <f t="shared" si="6"/>
        <v>0</v>
      </c>
      <c r="V116" s="230"/>
    </row>
    <row r="117" spans="1:22" x14ac:dyDescent="0.25">
      <c r="B117" s="220" t="s">
        <v>172</v>
      </c>
      <c r="C117" s="130">
        <f>SUM(C109:C114)</f>
        <v>20357.567097925144</v>
      </c>
      <c r="D117" s="71" t="s">
        <v>154</v>
      </c>
      <c r="F117" s="171" t="s">
        <v>363</v>
      </c>
      <c r="G117" s="130">
        <f>'Mod Program'!C9</f>
        <v>0.28999999999999998</v>
      </c>
      <c r="H117" s="71" t="s">
        <v>401</v>
      </c>
      <c r="I117" s="14">
        <v>34579.262715637895</v>
      </c>
      <c r="J117" s="152" t="s">
        <v>162</v>
      </c>
      <c r="K117" s="130">
        <f>(C112*C96)/1000</f>
        <v>73.602355603996116</v>
      </c>
      <c r="L117" s="71" t="s">
        <v>30</v>
      </c>
      <c r="N117" s="203">
        <f t="shared" si="4"/>
        <v>1425.3467659301348</v>
      </c>
      <c r="O117" s="153">
        <f t="shared" si="2"/>
        <v>0</v>
      </c>
      <c r="P117" s="153">
        <f t="shared" si="3"/>
        <v>736944.93457072577</v>
      </c>
      <c r="Q117" s="153">
        <f t="shared" si="5"/>
        <v>1425.3467659301348</v>
      </c>
      <c r="R117" s="71">
        <f t="shared" si="6"/>
        <v>0</v>
      </c>
      <c r="V117" s="230"/>
    </row>
    <row r="118" spans="1:22" ht="15.75" thickBot="1" x14ac:dyDescent="0.3">
      <c r="B118" s="221" t="s">
        <v>173</v>
      </c>
      <c r="C118" s="156">
        <f>(C109*C94)+(C110*C95)+(C96*C112)+(C113*C97)+(C98*C114)</f>
        <v>521045.53447562887</v>
      </c>
      <c r="D118" s="145" t="s">
        <v>174</v>
      </c>
      <c r="F118" s="169" t="s">
        <v>403</v>
      </c>
      <c r="G118" s="132">
        <v>0.12</v>
      </c>
      <c r="H118" s="133" t="s">
        <v>17</v>
      </c>
      <c r="I118" s="14">
        <v>107314.95325542797</v>
      </c>
      <c r="J118" s="152" t="s">
        <v>166</v>
      </c>
      <c r="K118" s="130">
        <f>(C113*C97)/1000</f>
        <v>47.252177506445527</v>
      </c>
      <c r="L118" s="71" t="s">
        <v>30</v>
      </c>
      <c r="N118" s="203">
        <f t="shared" si="4"/>
        <v>1425.3467659301348</v>
      </c>
      <c r="O118" s="153">
        <f t="shared" si="2"/>
        <v>0</v>
      </c>
      <c r="P118" s="153">
        <f t="shared" si="3"/>
        <v>736944.93457072577</v>
      </c>
      <c r="Q118" s="153">
        <f t="shared" si="5"/>
        <v>1425.3467659301348</v>
      </c>
      <c r="R118" s="71">
        <f t="shared" si="6"/>
        <v>0</v>
      </c>
      <c r="V118" s="230"/>
    </row>
    <row r="119" spans="1:22" ht="15.75" thickBot="1" x14ac:dyDescent="0.3">
      <c r="F119" s="143" t="s">
        <v>404</v>
      </c>
      <c r="G119" s="156">
        <f>G117*G115*(C116-D19)/G118</f>
        <v>18198.697487349509</v>
      </c>
      <c r="H119" s="145" t="s">
        <v>402</v>
      </c>
      <c r="I119" s="14">
        <f>+I118/I117</f>
        <v>3.1034482758620698</v>
      </c>
      <c r="J119" s="205" t="s">
        <v>168</v>
      </c>
      <c r="K119" s="130">
        <f>(C114*C98)/1000</f>
        <v>330.4894257367892</v>
      </c>
      <c r="L119" s="71" t="s">
        <v>30</v>
      </c>
      <c r="N119" s="203">
        <f t="shared" si="4"/>
        <v>1425.3467659301348</v>
      </c>
      <c r="O119" s="153">
        <f t="shared" si="2"/>
        <v>0</v>
      </c>
      <c r="P119" s="153">
        <f t="shared" si="3"/>
        <v>736944.93457072577</v>
      </c>
      <c r="Q119" s="153">
        <f t="shared" si="5"/>
        <v>1425.3467659301348</v>
      </c>
      <c r="R119" s="71">
        <f t="shared" si="6"/>
        <v>0</v>
      </c>
      <c r="V119" s="230"/>
    </row>
    <row r="120" spans="1:22" ht="15.75" thickBot="1" x14ac:dyDescent="0.3">
      <c r="C120" s="14">
        <f>C118/1000</f>
        <v>521.04553447562887</v>
      </c>
      <c r="J120" s="143"/>
      <c r="K120" s="156">
        <f>SUM(K115:K119)</f>
        <v>521.04553447562887</v>
      </c>
      <c r="L120" s="145"/>
      <c r="N120" s="206">
        <f t="shared" si="4"/>
        <v>1425.3467659301348</v>
      </c>
      <c r="O120" s="157">
        <f t="shared" si="2"/>
        <v>0</v>
      </c>
      <c r="P120" s="157">
        <f t="shared" si="3"/>
        <v>736944.93457072577</v>
      </c>
      <c r="Q120" s="157">
        <f t="shared" si="5"/>
        <v>1425.3467659301348</v>
      </c>
      <c r="R120" s="145">
        <f t="shared" si="6"/>
        <v>0</v>
      </c>
      <c r="V120" s="230"/>
    </row>
    <row r="122" spans="1:22" ht="15.75" thickBot="1" x14ac:dyDescent="0.3">
      <c r="A122" s="359" t="s">
        <v>323</v>
      </c>
      <c r="B122" s="360"/>
      <c r="C122" s="360"/>
      <c r="D122" s="360"/>
      <c r="E122" s="360"/>
      <c r="F122" s="360"/>
      <c r="G122" s="360"/>
      <c r="H122" s="360"/>
      <c r="I122" s="360"/>
      <c r="J122" s="360"/>
      <c r="K122" s="360"/>
      <c r="L122" s="360"/>
      <c r="M122" s="360"/>
      <c r="N122" s="360"/>
      <c r="O122" s="360"/>
      <c r="P122" s="360"/>
      <c r="Q122" s="360"/>
      <c r="R122" s="360"/>
      <c r="S122" s="360"/>
      <c r="T122" s="360"/>
      <c r="U122" s="361"/>
      <c r="V122" s="230"/>
    </row>
    <row r="123" spans="1:22" s="232" customFormat="1" x14ac:dyDescent="0.25">
      <c r="A123" s="228"/>
      <c r="B123" s="228"/>
      <c r="C123" s="228"/>
      <c r="D123" s="228"/>
      <c r="E123" s="228"/>
      <c r="F123" s="228"/>
      <c r="G123" s="228"/>
      <c r="H123" s="228"/>
      <c r="I123" s="228"/>
      <c r="J123" s="228"/>
      <c r="K123" s="228"/>
      <c r="L123" s="228"/>
      <c r="M123" s="228"/>
      <c r="N123" s="228"/>
      <c r="O123" s="228"/>
      <c r="P123" s="228"/>
      <c r="Q123" s="228"/>
      <c r="R123" s="228"/>
      <c r="S123" s="228"/>
      <c r="T123" s="228"/>
      <c r="U123" s="228"/>
      <c r="V123" s="230"/>
    </row>
    <row r="124" spans="1:22" ht="15.75" thickBot="1" x14ac:dyDescent="0.3">
      <c r="V124" s="230"/>
    </row>
    <row r="125" spans="1:22" ht="15.75" thickBot="1" x14ac:dyDescent="0.3">
      <c r="A125" s="359" t="s">
        <v>338</v>
      </c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0"/>
      <c r="P125" s="360"/>
      <c r="Q125" s="360"/>
      <c r="R125" s="360"/>
      <c r="S125" s="360"/>
      <c r="T125" s="360"/>
      <c r="U125" s="361"/>
      <c r="V125" s="230"/>
    </row>
    <row r="126" spans="1:22" ht="15.75" thickBot="1" x14ac:dyDescent="0.3">
      <c r="A126" s="228"/>
      <c r="B126" s="231"/>
      <c r="C126" s="228"/>
      <c r="D126" s="228"/>
      <c r="E126" s="228"/>
      <c r="F126" s="228"/>
      <c r="G126" s="228"/>
      <c r="H126" s="228"/>
      <c r="I126" s="228"/>
      <c r="J126" s="228"/>
      <c r="K126" s="228"/>
      <c r="L126" s="228"/>
      <c r="M126" s="228"/>
      <c r="N126" s="228"/>
      <c r="O126" s="228"/>
      <c r="P126" s="228"/>
      <c r="Q126" s="228"/>
      <c r="R126" s="228"/>
      <c r="S126" s="228"/>
      <c r="T126" s="228"/>
      <c r="U126" s="228"/>
      <c r="V126" s="230"/>
    </row>
    <row r="127" spans="1:22" ht="15.75" thickBot="1" x14ac:dyDescent="0.3">
      <c r="A127" s="232"/>
      <c r="B127" s="388" t="s">
        <v>417</v>
      </c>
      <c r="C127" s="389"/>
      <c r="D127" s="390"/>
      <c r="E127" s="235">
        <v>1</v>
      </c>
      <c r="F127" s="236">
        <v>2</v>
      </c>
      <c r="G127" s="236">
        <v>3</v>
      </c>
      <c r="H127" s="236">
        <v>4</v>
      </c>
      <c r="I127" s="236">
        <v>5</v>
      </c>
      <c r="J127" s="236">
        <v>6</v>
      </c>
      <c r="K127" s="236">
        <v>7</v>
      </c>
      <c r="L127" s="236">
        <v>8</v>
      </c>
      <c r="M127" s="236" t="str">
        <f>L52</f>
        <v>MELOTERA</v>
      </c>
      <c r="N127" s="240"/>
      <c r="O127" s="232"/>
      <c r="P127" s="232"/>
      <c r="Q127" s="232"/>
      <c r="R127" s="232"/>
      <c r="S127" s="232"/>
      <c r="T127" s="232"/>
      <c r="U127" s="232"/>
      <c r="V127" s="230"/>
    </row>
    <row r="128" spans="1:22" x14ac:dyDescent="0.25">
      <c r="A128" s="232"/>
      <c r="B128" s="215" t="s">
        <v>351</v>
      </c>
      <c r="C128" s="305" t="s">
        <v>352</v>
      </c>
      <c r="D128" s="306" t="s">
        <v>20</v>
      </c>
      <c r="E128" s="299">
        <v>950</v>
      </c>
      <c r="F128" s="300">
        <v>900</v>
      </c>
      <c r="G128" s="299">
        <v>850</v>
      </c>
      <c r="H128" s="300">
        <v>800</v>
      </c>
      <c r="I128" s="299">
        <v>750</v>
      </c>
      <c r="J128" s="300">
        <v>700</v>
      </c>
      <c r="K128" s="299">
        <v>650</v>
      </c>
      <c r="L128" s="300">
        <v>600</v>
      </c>
      <c r="M128" s="300">
        <f>AVERAGE('Mod Program'!L156,'Mod Program'!M156)</f>
        <v>175.85343610897365</v>
      </c>
      <c r="N128" s="240"/>
      <c r="O128" s="232"/>
      <c r="P128" s="232"/>
      <c r="Q128" s="232"/>
      <c r="R128" s="232"/>
      <c r="S128" s="232"/>
      <c r="T128" s="232"/>
      <c r="U128" s="232"/>
      <c r="V128" s="230"/>
    </row>
    <row r="129" spans="1:24" x14ac:dyDescent="0.25">
      <c r="A129" s="232"/>
      <c r="B129" s="279" t="s">
        <v>353</v>
      </c>
      <c r="C129" s="74" t="s">
        <v>354</v>
      </c>
      <c r="D129" s="57" t="s">
        <v>396</v>
      </c>
      <c r="E129" s="299">
        <f>D22/760</f>
        <v>0.82991001477720805</v>
      </c>
      <c r="F129" s="300">
        <f>E129</f>
        <v>0.82991001477720805</v>
      </c>
      <c r="G129" s="300">
        <f t="shared" ref="G129:M129" si="7">F129</f>
        <v>0.82991001477720805</v>
      </c>
      <c r="H129" s="300">
        <f t="shared" si="7"/>
        <v>0.82991001477720805</v>
      </c>
      <c r="I129" s="300">
        <f t="shared" si="7"/>
        <v>0.82991001477720805</v>
      </c>
      <c r="J129" s="300">
        <f t="shared" si="7"/>
        <v>0.82991001477720805</v>
      </c>
      <c r="K129" s="300">
        <f t="shared" si="7"/>
        <v>0.82991001477720805</v>
      </c>
      <c r="L129" s="300">
        <f t="shared" si="7"/>
        <v>0.82991001477720805</v>
      </c>
      <c r="M129" s="300">
        <f t="shared" si="7"/>
        <v>0.82991001477720805</v>
      </c>
      <c r="N129" s="240"/>
      <c r="O129" s="232"/>
      <c r="P129" s="232"/>
      <c r="Q129" s="232"/>
      <c r="R129" s="232"/>
      <c r="S129" s="232"/>
      <c r="T129" s="232"/>
      <c r="U129" s="232"/>
      <c r="V129" s="230"/>
    </row>
    <row r="130" spans="1:24" x14ac:dyDescent="0.25">
      <c r="A130" s="232"/>
      <c r="B130" s="279" t="s">
        <v>508</v>
      </c>
      <c r="C130" s="74" t="s">
        <v>355</v>
      </c>
      <c r="D130" s="57" t="s">
        <v>356</v>
      </c>
      <c r="E130" s="299">
        <f>+'Mod Program'!$I$148*(0.832+0.000348*E128)+'Mod Program'!$J$148*(1.028+0.0000819*E128)+'Mod Program'!$K$148*(1.956+0.0006479*E128)+'Mod Program'!$L$148*(0.895+0.0000752*E128)+'Mod Program'!$M$148*(1.028+0.0000819*E128)</f>
        <v>1.3073054600054532</v>
      </c>
      <c r="F130" s="300">
        <f>+'Mod Program'!$I$148*(0.832+0.000348*F128)+'Mod Program'!$J$148*(1.028+0.0000819*F128)+'Mod Program'!$K$148*(1.956+0.0006479*F128)+'Mod Program'!$L$148*(0.895+0.0000752*F128)+'Mod Program'!$M$148*(1.028+0.0000819*F128)</f>
        <v>1.2975809206791191</v>
      </c>
      <c r="G130" s="300">
        <f>+'Mod Program'!$I$148*(0.832+0.000348*G128)+'Mod Program'!$J$148*(1.028+0.0000819*G128)+'Mod Program'!$K$148*(1.956+0.0006479*G128)+'Mod Program'!$L$148*(0.895+0.0000752*G128)+'Mod Program'!$M$148*(1.028+0.0000819*G128)</f>
        <v>1.287856381352785</v>
      </c>
      <c r="H130" s="300">
        <f>+'Mod Program'!$I$148*(0.832+0.000348*H128)+'Mod Program'!$J$148*(1.028+0.0000819*H128)+'Mod Program'!$K$148*(1.956+0.0006479*H128)+'Mod Program'!$L$148*(0.895+0.0000752*H128)+'Mod Program'!$M$148*(1.028+0.0000819*H128)</f>
        <v>1.2781318420264509</v>
      </c>
      <c r="I130" s="300">
        <f>+'Mod Program'!$I$148*(0.832+0.000348*I128)+'Mod Program'!$J$148*(1.028+0.0000819*I128)+'Mod Program'!$K$148*(1.956+0.0006479*I128)+'Mod Program'!$L$148*(0.895+0.0000752*I128)+'Mod Program'!$M$148*(1.028+0.0000819*I128)</f>
        <v>1.2684073027001168</v>
      </c>
      <c r="J130" s="300">
        <f>+'Mod Program'!$I$148*(0.832+0.000348*J128)+'Mod Program'!$J$148*(1.028+0.0000819*J128)+'Mod Program'!$K$148*(1.956+0.0006479*J128)+'Mod Program'!$L$148*(0.895+0.0000752*J128)+'Mod Program'!$M$148*(1.028+0.0000819*J128)</f>
        <v>1.2586827633737827</v>
      </c>
      <c r="K130" s="300">
        <f>+'Mod Program'!$I$148*(0.832+0.000348*K128)+'Mod Program'!$J$148*(1.028+0.0000819*K128)+'Mod Program'!$K$148*(1.956+0.0006479*K128)+'Mod Program'!$L$148*(0.895+0.0000752*K128)+'Mod Program'!$M$148*(1.028+0.0000819*K128)</f>
        <v>1.2489582240474486</v>
      </c>
      <c r="L130" s="300">
        <f>+'Mod Program'!$I$148*(0.832+0.000348*L128)+'Mod Program'!$J$148*(1.028+0.0000819*L128)+'Mod Program'!$K$148*(1.956+0.0006479*L128)+'Mod Program'!$L$148*(0.895+0.0000752*L128)+'Mod Program'!$M$148*(1.028+0.0000819*L128)</f>
        <v>1.2392336847211145</v>
      </c>
      <c r="M130" s="300">
        <f>+'Mod Program'!$I$148*(0.832+0.000348*M128)+'Mod Program'!$J$148*(1.028+0.0000819*M128)+'Mod Program'!$K$148*(1.956+0.0006479*M128)+'Mod Program'!$L$148*(0.895+0.0000752*M128)+'Mod Program'!$M$148*(1.028+0.0000819*M128)</f>
        <v>1.1567410859073592</v>
      </c>
      <c r="N130" s="240"/>
      <c r="O130" s="232"/>
      <c r="P130" s="232"/>
      <c r="Q130" s="232"/>
      <c r="R130" s="232"/>
      <c r="S130" s="232"/>
      <c r="T130" s="232"/>
      <c r="U130" s="232"/>
      <c r="V130" s="230"/>
    </row>
    <row r="131" spans="1:24" x14ac:dyDescent="0.25">
      <c r="A131" s="232"/>
      <c r="B131" s="279" t="s">
        <v>357</v>
      </c>
      <c r="C131" s="237" t="s">
        <v>358</v>
      </c>
      <c r="D131" s="57" t="s">
        <v>359</v>
      </c>
      <c r="E131" s="299">
        <f>(E129*($C$118/$C$117))/('Mod Program'!$P$152*(E128+273.15))</f>
        <v>0.21163282019051999</v>
      </c>
      <c r="F131" s="300">
        <f>(F129*($C$118/$C$117))/('Mod Program'!$P$152*(F128+273.15))</f>
        <v>0.22065267358482252</v>
      </c>
      <c r="G131" s="300">
        <f>(G129*($C$118/$C$117))/('Mod Program'!$P$152*(G128+273.15))</f>
        <v>0.23047561235456929</v>
      </c>
      <c r="H131" s="300">
        <f>(H129*($C$118/$C$117))/('Mod Program'!$P$152*(H128+273.15))</f>
        <v>0.24121388810141592</v>
      </c>
      <c r="I131" s="300">
        <f>(I129*($C$118/$C$117))/('Mod Program'!$P$152*(I128+273.15))</f>
        <v>0.2530016947818351</v>
      </c>
      <c r="J131" s="300">
        <f>(J129*($C$118/$C$117))/('Mod Program'!$P$152*(J128+273.15))</f>
        <v>0.26600080564767464</v>
      </c>
      <c r="K131" s="300">
        <f>(K129*($C$118/$C$117))/('Mod Program'!$P$152*(K128+273.15))</f>
        <v>0.28040804204737529</v>
      </c>
      <c r="L131" s="300">
        <f>(L129*($C$118/$C$117))/('Mod Program'!$P$152*(L128+273.15))</f>
        <v>0.29646530838462409</v>
      </c>
      <c r="M131" s="300">
        <f>(M129*($C$118/$C$117))/('Mod Program'!$P$152*(M128+273.15))</f>
        <v>0.57651826956889762</v>
      </c>
      <c r="N131" s="240"/>
      <c r="O131" s="232"/>
      <c r="P131" s="301">
        <v>0.52600000000000002</v>
      </c>
      <c r="Q131" s="302">
        <f>P131*0.94</f>
        <v>0.49443999999999999</v>
      </c>
      <c r="R131" s="302">
        <f t="shared" ref="R131:X131" si="8">Q131*0.94</f>
        <v>0.46477359999999995</v>
      </c>
      <c r="S131" s="302">
        <f t="shared" si="8"/>
        <v>0.43688718399999993</v>
      </c>
      <c r="T131" s="302">
        <f t="shared" si="8"/>
        <v>0.41067395295999992</v>
      </c>
      <c r="U131" s="302">
        <f t="shared" si="8"/>
        <v>0.38603351578239992</v>
      </c>
      <c r="V131" s="302">
        <f t="shared" si="8"/>
        <v>0.36287150483545588</v>
      </c>
      <c r="W131" s="302">
        <f t="shared" si="8"/>
        <v>0.34109921454532849</v>
      </c>
      <c r="X131" s="302">
        <f t="shared" si="8"/>
        <v>0.32063326167260875</v>
      </c>
    </row>
    <row r="132" spans="1:24" x14ac:dyDescent="0.25">
      <c r="A132" s="232"/>
      <c r="B132" s="279" t="s">
        <v>360</v>
      </c>
      <c r="C132" s="237" t="s">
        <v>361</v>
      </c>
      <c r="D132" s="57" t="s">
        <v>362</v>
      </c>
      <c r="E132" s="297">
        <f>0.0000175+0.0000000335*E128</f>
        <v>4.9325E-5</v>
      </c>
      <c r="F132" s="298">
        <f t="shared" ref="F132:M132" si="9">0.0000175+0.0000000335*F128</f>
        <v>4.7649999999999999E-5</v>
      </c>
      <c r="G132" s="298">
        <f t="shared" si="9"/>
        <v>4.5974999999999999E-5</v>
      </c>
      <c r="H132" s="298">
        <f t="shared" si="9"/>
        <v>4.4299999999999999E-5</v>
      </c>
      <c r="I132" s="298">
        <f t="shared" si="9"/>
        <v>4.2624999999999999E-5</v>
      </c>
      <c r="J132" s="298">
        <f t="shared" si="9"/>
        <v>4.0949999999999999E-5</v>
      </c>
      <c r="K132" s="298">
        <f t="shared" si="9"/>
        <v>3.9274999999999999E-5</v>
      </c>
      <c r="L132" s="298">
        <f t="shared" si="9"/>
        <v>3.7599999999999999E-5</v>
      </c>
      <c r="M132" s="298">
        <f t="shared" si="9"/>
        <v>2.3391090109650617E-5</v>
      </c>
      <c r="N132" s="240"/>
      <c r="O132" s="232"/>
      <c r="P132" s="232"/>
      <c r="Q132" s="232"/>
      <c r="R132" s="232"/>
      <c r="S132" s="232"/>
      <c r="T132" s="232"/>
      <c r="U132" s="232"/>
      <c r="V132" s="230"/>
    </row>
    <row r="133" spans="1:24" x14ac:dyDescent="0.25">
      <c r="A133" s="232"/>
      <c r="B133" s="279" t="s">
        <v>363</v>
      </c>
      <c r="C133" s="237" t="s">
        <v>111</v>
      </c>
      <c r="D133" s="57" t="s">
        <v>364</v>
      </c>
      <c r="E133" s="297">
        <f>(0.0229+0.0000647*E128)/1000</f>
        <v>8.4364999999999996E-5</v>
      </c>
      <c r="F133" s="298">
        <f t="shared" ref="F133:M133" si="10">(0.0229+0.0000647*F128)/1000</f>
        <v>8.1130000000000004E-5</v>
      </c>
      <c r="G133" s="298">
        <f t="shared" si="10"/>
        <v>7.7895000000000012E-5</v>
      </c>
      <c r="H133" s="298">
        <f t="shared" si="10"/>
        <v>7.4660000000000007E-5</v>
      </c>
      <c r="I133" s="298">
        <f t="shared" si="10"/>
        <v>7.1425000000000001E-5</v>
      </c>
      <c r="J133" s="298">
        <f t="shared" si="10"/>
        <v>6.8189999999999996E-5</v>
      </c>
      <c r="K133" s="298">
        <f t="shared" si="10"/>
        <v>6.4955000000000004E-5</v>
      </c>
      <c r="L133" s="298">
        <f t="shared" si="10"/>
        <v>6.1719999999999999E-5</v>
      </c>
      <c r="M133" s="298">
        <f t="shared" si="10"/>
        <v>3.4277717316250591E-5</v>
      </c>
      <c r="N133" s="240"/>
      <c r="O133" s="232"/>
      <c r="P133" s="232"/>
      <c r="Q133" s="232"/>
      <c r="R133" s="232"/>
      <c r="S133" s="232"/>
      <c r="T133" s="232"/>
      <c r="U133" s="232"/>
      <c r="V133" s="230"/>
    </row>
    <row r="134" spans="1:24" x14ac:dyDescent="0.25">
      <c r="A134" s="232"/>
      <c r="B134" s="279" t="s">
        <v>365</v>
      </c>
      <c r="C134" s="237" t="s">
        <v>135</v>
      </c>
      <c r="D134" s="57" t="s">
        <v>91</v>
      </c>
      <c r="E134" s="301">
        <v>0.52600000000000002</v>
      </c>
      <c r="F134" s="302">
        <v>0.49443999999999999</v>
      </c>
      <c r="G134" s="302">
        <v>0.46477359999999995</v>
      </c>
      <c r="H134" s="302">
        <v>0.43688718399999993</v>
      </c>
      <c r="I134" s="302">
        <v>0.41067395295999992</v>
      </c>
      <c r="J134" s="302">
        <v>0.38603351578239992</v>
      </c>
      <c r="K134" s="302">
        <v>0.36287150483545588</v>
      </c>
      <c r="L134" s="302">
        <v>0.34109921454532849</v>
      </c>
      <c r="M134" s="302">
        <v>0.32063326167260875</v>
      </c>
      <c r="N134" s="345" t="s">
        <v>428</v>
      </c>
      <c r="O134" s="232"/>
      <c r="P134" s="232"/>
      <c r="Q134" s="232"/>
      <c r="R134" s="232"/>
      <c r="S134" s="232"/>
      <c r="T134" s="232"/>
      <c r="U134" s="232"/>
      <c r="V134" s="230"/>
    </row>
    <row r="135" spans="1:24" x14ac:dyDescent="0.25">
      <c r="A135" s="232"/>
      <c r="B135" s="279" t="s">
        <v>312</v>
      </c>
      <c r="C135" s="237" t="s">
        <v>354</v>
      </c>
      <c r="D135" s="57" t="s">
        <v>17</v>
      </c>
      <c r="E135" s="301">
        <v>3.4380000000000002</v>
      </c>
      <c r="F135" s="302">
        <v>3.3</v>
      </c>
      <c r="G135" s="302">
        <v>3.2</v>
      </c>
      <c r="H135" s="302">
        <v>3.1</v>
      </c>
      <c r="I135" s="302">
        <v>3</v>
      </c>
      <c r="J135" s="302">
        <v>2.8</v>
      </c>
      <c r="K135" s="302">
        <v>2.6</v>
      </c>
      <c r="L135" s="302">
        <v>2.5</v>
      </c>
      <c r="M135" s="302">
        <v>3.4380000000000002</v>
      </c>
      <c r="N135" s="345"/>
      <c r="O135" s="232"/>
      <c r="P135" s="232"/>
      <c r="Q135" s="232"/>
      <c r="R135" s="232"/>
      <c r="S135" s="232"/>
      <c r="T135" s="232"/>
      <c r="U135" s="232"/>
      <c r="V135" s="230"/>
    </row>
    <row r="136" spans="1:24" x14ac:dyDescent="0.25">
      <c r="A136" s="232"/>
      <c r="B136" s="279" t="s">
        <v>366</v>
      </c>
      <c r="C136" s="237" t="s">
        <v>367</v>
      </c>
      <c r="D136" s="57" t="s">
        <v>368</v>
      </c>
      <c r="E136" s="299">
        <f>($C$118/(3600*1000))/(E131*E134)</f>
        <v>1.300182792392699</v>
      </c>
      <c r="F136" s="300">
        <f t="shared" ref="F136:M136" si="11">($C$118/(3600*1000))/(F131*F134)</f>
        <v>1.3266317459850308</v>
      </c>
      <c r="G136" s="300">
        <f t="shared" si="11"/>
        <v>1.351159902737844</v>
      </c>
      <c r="H136" s="300">
        <f t="shared" si="11"/>
        <v>1.3734142951133044</v>
      </c>
      <c r="I136" s="300">
        <f t="shared" si="11"/>
        <v>1.3930047216785513</v>
      </c>
      <c r="J136" s="300">
        <f t="shared" si="11"/>
        <v>1.4095004319175783</v>
      </c>
      <c r="K136" s="300">
        <f t="shared" si="11"/>
        <v>1.4224265395274973</v>
      </c>
      <c r="L136" s="300">
        <f t="shared" si="11"/>
        <v>1.4312601430444953</v>
      </c>
      <c r="M136" s="300">
        <f t="shared" si="11"/>
        <v>0.78298155272094982</v>
      </c>
      <c r="N136" s="240"/>
      <c r="O136" s="232"/>
      <c r="P136" s="232"/>
      <c r="Q136" s="232"/>
      <c r="R136" s="232"/>
      <c r="S136" s="232"/>
      <c r="T136" s="232"/>
      <c r="U136" s="232"/>
      <c r="V136" s="230"/>
    </row>
    <row r="137" spans="1:24" x14ac:dyDescent="0.25">
      <c r="A137" s="232"/>
      <c r="B137" s="279" t="s">
        <v>369</v>
      </c>
      <c r="C137" s="237" t="s">
        <v>370</v>
      </c>
      <c r="D137" s="57" t="s">
        <v>20</v>
      </c>
      <c r="E137" s="301">
        <f>K191*1.15</f>
        <v>159.5366612277237</v>
      </c>
      <c r="F137" s="302">
        <f>J191*1.15</f>
        <v>137.98569788161748</v>
      </c>
      <c r="G137" s="302">
        <f>I191*1.15</f>
        <v>123.08969326152753</v>
      </c>
      <c r="H137" s="302">
        <f>H191*1.15</f>
        <v>116.33831662938748</v>
      </c>
      <c r="I137" s="302">
        <f>G191*1.15</f>
        <v>113.34189913713141</v>
      </c>
      <c r="J137" s="302">
        <f>F191*1.15</f>
        <v>111.5816023817801</v>
      </c>
      <c r="K137" s="302">
        <f>E191*1.15</f>
        <v>110.54748591606446</v>
      </c>
      <c r="L137" s="302">
        <f>E191*1.15</f>
        <v>110.54748591606446</v>
      </c>
      <c r="M137" s="302">
        <v>105</v>
      </c>
      <c r="N137" s="315" t="s">
        <v>429</v>
      </c>
      <c r="O137" s="232"/>
      <c r="P137" s="232"/>
      <c r="Q137" s="232"/>
      <c r="R137" s="232"/>
      <c r="S137" s="232"/>
      <c r="T137" s="232"/>
      <c r="U137" s="232"/>
      <c r="V137" s="230"/>
    </row>
    <row r="138" spans="1:24" x14ac:dyDescent="0.25">
      <c r="A138" s="232"/>
      <c r="B138" s="279" t="s">
        <v>371</v>
      </c>
      <c r="C138" s="237" t="s">
        <v>361</v>
      </c>
      <c r="D138" s="57" t="s">
        <v>372</v>
      </c>
      <c r="E138" s="303">
        <f>0.0000175+0.0000000335*E137</f>
        <v>2.2844478151128744E-5</v>
      </c>
      <c r="F138" s="304">
        <f t="shared" ref="F138:M138" si="12">0.0000175+0.0000000335*F137</f>
        <v>2.2122520879034182E-5</v>
      </c>
      <c r="G138" s="304">
        <f t="shared" si="12"/>
        <v>2.1623504724261171E-5</v>
      </c>
      <c r="H138" s="304">
        <f t="shared" si="12"/>
        <v>2.1397333607084481E-5</v>
      </c>
      <c r="I138" s="304">
        <f t="shared" si="12"/>
        <v>2.1296953621093903E-5</v>
      </c>
      <c r="J138" s="304">
        <f t="shared" si="12"/>
        <v>2.1237983679789632E-5</v>
      </c>
      <c r="K138" s="304">
        <f t="shared" si="12"/>
        <v>2.1203340778188159E-5</v>
      </c>
      <c r="L138" s="304">
        <f t="shared" si="12"/>
        <v>2.1203340778188159E-5</v>
      </c>
      <c r="M138" s="304">
        <f t="shared" si="12"/>
        <v>2.10175E-5</v>
      </c>
      <c r="N138" s="240"/>
      <c r="O138" s="232"/>
      <c r="P138" s="232"/>
      <c r="Q138" s="232"/>
      <c r="R138" s="232"/>
      <c r="S138" s="232"/>
      <c r="T138" s="232"/>
      <c r="U138" s="232"/>
      <c r="V138" s="230"/>
    </row>
    <row r="139" spans="1:24" x14ac:dyDescent="0.25">
      <c r="A139" s="232"/>
      <c r="B139" s="279" t="s">
        <v>373</v>
      </c>
      <c r="C139" s="237" t="s">
        <v>374</v>
      </c>
      <c r="D139" s="57" t="s">
        <v>375</v>
      </c>
      <c r="E139" s="297">
        <f>E132/E131</f>
        <v>2.3306876483333605E-4</v>
      </c>
      <c r="F139" s="298">
        <f t="shared" ref="F139:M139" si="13">F132/F131</f>
        <v>2.1595024989208914E-4</v>
      </c>
      <c r="G139" s="298">
        <f t="shared" si="13"/>
        <v>1.9947880615355928E-4</v>
      </c>
      <c r="H139" s="298">
        <f t="shared" si="13"/>
        <v>1.8365443361774642E-4</v>
      </c>
      <c r="I139" s="298">
        <f t="shared" si="13"/>
        <v>1.6847713228465048E-4</v>
      </c>
      <c r="J139" s="298">
        <f t="shared" si="13"/>
        <v>1.5394690215427166E-4</v>
      </c>
      <c r="K139" s="298">
        <f t="shared" si="13"/>
        <v>1.4006374322660987E-4</v>
      </c>
      <c r="L139" s="298">
        <f t="shared" si="13"/>
        <v>1.2682765550166506E-4</v>
      </c>
      <c r="M139" s="298">
        <f t="shared" si="13"/>
        <v>4.0573024905423629E-5</v>
      </c>
      <c r="N139" s="240"/>
      <c r="O139" s="232"/>
      <c r="P139" s="232"/>
      <c r="Q139" s="232"/>
      <c r="R139" s="232"/>
      <c r="S139" s="232"/>
      <c r="T139" s="232"/>
      <c r="U139" s="232"/>
      <c r="V139" s="230"/>
    </row>
    <row r="140" spans="1:24" x14ac:dyDescent="0.25">
      <c r="A140" s="232"/>
      <c r="B140" s="279" t="s">
        <v>376</v>
      </c>
      <c r="C140" s="237" t="s">
        <v>377</v>
      </c>
      <c r="D140" s="280" t="s">
        <v>378</v>
      </c>
      <c r="E140" s="299">
        <f>E132*E130/E133</f>
        <v>0.76433167563289262</v>
      </c>
      <c r="F140" s="300">
        <f t="shared" ref="F140:M140" si="14">F132*F130/F133</f>
        <v>0.76210687625243456</v>
      </c>
      <c r="G140" s="300">
        <f t="shared" si="14"/>
        <v>0.76011550334032074</v>
      </c>
      <c r="H140" s="300">
        <f t="shared" si="14"/>
        <v>0.75838789983621446</v>
      </c>
      <c r="I140" s="300">
        <f t="shared" si="14"/>
        <v>0.75695990588158879</v>
      </c>
      <c r="J140" s="300">
        <f t="shared" si="14"/>
        <v>0.75587416278275998</v>
      </c>
      <c r="K140" s="300">
        <f t="shared" si="14"/>
        <v>0.75518180662710399</v>
      </c>
      <c r="L140" s="300">
        <f t="shared" si="14"/>
        <v>0.75494469451577939</v>
      </c>
      <c r="M140" s="300">
        <f t="shared" si="14"/>
        <v>0.78935930080637517</v>
      </c>
      <c r="N140" s="240"/>
      <c r="O140" s="232"/>
      <c r="P140" s="232"/>
      <c r="Q140" s="232"/>
      <c r="R140" s="232"/>
      <c r="S140" s="232"/>
      <c r="T140" s="232"/>
      <c r="U140" s="232"/>
      <c r="V140" s="230"/>
    </row>
    <row r="141" spans="1:24" x14ac:dyDescent="0.25">
      <c r="A141" s="232"/>
      <c r="B141" s="279" t="s">
        <v>379</v>
      </c>
      <c r="C141" s="237" t="s">
        <v>380</v>
      </c>
      <c r="D141" s="57" t="s">
        <v>17</v>
      </c>
      <c r="E141" s="299">
        <f>4*E134/E135</f>
        <v>0.61198371146015129</v>
      </c>
      <c r="F141" s="300">
        <f t="shared" ref="F141:M141" si="15">4*F134/F135</f>
        <v>0.59932121212121214</v>
      </c>
      <c r="G141" s="300">
        <f t="shared" si="15"/>
        <v>0.5809669999999999</v>
      </c>
      <c r="H141" s="300">
        <f t="shared" si="15"/>
        <v>0.56372539870967731</v>
      </c>
      <c r="I141" s="300">
        <f t="shared" si="15"/>
        <v>0.54756527061333327</v>
      </c>
      <c r="J141" s="300">
        <f t="shared" si="15"/>
        <v>0.55147645111771415</v>
      </c>
      <c r="K141" s="300">
        <f t="shared" si="15"/>
        <v>0.55826385359300901</v>
      </c>
      <c r="L141" s="300">
        <f t="shared" si="15"/>
        <v>0.5457587432725256</v>
      </c>
      <c r="M141" s="300">
        <f t="shared" si="15"/>
        <v>0.37304626139919572</v>
      </c>
      <c r="N141" s="245"/>
      <c r="O141" s="173"/>
      <c r="P141" s="173"/>
      <c r="Q141" s="173"/>
      <c r="R141" s="173"/>
      <c r="S141" s="173"/>
      <c r="T141" s="173"/>
      <c r="U141" s="173"/>
      <c r="V141" s="230"/>
    </row>
    <row r="142" spans="1:24" x14ac:dyDescent="0.25">
      <c r="B142" s="279" t="s">
        <v>381</v>
      </c>
      <c r="C142" s="237" t="s">
        <v>382</v>
      </c>
      <c r="D142" s="57" t="s">
        <v>378</v>
      </c>
      <c r="E142" s="297">
        <f>(E131*E136*E141)/E132</f>
        <v>3413.9739464191766</v>
      </c>
      <c r="F142" s="298">
        <f t="shared" ref="F142:M142" si="16">(F131*F136*F141)/F132</f>
        <v>3681.7671960997095</v>
      </c>
      <c r="G142" s="298">
        <f t="shared" si="16"/>
        <v>3935.1514596975171</v>
      </c>
      <c r="H142" s="298">
        <f t="shared" si="16"/>
        <v>4215.6810802497539</v>
      </c>
      <c r="I142" s="298">
        <f t="shared" si="16"/>
        <v>4527.3859843651917</v>
      </c>
      <c r="J142" s="298">
        <f t="shared" si="16"/>
        <v>5049.1843951744177</v>
      </c>
      <c r="K142" s="298">
        <f t="shared" si="16"/>
        <v>5669.4852152053927</v>
      </c>
      <c r="L142" s="298">
        <f t="shared" si="16"/>
        <v>6158.9306675606258</v>
      </c>
      <c r="M142" s="298">
        <f t="shared" si="16"/>
        <v>7199.0772605185393</v>
      </c>
      <c r="N142" s="245"/>
      <c r="O142" s="173"/>
      <c r="P142" s="173"/>
      <c r="Q142" s="173"/>
      <c r="R142" s="173"/>
      <c r="S142" s="173"/>
      <c r="T142" s="173"/>
      <c r="U142" s="173"/>
      <c r="V142" s="230"/>
    </row>
    <row r="143" spans="1:24" x14ac:dyDescent="0.25">
      <c r="B143" s="279" t="s">
        <v>493</v>
      </c>
      <c r="C143" s="237" t="s">
        <v>384</v>
      </c>
      <c r="D143" s="57" t="s">
        <v>378</v>
      </c>
      <c r="E143" s="235">
        <f>'Mod Program'!F159</f>
        <v>42.252913898409531</v>
      </c>
      <c r="F143" s="235">
        <f>'Mod Program'!G159</f>
        <v>36.801727171469686</v>
      </c>
      <c r="G143" s="235">
        <f>'Mod Program'!H159</f>
        <v>38.013862760623908</v>
      </c>
      <c r="H143" s="235">
        <f>'Mod Program'!I159</f>
        <v>41.753461135367694</v>
      </c>
      <c r="I143" s="235">
        <f>'Mod Program'!J159</f>
        <v>44.473963915267291</v>
      </c>
      <c r="J143" s="235">
        <f>'Mod Program'!K159</f>
        <v>42.979549784234443</v>
      </c>
      <c r="K143" s="235">
        <f>'Mod Program'!L159</f>
        <v>45.52923981693646</v>
      </c>
      <c r="L143" s="235">
        <f>'Mod Program'!M159</f>
        <v>47.448860017907634</v>
      </c>
      <c r="M143" s="235">
        <f>'Mod Program'!N159</f>
        <v>52.067261945819425</v>
      </c>
      <c r="N143" s="240"/>
      <c r="V143" s="230"/>
    </row>
    <row r="144" spans="1:24" x14ac:dyDescent="0.25">
      <c r="B144" s="279" t="s">
        <v>388</v>
      </c>
      <c r="C144" s="237" t="s">
        <v>389</v>
      </c>
      <c r="D144" s="57" t="s">
        <v>17</v>
      </c>
      <c r="E144" s="294">
        <v>0.55000000000000004</v>
      </c>
      <c r="F144" s="283">
        <f>E144-0.05</f>
        <v>0.5</v>
      </c>
      <c r="G144" s="283">
        <f t="shared" ref="G144:M144" si="17">F144-0.05</f>
        <v>0.45</v>
      </c>
      <c r="H144" s="283">
        <f t="shared" si="17"/>
        <v>0.4</v>
      </c>
      <c r="I144" s="283">
        <f t="shared" si="17"/>
        <v>0.35000000000000003</v>
      </c>
      <c r="J144" s="283">
        <f t="shared" si="17"/>
        <v>0.30000000000000004</v>
      </c>
      <c r="K144" s="283">
        <f t="shared" si="17"/>
        <v>0.25000000000000006</v>
      </c>
      <c r="L144" s="283">
        <f t="shared" si="17"/>
        <v>0.20000000000000007</v>
      </c>
      <c r="M144" s="283">
        <f t="shared" si="17"/>
        <v>0.15000000000000008</v>
      </c>
      <c r="N144" s="345" t="s">
        <v>497</v>
      </c>
      <c r="O144" s="173"/>
      <c r="P144" s="173"/>
      <c r="Q144" s="173"/>
      <c r="R144" s="173"/>
      <c r="S144" s="173"/>
      <c r="T144" s="173"/>
      <c r="U144" s="173"/>
      <c r="V144" s="230"/>
    </row>
    <row r="145" spans="1:22" x14ac:dyDescent="0.25">
      <c r="A145" s="232"/>
      <c r="B145" s="281" t="s">
        <v>392</v>
      </c>
      <c r="C145" s="74" t="s">
        <v>393</v>
      </c>
      <c r="D145" s="57" t="s">
        <v>91</v>
      </c>
      <c r="E145" s="294">
        <v>0.75</v>
      </c>
      <c r="F145" s="283">
        <v>0.8</v>
      </c>
      <c r="G145" s="283">
        <v>2</v>
      </c>
      <c r="H145" s="283">
        <v>3.5</v>
      </c>
      <c r="I145" s="283">
        <v>3.5</v>
      </c>
      <c r="J145" s="283">
        <v>3.5</v>
      </c>
      <c r="K145" s="283">
        <v>3.6</v>
      </c>
      <c r="L145" s="283">
        <v>3.8</v>
      </c>
      <c r="M145" s="283">
        <v>3</v>
      </c>
      <c r="N145" s="345"/>
      <c r="O145" s="173"/>
      <c r="P145" s="173"/>
      <c r="Q145" s="173"/>
      <c r="R145" s="173"/>
      <c r="S145" s="173"/>
      <c r="T145" s="173"/>
      <c r="U145" s="173"/>
      <c r="V145" s="230"/>
    </row>
    <row r="146" spans="1:22" x14ac:dyDescent="0.25">
      <c r="A146" s="232"/>
      <c r="B146" s="279" t="s">
        <v>390</v>
      </c>
      <c r="C146" s="74" t="s">
        <v>16</v>
      </c>
      <c r="D146" s="57" t="s">
        <v>391</v>
      </c>
      <c r="E146" s="314">
        <f t="shared" ref="E146:M146" si="18">E143*E133/E144</f>
        <v>6.4812128746169449E-3</v>
      </c>
      <c r="F146" s="314">
        <f t="shared" si="18"/>
        <v>5.9714482508426711E-3</v>
      </c>
      <c r="G146" s="314">
        <f t="shared" si="18"/>
        <v>6.5801996438639996E-3</v>
      </c>
      <c r="H146" s="314">
        <f t="shared" si="18"/>
        <v>7.793283520916381E-3</v>
      </c>
      <c r="I146" s="314">
        <f t="shared" si="18"/>
        <v>9.0758653504227609E-3</v>
      </c>
      <c r="J146" s="314">
        <f t="shared" si="18"/>
        <v>9.7692516659564875E-3</v>
      </c>
      <c r="K146" s="314">
        <f t="shared" si="18"/>
        <v>1.1829407089236429E-2</v>
      </c>
      <c r="L146" s="314">
        <f t="shared" si="18"/>
        <v>1.4642718201526289E-2</v>
      </c>
      <c r="M146" s="314">
        <f t="shared" si="18"/>
        <v>1.189831257606646E-2</v>
      </c>
      <c r="N146" s="245"/>
      <c r="O146" s="173"/>
      <c r="P146" s="173"/>
      <c r="Q146" s="173"/>
      <c r="R146" s="173"/>
      <c r="S146" s="173"/>
      <c r="T146" s="173"/>
      <c r="U146" s="173"/>
      <c r="V146" s="230"/>
    </row>
    <row r="147" spans="1:22" ht="15.75" thickBot="1" x14ac:dyDescent="0.3">
      <c r="B147" s="285" t="s">
        <v>394</v>
      </c>
      <c r="C147" s="286" t="s">
        <v>395</v>
      </c>
      <c r="D147" s="122" t="s">
        <v>48</v>
      </c>
      <c r="E147" s="278">
        <f>E145*E146*(E128-E137)</f>
        <v>3.8423708761226796</v>
      </c>
      <c r="F147" s="278">
        <f t="shared" ref="F147:M147" si="19">F145*F146*(F128-F137)</f>
        <v>3.6402631772015313</v>
      </c>
      <c r="G147" s="278">
        <f t="shared" si="19"/>
        <v>9.5664298830431349</v>
      </c>
      <c r="H147" s="278">
        <f t="shared" si="19"/>
        <v>18.647892658129518</v>
      </c>
      <c r="I147" s="278">
        <f t="shared" si="19"/>
        <v>20.223781191905442</v>
      </c>
      <c r="J147" s="278">
        <f t="shared" si="19"/>
        <v>20.119425939239342</v>
      </c>
      <c r="K147" s="278">
        <f t="shared" si="19"/>
        <v>22.973052219879317</v>
      </c>
      <c r="L147" s="278">
        <f t="shared" si="19"/>
        <v>27.234277899686649</v>
      </c>
      <c r="M147" s="278">
        <f t="shared" si="19"/>
        <v>2.5291089897387677</v>
      </c>
      <c r="N147" s="240"/>
      <c r="V147" s="230"/>
    </row>
    <row r="148" spans="1:22" ht="15.75" thickBot="1" x14ac:dyDescent="0.3">
      <c r="V148" s="230"/>
    </row>
    <row r="149" spans="1:22" ht="15.75" thickBot="1" x14ac:dyDescent="0.3">
      <c r="A149" s="288" t="s">
        <v>430</v>
      </c>
      <c r="B149" s="289"/>
      <c r="C149" s="289"/>
      <c r="D149" s="289"/>
      <c r="E149" s="289"/>
      <c r="F149" s="289"/>
      <c r="G149" s="289"/>
      <c r="H149" s="289"/>
      <c r="I149" s="289"/>
      <c r="J149" s="289"/>
      <c r="K149" s="289"/>
      <c r="L149" s="289"/>
      <c r="M149" s="289"/>
      <c r="N149" s="289"/>
      <c r="O149" s="289"/>
      <c r="P149" s="289"/>
      <c r="Q149" s="289"/>
      <c r="R149" s="289"/>
      <c r="S149" s="289"/>
      <c r="T149" s="289"/>
      <c r="U149" s="290"/>
      <c r="V149" s="230"/>
    </row>
    <row r="150" spans="1:22" ht="15.75" thickBot="1" x14ac:dyDescent="0.3">
      <c r="A150" s="232"/>
      <c r="C150" s="232"/>
      <c r="D150" s="232"/>
      <c r="E150" s="232"/>
      <c r="F150" s="232"/>
      <c r="G150" s="232"/>
      <c r="H150" s="232"/>
      <c r="I150" s="232"/>
      <c r="J150" s="232"/>
      <c r="K150" s="232"/>
      <c r="L150" s="232"/>
      <c r="M150" s="232"/>
      <c r="N150" s="232"/>
      <c r="O150" s="232"/>
      <c r="P150" s="232"/>
      <c r="Q150" s="232"/>
      <c r="R150" s="232"/>
      <c r="S150" s="232"/>
      <c r="T150" s="232"/>
      <c r="U150" s="232"/>
      <c r="V150" s="230"/>
    </row>
    <row r="151" spans="1:22" x14ac:dyDescent="0.25">
      <c r="A151" s="232"/>
      <c r="B151" s="267" t="s">
        <v>436</v>
      </c>
      <c r="C151" s="268" t="s">
        <v>437</v>
      </c>
      <c r="D151" s="268" t="s">
        <v>20</v>
      </c>
      <c r="E151" s="268">
        <f t="shared" ref="E151:M151" si="20">E128</f>
        <v>950</v>
      </c>
      <c r="F151" s="268">
        <f t="shared" si="20"/>
        <v>900</v>
      </c>
      <c r="G151" s="268">
        <f t="shared" si="20"/>
        <v>850</v>
      </c>
      <c r="H151" s="268">
        <f t="shared" si="20"/>
        <v>800</v>
      </c>
      <c r="I151" s="268">
        <f t="shared" si="20"/>
        <v>750</v>
      </c>
      <c r="J151" s="268">
        <f t="shared" si="20"/>
        <v>700</v>
      </c>
      <c r="K151" s="268">
        <f t="shared" si="20"/>
        <v>650</v>
      </c>
      <c r="L151" s="268">
        <f t="shared" si="20"/>
        <v>600</v>
      </c>
      <c r="M151" s="269">
        <f t="shared" si="20"/>
        <v>175.85343610897365</v>
      </c>
      <c r="N151" s="232"/>
      <c r="O151" s="232"/>
      <c r="P151" s="232"/>
      <c r="Q151" s="232"/>
      <c r="R151" s="232"/>
      <c r="S151" s="232"/>
      <c r="T151" s="232"/>
      <c r="U151" s="232"/>
      <c r="V151" s="230"/>
    </row>
    <row r="152" spans="1:22" x14ac:dyDescent="0.25">
      <c r="A152" s="232"/>
      <c r="B152" s="270" t="s">
        <v>432</v>
      </c>
      <c r="C152" s="236" t="s">
        <v>434</v>
      </c>
      <c r="D152" s="236" t="s">
        <v>20</v>
      </c>
      <c r="E152" s="236">
        <f>-264.44+1.03*E151</f>
        <v>714.06</v>
      </c>
      <c r="F152" s="236">
        <f t="shared" ref="F152:M152" si="21">-264.44+1.03*F151</f>
        <v>662.56</v>
      </c>
      <c r="G152" s="236">
        <f t="shared" si="21"/>
        <v>611.05999999999995</v>
      </c>
      <c r="H152" s="236">
        <f t="shared" si="21"/>
        <v>559.55999999999995</v>
      </c>
      <c r="I152" s="236">
        <f t="shared" si="21"/>
        <v>508.06</v>
      </c>
      <c r="J152" s="236">
        <f t="shared" si="21"/>
        <v>456.56</v>
      </c>
      <c r="K152" s="236">
        <f t="shared" si="21"/>
        <v>405.06</v>
      </c>
      <c r="L152" s="236">
        <f t="shared" si="21"/>
        <v>353.56</v>
      </c>
      <c r="M152" s="271">
        <f t="shared" si="21"/>
        <v>-83.310960807757141</v>
      </c>
      <c r="N152" s="232"/>
      <c r="O152" s="232"/>
      <c r="P152" s="232"/>
      <c r="Q152" s="232"/>
      <c r="R152" s="232"/>
      <c r="S152" s="232"/>
      <c r="T152" s="232"/>
      <c r="U152" s="232"/>
      <c r="V152" s="230"/>
    </row>
    <row r="153" spans="1:22" ht="15.75" thickBot="1" x14ac:dyDescent="0.3">
      <c r="A153" s="232"/>
      <c r="B153" s="272" t="s">
        <v>433</v>
      </c>
      <c r="C153" s="273" t="s">
        <v>435</v>
      </c>
      <c r="D153" s="273" t="s">
        <v>20</v>
      </c>
      <c r="E153" s="273">
        <f>-87.31+0.79*E151</f>
        <v>663.19</v>
      </c>
      <c r="F153" s="273">
        <f t="shared" ref="F153:N153" si="22">-87.31+0.79*F151</f>
        <v>623.69000000000005</v>
      </c>
      <c r="G153" s="273">
        <f t="shared" si="22"/>
        <v>584.19000000000005</v>
      </c>
      <c r="H153" s="273">
        <f t="shared" si="22"/>
        <v>544.69000000000005</v>
      </c>
      <c r="I153" s="273">
        <f t="shared" si="22"/>
        <v>505.19</v>
      </c>
      <c r="J153" s="273">
        <f t="shared" si="22"/>
        <v>465.69</v>
      </c>
      <c r="K153" s="273">
        <f t="shared" si="22"/>
        <v>426.19</v>
      </c>
      <c r="L153" s="273">
        <f t="shared" si="22"/>
        <v>386.69</v>
      </c>
      <c r="M153" s="274">
        <f t="shared" si="22"/>
        <v>51.614214526089199</v>
      </c>
      <c r="N153" s="232">
        <f t="shared" si="22"/>
        <v>-87.31</v>
      </c>
      <c r="O153" s="232"/>
      <c r="P153" s="232"/>
      <c r="Q153" s="232"/>
      <c r="R153" s="232"/>
      <c r="S153" s="232"/>
      <c r="T153" s="232"/>
      <c r="U153" s="232"/>
      <c r="V153" s="230"/>
    </row>
    <row r="154" spans="1:22" ht="15.75" thickBot="1" x14ac:dyDescent="0.3">
      <c r="A154" s="232"/>
      <c r="B154" s="231"/>
      <c r="C154" s="291"/>
      <c r="D154" s="291"/>
      <c r="E154" s="291"/>
      <c r="F154" s="291"/>
      <c r="G154" s="291"/>
      <c r="H154" s="291"/>
      <c r="I154" s="291"/>
      <c r="J154" s="291"/>
      <c r="K154" s="291"/>
      <c r="L154" s="291"/>
      <c r="M154" s="291"/>
      <c r="N154" s="232"/>
      <c r="O154" s="232"/>
      <c r="P154" s="232"/>
      <c r="Q154" s="232"/>
      <c r="R154" s="232"/>
      <c r="S154" s="232"/>
      <c r="T154" s="232"/>
      <c r="U154" s="232"/>
      <c r="V154" s="230"/>
    </row>
    <row r="155" spans="1:22" ht="15.75" thickBot="1" x14ac:dyDescent="0.3">
      <c r="A155" s="275" t="s">
        <v>438</v>
      </c>
      <c r="B155" s="276"/>
      <c r="C155" s="276"/>
      <c r="D155" s="276"/>
      <c r="E155" s="276"/>
      <c r="F155" s="276"/>
      <c r="G155" s="276"/>
      <c r="H155" s="276"/>
      <c r="I155" s="276"/>
      <c r="J155" s="276"/>
      <c r="K155" s="276"/>
      <c r="L155" s="276"/>
      <c r="M155" s="276"/>
      <c r="N155" s="276"/>
      <c r="O155" s="276"/>
      <c r="P155" s="276"/>
      <c r="Q155" s="276"/>
      <c r="R155" s="276"/>
      <c r="S155" s="276"/>
      <c r="T155" s="276"/>
      <c r="U155" s="277"/>
      <c r="V155" s="230"/>
    </row>
    <row r="156" spans="1:22" ht="15.75" thickBot="1" x14ac:dyDescent="0.3">
      <c r="A156" s="240"/>
      <c r="B156" s="242"/>
      <c r="C156" s="240"/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30"/>
    </row>
    <row r="157" spans="1:22" ht="15.75" thickBot="1" x14ac:dyDescent="0.3">
      <c r="A157" s="240"/>
      <c r="B157" s="347" t="s">
        <v>417</v>
      </c>
      <c r="C157" s="348"/>
      <c r="D157" s="349"/>
      <c r="E157" s="292">
        <v>1</v>
      </c>
      <c r="F157" s="239">
        <v>2</v>
      </c>
      <c r="G157" s="239">
        <v>3</v>
      </c>
      <c r="H157" s="239">
        <v>4</v>
      </c>
      <c r="I157" s="239">
        <v>5</v>
      </c>
      <c r="J157" s="239">
        <v>6</v>
      </c>
      <c r="K157" s="239">
        <v>7</v>
      </c>
      <c r="L157" s="239">
        <v>8</v>
      </c>
      <c r="M157" s="239">
        <v>9</v>
      </c>
      <c r="N157" s="240"/>
      <c r="O157" s="240"/>
      <c r="P157" s="240"/>
      <c r="Q157" s="240"/>
      <c r="R157" s="240"/>
      <c r="S157" s="240"/>
      <c r="T157" s="240"/>
      <c r="U157" s="240"/>
      <c r="V157" s="230"/>
    </row>
    <row r="158" spans="1:22" x14ac:dyDescent="0.25">
      <c r="A158" s="240"/>
      <c r="B158" s="316" t="s">
        <v>439</v>
      </c>
      <c r="C158" s="317" t="s">
        <v>454</v>
      </c>
      <c r="D158" s="318" t="s">
        <v>111</v>
      </c>
      <c r="E158" s="292">
        <f t="shared" ref="E158:M158" si="23">E128+273.15</f>
        <v>1223.1500000000001</v>
      </c>
      <c r="F158" s="239">
        <f t="shared" si="23"/>
        <v>1173.1500000000001</v>
      </c>
      <c r="G158" s="239">
        <f t="shared" si="23"/>
        <v>1123.1500000000001</v>
      </c>
      <c r="H158" s="239">
        <f t="shared" si="23"/>
        <v>1073.1500000000001</v>
      </c>
      <c r="I158" s="239">
        <f t="shared" si="23"/>
        <v>1023.15</v>
      </c>
      <c r="J158" s="239">
        <f t="shared" si="23"/>
        <v>973.15</v>
      </c>
      <c r="K158" s="239">
        <f t="shared" si="23"/>
        <v>923.15</v>
      </c>
      <c r="L158" s="239">
        <f t="shared" si="23"/>
        <v>873.15</v>
      </c>
      <c r="M158" s="239">
        <f t="shared" si="23"/>
        <v>449.00343610897363</v>
      </c>
      <c r="N158" s="240"/>
      <c r="O158" s="240"/>
      <c r="P158" s="240"/>
      <c r="Q158" s="240"/>
      <c r="R158" s="240"/>
      <c r="S158" s="240"/>
      <c r="T158" s="240"/>
      <c r="U158" s="240"/>
      <c r="V158" s="230"/>
    </row>
    <row r="159" spans="1:22" s="232" customFormat="1" x14ac:dyDescent="0.25">
      <c r="A159" s="240"/>
      <c r="B159" s="319" t="s">
        <v>440</v>
      </c>
      <c r="C159" s="287" t="s">
        <v>455</v>
      </c>
      <c r="D159" s="58" t="s">
        <v>111</v>
      </c>
      <c r="E159" s="292">
        <f t="shared" ref="E159:M159" si="24">E137+273.15</f>
        <v>432.68666122772368</v>
      </c>
      <c r="F159" s="239">
        <f t="shared" si="24"/>
        <v>411.13569788161749</v>
      </c>
      <c r="G159" s="239">
        <f t="shared" si="24"/>
        <v>396.23969326152752</v>
      </c>
      <c r="H159" s="239">
        <f t="shared" si="24"/>
        <v>389.48831662938744</v>
      </c>
      <c r="I159" s="239">
        <f t="shared" si="24"/>
        <v>386.49189913713138</v>
      </c>
      <c r="J159" s="239">
        <f t="shared" si="24"/>
        <v>384.73160238178008</v>
      </c>
      <c r="K159" s="239">
        <f t="shared" si="24"/>
        <v>383.69748591606447</v>
      </c>
      <c r="L159" s="239">
        <f t="shared" si="24"/>
        <v>383.69748591606447</v>
      </c>
      <c r="M159" s="239">
        <f t="shared" si="24"/>
        <v>378.15</v>
      </c>
      <c r="N159" s="240"/>
      <c r="O159" s="240"/>
      <c r="P159" s="240"/>
      <c r="Q159" s="240"/>
      <c r="R159" s="240"/>
      <c r="S159" s="240"/>
      <c r="T159" s="240"/>
      <c r="U159" s="240"/>
      <c r="V159" s="230"/>
    </row>
    <row r="160" spans="1:22" s="240" customFormat="1" x14ac:dyDescent="0.25">
      <c r="B160" s="319" t="s">
        <v>441</v>
      </c>
      <c r="C160" s="287" t="s">
        <v>456</v>
      </c>
      <c r="D160" s="58" t="s">
        <v>111</v>
      </c>
      <c r="E160" s="292">
        <f>E152+273.15</f>
        <v>987.20999999999992</v>
      </c>
      <c r="F160" s="239">
        <f t="shared" ref="F160:M160" si="25">F152+273.15</f>
        <v>935.70999999999992</v>
      </c>
      <c r="G160" s="239">
        <f t="shared" si="25"/>
        <v>884.20999999999992</v>
      </c>
      <c r="H160" s="239">
        <f t="shared" si="25"/>
        <v>832.70999999999992</v>
      </c>
      <c r="I160" s="239">
        <f t="shared" si="25"/>
        <v>781.21</v>
      </c>
      <c r="J160" s="239">
        <f t="shared" si="25"/>
        <v>729.71</v>
      </c>
      <c r="K160" s="239">
        <f t="shared" si="25"/>
        <v>678.21</v>
      </c>
      <c r="L160" s="239">
        <f t="shared" si="25"/>
        <v>626.71</v>
      </c>
      <c r="M160" s="239">
        <f t="shared" si="25"/>
        <v>189.83903919224284</v>
      </c>
      <c r="V160" s="230"/>
    </row>
    <row r="161" spans="1:22" s="240" customFormat="1" x14ac:dyDescent="0.25">
      <c r="B161" s="319" t="s">
        <v>433</v>
      </c>
      <c r="C161" s="287" t="s">
        <v>457</v>
      </c>
      <c r="D161" s="58" t="s">
        <v>111</v>
      </c>
      <c r="E161" s="292">
        <f>E153+273.15</f>
        <v>936.34</v>
      </c>
      <c r="F161" s="239">
        <f t="shared" ref="F161:M161" si="26">F153+273.15</f>
        <v>896.84</v>
      </c>
      <c r="G161" s="239">
        <f t="shared" si="26"/>
        <v>857.34</v>
      </c>
      <c r="H161" s="239">
        <f t="shared" si="26"/>
        <v>817.84</v>
      </c>
      <c r="I161" s="239">
        <f t="shared" si="26"/>
        <v>778.33999999999992</v>
      </c>
      <c r="J161" s="239">
        <f t="shared" si="26"/>
        <v>738.83999999999992</v>
      </c>
      <c r="K161" s="239">
        <f t="shared" si="26"/>
        <v>699.33999999999992</v>
      </c>
      <c r="L161" s="239">
        <f t="shared" si="26"/>
        <v>659.83999999999992</v>
      </c>
      <c r="M161" s="239">
        <f t="shared" si="26"/>
        <v>324.76421452608918</v>
      </c>
      <c r="V161" s="230"/>
    </row>
    <row r="162" spans="1:22" s="240" customFormat="1" x14ac:dyDescent="0.25">
      <c r="B162" s="319" t="s">
        <v>442</v>
      </c>
      <c r="C162" s="284" t="s">
        <v>443</v>
      </c>
      <c r="D162" s="58" t="s">
        <v>444</v>
      </c>
      <c r="E162" s="293">
        <v>5.6699999999999998E-8</v>
      </c>
      <c r="F162" s="265">
        <v>5.6699999999999998E-8</v>
      </c>
      <c r="G162" s="265">
        <v>5.6699999999999998E-8</v>
      </c>
      <c r="H162" s="265">
        <v>5.6699999999999998E-8</v>
      </c>
      <c r="I162" s="265">
        <v>5.6699999999999998E-8</v>
      </c>
      <c r="J162" s="265">
        <v>5.6699999999999998E-8</v>
      </c>
      <c r="K162" s="265">
        <v>5.6699999999999998E-8</v>
      </c>
      <c r="L162" s="265">
        <v>5.6699999999999998E-8</v>
      </c>
      <c r="M162" s="265">
        <v>5.6699999999999998E-8</v>
      </c>
      <c r="V162" s="230"/>
    </row>
    <row r="163" spans="1:22" s="240" customFormat="1" x14ac:dyDescent="0.25">
      <c r="A163" s="243"/>
      <c r="B163" s="319" t="s">
        <v>445</v>
      </c>
      <c r="C163" s="287" t="s">
        <v>459</v>
      </c>
      <c r="D163" s="58" t="s">
        <v>378</v>
      </c>
      <c r="E163" s="278">
        <f t="shared" ref="E163:M163" si="27">1E-25*E158^6 - 7E-22*E158^5 + 0.000000000000000001*E158^4 + 0.0000000002*E158^3 - 0.0000007*E158^2 + 0.0006*E158 + 0.1095</f>
        <v>0.16211345649955672</v>
      </c>
      <c r="F163" s="287">
        <f t="shared" si="27"/>
        <v>0.17291074644871501</v>
      </c>
      <c r="G163" s="287">
        <f t="shared" si="27"/>
        <v>0.18372748536896405</v>
      </c>
      <c r="H163" s="287">
        <f t="shared" si="27"/>
        <v>0.19441367446638974</v>
      </c>
      <c r="I163" s="287">
        <f t="shared" si="27"/>
        <v>0.20481931479144172</v>
      </c>
      <c r="J163" s="287">
        <f t="shared" si="27"/>
        <v>0.21479440724047466</v>
      </c>
      <c r="K163" s="287">
        <f t="shared" si="27"/>
        <v>0.22418895255841509</v>
      </c>
      <c r="L163" s="287">
        <f t="shared" si="27"/>
        <v>0.23285295134255296</v>
      </c>
      <c r="M163" s="287">
        <f t="shared" si="27"/>
        <v>0.25588341584504148</v>
      </c>
      <c r="N163" s="245"/>
      <c r="O163" s="245"/>
      <c r="P163" s="245"/>
      <c r="Q163" s="245"/>
      <c r="R163" s="245"/>
      <c r="S163" s="245"/>
      <c r="T163" s="245"/>
      <c r="U163" s="245"/>
      <c r="V163" s="230"/>
    </row>
    <row r="164" spans="1:22" s="240" customFormat="1" x14ac:dyDescent="0.25">
      <c r="A164" s="243"/>
      <c r="B164" s="319" t="s">
        <v>446</v>
      </c>
      <c r="C164" s="287" t="s">
        <v>460</v>
      </c>
      <c r="D164" s="58" t="s">
        <v>378</v>
      </c>
      <c r="E164" s="278">
        <v>0.94</v>
      </c>
      <c r="F164" s="287">
        <v>0.94</v>
      </c>
      <c r="G164" s="287">
        <v>0.94</v>
      </c>
      <c r="H164" s="287">
        <v>0.94</v>
      </c>
      <c r="I164" s="287">
        <v>0.94</v>
      </c>
      <c r="J164" s="287">
        <v>0.94</v>
      </c>
      <c r="K164" s="287">
        <v>0.94</v>
      </c>
      <c r="L164" s="287">
        <v>0.94</v>
      </c>
      <c r="M164" s="287">
        <v>0.94</v>
      </c>
      <c r="N164" s="245"/>
      <c r="O164" s="245"/>
      <c r="P164" s="245"/>
      <c r="Q164" s="245"/>
      <c r="R164" s="245"/>
      <c r="S164" s="245"/>
      <c r="T164" s="245"/>
      <c r="U164" s="245"/>
      <c r="V164" s="230"/>
    </row>
    <row r="165" spans="1:22" s="240" customFormat="1" x14ac:dyDescent="0.25">
      <c r="A165" s="243"/>
      <c r="B165" s="319" t="s">
        <v>447</v>
      </c>
      <c r="C165" s="287" t="s">
        <v>498</v>
      </c>
      <c r="D165" s="58" t="s">
        <v>378</v>
      </c>
      <c r="E165" s="278">
        <v>0.96</v>
      </c>
      <c r="F165" s="287">
        <v>0.96</v>
      </c>
      <c r="G165" s="287">
        <v>0.96</v>
      </c>
      <c r="H165" s="287">
        <v>0.96</v>
      </c>
      <c r="I165" s="287">
        <v>0.96</v>
      </c>
      <c r="J165" s="287">
        <v>0.96</v>
      </c>
      <c r="K165" s="287">
        <v>0.96</v>
      </c>
      <c r="L165" s="287">
        <v>0.96</v>
      </c>
      <c r="M165" s="287">
        <v>0.96</v>
      </c>
      <c r="N165" s="245"/>
      <c r="O165" s="245"/>
      <c r="P165" s="245"/>
      <c r="Q165" s="245"/>
      <c r="R165" s="245"/>
      <c r="S165" s="245"/>
      <c r="T165" s="245"/>
      <c r="U165" s="245"/>
      <c r="V165" s="230"/>
    </row>
    <row r="166" spans="1:22" s="240" customFormat="1" x14ac:dyDescent="0.25">
      <c r="A166" s="243"/>
      <c r="B166" s="319" t="s">
        <v>448</v>
      </c>
      <c r="C166" s="287" t="s">
        <v>484</v>
      </c>
      <c r="D166" s="58" t="s">
        <v>91</v>
      </c>
      <c r="E166" s="294">
        <v>0.6</v>
      </c>
      <c r="F166" s="283">
        <v>1.252</v>
      </c>
      <c r="G166" s="283">
        <v>0.9</v>
      </c>
      <c r="H166" s="283">
        <v>0.8</v>
      </c>
      <c r="I166" s="283">
        <v>0.7</v>
      </c>
      <c r="J166" s="283">
        <v>0.65</v>
      </c>
      <c r="K166" s="283">
        <v>0.6</v>
      </c>
      <c r="L166" s="283">
        <v>0.56000000000000005</v>
      </c>
      <c r="M166" s="283">
        <v>0.42</v>
      </c>
      <c r="N166" s="346" t="s">
        <v>480</v>
      </c>
      <c r="O166" s="245"/>
      <c r="P166" s="245"/>
      <c r="Q166" s="245"/>
      <c r="R166" s="245"/>
      <c r="S166" s="245"/>
      <c r="T166" s="245"/>
      <c r="U166" s="245"/>
      <c r="V166" s="230"/>
    </row>
    <row r="167" spans="1:22" s="240" customFormat="1" x14ac:dyDescent="0.25">
      <c r="A167" s="243"/>
      <c r="B167" s="319" t="s">
        <v>449</v>
      </c>
      <c r="C167" s="287" t="s">
        <v>483</v>
      </c>
      <c r="D167" s="58" t="s">
        <v>91</v>
      </c>
      <c r="E167" s="294">
        <v>0.5</v>
      </c>
      <c r="F167" s="283">
        <v>0.28274333882308139</v>
      </c>
      <c r="G167" s="283">
        <v>1.2</v>
      </c>
      <c r="H167" s="283">
        <v>1.8</v>
      </c>
      <c r="I167" s="283">
        <v>1.456</v>
      </c>
      <c r="J167" s="283">
        <v>1.6779999999999999</v>
      </c>
      <c r="K167" s="283">
        <v>1.768</v>
      </c>
      <c r="L167" s="283">
        <v>1.865</v>
      </c>
      <c r="M167" s="283">
        <v>0.36</v>
      </c>
      <c r="N167" s="346"/>
      <c r="O167" s="245"/>
      <c r="P167" s="245"/>
      <c r="Q167" s="245"/>
      <c r="R167" s="245"/>
      <c r="S167" s="245"/>
      <c r="T167" s="245"/>
      <c r="U167" s="245"/>
      <c r="V167" s="230"/>
    </row>
    <row r="168" spans="1:22" s="240" customFormat="1" x14ac:dyDescent="0.25">
      <c r="A168" s="243"/>
      <c r="B168" s="319" t="s">
        <v>450</v>
      </c>
      <c r="C168" s="284" t="s">
        <v>458</v>
      </c>
      <c r="D168" s="58" t="s">
        <v>91</v>
      </c>
      <c r="E168" s="294">
        <f>E145</f>
        <v>0.75</v>
      </c>
      <c r="F168" s="294">
        <f t="shared" ref="F168:M168" si="28">F145</f>
        <v>0.8</v>
      </c>
      <c r="G168" s="294">
        <f t="shared" si="28"/>
        <v>2</v>
      </c>
      <c r="H168" s="294">
        <f t="shared" si="28"/>
        <v>3.5</v>
      </c>
      <c r="I168" s="294">
        <f t="shared" si="28"/>
        <v>3.5</v>
      </c>
      <c r="J168" s="294">
        <f t="shared" si="28"/>
        <v>3.5</v>
      </c>
      <c r="K168" s="294">
        <f t="shared" si="28"/>
        <v>3.6</v>
      </c>
      <c r="L168" s="294">
        <f t="shared" si="28"/>
        <v>3.8</v>
      </c>
      <c r="M168" s="294">
        <f t="shared" si="28"/>
        <v>3</v>
      </c>
      <c r="N168" s="346"/>
      <c r="O168" s="245"/>
      <c r="P168" s="245"/>
      <c r="Q168" s="245"/>
      <c r="R168" s="245"/>
      <c r="S168" s="245"/>
      <c r="T168" s="245"/>
      <c r="U168" s="245"/>
      <c r="V168" s="230"/>
    </row>
    <row r="169" spans="1:22" s="240" customFormat="1" x14ac:dyDescent="0.25">
      <c r="A169" s="243"/>
      <c r="B169" s="319" t="s">
        <v>451</v>
      </c>
      <c r="C169" s="287" t="s">
        <v>481</v>
      </c>
      <c r="D169" s="58" t="s">
        <v>105</v>
      </c>
      <c r="E169" s="294">
        <v>0.125</v>
      </c>
      <c r="F169" s="294">
        <v>0.125</v>
      </c>
      <c r="G169" s="294">
        <v>0.125</v>
      </c>
      <c r="H169" s="294">
        <v>0.125</v>
      </c>
      <c r="I169" s="294">
        <v>0.125</v>
      </c>
      <c r="J169" s="294">
        <v>0.125</v>
      </c>
      <c r="K169" s="294">
        <v>0.125</v>
      </c>
      <c r="L169" s="294">
        <v>0.125</v>
      </c>
      <c r="M169" s="294">
        <v>0.125</v>
      </c>
      <c r="N169" s="346"/>
      <c r="O169" s="245"/>
      <c r="P169" s="245"/>
      <c r="Q169" s="245"/>
      <c r="R169" s="245"/>
      <c r="S169" s="245"/>
      <c r="T169" s="245"/>
      <c r="U169" s="245"/>
      <c r="V169" s="230"/>
    </row>
    <row r="170" spans="1:22" s="240" customFormat="1" x14ac:dyDescent="0.25">
      <c r="A170" s="243"/>
      <c r="B170" s="319" t="s">
        <v>452</v>
      </c>
      <c r="C170" s="287" t="s">
        <v>482</v>
      </c>
      <c r="D170" s="58" t="s">
        <v>105</v>
      </c>
      <c r="E170" s="294">
        <v>0.14199999999999999</v>
      </c>
      <c r="F170" s="294">
        <v>0.14199999999999999</v>
      </c>
      <c r="G170" s="294">
        <v>0.14199999999999999</v>
      </c>
      <c r="H170" s="294">
        <v>0.14199999999999999</v>
      </c>
      <c r="I170" s="294">
        <v>0.14199999999999999</v>
      </c>
      <c r="J170" s="294">
        <v>0.14199999999999999</v>
      </c>
      <c r="K170" s="294">
        <v>0.14199999999999999</v>
      </c>
      <c r="L170" s="294">
        <v>0.14199999999999999</v>
      </c>
      <c r="M170" s="294">
        <v>0.14199999999999999</v>
      </c>
      <c r="N170" s="346"/>
      <c r="O170" s="245"/>
      <c r="P170" s="245"/>
      <c r="Q170" s="245"/>
      <c r="R170" s="245"/>
      <c r="S170" s="245"/>
      <c r="T170" s="245"/>
      <c r="U170" s="245"/>
      <c r="V170" s="230"/>
    </row>
    <row r="171" spans="1:22" s="240" customFormat="1" ht="15" customHeight="1" x14ac:dyDescent="0.25">
      <c r="A171" s="243"/>
      <c r="B171" s="320" t="s">
        <v>485</v>
      </c>
      <c r="C171" s="236" t="s">
        <v>489</v>
      </c>
      <c r="D171" s="271" t="s">
        <v>48</v>
      </c>
      <c r="E171" s="292">
        <f t="shared" ref="E171:M171" si="29">(2*E162*E166*E169*E165*E164*(E160^4-E159^4))/1000</f>
        <v>7.0207230520682851</v>
      </c>
      <c r="F171" s="239">
        <f t="shared" si="29"/>
        <v>11.819400302952637</v>
      </c>
      <c r="G171" s="239">
        <f t="shared" si="29"/>
        <v>6.753190915972338</v>
      </c>
      <c r="H171" s="239">
        <f t="shared" si="29"/>
        <v>4.6847515977687681</v>
      </c>
      <c r="I171" s="239">
        <f t="shared" si="29"/>
        <v>3.1351719928148736</v>
      </c>
      <c r="J171" s="239">
        <f t="shared" si="29"/>
        <v>2.1752527353682933</v>
      </c>
      <c r="K171" s="239">
        <f t="shared" si="29"/>
        <v>1.4574386582242429</v>
      </c>
      <c r="L171" s="239">
        <f t="shared" si="29"/>
        <v>0.94977434950122619</v>
      </c>
      <c r="M171" s="239">
        <f t="shared" si="29"/>
        <v>-0.10287931226123169</v>
      </c>
      <c r="N171" s="282"/>
      <c r="O171" s="245"/>
      <c r="P171" s="245"/>
      <c r="Q171" s="245"/>
      <c r="R171" s="245"/>
      <c r="S171" s="245"/>
      <c r="T171" s="245"/>
      <c r="U171" s="245"/>
      <c r="V171" s="230"/>
    </row>
    <row r="172" spans="1:22" s="240" customFormat="1" x14ac:dyDescent="0.25">
      <c r="A172" s="243"/>
      <c r="B172" s="320" t="s">
        <v>486</v>
      </c>
      <c r="C172" s="236" t="s">
        <v>490</v>
      </c>
      <c r="D172" s="271" t="s">
        <v>48</v>
      </c>
      <c r="E172" s="278">
        <f t="shared" ref="E172:M172" si="30">(E162*E167*E170*E165*E164*(E161^4-E159^4))/1000</f>
        <v>2.6650507040074429</v>
      </c>
      <c r="F172" s="287">
        <f t="shared" si="30"/>
        <v>1.2702978396635269</v>
      </c>
      <c r="G172" s="287">
        <f t="shared" si="30"/>
        <v>4.495544892282175</v>
      </c>
      <c r="H172" s="287">
        <f t="shared" si="30"/>
        <v>5.5498469842929072</v>
      </c>
      <c r="I172" s="287">
        <f t="shared" si="30"/>
        <v>3.6464360764189845</v>
      </c>
      <c r="J172" s="287">
        <f t="shared" si="30"/>
        <v>3.3658763796882329</v>
      </c>
      <c r="K172" s="287">
        <f t="shared" si="30"/>
        <v>2.7941762074347074</v>
      </c>
      <c r="L172" s="287">
        <f t="shared" si="30"/>
        <v>2.2749429887090673</v>
      </c>
      <c r="M172" s="287">
        <f t="shared" si="30"/>
        <v>-2.4387851719280998E-2</v>
      </c>
      <c r="N172" s="245"/>
      <c r="O172" s="245"/>
      <c r="P172" s="245"/>
      <c r="Q172" s="245"/>
      <c r="R172" s="245"/>
      <c r="S172" s="245"/>
      <c r="T172" s="245"/>
      <c r="U172" s="245"/>
      <c r="V172" s="230"/>
    </row>
    <row r="173" spans="1:22" s="240" customFormat="1" x14ac:dyDescent="0.25">
      <c r="A173" s="243"/>
      <c r="B173" s="320" t="s">
        <v>487</v>
      </c>
      <c r="C173" s="236" t="s">
        <v>491</v>
      </c>
      <c r="D173" s="271" t="s">
        <v>48</v>
      </c>
      <c r="E173" s="278">
        <f>((E162*E168*E164*E163*(E158^4-E159^4))/(1-(1-E164)*(1-E163)))/1000</f>
        <v>15.033386436721342</v>
      </c>
      <c r="F173" s="287">
        <f t="shared" ref="F173:M173" si="31">((F162*F168*F164*F163*(F158^4-F159^4))/(1-(1-F164)*(1-F163)))/1000</f>
        <v>14.472423497084277</v>
      </c>
      <c r="G173" s="287">
        <f t="shared" si="31"/>
        <v>32.262233984756961</v>
      </c>
      <c r="H173" s="287">
        <f t="shared" si="31"/>
        <v>49.666285767406322</v>
      </c>
      <c r="I173" s="287">
        <f t="shared" si="31"/>
        <v>43.072910352247668</v>
      </c>
      <c r="J173" s="287">
        <f t="shared" si="31"/>
        <v>36.790702920110974</v>
      </c>
      <c r="K173" s="287">
        <f t="shared" si="31"/>
        <v>31.787726013221235</v>
      </c>
      <c r="L173" s="287">
        <f t="shared" si="31"/>
        <v>27.662511612665533</v>
      </c>
      <c r="M173" s="287">
        <f t="shared" si="31"/>
        <v>0.86491733495189282</v>
      </c>
      <c r="N173" s="245"/>
      <c r="O173" s="245"/>
      <c r="P173" s="245"/>
      <c r="Q173" s="245"/>
      <c r="R173" s="245"/>
      <c r="S173" s="245"/>
      <c r="T173" s="245"/>
      <c r="U173" s="245"/>
      <c r="V173" s="230"/>
    </row>
    <row r="174" spans="1:22" s="240" customFormat="1" ht="15" customHeight="1" thickBot="1" x14ac:dyDescent="0.3">
      <c r="A174" s="243"/>
      <c r="B174" s="321" t="s">
        <v>488</v>
      </c>
      <c r="C174" s="273" t="s">
        <v>492</v>
      </c>
      <c r="D174" s="122" t="s">
        <v>48</v>
      </c>
      <c r="E174" s="278">
        <f>SUM(E171:E173)</f>
        <v>24.719160192797069</v>
      </c>
      <c r="F174" s="287">
        <f t="shared" ref="F174:M174" si="32">SUM(F171:F173)</f>
        <v>27.562121639700443</v>
      </c>
      <c r="G174" s="287">
        <f t="shared" si="32"/>
        <v>43.510969793011469</v>
      </c>
      <c r="H174" s="287">
        <f t="shared" si="32"/>
        <v>59.900884349468001</v>
      </c>
      <c r="I174" s="287">
        <f t="shared" si="32"/>
        <v>49.854518421481529</v>
      </c>
      <c r="J174" s="287">
        <f t="shared" si="32"/>
        <v>42.331832035167501</v>
      </c>
      <c r="K174" s="287">
        <f t="shared" si="32"/>
        <v>36.039340878880182</v>
      </c>
      <c r="L174" s="287">
        <f t="shared" si="32"/>
        <v>30.887228950875826</v>
      </c>
      <c r="M174" s="287">
        <f t="shared" si="32"/>
        <v>0.73765017097138008</v>
      </c>
      <c r="N174" s="245"/>
      <c r="O174" s="245"/>
      <c r="P174" s="245"/>
      <c r="Q174" s="245"/>
      <c r="R174" s="245"/>
      <c r="S174" s="245"/>
      <c r="T174" s="245"/>
      <c r="U174" s="245"/>
      <c r="V174" s="230"/>
    </row>
    <row r="175" spans="1:22" s="240" customFormat="1" ht="15.75" thickBot="1" x14ac:dyDescent="0.3">
      <c r="A175" s="243"/>
      <c r="C175" s="238"/>
      <c r="D175" s="238"/>
      <c r="E175" s="245"/>
      <c r="F175" s="245"/>
      <c r="G175" s="245"/>
      <c r="H175" s="245"/>
      <c r="I175" s="245"/>
      <c r="J175" s="245"/>
      <c r="K175" s="245"/>
      <c r="L175" s="245"/>
      <c r="M175" s="245"/>
      <c r="N175" s="245"/>
      <c r="O175" s="245"/>
      <c r="P175" s="245"/>
      <c r="Q175" s="245"/>
      <c r="R175" s="245"/>
      <c r="S175" s="245"/>
      <c r="T175" s="245"/>
      <c r="U175" s="245"/>
      <c r="V175" s="230"/>
    </row>
    <row r="176" spans="1:22" s="240" customFormat="1" ht="15.75" thickBot="1" x14ac:dyDescent="0.3">
      <c r="A176" s="350" t="s">
        <v>499</v>
      </c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51"/>
      <c r="N176" s="351"/>
      <c r="O176" s="351"/>
      <c r="P176" s="351"/>
      <c r="Q176" s="351"/>
      <c r="R176" s="351"/>
      <c r="S176" s="351"/>
      <c r="T176" s="351"/>
      <c r="U176" s="352"/>
      <c r="V176" s="230"/>
    </row>
    <row r="177" spans="1:22" s="240" customFormat="1" x14ac:dyDescent="0.25">
      <c r="A177" s="243"/>
      <c r="T177" s="245"/>
      <c r="U177" s="245"/>
      <c r="V177" s="230"/>
    </row>
    <row r="178" spans="1:22" s="240" customFormat="1" ht="15" customHeight="1" thickBot="1" x14ac:dyDescent="0.3">
      <c r="A178" s="243"/>
      <c r="T178" s="245"/>
      <c r="U178" s="245"/>
      <c r="V178" s="230"/>
    </row>
    <row r="179" spans="1:22" s="240" customFormat="1" x14ac:dyDescent="0.25">
      <c r="A179" s="243"/>
      <c r="B179" s="356" t="s">
        <v>417</v>
      </c>
      <c r="C179" s="357"/>
      <c r="D179" s="358"/>
      <c r="E179" s="292">
        <f>D51</f>
        <v>1</v>
      </c>
      <c r="F179" s="239">
        <f t="shared" ref="F179:M179" si="33">E51</f>
        <v>2</v>
      </c>
      <c r="G179" s="239">
        <f t="shared" si="33"/>
        <v>3</v>
      </c>
      <c r="H179" s="239">
        <f t="shared" si="33"/>
        <v>4</v>
      </c>
      <c r="I179" s="239">
        <f t="shared" si="33"/>
        <v>5</v>
      </c>
      <c r="J179" s="239">
        <f t="shared" si="33"/>
        <v>6</v>
      </c>
      <c r="K179" s="239">
        <f t="shared" si="33"/>
        <v>7</v>
      </c>
      <c r="L179" s="239">
        <f t="shared" si="33"/>
        <v>8</v>
      </c>
      <c r="M179" s="239" t="str">
        <f t="shared" si="33"/>
        <v>MELOTERA</v>
      </c>
      <c r="T179" s="245"/>
      <c r="U179" s="245"/>
      <c r="V179" s="230"/>
    </row>
    <row r="180" spans="1:22" s="240" customFormat="1" x14ac:dyDescent="0.25">
      <c r="A180" s="243"/>
      <c r="B180" s="353" t="s">
        <v>240</v>
      </c>
      <c r="C180" s="354"/>
      <c r="D180" s="355"/>
      <c r="E180" s="292" t="str">
        <f>D53</f>
        <v>SEMIESFERICA</v>
      </c>
      <c r="F180" s="239" t="str">
        <f t="shared" ref="F180:M180" si="34">E53</f>
        <v>SEMICILINDRICA</v>
      </c>
      <c r="G180" s="239" t="str">
        <f t="shared" si="34"/>
        <v>SEMICILINDRICA</v>
      </c>
      <c r="H180" s="239" t="str">
        <f t="shared" si="34"/>
        <v>PIROTUBULAR</v>
      </c>
      <c r="I180" s="239" t="str">
        <f t="shared" si="34"/>
        <v>PIROTUBULAR</v>
      </c>
      <c r="J180" s="239" t="str">
        <f t="shared" si="34"/>
        <v>ACANALADA</v>
      </c>
      <c r="K180" s="239" t="str">
        <f t="shared" si="34"/>
        <v>ACANALADA</v>
      </c>
      <c r="L180" s="239" t="str">
        <f t="shared" si="34"/>
        <v>PLANA</v>
      </c>
      <c r="M180" s="239">
        <f t="shared" si="34"/>
        <v>0</v>
      </c>
      <c r="T180" s="245"/>
      <c r="U180" s="245"/>
      <c r="V180" s="230"/>
    </row>
    <row r="181" spans="1:22" s="240" customFormat="1" ht="15.75" thickBot="1" x14ac:dyDescent="0.3">
      <c r="A181" s="243"/>
      <c r="B181" s="321" t="s">
        <v>500</v>
      </c>
      <c r="C181" s="273" t="s">
        <v>501</v>
      </c>
      <c r="D181" s="122" t="s">
        <v>48</v>
      </c>
      <c r="E181" s="292">
        <f>E174+E147</f>
        <v>28.561531068919749</v>
      </c>
      <c r="F181" s="239">
        <f t="shared" ref="F181:M181" si="35">F174+F147</f>
        <v>31.202384816901976</v>
      </c>
      <c r="G181" s="239">
        <f t="shared" si="35"/>
        <v>53.077399676054604</v>
      </c>
      <c r="H181" s="239">
        <f t="shared" si="35"/>
        <v>78.548777007597522</v>
      </c>
      <c r="I181" s="239">
        <f t="shared" si="35"/>
        <v>70.078299613386974</v>
      </c>
      <c r="J181" s="239">
        <f t="shared" si="35"/>
        <v>62.451257974406843</v>
      </c>
      <c r="K181" s="239">
        <f t="shared" si="35"/>
        <v>59.012393098759503</v>
      </c>
      <c r="L181" s="239">
        <f t="shared" si="35"/>
        <v>58.121506850562476</v>
      </c>
      <c r="M181" s="239">
        <f t="shared" si="35"/>
        <v>3.2667591607101478</v>
      </c>
      <c r="T181" s="245"/>
      <c r="U181" s="245"/>
      <c r="V181" s="230"/>
    </row>
    <row r="182" spans="1:22" s="240" customFormat="1" ht="15.75" thickBot="1" x14ac:dyDescent="0.3">
      <c r="A182" s="243"/>
      <c r="T182" s="245"/>
      <c r="U182" s="245"/>
      <c r="V182" s="230"/>
    </row>
    <row r="183" spans="1:22" s="240" customFormat="1" ht="15.75" thickBot="1" x14ac:dyDescent="0.3">
      <c r="A183" s="350" t="s">
        <v>502</v>
      </c>
      <c r="B183" s="351"/>
      <c r="C183" s="351"/>
      <c r="D183" s="351"/>
      <c r="E183" s="351"/>
      <c r="F183" s="351"/>
      <c r="G183" s="351"/>
      <c r="H183" s="351"/>
      <c r="I183" s="351"/>
      <c r="J183" s="351"/>
      <c r="K183" s="351"/>
      <c r="L183" s="351"/>
      <c r="M183" s="351"/>
      <c r="N183" s="351"/>
      <c r="O183" s="351"/>
      <c r="P183" s="351"/>
      <c r="Q183" s="351"/>
      <c r="R183" s="351"/>
      <c r="S183" s="351"/>
      <c r="T183" s="351"/>
      <c r="U183" s="352"/>
      <c r="V183" s="230"/>
    </row>
    <row r="184" spans="1:22" s="240" customFormat="1" x14ac:dyDescent="0.25">
      <c r="A184" s="243"/>
      <c r="T184" s="245"/>
      <c r="U184" s="245"/>
      <c r="V184" s="230"/>
    </row>
    <row r="185" spans="1:22" s="240" customFormat="1" x14ac:dyDescent="0.25">
      <c r="B185" s="331" t="s">
        <v>104</v>
      </c>
      <c r="C185" s="29" t="s">
        <v>255</v>
      </c>
      <c r="D185" s="240">
        <f>D50</f>
        <v>8</v>
      </c>
      <c r="T185" s="245"/>
      <c r="U185" s="245"/>
      <c r="V185" s="230"/>
    </row>
    <row r="186" spans="1:22" s="240" customFormat="1" x14ac:dyDescent="0.25">
      <c r="B186" s="245" t="s">
        <v>239</v>
      </c>
      <c r="C186" s="29" t="s">
        <v>261</v>
      </c>
      <c r="D186" s="240">
        <f>D52</f>
        <v>8</v>
      </c>
      <c r="E186" s="240">
        <f t="shared" ref="E186:K186" si="36">E52</f>
        <v>7</v>
      </c>
      <c r="F186" s="240">
        <f t="shared" si="36"/>
        <v>6</v>
      </c>
      <c r="G186" s="240">
        <f t="shared" si="36"/>
        <v>5</v>
      </c>
      <c r="H186" s="240">
        <f t="shared" si="36"/>
        <v>4</v>
      </c>
      <c r="I186" s="240">
        <f t="shared" si="36"/>
        <v>3</v>
      </c>
      <c r="J186" s="240">
        <f t="shared" si="36"/>
        <v>2</v>
      </c>
      <c r="K186" s="240">
        <f t="shared" si="36"/>
        <v>1</v>
      </c>
      <c r="M186" s="240" t="s">
        <v>504</v>
      </c>
      <c r="N186" s="330">
        <f>D8</f>
        <v>17</v>
      </c>
      <c r="O186" s="240">
        <v>17</v>
      </c>
      <c r="T186" s="241"/>
      <c r="U186" s="241"/>
      <c r="V186" s="230"/>
    </row>
    <row r="187" spans="1:22" s="240" customFormat="1" x14ac:dyDescent="0.25">
      <c r="B187" s="256" t="s">
        <v>521</v>
      </c>
      <c r="C187" s="256" t="s">
        <v>522</v>
      </c>
      <c r="D187" s="240">
        <v>1</v>
      </c>
      <c r="E187" s="240">
        <v>2</v>
      </c>
      <c r="F187" s="240">
        <v>3</v>
      </c>
      <c r="G187" s="240">
        <v>4</v>
      </c>
      <c r="H187" s="240">
        <v>5</v>
      </c>
      <c r="I187" s="240">
        <v>6</v>
      </c>
      <c r="J187" s="240">
        <v>7</v>
      </c>
      <c r="K187" s="240">
        <v>8</v>
      </c>
      <c r="N187" s="330"/>
      <c r="O187" s="240">
        <v>22</v>
      </c>
      <c r="P187" s="240">
        <v>1</v>
      </c>
      <c r="T187" s="245"/>
      <c r="U187" s="245"/>
      <c r="V187" s="230"/>
    </row>
    <row r="188" spans="1:22" s="240" customFormat="1" x14ac:dyDescent="0.25">
      <c r="B188" s="256" t="s">
        <v>503</v>
      </c>
      <c r="C188" s="256" t="s">
        <v>505</v>
      </c>
      <c r="D188" s="330">
        <v>22</v>
      </c>
      <c r="E188" s="330">
        <f t="shared" ref="E188:H188" si="37">D188+$N$189</f>
        <v>31.55</v>
      </c>
      <c r="F188" s="330">
        <f t="shared" si="37"/>
        <v>41.1</v>
      </c>
      <c r="G188" s="330">
        <f t="shared" si="37"/>
        <v>50.650000000000006</v>
      </c>
      <c r="H188" s="330">
        <f t="shared" si="37"/>
        <v>60.2</v>
      </c>
      <c r="I188" s="330">
        <v>72</v>
      </c>
      <c r="J188" s="330">
        <v>85</v>
      </c>
      <c r="K188" s="330">
        <v>95</v>
      </c>
      <c r="M188" s="240" t="s">
        <v>505</v>
      </c>
      <c r="N188" s="330">
        <f>D11</f>
        <v>93.4</v>
      </c>
      <c r="O188" s="240">
        <v>32</v>
      </c>
      <c r="P188" s="240">
        <v>2</v>
      </c>
      <c r="V188" s="230"/>
    </row>
    <row r="189" spans="1:22" s="240" customFormat="1" x14ac:dyDescent="0.25">
      <c r="B189" s="256" t="s">
        <v>513</v>
      </c>
      <c r="C189" s="256" t="s">
        <v>512</v>
      </c>
      <c r="D189" s="330">
        <f>I10</f>
        <v>164.23016470588234</v>
      </c>
      <c r="E189" s="240">
        <f>D189*D8/D188</f>
        <v>126.90512727272727</v>
      </c>
      <c r="F189" s="240">
        <f t="shared" ref="F189:K189" si="38">E189*D188/E188</f>
        <v>88.49168938193344</v>
      </c>
      <c r="G189" s="240">
        <f t="shared" si="38"/>
        <v>67.929751824817515</v>
      </c>
      <c r="H189" s="240">
        <f t="shared" si="38"/>
        <v>55.121674234945701</v>
      </c>
      <c r="I189" s="240">
        <f t="shared" si="38"/>
        <v>46.377289036544852</v>
      </c>
      <c r="J189" s="240">
        <f t="shared" si="38"/>
        <v>38.776566666666668</v>
      </c>
      <c r="K189" s="240">
        <f t="shared" si="38"/>
        <v>32.846032941176475</v>
      </c>
      <c r="M189" s="240" t="s">
        <v>506</v>
      </c>
      <c r="N189" s="240">
        <f>(N188-N186)/D185</f>
        <v>9.5500000000000007</v>
      </c>
      <c r="O189" s="240">
        <v>40</v>
      </c>
      <c r="P189" s="240">
        <v>3</v>
      </c>
      <c r="Q189" s="240">
        <v>40</v>
      </c>
      <c r="V189" s="230"/>
    </row>
    <row r="190" spans="1:22" s="240" customFormat="1" x14ac:dyDescent="0.25">
      <c r="B190" s="256" t="s">
        <v>509</v>
      </c>
      <c r="C190" s="256" t="s">
        <v>510</v>
      </c>
      <c r="D190" s="240">
        <f t="shared" ref="D190:K190" si="39">4.18*(1-0.006*D188)</f>
        <v>3.6282399999999999</v>
      </c>
      <c r="E190" s="240">
        <f t="shared" si="39"/>
        <v>3.3887259999999997</v>
      </c>
      <c r="F190" s="240">
        <f t="shared" si="39"/>
        <v>3.1492119999999995</v>
      </c>
      <c r="G190" s="240">
        <f t="shared" si="39"/>
        <v>2.9096979999999997</v>
      </c>
      <c r="H190" s="240">
        <f t="shared" si="39"/>
        <v>2.6701839999999999</v>
      </c>
      <c r="I190" s="240">
        <f t="shared" si="39"/>
        <v>2.3742399999999999</v>
      </c>
      <c r="J190" s="240">
        <f t="shared" si="39"/>
        <v>2.0482</v>
      </c>
      <c r="K190" s="240">
        <f t="shared" si="39"/>
        <v>1.7973999999999997</v>
      </c>
      <c r="O190" s="240">
        <v>50</v>
      </c>
      <c r="P190" s="240">
        <v>4</v>
      </c>
      <c r="V190" s="230"/>
    </row>
    <row r="191" spans="1:22" s="240" customFormat="1" x14ac:dyDescent="0.25">
      <c r="B191" s="256" t="s">
        <v>511</v>
      </c>
      <c r="C191" s="256" t="s">
        <v>507</v>
      </c>
      <c r="D191" s="240">
        <f t="shared" ref="D191:K191" si="40">$D$25+0.2209*EXP(0.0557*D188)</f>
        <v>95.599979559921579</v>
      </c>
      <c r="E191" s="240">
        <f t="shared" si="40"/>
        <v>96.128248622664756</v>
      </c>
      <c r="F191" s="240">
        <f t="shared" si="40"/>
        <v>97.027480331982702</v>
      </c>
      <c r="G191" s="240">
        <f t="shared" si="40"/>
        <v>98.558173162722966</v>
      </c>
      <c r="H191" s="240">
        <f t="shared" si="40"/>
        <v>101.16375359077173</v>
      </c>
      <c r="I191" s="240">
        <f t="shared" si="40"/>
        <v>107.03451587958916</v>
      </c>
      <c r="J191" s="240">
        <f t="shared" si="40"/>
        <v>119.98756337531955</v>
      </c>
      <c r="K191" s="240">
        <f t="shared" si="40"/>
        <v>138.72753150236844</v>
      </c>
      <c r="O191" s="240">
        <v>60</v>
      </c>
      <c r="P191" s="240">
        <v>5</v>
      </c>
      <c r="V191" s="230"/>
    </row>
    <row r="192" spans="1:22" s="240" customFormat="1" x14ac:dyDescent="0.25">
      <c r="B192" s="256" t="s">
        <v>515</v>
      </c>
      <c r="C192" s="332" t="s">
        <v>516</v>
      </c>
      <c r="D192" s="240">
        <f t="shared" ref="D192:K192" si="41">2492.9-2.0523*D191-0.0030752*D191^2</f>
        <v>2268.5948140954929</v>
      </c>
      <c r="E192" s="240">
        <f t="shared" si="41"/>
        <v>2267.1991786601416</v>
      </c>
      <c r="F192" s="240">
        <f t="shared" si="41"/>
        <v>2264.8195485340962</v>
      </c>
      <c r="G192" s="240">
        <f t="shared" si="41"/>
        <v>2260.7574494716364</v>
      </c>
      <c r="H192" s="240">
        <f t="shared" si="41"/>
        <v>2253.8097086848848</v>
      </c>
      <c r="I192" s="240">
        <f t="shared" si="41"/>
        <v>2238.0023799448491</v>
      </c>
      <c r="J192" s="240">
        <f t="shared" si="41"/>
        <v>2202.3758220351638</v>
      </c>
      <c r="K192" s="240">
        <f t="shared" si="41"/>
        <v>2149.0062544421125</v>
      </c>
      <c r="L192" s="240">
        <f>K189*J188/K188</f>
        <v>29.388555789473688</v>
      </c>
      <c r="O192" s="240">
        <v>70</v>
      </c>
      <c r="P192" s="240">
        <v>6</v>
      </c>
      <c r="V192" s="230"/>
    </row>
    <row r="193" spans="2:22" s="240" customFormat="1" ht="15.75" thickBot="1" x14ac:dyDescent="0.3">
      <c r="B193" s="256" t="s">
        <v>518</v>
      </c>
      <c r="C193" s="256" t="s">
        <v>514</v>
      </c>
      <c r="D193" s="330">
        <f t="shared" ref="D193:J193" si="42">D189-E189</f>
        <v>37.325037433155074</v>
      </c>
      <c r="E193" s="240">
        <f t="shared" si="42"/>
        <v>38.41343789079383</v>
      </c>
      <c r="F193" s="240">
        <f t="shared" si="42"/>
        <v>20.561937557115925</v>
      </c>
      <c r="G193" s="240">
        <f t="shared" si="42"/>
        <v>12.808077589871814</v>
      </c>
      <c r="H193" s="240">
        <f t="shared" si="42"/>
        <v>8.7443851984008489</v>
      </c>
      <c r="I193" s="240">
        <f t="shared" si="42"/>
        <v>7.6007223698781843</v>
      </c>
      <c r="J193" s="240">
        <f t="shared" si="42"/>
        <v>5.9305337254901929</v>
      </c>
      <c r="K193" s="330">
        <f>K189-D4</f>
        <v>2.8460329411764747</v>
      </c>
      <c r="O193" s="240">
        <v>85</v>
      </c>
      <c r="P193" s="240">
        <v>7</v>
      </c>
      <c r="V193" s="230"/>
    </row>
    <row r="194" spans="2:22" s="240" customFormat="1" ht="15.75" thickBot="1" x14ac:dyDescent="0.3">
      <c r="B194" s="256" t="s">
        <v>519</v>
      </c>
      <c r="C194" s="334" t="s">
        <v>517</v>
      </c>
      <c r="D194" s="335">
        <f>(D189*D190*(D191-D19)+D193*D192)/3600</f>
        <v>35.703095861873486</v>
      </c>
      <c r="E194" s="335">
        <f t="shared" ref="E194:K194" si="43">(E189*E190*(E191-D191)+E193*E192)/3600</f>
        <v>24.255026445818977</v>
      </c>
      <c r="F194" s="335">
        <f t="shared" si="43"/>
        <v>13.005465336010285</v>
      </c>
      <c r="G194" s="335">
        <f t="shared" si="43"/>
        <v>8.1273627812904348</v>
      </c>
      <c r="H194" s="335">
        <f t="shared" si="43"/>
        <v>5.5810229568768968</v>
      </c>
      <c r="I194" s="335">
        <f t="shared" si="43"/>
        <v>4.9046858810414031</v>
      </c>
      <c r="J194" s="335">
        <f t="shared" si="43"/>
        <v>3.9138953192509112</v>
      </c>
      <c r="K194" s="336">
        <f t="shared" si="43"/>
        <v>2.006250750639222</v>
      </c>
      <c r="O194" s="240">
        <v>95</v>
      </c>
      <c r="P194" s="240">
        <v>8</v>
      </c>
      <c r="V194" s="230"/>
    </row>
    <row r="195" spans="2:22" s="240" customFormat="1" ht="15.75" thickBot="1" x14ac:dyDescent="0.3">
      <c r="B195" s="240" t="s">
        <v>525</v>
      </c>
      <c r="C195" s="333" t="s">
        <v>527</v>
      </c>
      <c r="D195" s="337">
        <f>L181</f>
        <v>58.121506850562476</v>
      </c>
      <c r="E195" s="337">
        <f>K181</f>
        <v>59.012393098759503</v>
      </c>
      <c r="F195" s="337">
        <f>J181</f>
        <v>62.451257974406843</v>
      </c>
      <c r="G195" s="337">
        <f>I181</f>
        <v>70.078299613386974</v>
      </c>
      <c r="H195" s="337">
        <f>H181</f>
        <v>78.548777007597522</v>
      </c>
      <c r="I195" s="337">
        <f>G181</f>
        <v>53.077399676054604</v>
      </c>
      <c r="J195" s="337">
        <f>F181</f>
        <v>31.202384816901976</v>
      </c>
      <c r="K195" s="338">
        <f>E181</f>
        <v>28.561531068919749</v>
      </c>
      <c r="V195" s="230"/>
    </row>
    <row r="196" spans="2:22" s="240" customFormat="1" x14ac:dyDescent="0.25">
      <c r="B196" s="240" t="s">
        <v>528</v>
      </c>
      <c r="C196" s="240" t="s">
        <v>510</v>
      </c>
      <c r="D196" s="240">
        <f>(D195*3600-D193*D192)/(D189*D197)</f>
        <v>10.30516818734049</v>
      </c>
      <c r="E196" s="240">
        <f t="shared" ref="E196:K196" si="44">(E195*3600-E193*E192)/(E189*E197)</f>
        <v>1869.8329637364154</v>
      </c>
      <c r="F196" s="240">
        <f t="shared" si="44"/>
        <v>2240.1067731212324</v>
      </c>
      <c r="G196" s="240">
        <f t="shared" si="44"/>
        <v>2147.7862571797646</v>
      </c>
      <c r="H196" s="240">
        <f t="shared" si="44"/>
        <v>1831.640243908075</v>
      </c>
      <c r="I196" s="240">
        <f t="shared" si="44"/>
        <v>639.32191870636666</v>
      </c>
      <c r="J196" s="240">
        <f t="shared" si="44"/>
        <v>197.63551563355742</v>
      </c>
      <c r="K196" s="240">
        <f t="shared" si="44"/>
        <v>157.10818649132605</v>
      </c>
      <c r="L196" s="240">
        <v>1</v>
      </c>
      <c r="M196" s="240">
        <v>8</v>
      </c>
      <c r="V196" s="230"/>
    </row>
    <row r="197" spans="2:22" s="240" customFormat="1" x14ac:dyDescent="0.25">
      <c r="B197" s="240" t="s">
        <v>526</v>
      </c>
      <c r="C197" s="339" t="s">
        <v>530</v>
      </c>
      <c r="D197" s="330">
        <f>D191-D19</f>
        <v>73.599979559921579</v>
      </c>
      <c r="E197" s="240">
        <f>E191-D191</f>
        <v>0.52826906274317764</v>
      </c>
      <c r="F197" s="240">
        <f t="shared" ref="F197:K197" si="45">F191-E191</f>
        <v>0.89923170931794516</v>
      </c>
      <c r="G197" s="240">
        <f t="shared" si="45"/>
        <v>1.5306928307402643</v>
      </c>
      <c r="H197" s="240">
        <f t="shared" si="45"/>
        <v>2.6055804280487678</v>
      </c>
      <c r="I197" s="240">
        <f t="shared" si="45"/>
        <v>5.8707622888174313</v>
      </c>
      <c r="J197" s="240">
        <f t="shared" si="45"/>
        <v>12.953047495730388</v>
      </c>
      <c r="K197" s="240">
        <f t="shared" si="45"/>
        <v>18.739968127048883</v>
      </c>
      <c r="L197" s="240">
        <v>2</v>
      </c>
      <c r="M197" s="240">
        <v>7</v>
      </c>
      <c r="V197" s="230"/>
    </row>
    <row r="198" spans="2:22" s="240" customFormat="1" x14ac:dyDescent="0.25">
      <c r="B198" s="256" t="s">
        <v>524</v>
      </c>
      <c r="C198" s="240" t="s">
        <v>529</v>
      </c>
      <c r="D198" s="240">
        <f>(1-(D196/4.18))/0.006</f>
        <v>-244.22520683175799</v>
      </c>
      <c r="E198" s="240">
        <f t="shared" ref="E198:K198" si="46">(1-(E196/4.18))/0.006</f>
        <v>-74388.076704003804</v>
      </c>
      <c r="F198" s="240">
        <f t="shared" si="46"/>
        <v>-89151.785212170347</v>
      </c>
      <c r="G198" s="240">
        <f t="shared" si="46"/>
        <v>-85470.743906689182</v>
      </c>
      <c r="H198" s="240">
        <f t="shared" si="46"/>
        <v>-72865.240985170458</v>
      </c>
      <c r="I198" s="240">
        <f t="shared" si="46"/>
        <v>-25324.637906952419</v>
      </c>
      <c r="J198" s="240">
        <f t="shared" si="46"/>
        <v>-7713.5373059632138</v>
      </c>
      <c r="K198" s="240">
        <f t="shared" si="46"/>
        <v>-6097.615091360688</v>
      </c>
      <c r="L198" s="240">
        <v>3</v>
      </c>
      <c r="M198" s="240">
        <v>6</v>
      </c>
      <c r="Q198" s="240">
        <v>6</v>
      </c>
      <c r="V198" s="230"/>
    </row>
    <row r="199" spans="2:22" s="240" customFormat="1" x14ac:dyDescent="0.25">
      <c r="L199" s="240">
        <v>4</v>
      </c>
      <c r="M199" s="240">
        <v>5</v>
      </c>
      <c r="V199" s="230"/>
    </row>
    <row r="200" spans="2:22" s="240" customFormat="1" x14ac:dyDescent="0.25">
      <c r="L200" s="240">
        <v>5</v>
      </c>
      <c r="M200" s="240">
        <v>4</v>
      </c>
      <c r="V200" s="230"/>
    </row>
    <row r="201" spans="2:22" s="240" customFormat="1" x14ac:dyDescent="0.25">
      <c r="L201" s="240">
        <v>6</v>
      </c>
      <c r="M201" s="240">
        <v>3</v>
      </c>
      <c r="V201" s="230"/>
    </row>
    <row r="202" spans="2:22" s="240" customFormat="1" x14ac:dyDescent="0.25">
      <c r="L202" s="240">
        <v>7</v>
      </c>
      <c r="M202" s="240">
        <v>2</v>
      </c>
      <c r="V202" s="230"/>
    </row>
    <row r="203" spans="2:22" s="240" customFormat="1" x14ac:dyDescent="0.25">
      <c r="L203" s="240">
        <v>8</v>
      </c>
      <c r="M203" s="240">
        <v>1</v>
      </c>
      <c r="V203" s="230"/>
    </row>
    <row r="204" spans="2:22" s="240" customFormat="1" x14ac:dyDescent="0.25">
      <c r="V204" s="230"/>
    </row>
    <row r="205" spans="2:22" s="240" customFormat="1" x14ac:dyDescent="0.25">
      <c r="V205" s="230"/>
    </row>
    <row r="206" spans="2:22" s="240" customFormat="1" x14ac:dyDescent="0.25">
      <c r="V206" s="230"/>
    </row>
    <row r="207" spans="2:22" s="240" customFormat="1" x14ac:dyDescent="0.25">
      <c r="V207" s="230"/>
    </row>
    <row r="208" spans="2:22" s="240" customFormat="1" x14ac:dyDescent="0.25">
      <c r="V208" s="230"/>
    </row>
    <row r="209" spans="2:22" s="240" customFormat="1" x14ac:dyDescent="0.25">
      <c r="V209" s="230"/>
    </row>
    <row r="210" spans="2:22" s="240" customFormat="1" x14ac:dyDescent="0.25">
      <c r="V210" s="230"/>
    </row>
    <row r="211" spans="2:22" s="240" customFormat="1" x14ac:dyDescent="0.25">
      <c r="V211" s="230"/>
    </row>
    <row r="212" spans="2:22" s="240" customFormat="1" x14ac:dyDescent="0.25">
      <c r="V212" s="230"/>
    </row>
    <row r="213" spans="2:22" s="240" customFormat="1" x14ac:dyDescent="0.25">
      <c r="V213" s="230"/>
    </row>
    <row r="214" spans="2:22" s="240" customFormat="1" x14ac:dyDescent="0.25">
      <c r="C214" s="256" t="s">
        <v>517</v>
      </c>
      <c r="D214" s="240">
        <f t="shared" ref="D214:K214" si="47">IF(D220=1,$E$181,IF(D220=2,$F$181,IF(D220=3,$G$181,IF(D220=4,$H$181,IF(D220=5,$I$181,IF(D220=6,$J$181,IF(D220=7,$K$181,$L$181)))))))</f>
        <v>58.121506850562476</v>
      </c>
      <c r="E214" s="240">
        <f t="shared" si="47"/>
        <v>59.012393098759503</v>
      </c>
      <c r="F214" s="240">
        <f t="shared" si="47"/>
        <v>62.451257974406843</v>
      </c>
      <c r="G214" s="240">
        <f t="shared" si="47"/>
        <v>70.078299613386974</v>
      </c>
      <c r="H214" s="240">
        <f t="shared" si="47"/>
        <v>78.548777007597522</v>
      </c>
      <c r="I214" s="240">
        <f t="shared" si="47"/>
        <v>53.077399676054604</v>
      </c>
      <c r="J214" s="240">
        <f t="shared" si="47"/>
        <v>31.202384816901976</v>
      </c>
      <c r="K214" s="240">
        <f t="shared" si="47"/>
        <v>28.561531068919749</v>
      </c>
      <c r="V214" s="230"/>
    </row>
    <row r="215" spans="2:22" s="240" customFormat="1" x14ac:dyDescent="0.25">
      <c r="V215" s="230"/>
    </row>
    <row r="216" spans="2:22" s="240" customFormat="1" x14ac:dyDescent="0.25">
      <c r="B216" s="256" t="s">
        <v>520</v>
      </c>
      <c r="C216" s="256" t="s">
        <v>517</v>
      </c>
      <c r="D216" s="240">
        <f>IF(D220=8,D214,IF(E220=8,E214,IF(F220=8,F214,IF(G220=8,G214,IF(H220=8,H214,IF(I220=8,I214,IF(J220=8,J214,IF(K220=8,K214,"????"))))))))</f>
        <v>58.121506850562476</v>
      </c>
      <c r="E216" s="240">
        <f>IF(D220=7,D214,IF(E220=7,E214,IF(F220=7,F214,IF(G220=7,G214,IF(H220=7,H214,IF(I220=7,I214,IF(J220=7,J214,IF(K220=7,K214,"????"))))))))</f>
        <v>59.012393098759503</v>
      </c>
      <c r="F216" s="240">
        <f>IF(D220=6,D214,IF(E220=6,E214,IF(F220=6,F214,IF(G220=6,G214,IF(H220=6,H214,IF(I220=6,I214,IF(J220=6,J214,IF(K220=6,K214,"????"))))))))</f>
        <v>62.451257974406843</v>
      </c>
      <c r="G216" s="240">
        <f>IF(D220=5,D214,IF(E220=5,E214,IF(F220=5,F214,IF(G220=5,G214,IF(H220=5,H214,IF(I220=5,I214,IF(J220=5,J214,IF(K220=5,K214,"????"))))))))</f>
        <v>70.078299613386974</v>
      </c>
      <c r="H216" s="240">
        <f>IF(D220=4,D214,IF(E220=4,E214,IF(F220=4,F214,IF(G220=4,G214,IF(H220=4,H214,IF(I220=4,I214,IF(J220=4,J214,IF(K220=4,K214,"????"))))))))</f>
        <v>78.548777007597522</v>
      </c>
      <c r="I216" s="240">
        <f>IF(D220=3,D214,IF(E220=3,E214,IF(F220=3,F214,IF(G220=3,G214,IF(H220=3,H214,IF(I220=3,I214,IF(J220=3,J214,IF(K220=3,K214,"????"))))))))</f>
        <v>53.077399676054604</v>
      </c>
      <c r="J216" s="240">
        <f>IF(D220=2,D214,IF(E220=2,E214,IF(F220=2,F214,IF(G220=2,G214,IF(H220=2,H214,IF(I220=2,I214,IF(J220=2,J214,IF(K220=2,K214,"????"))))))))</f>
        <v>31.202384816901976</v>
      </c>
      <c r="K216" s="240">
        <f>IF(D220=1,D214,IF(E220=1,E214,IF(F220=1,F214,IF(G220=1,G214,IF(H220=1,H214,IF(I220=1,I214,IF(J220=1,J214,IF(K220=1,K214,"????"))))))))</f>
        <v>28.561531068919749</v>
      </c>
      <c r="V216" s="230"/>
    </row>
    <row r="217" spans="2:22" s="240" customFormat="1" x14ac:dyDescent="0.25">
      <c r="V217" s="230"/>
    </row>
    <row r="218" spans="2:22" s="240" customFormat="1" x14ac:dyDescent="0.25">
      <c r="B218" s="256" t="s">
        <v>520</v>
      </c>
      <c r="C218" s="256" t="s">
        <v>517</v>
      </c>
      <c r="D218" s="240">
        <f>IF(D220=8,$E$181,IF(D220=7,$F$181,IF(D220=6,$G$181,IF(D220=5,$H$181,IF(D220=4,$I$181,IF(D220=3,$J$181,IF(D220=2,$K$181,$L$181)))))))</f>
        <v>28.561531068919749</v>
      </c>
      <c r="E218" s="240">
        <f t="shared" ref="E218:K218" si="48">IF(E220=8,$E$181,IF(E220=7,$F$181,IF(E220=6,$G$181,IF(E220=5,$H$181,IF(E220=4,$I$181,IF(E220=3,$J$181,IF(E220=2,$K$181,$L$181)))))))</f>
        <v>31.202384816901976</v>
      </c>
      <c r="F218" s="240">
        <f t="shared" si="48"/>
        <v>53.077399676054604</v>
      </c>
      <c r="G218" s="240">
        <f t="shared" si="48"/>
        <v>78.548777007597522</v>
      </c>
      <c r="H218" s="240">
        <f t="shared" si="48"/>
        <v>70.078299613386974</v>
      </c>
      <c r="I218" s="240">
        <f t="shared" si="48"/>
        <v>62.451257974406843</v>
      </c>
      <c r="J218" s="240">
        <f t="shared" si="48"/>
        <v>59.012393098759503</v>
      </c>
      <c r="K218" s="240">
        <f t="shared" si="48"/>
        <v>58.121506850562476</v>
      </c>
      <c r="V218" s="230"/>
    </row>
    <row r="219" spans="2:22" s="240" customFormat="1" x14ac:dyDescent="0.25">
      <c r="V219" s="230"/>
    </row>
    <row r="220" spans="2:22" s="240" customFormat="1" x14ac:dyDescent="0.25">
      <c r="B220" s="245" t="s">
        <v>239</v>
      </c>
      <c r="C220" s="29" t="s">
        <v>261</v>
      </c>
      <c r="D220" s="240">
        <f t="shared" ref="D220:K220" si="49">D52</f>
        <v>8</v>
      </c>
      <c r="E220" s="240">
        <f t="shared" si="49"/>
        <v>7</v>
      </c>
      <c r="F220" s="240">
        <f t="shared" si="49"/>
        <v>6</v>
      </c>
      <c r="G220" s="240">
        <f t="shared" si="49"/>
        <v>5</v>
      </c>
      <c r="H220" s="240">
        <f t="shared" si="49"/>
        <v>4</v>
      </c>
      <c r="I220" s="240">
        <f t="shared" si="49"/>
        <v>3</v>
      </c>
      <c r="J220" s="240">
        <f t="shared" si="49"/>
        <v>2</v>
      </c>
      <c r="K220" s="240">
        <f t="shared" si="49"/>
        <v>1</v>
      </c>
      <c r="V220" s="230"/>
    </row>
    <row r="221" spans="2:22" s="240" customFormat="1" x14ac:dyDescent="0.25">
      <c r="B221" s="256" t="s">
        <v>520</v>
      </c>
      <c r="V221" s="230"/>
    </row>
    <row r="222" spans="2:22" s="240" customFormat="1" x14ac:dyDescent="0.25">
      <c r="B222" s="240" t="s">
        <v>523</v>
      </c>
      <c r="V222" s="230"/>
    </row>
    <row r="223" spans="2:22" s="240" customFormat="1" x14ac:dyDescent="0.25">
      <c r="V223" s="230"/>
    </row>
    <row r="224" spans="2:22" s="240" customFormat="1" x14ac:dyDescent="0.25">
      <c r="V224" s="230"/>
    </row>
    <row r="225" spans="22:22" s="240" customFormat="1" x14ac:dyDescent="0.25">
      <c r="V225" s="230"/>
    </row>
    <row r="226" spans="22:22" s="240" customFormat="1" x14ac:dyDescent="0.25">
      <c r="V226" s="230"/>
    </row>
    <row r="227" spans="22:22" s="240" customFormat="1" x14ac:dyDescent="0.25">
      <c r="V227" s="230"/>
    </row>
    <row r="228" spans="22:22" s="240" customFormat="1" x14ac:dyDescent="0.25">
      <c r="V228" s="230"/>
    </row>
    <row r="229" spans="22:22" s="240" customFormat="1" x14ac:dyDescent="0.25">
      <c r="V229" s="230"/>
    </row>
    <row r="230" spans="22:22" s="240" customFormat="1" x14ac:dyDescent="0.25">
      <c r="V230" s="230"/>
    </row>
    <row r="231" spans="22:22" s="240" customFormat="1" x14ac:dyDescent="0.25">
      <c r="V231" s="230"/>
    </row>
    <row r="232" spans="22:22" s="240" customFormat="1" x14ac:dyDescent="0.25">
      <c r="V232" s="230"/>
    </row>
    <row r="233" spans="22:22" s="240" customFormat="1" x14ac:dyDescent="0.25">
      <c r="V233" s="230"/>
    </row>
    <row r="234" spans="22:22" s="240" customFormat="1" x14ac:dyDescent="0.25">
      <c r="V234" s="230"/>
    </row>
    <row r="235" spans="22:22" s="240" customFormat="1" x14ac:dyDescent="0.25">
      <c r="V235" s="230"/>
    </row>
    <row r="236" spans="22:22" s="240" customFormat="1" x14ac:dyDescent="0.25">
      <c r="V236" s="230"/>
    </row>
    <row r="237" spans="22:22" s="240" customFormat="1" x14ac:dyDescent="0.25">
      <c r="V237" s="230"/>
    </row>
    <row r="238" spans="22:22" s="240" customFormat="1" x14ac:dyDescent="0.25">
      <c r="V238" s="230"/>
    </row>
    <row r="239" spans="22:22" s="240" customFormat="1" x14ac:dyDescent="0.25">
      <c r="V239" s="230"/>
    </row>
    <row r="240" spans="22:22" s="240" customFormat="1" x14ac:dyDescent="0.25">
      <c r="V240" s="230"/>
    </row>
    <row r="241" spans="2:22" s="240" customFormat="1" x14ac:dyDescent="0.25">
      <c r="V241" s="230"/>
    </row>
    <row r="242" spans="2:22" s="240" customFormat="1" x14ac:dyDescent="0.25">
      <c r="V242" s="230"/>
    </row>
    <row r="243" spans="2:22" s="240" customFormat="1" x14ac:dyDescent="0.25">
      <c r="V243" s="230"/>
    </row>
    <row r="244" spans="2:22" s="240" customFormat="1" x14ac:dyDescent="0.25">
      <c r="V244" s="230"/>
    </row>
    <row r="245" spans="2:22" s="240" customFormat="1" x14ac:dyDescent="0.25">
      <c r="V245" s="230"/>
    </row>
    <row r="246" spans="2:22" s="240" customFormat="1" x14ac:dyDescent="0.25">
      <c r="B246" s="242"/>
      <c r="V246" s="230"/>
    </row>
    <row r="247" spans="2:22" s="240" customFormat="1" x14ac:dyDescent="0.25">
      <c r="B247" s="242"/>
      <c r="V247" s="230"/>
    </row>
    <row r="248" spans="2:22" s="240" customFormat="1" x14ac:dyDescent="0.25">
      <c r="B248" s="242"/>
      <c r="V248" s="230"/>
    </row>
    <row r="249" spans="2:22" s="240" customFormat="1" x14ac:dyDescent="0.25">
      <c r="V249" s="230"/>
    </row>
    <row r="250" spans="2:22" s="240" customFormat="1" x14ac:dyDescent="0.25">
      <c r="V250" s="230"/>
    </row>
    <row r="251" spans="2:22" s="240" customFormat="1" x14ac:dyDescent="0.25">
      <c r="V251" s="230"/>
    </row>
    <row r="252" spans="2:22" s="240" customFormat="1" x14ac:dyDescent="0.25">
      <c r="B252" s="242"/>
      <c r="V252" s="230"/>
    </row>
    <row r="253" spans="2:22" s="240" customFormat="1" x14ac:dyDescent="0.25">
      <c r="B253" s="242"/>
      <c r="V253" s="230"/>
    </row>
    <row r="254" spans="2:22" s="240" customFormat="1" x14ac:dyDescent="0.25">
      <c r="B254" s="242"/>
      <c r="V254" s="230"/>
    </row>
    <row r="255" spans="2:22" s="240" customFormat="1" x14ac:dyDescent="0.25">
      <c r="B255" s="242"/>
      <c r="V255" s="230"/>
    </row>
    <row r="256" spans="2:22" s="240" customFormat="1" x14ac:dyDescent="0.25">
      <c r="B256" s="242"/>
      <c r="V256" s="230"/>
    </row>
    <row r="257" spans="2:22" s="240" customFormat="1" x14ac:dyDescent="0.25">
      <c r="B257" s="242"/>
      <c r="V257" s="230"/>
    </row>
    <row r="258" spans="2:22" s="240" customFormat="1" x14ac:dyDescent="0.25">
      <c r="B258" s="242"/>
      <c r="V258" s="230"/>
    </row>
    <row r="259" spans="2:22" s="240" customFormat="1" x14ac:dyDescent="0.25">
      <c r="B259" s="242"/>
      <c r="V259" s="230"/>
    </row>
    <row r="260" spans="2:22" s="240" customFormat="1" x14ac:dyDescent="0.25">
      <c r="B260" s="242"/>
      <c r="V260" s="230"/>
    </row>
    <row r="261" spans="2:22" s="240" customFormat="1" x14ac:dyDescent="0.25">
      <c r="B261" s="242"/>
      <c r="V261" s="230"/>
    </row>
    <row r="262" spans="2:22" s="240" customFormat="1" x14ac:dyDescent="0.25">
      <c r="B262" s="242"/>
      <c r="V262" s="230"/>
    </row>
    <row r="263" spans="2:22" s="240" customFormat="1" x14ac:dyDescent="0.25">
      <c r="B263" s="242"/>
      <c r="V263" s="230"/>
    </row>
    <row r="264" spans="2:22" s="240" customFormat="1" x14ac:dyDescent="0.25">
      <c r="B264" s="242"/>
      <c r="V264" s="230"/>
    </row>
    <row r="265" spans="2:22" s="240" customFormat="1" x14ac:dyDescent="0.25">
      <c r="B265" s="242"/>
      <c r="V265" s="230"/>
    </row>
    <row r="266" spans="2:22" s="240" customFormat="1" x14ac:dyDescent="0.25">
      <c r="B266" s="242"/>
      <c r="V266" s="230"/>
    </row>
    <row r="267" spans="2:22" s="240" customFormat="1" x14ac:dyDescent="0.25">
      <c r="B267" s="242"/>
      <c r="V267" s="230"/>
    </row>
    <row r="268" spans="2:22" s="240" customFormat="1" x14ac:dyDescent="0.25">
      <c r="B268" s="242"/>
      <c r="V268" s="230"/>
    </row>
    <row r="269" spans="2:22" s="240" customFormat="1" x14ac:dyDescent="0.25">
      <c r="B269" s="242"/>
      <c r="V269" s="230"/>
    </row>
    <row r="270" spans="2:22" s="240" customFormat="1" x14ac:dyDescent="0.25">
      <c r="B270" s="242"/>
      <c r="V270" s="230"/>
    </row>
    <row r="271" spans="2:22" s="240" customFormat="1" x14ac:dyDescent="0.25">
      <c r="B271" s="242"/>
      <c r="V271" s="230"/>
    </row>
    <row r="272" spans="2:22" s="240" customFormat="1" x14ac:dyDescent="0.25">
      <c r="B272" s="242"/>
      <c r="V272" s="230"/>
    </row>
    <row r="273" spans="2:22" s="240" customFormat="1" x14ac:dyDescent="0.25">
      <c r="B273" s="242"/>
      <c r="V273" s="230"/>
    </row>
    <row r="274" spans="2:22" s="240" customFormat="1" x14ac:dyDescent="0.25">
      <c r="B274" s="242"/>
      <c r="V274" s="230"/>
    </row>
    <row r="275" spans="2:22" s="240" customFormat="1" x14ac:dyDescent="0.25">
      <c r="B275" s="242"/>
      <c r="V275" s="230"/>
    </row>
    <row r="276" spans="2:22" s="240" customFormat="1" x14ac:dyDescent="0.25">
      <c r="B276" s="242"/>
      <c r="V276" s="230"/>
    </row>
    <row r="277" spans="2:22" s="240" customFormat="1" x14ac:dyDescent="0.25">
      <c r="B277" s="242"/>
      <c r="V277" s="230"/>
    </row>
    <row r="278" spans="2:22" s="240" customFormat="1" x14ac:dyDescent="0.25">
      <c r="B278" s="242"/>
      <c r="V278" s="230"/>
    </row>
    <row r="279" spans="2:22" s="240" customFormat="1" x14ac:dyDescent="0.25">
      <c r="B279" s="242"/>
      <c r="V279" s="230"/>
    </row>
    <row r="280" spans="2:22" s="240" customFormat="1" x14ac:dyDescent="0.25">
      <c r="B280" s="242"/>
      <c r="V280" s="230"/>
    </row>
    <row r="281" spans="2:22" s="240" customFormat="1" x14ac:dyDescent="0.25">
      <c r="B281" s="242"/>
      <c r="V281" s="230"/>
    </row>
    <row r="282" spans="2:22" s="240" customFormat="1" x14ac:dyDescent="0.25">
      <c r="B282" s="242"/>
      <c r="V282" s="230"/>
    </row>
    <row r="283" spans="2:22" s="240" customFormat="1" x14ac:dyDescent="0.25">
      <c r="B283" s="242"/>
      <c r="V283" s="230"/>
    </row>
    <row r="284" spans="2:22" s="240" customFormat="1" x14ac:dyDescent="0.25">
      <c r="B284" s="242"/>
      <c r="V284" s="230"/>
    </row>
    <row r="285" spans="2:22" s="240" customFormat="1" x14ac:dyDescent="0.25">
      <c r="B285" s="242"/>
      <c r="V285" s="230"/>
    </row>
    <row r="286" spans="2:22" s="240" customFormat="1" x14ac:dyDescent="0.25">
      <c r="B286" s="242"/>
      <c r="V286" s="230"/>
    </row>
    <row r="287" spans="2:22" s="240" customFormat="1" x14ac:dyDescent="0.25">
      <c r="B287" s="242"/>
      <c r="V287" s="230"/>
    </row>
    <row r="288" spans="2:22" s="240" customFormat="1" x14ac:dyDescent="0.25">
      <c r="B288" s="242"/>
      <c r="V288" s="230"/>
    </row>
    <row r="289" spans="2:22" s="240" customFormat="1" x14ac:dyDescent="0.25">
      <c r="B289" s="242"/>
      <c r="V289" s="230"/>
    </row>
    <row r="290" spans="2:22" s="240" customFormat="1" x14ac:dyDescent="0.25">
      <c r="B290" s="242"/>
      <c r="V290" s="230"/>
    </row>
    <row r="291" spans="2:22" s="240" customFormat="1" x14ac:dyDescent="0.25">
      <c r="B291" s="242"/>
      <c r="V291" s="230"/>
    </row>
    <row r="292" spans="2:22" s="240" customFormat="1" x14ac:dyDescent="0.25">
      <c r="B292" s="242"/>
      <c r="V292" s="230"/>
    </row>
    <row r="293" spans="2:22" s="240" customFormat="1" x14ac:dyDescent="0.25">
      <c r="B293" s="242"/>
      <c r="V293" s="230"/>
    </row>
    <row r="294" spans="2:22" s="240" customFormat="1" x14ac:dyDescent="0.25">
      <c r="B294" s="242"/>
      <c r="V294" s="230"/>
    </row>
    <row r="295" spans="2:22" s="240" customFormat="1" x14ac:dyDescent="0.25">
      <c r="B295" s="242"/>
      <c r="V295" s="230"/>
    </row>
    <row r="296" spans="2:22" s="240" customFormat="1" x14ac:dyDescent="0.25">
      <c r="B296" s="242"/>
      <c r="V296" s="230"/>
    </row>
    <row r="297" spans="2:22" s="240" customFormat="1" x14ac:dyDescent="0.25">
      <c r="B297" s="242"/>
      <c r="V297" s="230"/>
    </row>
    <row r="298" spans="2:22" s="240" customFormat="1" x14ac:dyDescent="0.25">
      <c r="B298" s="242"/>
      <c r="V298" s="230"/>
    </row>
    <row r="299" spans="2:22" s="240" customFormat="1" x14ac:dyDescent="0.25">
      <c r="B299" s="242"/>
      <c r="V299" s="230"/>
    </row>
    <row r="300" spans="2:22" s="240" customFormat="1" x14ac:dyDescent="0.25">
      <c r="B300" s="242"/>
      <c r="V300" s="230"/>
    </row>
    <row r="301" spans="2:22" s="240" customFormat="1" x14ac:dyDescent="0.25">
      <c r="B301" s="242"/>
      <c r="V301" s="230"/>
    </row>
    <row r="302" spans="2:22" s="240" customFormat="1" x14ac:dyDescent="0.25">
      <c r="B302" s="242"/>
      <c r="V302" s="230"/>
    </row>
    <row r="303" spans="2:22" s="240" customFormat="1" x14ac:dyDescent="0.25">
      <c r="B303" s="242"/>
      <c r="V303" s="230"/>
    </row>
    <row r="304" spans="2:22" s="240" customFormat="1" x14ac:dyDescent="0.25">
      <c r="B304" s="242"/>
      <c r="V304" s="230"/>
    </row>
    <row r="305" spans="2:22" s="240" customFormat="1" x14ac:dyDescent="0.25">
      <c r="B305" s="242"/>
      <c r="V305" s="230"/>
    </row>
    <row r="306" spans="2:22" s="240" customFormat="1" x14ac:dyDescent="0.25">
      <c r="B306" s="242"/>
      <c r="V306" s="230"/>
    </row>
    <row r="307" spans="2:22" s="240" customFormat="1" x14ac:dyDescent="0.25">
      <c r="B307" s="242"/>
      <c r="V307" s="230"/>
    </row>
    <row r="308" spans="2:22" s="240" customFormat="1" x14ac:dyDescent="0.25">
      <c r="B308" s="242"/>
      <c r="V308" s="230"/>
    </row>
    <row r="309" spans="2:22" s="240" customFormat="1" x14ac:dyDescent="0.25">
      <c r="B309" s="242"/>
      <c r="V309" s="230"/>
    </row>
    <row r="310" spans="2:22" s="240" customFormat="1" x14ac:dyDescent="0.25">
      <c r="B310" s="242"/>
      <c r="V310" s="230"/>
    </row>
    <row r="311" spans="2:22" s="240" customFormat="1" x14ac:dyDescent="0.25">
      <c r="B311" s="242"/>
      <c r="V311" s="230"/>
    </row>
    <row r="312" spans="2:22" s="240" customFormat="1" x14ac:dyDescent="0.25">
      <c r="B312" s="242"/>
      <c r="V312" s="230"/>
    </row>
    <row r="313" spans="2:22" s="240" customFormat="1" x14ac:dyDescent="0.25">
      <c r="B313" s="242"/>
      <c r="V313" s="230"/>
    </row>
    <row r="314" spans="2:22" s="240" customFormat="1" x14ac:dyDescent="0.25">
      <c r="B314" s="242"/>
      <c r="V314" s="230"/>
    </row>
    <row r="315" spans="2:22" s="240" customFormat="1" x14ac:dyDescent="0.25">
      <c r="B315" s="242"/>
      <c r="V315" s="230"/>
    </row>
    <row r="316" spans="2:22" s="240" customFormat="1" x14ac:dyDescent="0.25">
      <c r="B316" s="242"/>
      <c r="V316" s="230"/>
    </row>
    <row r="317" spans="2:22" s="240" customFormat="1" x14ac:dyDescent="0.25">
      <c r="B317" s="242"/>
      <c r="V317" s="230"/>
    </row>
    <row r="318" spans="2:22" s="240" customFormat="1" ht="15.75" thickBot="1" x14ac:dyDescent="0.3">
      <c r="B318" s="242"/>
      <c r="V318" s="230"/>
    </row>
    <row r="1048576" spans="8:22" x14ac:dyDescent="0.25">
      <c r="H1048576" s="240"/>
      <c r="V1048576" s="230"/>
    </row>
  </sheetData>
  <mergeCells count="44">
    <mergeCell ref="A29:U29"/>
    <mergeCell ref="B21:E21"/>
    <mergeCell ref="B23:E24"/>
    <mergeCell ref="L17:O17"/>
    <mergeCell ref="L3:O3"/>
    <mergeCell ref="G13:J13"/>
    <mergeCell ref="L13:O13"/>
    <mergeCell ref="G9:J9"/>
    <mergeCell ref="Q6:T6"/>
    <mergeCell ref="Q8:T8"/>
    <mergeCell ref="Q10:T10"/>
    <mergeCell ref="Q12:T12"/>
    <mergeCell ref="G4:J4"/>
    <mergeCell ref="G6:J6"/>
    <mergeCell ref="B68:C68"/>
    <mergeCell ref="A122:U122"/>
    <mergeCell ref="B31:E31"/>
    <mergeCell ref="B99:D99"/>
    <mergeCell ref="B108:D108"/>
    <mergeCell ref="F79:Q93"/>
    <mergeCell ref="N102:R102"/>
    <mergeCell ref="N105:R105"/>
    <mergeCell ref="A183:U183"/>
    <mergeCell ref="A1:U1"/>
    <mergeCell ref="B86:D86"/>
    <mergeCell ref="A77:U77"/>
    <mergeCell ref="Q4:T4"/>
    <mergeCell ref="L4:O5"/>
    <mergeCell ref="L9:O9"/>
    <mergeCell ref="B49:C49"/>
    <mergeCell ref="A66:U66"/>
    <mergeCell ref="G3:J3"/>
    <mergeCell ref="B41:E41"/>
    <mergeCell ref="A47:U47"/>
    <mergeCell ref="G14:J14"/>
    <mergeCell ref="N134:N135"/>
    <mergeCell ref="B127:D127"/>
    <mergeCell ref="A125:U125"/>
    <mergeCell ref="N144:N145"/>
    <mergeCell ref="N166:N170"/>
    <mergeCell ref="B157:D157"/>
    <mergeCell ref="A176:U176"/>
    <mergeCell ref="B180:D180"/>
    <mergeCell ref="B179:D179"/>
  </mergeCells>
  <conditionalFormatting sqref="F50:F58 F60:F64">
    <cfRule type="expression" dxfId="15" priority="24">
      <formula>"$D$91&gt;2"</formula>
    </cfRule>
  </conditionalFormatting>
  <conditionalFormatting sqref="E51:E64">
    <cfRule type="expression" dxfId="14" priority="22">
      <formula>$D$50&gt;1</formula>
    </cfRule>
  </conditionalFormatting>
  <conditionalFormatting sqref="F51:F64">
    <cfRule type="expression" dxfId="13" priority="21">
      <formula>$D$50&gt;2</formula>
    </cfRule>
  </conditionalFormatting>
  <conditionalFormatting sqref="G51:G64">
    <cfRule type="expression" dxfId="12" priority="20">
      <formula>$D$50&gt;3</formula>
    </cfRule>
  </conditionalFormatting>
  <conditionalFormatting sqref="H51:H64">
    <cfRule type="expression" dxfId="11" priority="19">
      <formula>$D$50&gt;4</formula>
    </cfRule>
  </conditionalFormatting>
  <conditionalFormatting sqref="I51:I64">
    <cfRule type="expression" dxfId="10" priority="18">
      <formula>$D$50&gt;5</formula>
    </cfRule>
  </conditionalFormatting>
  <conditionalFormatting sqref="J51:J64">
    <cfRule type="expression" dxfId="9" priority="17">
      <formula>$D$50&gt;6</formula>
    </cfRule>
  </conditionalFormatting>
  <conditionalFormatting sqref="K51:K64">
    <cfRule type="expression" dxfId="8" priority="16">
      <formula>$D$50&gt;7</formula>
    </cfRule>
  </conditionalFormatting>
  <conditionalFormatting sqref="F59">
    <cfRule type="expression" dxfId="7" priority="15">
      <formula>"$D$91&gt;2"</formula>
    </cfRule>
  </conditionalFormatting>
  <conditionalFormatting sqref="E52:E64">
    <cfRule type="expression" dxfId="6" priority="7">
      <formula>$D$50&lt;2</formula>
    </cfRule>
  </conditionalFormatting>
  <conditionalFormatting sqref="F52:F64">
    <cfRule type="expression" dxfId="5" priority="6">
      <formula>$D$50&lt;3</formula>
    </cfRule>
  </conditionalFormatting>
  <conditionalFormatting sqref="G52:G64">
    <cfRule type="expression" dxfId="4" priority="5">
      <formula>$D$50&lt;4</formula>
    </cfRule>
  </conditionalFormatting>
  <conditionalFormatting sqref="H52:H64">
    <cfRule type="expression" dxfId="3" priority="4">
      <formula>$D$50&lt;5</formula>
    </cfRule>
  </conditionalFormatting>
  <conditionalFormatting sqref="I52:I64">
    <cfRule type="expression" dxfId="2" priority="3">
      <formula>$D$50&lt;6</formula>
    </cfRule>
  </conditionalFormatting>
  <conditionalFormatting sqref="J52:J64">
    <cfRule type="expression" dxfId="1" priority="2">
      <formula>$D$50&lt;7</formula>
    </cfRule>
  </conditionalFormatting>
  <conditionalFormatting sqref="K52:K64">
    <cfRule type="expression" dxfId="0" priority="1">
      <formula>$D$50&lt;8</formula>
    </cfRule>
  </conditionalFormatting>
  <dataValidations disablePrompts="1" count="1">
    <dataValidation type="list" allowBlank="1" showInputMessage="1" showErrorMessage="1" sqref="I34" xr:uid="{00000000-0002-0000-0000-000013000000}">
      <formula1>$M$32:$P$32</formula1>
    </dataValidation>
  </dataValidations>
  <pageMargins left="0.7" right="0.7" top="0.75" bottom="0.75" header="0.3" footer="0.3"/>
  <pageSetup orientation="portrait" r:id="rId1"/>
  <ignoredErrors>
    <ignoredError sqref="Q34:Q36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8">
        <x14:dataValidation type="list" allowBlank="1" showInputMessage="1" showErrorMessage="1" xr:uid="{00000000-0002-0000-0000-000000000000}">
          <x14:formula1>
            <xm:f>'Mod Program'!$A$2:$A$9</xm:f>
          </x14:formula1>
          <xm:sqref>D50</xm:sqref>
        </x14:dataValidation>
        <x14:dataValidation type="list" allowBlank="1" showInputMessage="1" showErrorMessage="1" xr:uid="{00000000-0002-0000-0000-000001000000}">
          <x14:formula1>
            <xm:f>'Mod Program'!$B$2:$B$3</xm:f>
          </x14:formula1>
          <xm:sqref>D13 I22</xm:sqref>
        </x14:dataValidation>
        <x14:dataValidation type="list" allowBlank="1" showInputMessage="1" showErrorMessage="1" xr:uid="{00000000-0002-0000-0000-000002000000}">
          <x14:formula1>
            <xm:f>'Mod Program'!$N$2:$N$3</xm:f>
          </x14:formula1>
          <xm:sqref>D59</xm:sqref>
        </x14:dataValidation>
        <x14:dataValidation type="list" allowBlank="1" showInputMessage="1" showErrorMessage="1" xr:uid="{00000000-0002-0000-0000-000003000000}">
          <x14:formula1>
            <xm:f>'Mod Program'!$E$2:$E$6</xm:f>
          </x14:formula1>
          <xm:sqref>D53</xm:sqref>
        </x14:dataValidation>
        <x14:dataValidation type="list" allowBlank="1" showInputMessage="1" showErrorMessage="1" xr:uid="{00000000-0002-0000-0000-000004000000}">
          <x14:formula1>
            <xm:f>'Mod Program'!$F$2:$F$6</xm:f>
          </x14:formula1>
          <xm:sqref>E53</xm:sqref>
        </x14:dataValidation>
        <x14:dataValidation type="list" allowBlank="1" showInputMessage="1" showErrorMessage="1" xr:uid="{00000000-0002-0000-0000-000005000000}">
          <x14:formula1>
            <xm:f>'Mod Program'!$G$2:$G$6</xm:f>
          </x14:formula1>
          <xm:sqref>F53</xm:sqref>
        </x14:dataValidation>
        <x14:dataValidation type="list" allowBlank="1" showInputMessage="1" showErrorMessage="1" xr:uid="{00000000-0002-0000-0000-000006000000}">
          <x14:formula1>
            <xm:f>'Mod Program'!$H$2:$H$6</xm:f>
          </x14:formula1>
          <xm:sqref>G53</xm:sqref>
        </x14:dataValidation>
        <x14:dataValidation type="list" allowBlank="1" showInputMessage="1" showErrorMessage="1" xr:uid="{00000000-0002-0000-0000-000007000000}">
          <x14:formula1>
            <xm:f>'Mod Program'!$I$2:$I$6</xm:f>
          </x14:formula1>
          <xm:sqref>H53</xm:sqref>
        </x14:dataValidation>
        <x14:dataValidation type="list" allowBlank="1" showInputMessage="1" showErrorMessage="1" xr:uid="{00000000-0002-0000-0000-000008000000}">
          <x14:formula1>
            <xm:f>'Mod Program'!$J$2:$J$6</xm:f>
          </x14:formula1>
          <xm:sqref>I53</xm:sqref>
        </x14:dataValidation>
        <x14:dataValidation type="list" allowBlank="1" showInputMessage="1" showErrorMessage="1" xr:uid="{00000000-0002-0000-0000-000009000000}">
          <x14:formula1>
            <xm:f>'Mod Program'!$K$2:$K$6</xm:f>
          </x14:formula1>
          <xm:sqref>J53</xm:sqref>
        </x14:dataValidation>
        <x14:dataValidation type="list" allowBlank="1" showInputMessage="1" showErrorMessage="1" xr:uid="{00000000-0002-0000-0000-00000A000000}">
          <x14:formula1>
            <xm:f>'Mod Program'!$L$2:$L$6</xm:f>
          </x14:formula1>
          <xm:sqref>K53</xm:sqref>
        </x14:dataValidation>
        <x14:dataValidation type="list" allowBlank="1" showInputMessage="1" showErrorMessage="1" xr:uid="{00000000-0002-0000-0000-00000B000000}">
          <x14:formula1>
            <xm:f>'Mod Program'!$M$2:$M$6</xm:f>
          </x14:formula1>
          <xm:sqref>L53</xm:sqref>
        </x14:dataValidation>
        <x14:dataValidation type="list" allowBlank="1" showInputMessage="1" showErrorMessage="1" xr:uid="{00000000-0002-0000-0000-00000C000000}">
          <x14:formula1>
            <xm:f>'Mod Program'!$O$2:$O$3</xm:f>
          </x14:formula1>
          <xm:sqref>E59</xm:sqref>
        </x14:dataValidation>
        <x14:dataValidation type="list" allowBlank="1" showInputMessage="1" showErrorMessage="1" xr:uid="{00000000-0002-0000-0000-00000D000000}">
          <x14:formula1>
            <xm:f>'Mod Program'!$P$2:$P$3</xm:f>
          </x14:formula1>
          <xm:sqref>F59</xm:sqref>
        </x14:dataValidation>
        <x14:dataValidation type="list" allowBlank="1" showInputMessage="1" showErrorMessage="1" xr:uid="{00000000-0002-0000-0000-00000E000000}">
          <x14:formula1>
            <xm:f>'Mod Program'!$Q$2:$Q$3</xm:f>
          </x14:formula1>
          <xm:sqref>G59</xm:sqref>
        </x14:dataValidation>
        <x14:dataValidation type="list" allowBlank="1" showInputMessage="1" showErrorMessage="1" xr:uid="{00000000-0002-0000-0000-00000F000000}">
          <x14:formula1>
            <xm:f>'Mod Program'!$R$2:$R$3</xm:f>
          </x14:formula1>
          <xm:sqref>H59</xm:sqref>
        </x14:dataValidation>
        <x14:dataValidation type="list" allowBlank="1" showInputMessage="1" showErrorMessage="1" xr:uid="{00000000-0002-0000-0000-000010000000}">
          <x14:formula1>
            <xm:f>'Mod Program'!$S$2:$S$3</xm:f>
          </x14:formula1>
          <xm:sqref>I59</xm:sqref>
        </x14:dataValidation>
        <x14:dataValidation type="list" allowBlank="1" showInputMessage="1" showErrorMessage="1" xr:uid="{00000000-0002-0000-0000-000011000000}">
          <x14:formula1>
            <xm:f>'Mod Program'!$T$2:$T$3</xm:f>
          </x14:formula1>
          <xm:sqref>J59</xm:sqref>
        </x14:dataValidation>
        <x14:dataValidation type="list" allowBlank="1" showInputMessage="1" showErrorMessage="1" xr:uid="{00000000-0002-0000-0000-000012000000}">
          <x14:formula1>
            <xm:f>'Mod Program'!$U$2:$U$3</xm:f>
          </x14:formula1>
          <xm:sqref>K59</xm:sqref>
        </x14:dataValidation>
        <x14:dataValidation type="list" allowBlank="1" showInputMessage="1" showErrorMessage="1" xr:uid="{00000000-0002-0000-0000-000014000000}">
          <x14:formula1>
            <xm:f>'Mod Program'!$C$5:$C$7</xm:f>
          </x14:formula1>
          <xm:sqref>G116</xm:sqref>
        </x14:dataValidation>
        <x14:dataValidation type="list" allowBlank="1" showInputMessage="1" showErrorMessage="1" xr:uid="{00000000-0002-0000-0000-000015000000}">
          <x14:formula1>
            <xm:f>'Mod Program'!$O$5:$O$12</xm:f>
          </x14:formula1>
          <xm:sqref>D52</xm:sqref>
        </x14:dataValidation>
        <x14:dataValidation type="list" allowBlank="1" showInputMessage="1" showErrorMessage="1" xr:uid="{00000000-0002-0000-0000-000016000000}">
          <x14:formula1>
            <xm:f>'Mod Program'!$P$5:$P$12</xm:f>
          </x14:formula1>
          <xm:sqref>E52</xm:sqref>
        </x14:dataValidation>
        <x14:dataValidation type="list" allowBlank="1" showInputMessage="1" showErrorMessage="1" xr:uid="{00000000-0002-0000-0000-000017000000}">
          <x14:formula1>
            <xm:f>'Mod Program'!$Q$5:$Q$12</xm:f>
          </x14:formula1>
          <xm:sqref>F52</xm:sqref>
        </x14:dataValidation>
        <x14:dataValidation type="list" allowBlank="1" showInputMessage="1" showErrorMessage="1" xr:uid="{00000000-0002-0000-0000-000018000000}">
          <x14:formula1>
            <xm:f>'Mod Program'!$R$5:$R$12</xm:f>
          </x14:formula1>
          <xm:sqref>G52</xm:sqref>
        </x14:dataValidation>
        <x14:dataValidation type="list" allowBlank="1" showInputMessage="1" showErrorMessage="1" xr:uid="{00000000-0002-0000-0000-000019000000}">
          <x14:formula1>
            <xm:f>'Mod Program'!$S$5:$S$12</xm:f>
          </x14:formula1>
          <xm:sqref>H52</xm:sqref>
        </x14:dataValidation>
        <x14:dataValidation type="list" allowBlank="1" showInputMessage="1" showErrorMessage="1" xr:uid="{00000000-0002-0000-0000-00001A000000}">
          <x14:formula1>
            <xm:f>'Mod Program'!$T$5:$T$12</xm:f>
          </x14:formula1>
          <xm:sqref>I52</xm:sqref>
        </x14:dataValidation>
        <x14:dataValidation type="list" allowBlank="1" showInputMessage="1" showErrorMessage="1" xr:uid="{00000000-0002-0000-0000-00001B000000}">
          <x14:formula1>
            <xm:f>'Mod Program'!$U$5:$U$12</xm:f>
          </x14:formula1>
          <xm:sqref>J52</xm:sqref>
        </x14:dataValidation>
        <x14:dataValidation type="list" allowBlank="1" showInputMessage="1" showErrorMessage="1" xr:uid="{00000000-0002-0000-0000-00001C000000}">
          <x14:formula1>
            <xm:f>'Mod Program'!$V$5:$V$12</xm:f>
          </x14:formula1>
          <xm:sqref>K52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229"/>
  <sheetViews>
    <sheetView topLeftCell="A43" zoomScale="60" zoomScaleNormal="60" workbookViewId="0">
      <selection activeCell="E7" sqref="E7:K16"/>
    </sheetView>
  </sheetViews>
  <sheetFormatPr baseColWidth="10" defaultColWidth="11.42578125" defaultRowHeight="15" x14ac:dyDescent="0.25"/>
  <cols>
    <col min="1" max="1" width="11.42578125" style="18"/>
    <col min="2" max="2" width="23.7109375" style="18" bestFit="1" customWidth="1"/>
    <col min="3" max="3" width="25.42578125" style="18" bestFit="1" customWidth="1"/>
    <col min="4" max="4" width="14.85546875" style="18" customWidth="1"/>
    <col min="5" max="5" width="20.42578125" style="18" bestFit="1" customWidth="1"/>
    <col min="6" max="13" width="19.85546875" style="18" bestFit="1" customWidth="1"/>
    <col min="14" max="16384" width="11.42578125" style="18"/>
  </cols>
  <sheetData>
    <row r="1" spans="1:22" ht="15.75" thickBot="1" x14ac:dyDescent="0.3">
      <c r="E1" s="75">
        <f>'Calculo General Hornilla'!D51</f>
        <v>1</v>
      </c>
      <c r="F1" s="76">
        <f>'Calculo General Hornilla'!E51</f>
        <v>2</v>
      </c>
      <c r="G1" s="76">
        <f>'Calculo General Hornilla'!F51</f>
        <v>3</v>
      </c>
      <c r="H1" s="76">
        <f>'Calculo General Hornilla'!G51</f>
        <v>4</v>
      </c>
      <c r="I1" s="76">
        <f>'Calculo General Hornilla'!H51</f>
        <v>5</v>
      </c>
      <c r="J1" s="76">
        <f>'Calculo General Hornilla'!I51</f>
        <v>6</v>
      </c>
      <c r="K1" s="76">
        <f>'Calculo General Hornilla'!J51</f>
        <v>7</v>
      </c>
      <c r="L1" s="76">
        <f>'Calculo General Hornilla'!K51</f>
        <v>8</v>
      </c>
      <c r="M1" s="76" t="str">
        <f>'Calculo General Hornilla'!L51</f>
        <v>MELOTERA</v>
      </c>
      <c r="N1" s="77">
        <f>E1</f>
        <v>1</v>
      </c>
      <c r="O1" s="78">
        <f t="shared" ref="O1:V1" si="0">F1</f>
        <v>2</v>
      </c>
      <c r="P1" s="78">
        <f t="shared" si="0"/>
        <v>3</v>
      </c>
      <c r="Q1" s="78">
        <f t="shared" si="0"/>
        <v>4</v>
      </c>
      <c r="R1" s="78">
        <f t="shared" si="0"/>
        <v>5</v>
      </c>
      <c r="S1" s="78">
        <f t="shared" si="0"/>
        <v>6</v>
      </c>
      <c r="T1" s="78">
        <f t="shared" si="0"/>
        <v>7</v>
      </c>
      <c r="U1" s="78">
        <f t="shared" si="0"/>
        <v>8</v>
      </c>
      <c r="V1" s="79" t="str">
        <f t="shared" si="0"/>
        <v>MELOTERA</v>
      </c>
    </row>
    <row r="2" spans="1:22" x14ac:dyDescent="0.25">
      <c r="A2" s="80">
        <v>1</v>
      </c>
      <c r="B2" s="80" t="s">
        <v>175</v>
      </c>
      <c r="C2" s="81">
        <v>0.3</v>
      </c>
      <c r="E2" s="82" t="str">
        <f t="shared" ref="E2" si="1">IF($E$1=1,"SEMIESFERICA","")</f>
        <v>SEMIESFERICA</v>
      </c>
      <c r="F2" s="83" t="str">
        <f>IF($F$1=2,"SEMIESFERICA",IF($F$1="MELOTERA","SEMIESFERICA",""))</f>
        <v>SEMIESFERICA</v>
      </c>
      <c r="G2" s="83" t="str">
        <f>IF($G$1=3,"SEMIESFERICA",IF($G$1="MELOTERA","SEMIESFERICA",""))</f>
        <v>SEMIESFERICA</v>
      </c>
      <c r="H2" s="83" t="str">
        <f>IF($H$1=4,"SEMIESFERICA",IF($H$1="MELOTERA","SEMIESFERICA",""))</f>
        <v>SEMIESFERICA</v>
      </c>
      <c r="I2" s="83" t="str">
        <f>IF($I$1=5,"SEMIESFERICA",IF($I$1="MELOTERA","SEMIESFERICA",""))</f>
        <v>SEMIESFERICA</v>
      </c>
      <c r="J2" s="83" t="str">
        <f>IF($J$1=6,"SEMIESFERICA",IF($J$1="MELOTERA","SEMIESFERICA",""))</f>
        <v>SEMIESFERICA</v>
      </c>
      <c r="K2" s="83" t="str">
        <f>IF($K$1=7,"SEMIESFERICA",IF($K$1="MELOTERA","SEMIESFERICA",""))</f>
        <v>SEMIESFERICA</v>
      </c>
      <c r="L2" s="83" t="str">
        <f>IF($L$1=8,"SEMIESFERICA",IF($L$1="MELOTERA","SEMIESFERICA",""))</f>
        <v>SEMIESFERICA</v>
      </c>
      <c r="M2" s="83" t="str">
        <f t="shared" ref="M2" si="2">IF($M$1=2,"SEMIESFERICA",IF($M$1="MELOTERA","SEMIESFERICA",""))</f>
        <v>SEMIESFERICA</v>
      </c>
      <c r="N2" s="65" t="str">
        <f>IF(N1=1,"SI",IF(N1="MELOTERA","SI",""))</f>
        <v>SI</v>
      </c>
      <c r="O2" s="17" t="str">
        <f>IF(O1=2,"SI",IF(O1="MELOTERA","SI",""))</f>
        <v>SI</v>
      </c>
      <c r="P2" s="17" t="str">
        <f>IF(P1=3,"SI",IF(P1="MELOTERA","SI",""))</f>
        <v>SI</v>
      </c>
      <c r="Q2" s="17" t="str">
        <f>IF(Q1=4,"SI",IF(Q1="MELOTERA","SI",""))</f>
        <v>SI</v>
      </c>
      <c r="R2" s="17" t="str">
        <f>IF(R1=5,"SI",IF(R1="MELOTERA","SI",""))</f>
        <v>SI</v>
      </c>
      <c r="S2" s="17" t="str">
        <f>IF(S1=6,"SI",IF(S1="MELOTERA","SI",""))</f>
        <v>SI</v>
      </c>
      <c r="T2" s="17" t="str">
        <f>IF(T1=7,"SI",IF(T1="MELOTERA","SI",""))</f>
        <v>SI</v>
      </c>
      <c r="U2" s="17" t="str">
        <f>IF(U1=8,"SI",IF(U1="MELOTERA","SI",""))</f>
        <v>SI</v>
      </c>
      <c r="V2" s="84" t="str">
        <f t="shared" ref="V2" si="3">IF(V1=1,"SI",IF(V1="MELOTERA","SI",""))</f>
        <v>SI</v>
      </c>
    </row>
    <row r="3" spans="1:22" ht="15.75" thickBot="1" x14ac:dyDescent="0.3">
      <c r="A3" s="85">
        <v>2</v>
      </c>
      <c r="B3" s="86" t="s">
        <v>176</v>
      </c>
      <c r="C3" s="87">
        <f>'Calculo General Hornilla'!D20</f>
        <v>0.53949999999999987</v>
      </c>
      <c r="E3" s="82" t="str">
        <f>IF($E$1=1,"SEMICILINDRICA","")</f>
        <v>SEMICILINDRICA</v>
      </c>
      <c r="F3" s="83" t="str">
        <f>IF($F$1=2,"SEMICILINDRICA",IF($F$1="MELOTERA","SEMICILINDRICA",""))</f>
        <v>SEMICILINDRICA</v>
      </c>
      <c r="G3" s="83" t="str">
        <f>IF($G$1=3,"SEMICILINDRICA",IF($G$1="MELOTERA","SEMICILINDRICA",""))</f>
        <v>SEMICILINDRICA</v>
      </c>
      <c r="H3" s="83" t="str">
        <f>IF($H$1=4,"SEMICILINDRICA",IF($H$1="MELOTERA","SEMICILINDRICA",""))</f>
        <v>SEMICILINDRICA</v>
      </c>
      <c r="I3" s="83" t="str">
        <f>IF($I$1=5,"SEMICILINDRICA",IF($I$1="MELOTERA","SEMICILINDRICA",""))</f>
        <v>SEMICILINDRICA</v>
      </c>
      <c r="J3" s="83" t="str">
        <f>IF($J$1=6,"SEMICILINDRICA",IF($J$1="MELOTERA","SEMICILINDRICA",""))</f>
        <v>SEMICILINDRICA</v>
      </c>
      <c r="K3" s="83" t="str">
        <f>IF($K$1=7,"SEMICILINDRICA",IF($K$1="MELOTERA","SEMICILINDRICA",""))</f>
        <v>SEMICILINDRICA</v>
      </c>
      <c r="L3" s="83" t="str">
        <f>IF($L$1=8,"SEMICILINDRICA",IF($L$1="MELOTERA","SEMICILINDRICA",""))</f>
        <v>SEMICILINDRICA</v>
      </c>
      <c r="M3" s="83" t="str">
        <f>IF($M$1=2,"SEMICILINDRICA",IF($M$1="MELOTERA","SEMICILINDRICA",""))</f>
        <v>SEMICILINDRICA</v>
      </c>
      <c r="N3" s="88" t="str">
        <f>IF(N1=1,"NO",IF(N1="MELOTERA","NO",""))</f>
        <v>NO</v>
      </c>
      <c r="O3" s="89" t="str">
        <f>IF(O1=2,"NO",IF(O1="MELOTERA","NO",""))</f>
        <v>NO</v>
      </c>
      <c r="P3" s="89" t="str">
        <f>IF(P1=3,"NO",IF(P1="MELOTERA","NO",""))</f>
        <v>NO</v>
      </c>
      <c r="Q3" s="89" t="str">
        <f>IF(Q1=4,"NO",IF(Q1="MELOTERA","NO",""))</f>
        <v>NO</v>
      </c>
      <c r="R3" s="89" t="str">
        <f>IF(R1=5,"NO",IF(R1="MELOTERA","NO",""))</f>
        <v>NO</v>
      </c>
      <c r="S3" s="89" t="str">
        <f>IF(S1=6,"NO",IF(S1="MELOTERA","NO",""))</f>
        <v>NO</v>
      </c>
      <c r="T3" s="89" t="str">
        <f>IF(T1=7,"NO",IF(T1="MELOTERA","NO",""))</f>
        <v>NO</v>
      </c>
      <c r="U3" s="89" t="str">
        <f>IF(U1=8,"NO",IF(U1="MELOTERA","NO",""))</f>
        <v>NO</v>
      </c>
      <c r="V3" s="90" t="str">
        <f t="shared" ref="V3" si="4">IF(V1=1,"NO",IF(V1="MELOTERA","NO",""))</f>
        <v>NO</v>
      </c>
    </row>
    <row r="4" spans="1:22" x14ac:dyDescent="0.25">
      <c r="A4" s="85">
        <v>3</v>
      </c>
      <c r="E4" s="82" t="str">
        <f>IF($E$1=1,"PLANA","")</f>
        <v>PLANA</v>
      </c>
      <c r="F4" s="83" t="str">
        <f>IF($F$1=2,"PLANA",IF($F$1="MELOTERA","PLANA",""))</f>
        <v>PLANA</v>
      </c>
      <c r="G4" s="83" t="str">
        <f>IF($G$1=3,"PLANA",IF($G$1="MELOTERA","PLANA",""))</f>
        <v>PLANA</v>
      </c>
      <c r="H4" s="83" t="str">
        <f>IF($H$1=4,"PLANA",IF($H$1="MELOTERA","PLANA",""))</f>
        <v>PLANA</v>
      </c>
      <c r="I4" s="83" t="str">
        <f>IF($I$1=5,"PLANA",IF($I$1="MELOTERA","PLANA",""))</f>
        <v>PLANA</v>
      </c>
      <c r="J4" s="83" t="str">
        <f>IF($J$1=6,"PLANA",IF($J$1="MELOTERA","PLANA",""))</f>
        <v>PLANA</v>
      </c>
      <c r="K4" s="83" t="str">
        <f>IF($K$1=7,"PLANA",IF($K$1="MELOTERA","PLANA",""))</f>
        <v>PLANA</v>
      </c>
      <c r="L4" s="83" t="str">
        <f>IF($L$1=8,"PLANA",IF($L$1="MELOTERA","PLANA",""))</f>
        <v>PLANA</v>
      </c>
      <c r="M4" s="91" t="str">
        <f>IF($M$1=2,"PLANA",IF($M$1="MELOTERA","PLANA",""))</f>
        <v>PLANA</v>
      </c>
      <c r="N4" s="322">
        <f>'Calculo General Hornilla'!D50</f>
        <v>8</v>
      </c>
      <c r="O4" s="326">
        <f>'Calculo General Hornilla'!D52</f>
        <v>8</v>
      </c>
      <c r="P4" s="326">
        <f>IF(N4&gt;1,'Calculo General Hornilla'!E52,"")</f>
        <v>7</v>
      </c>
      <c r="Q4" s="326">
        <f>IF(N4&gt;2,'Calculo General Hornilla'!F52,"")</f>
        <v>6</v>
      </c>
      <c r="R4" s="326">
        <f>IF(N4&gt;3,'Calculo General Hornilla'!G52,"")</f>
        <v>5</v>
      </c>
      <c r="S4" s="326">
        <f>IF(N4&gt;4,'Calculo General Hornilla'!H52,"")</f>
        <v>4</v>
      </c>
      <c r="T4" s="326">
        <f>IF(N4&gt;5,'Calculo General Hornilla'!I52,"")</f>
        <v>3</v>
      </c>
      <c r="U4" s="326">
        <f>IF(N4&gt;6,'Calculo General Hornilla'!J52,"")</f>
        <v>2</v>
      </c>
      <c r="V4" s="326">
        <f>IF(N4&gt;7,'Calculo General Hornilla'!K52,"")</f>
        <v>1</v>
      </c>
    </row>
    <row r="5" spans="1:22" x14ac:dyDescent="0.25">
      <c r="A5" s="85">
        <v>4</v>
      </c>
      <c r="C5" s="18" t="s">
        <v>399</v>
      </c>
      <c r="E5" s="82" t="str">
        <f>IF($E$1=1,"PIROTUBULAR","")</f>
        <v>PIROTUBULAR</v>
      </c>
      <c r="F5" s="83" t="str">
        <f>IF($F$1=2,"PIROTUBULAR",IF($F$1="MELOTERA","PIROTUBULAR",""))</f>
        <v>PIROTUBULAR</v>
      </c>
      <c r="G5" s="83" t="str">
        <f>IF($G$1=3,"PIROTUBULAR",IF($G$1="MELOTERA","PIROTUBULAR",""))</f>
        <v>PIROTUBULAR</v>
      </c>
      <c r="H5" s="83" t="str">
        <f>IF($H$1=4,"PIROTUBULAR",IF($H$1="MELOTERA","PIROTUBULAR",""))</f>
        <v>PIROTUBULAR</v>
      </c>
      <c r="I5" s="83" t="str">
        <f>IF($I$1=5,"PIROTUBULAR",IF($I$1="MELOTERA","PIROTUBULAR",""))</f>
        <v>PIROTUBULAR</v>
      </c>
      <c r="J5" s="83" t="str">
        <f>IF($J$1=6,"PIROTUBULAR",IF($J$1="MELOTERA","PIROTUBULAR",""))</f>
        <v>PIROTUBULAR</v>
      </c>
      <c r="K5" s="83" t="str">
        <f>IF($K$1=7,"PIROTUBULAR",IF($K$1="MELOTERA","PIROTUBULAR",""))</f>
        <v>PIROTUBULAR</v>
      </c>
      <c r="L5" s="83" t="str">
        <f>IF($L$1=8,"PIROTUBULAR",IF($L$1="MELOTERA","PIROTUBULAR",""))</f>
        <v>PIROTUBULAR</v>
      </c>
      <c r="M5" s="91" t="str">
        <f>IF($M$1=2,"PIROTUBULAR",IF($M$1="MELOTERA","PIROTUBULAR",""))</f>
        <v>PIROTUBULAR</v>
      </c>
      <c r="N5" s="323">
        <v>1</v>
      </c>
      <c r="O5" s="324" t="str">
        <f>IF(P4=1,"",IF(Q4=1,"",IF(R4=1,"",IF(S4=1,"",IF(T4=1,"",IF(U4=1,"",IF(V4=1,"",N5)))))))</f>
        <v/>
      </c>
      <c r="P5" s="324" t="str">
        <f>IF(O4=1,"",IF(Q4=1,"",IF(R4=1,"",IF(S4=1,"",IF(T4=1,"",IF(U4=1,"",IF(V4=1,"",N5)))))))</f>
        <v/>
      </c>
      <c r="Q5" s="324" t="str">
        <f>IF(P4=1,"",IF(O4=1,"",IF(R4=1,"",IF(S4=1,"",IF(T4=1,"",IF(U4=1,"",IF(V4=1,"",N5)))))))</f>
        <v/>
      </c>
      <c r="R5" s="324" t="str">
        <f>IF(P4=1,"",IF(Q4=1,"",IF(O4=1,"",IF(S4=1,"",IF(T4=1,"",IF(U4=1,"",IF(V4=1,"",N5)))))))</f>
        <v/>
      </c>
      <c r="S5" s="324" t="str">
        <f>IF(P4=1,"",IF(Q4=1,"",IF(R4=1,"",IF(O4=1,"",IF(T4=1,"",IF(U4=1,"",IF(V4=1,"",N5)))))))</f>
        <v/>
      </c>
      <c r="T5" s="324" t="str">
        <f>IF(P4=1,"",IF(Q4=1,"",IF(R4=1,"",IF(S4=1,"",IF(O4=1,"",IF(U4=1,"",IF(V4=1,"",N5)))))))</f>
        <v/>
      </c>
      <c r="U5" s="324" t="str">
        <f>IF(P4=1,"",IF(Q4=1,"",IF(R4=1,"",IF(S4=1,"",IF(T4=1,"",IF(O4=1,"",IF(V4=1,"",N5)))))))</f>
        <v/>
      </c>
      <c r="V5" s="327">
        <f>IF(P4=1,"",IF(Q4=1,"",IF(R4=1,"",IF(S4=1,"",IF(T4=1,"",IF(U4=1,"",IF(O4=1,"",N5)))))))</f>
        <v>1</v>
      </c>
    </row>
    <row r="6" spans="1:22" ht="15.75" thickBot="1" x14ac:dyDescent="0.3">
      <c r="A6" s="85">
        <v>5</v>
      </c>
      <c r="C6" s="18" t="s">
        <v>407</v>
      </c>
      <c r="E6" s="92" t="str">
        <f>IF($E$1=1,"ACANALADA","")</f>
        <v>ACANALADA</v>
      </c>
      <c r="F6" s="93" t="str">
        <f>IF($F$1=2,"ACANALADA",IF($F$1="MELOTERA","ACANALADA",""))</f>
        <v>ACANALADA</v>
      </c>
      <c r="G6" s="93" t="str">
        <f>IF($G$1=3,"ACANALADA",IF($G$1="MELOTERA","ACANALADA",""))</f>
        <v>ACANALADA</v>
      </c>
      <c r="H6" s="93" t="str">
        <f>IF($H$1=4,"ACANALADA",IF($H$1="MELOTERA","ACANALADA",""))</f>
        <v>ACANALADA</v>
      </c>
      <c r="I6" s="93" t="str">
        <f>IF($I$1=5,"ACANALADA",IF($I$1="MELOTERA","ACANALADA",""))</f>
        <v>ACANALADA</v>
      </c>
      <c r="J6" s="93" t="str">
        <f>IF($J$1=6,"ACANALADA",IF($J$1="MELOTERA","ACANALADA",""))</f>
        <v>ACANALADA</v>
      </c>
      <c r="K6" s="83" t="str">
        <f>IF($K$1=7,"ACANALADA",IF($K$1="MELOTERA","ACANALADA",""))</f>
        <v>ACANALADA</v>
      </c>
      <c r="L6" s="93" t="str">
        <f>IF($L$1=8,"ACANALADA",IF($L$1="MELOTERA","ACANALADA",""))</f>
        <v>ACANALADA</v>
      </c>
      <c r="M6" s="94" t="str">
        <f>IF($M$1=2,"ACANALADA",IF($M$1="MELOTERA","ACANALADA",""))</f>
        <v>ACANALADA</v>
      </c>
      <c r="N6" s="323">
        <f>IF(N4&gt;1,2,"")</f>
        <v>2</v>
      </c>
      <c r="O6" s="324" t="str">
        <f>IF(P4=2,"",IF(Q4=2,"",IF(R4=2,"",IF(S4=2,"",IF(T4=2,"",IF(U4=2,"",IF(V4=2,"",N6)))))))</f>
        <v/>
      </c>
      <c r="P6" s="324" t="str">
        <f>IF(O4=2,"",IF(Q4=2,"",IF(R4=2,"",IF(S4=2,"",IF(T4=2,"",IF(U4=2,"",IF(V4=2,"",N6)))))))</f>
        <v/>
      </c>
      <c r="Q6" s="324" t="str">
        <f>IF(P4=2,"",IF(O4=2,"",IF(R4=2,"",IF(S4=2,"",IF(T4=2,"",IF(U4=2,"",IF(V4=2,"",N6)))))))</f>
        <v/>
      </c>
      <c r="R6" s="324" t="str">
        <f>IF(P4=2,"",IF(Q4=2,"",IF(O4=2,"",IF(S4=2,"",IF(T4=2,"",IF(U4=2,"",IF(V4=2,"",N6)))))))</f>
        <v/>
      </c>
      <c r="S6" s="324" t="str">
        <f>IF(P4=2,"",IF(Q4=2,"",IF(R4=2,"",IF(O4=2,"",IF(T4=2,"",IF(U4=2,"",IF(V4=2,"",N6)))))))</f>
        <v/>
      </c>
      <c r="T6" s="324" t="str">
        <f>IF(P4=2,"",IF(Q4=2,"",IF(R4=2,"",IF(S4=2,"",IF(O4=2,"",IF(U4=2,"",IF(V4=2,"",N6)))))))</f>
        <v/>
      </c>
      <c r="U6" s="324">
        <f>IF(P4=2,"",IF(Q4=2,"",IF(R4=2,"",IF(S4=2,"",IF(T4=2,"",IF(O4=2,"",IF(V4=2,"",N6)))))))</f>
        <v>2</v>
      </c>
      <c r="V6" s="327" t="str">
        <f>IF(P4=2,"",IF(Q4=2,"",IF(R4=2,"",IF(S4=2,"",IF(T4=2,"",IF(U4=2,"",IF(O4=2,"",N6)))))))</f>
        <v/>
      </c>
    </row>
    <row r="7" spans="1:22" x14ac:dyDescent="0.25">
      <c r="A7" s="85">
        <v>6</v>
      </c>
      <c r="C7" s="18" t="s">
        <v>400</v>
      </c>
      <c r="N7" s="323">
        <f>IF(N4&gt;2,3,"")</f>
        <v>3</v>
      </c>
      <c r="O7" s="324" t="str">
        <f>IF(P4=3,"",IF(Q4=3,"",IF(R4=3,"",IF(S4=3,"",IF(T4=3,"",IF(U4=3,"",IF(V4=3,"",N7)))))))</f>
        <v/>
      </c>
      <c r="P7" s="324" t="str">
        <f>IF(O4=3,"",IF(Q4=3,"",IF(R4=3,"",IF(S4=3,"",IF(T4=3,"",IF(U4=3,"",IF(V4=3,"",N7)))))))</f>
        <v/>
      </c>
      <c r="Q7" s="324" t="str">
        <f>IF(P4=3,"",IF(O4=3,"",IF(R4=3,"",IF(S4=3,"",IF(T4=3,"",IF(U4=3,"",IF(V4=3,"",N7)))))))</f>
        <v/>
      </c>
      <c r="R7" s="324" t="str">
        <f>IF(P4=3,"",IF(Q4=3,"",IF(O4=3,"",IF(S4=3,"",IF(T4=3,"",IF(U4=3,"",IF(V4=3,"",N7)))))))</f>
        <v/>
      </c>
      <c r="S7" s="324" t="str">
        <f>IF(P4=3,"",IF(Q4=3,"",IF(R4=3,"",IF(O4=3,"",IF(T4=3,"",IF(U4=3,"",IF(V4=3,"",N7)))))))</f>
        <v/>
      </c>
      <c r="T7" s="324">
        <f>IF(P4=3,"",IF(Q4=3,"",IF(R4=3,"",IF(S4=3,"",IF(O4=3,"",IF(U4=3,"",IF(V4=3,"",N7)))))))</f>
        <v>3</v>
      </c>
      <c r="U7" s="324" t="str">
        <f>IF(P4=3,"",IF(Q4=3,"",IF(R4=3,"",IF(S4=3,"",IF(T4=3,"",IF(O4=3,"",IF(V4=3,"",N7)))))))</f>
        <v/>
      </c>
      <c r="V7" s="327" t="str">
        <f>IF(P4=3,"",IF(Q4=3,"",IF(R4=3,"",IF(S4=3,"",IF(T4=3,"",IF(U4=3,"",IF(O4=3,"",N7)))))))</f>
        <v/>
      </c>
    </row>
    <row r="8" spans="1:22" x14ac:dyDescent="0.25">
      <c r="A8" s="85">
        <v>7</v>
      </c>
      <c r="C8" s="18" t="str">
        <f>'Calculo General Hornilla'!G116</f>
        <v>Refractario</v>
      </c>
      <c r="N8" s="323">
        <f>IF(N4&gt;3,4,"")</f>
        <v>4</v>
      </c>
      <c r="O8" s="324" t="str">
        <f>IF(P4=4,"",IF(Q4=4,"",IF(R4=4,"",IF(S4=4,"",IF(T4=4,"",IF(U4=4,"",IF(V4=4,"",N8)))))))</f>
        <v/>
      </c>
      <c r="P8" s="324" t="str">
        <f>IF(O4=4,"",IF(Q4=4,"",IF(R4=4,"",IF(S4=4,"",IF(T4=4,"",IF(U4=4,"",IF(V4=4,"",N8)))))))</f>
        <v/>
      </c>
      <c r="Q8" s="324" t="str">
        <f>IF(P4=4,"",IF(O4=4,"",IF(R4=4,"",IF(S4=4,"",IF(T4=4,"",IF(U4=4,"",IF(V4=4,"",N8)))))))</f>
        <v/>
      </c>
      <c r="R8" s="324" t="str">
        <f>IF(P4=4,"",IF(Q4=4,"",IF(O4=4,"",IF(S4=4,"",IF(T4=4,"",IF(U4=4,"",IF(V4=4,"",N8)))))))</f>
        <v/>
      </c>
      <c r="S8" s="324">
        <f>IF(P4=4,"",IF(Q4=4,"",IF(R4=4,"",IF(O4=4,"",IF(T4=4,"",IF(U4=4,"",IF(V4=4,"",N8)))))))</f>
        <v>4</v>
      </c>
      <c r="T8" s="324" t="str">
        <f>IF(P4=4,"",IF(Q4=4,"",IF(R4=4,"",IF(S4=4,"",IF(O4=4,"",IF(U4=4,"",IF(V4=4,"",N8)))))))</f>
        <v/>
      </c>
      <c r="U8" s="324" t="str">
        <f>IF(P4=4,"",IF(Q4=4,"",IF(R4=4,"",IF(S4=4,"",IF(T4=4,"",IF(O4=4,"",IF(V4=4,"",N8)))))))</f>
        <v/>
      </c>
      <c r="V8" s="327" t="str">
        <f>IF(P4=4,"",IF(Q4=4,"",IF(R4=4,"",IF(S4=4,"",IF(T4=4,"",IF(U4=4,"",IF(O4=4,"",N8)))))))</f>
        <v/>
      </c>
    </row>
    <row r="9" spans="1:22" ht="15.75" thickBot="1" x14ac:dyDescent="0.3">
      <c r="A9" s="86">
        <v>8</v>
      </c>
      <c r="C9" s="18">
        <f>IF(C8="Refractario",0.29,IF(C8="Semirefractario",0.45,0.9))</f>
        <v>0.28999999999999998</v>
      </c>
      <c r="N9" s="323">
        <f>IF(N4&gt;4,5,"")</f>
        <v>5</v>
      </c>
      <c r="O9" s="324" t="str">
        <f>IF(P4=5,"",IF(Q4=5,"",IF(R4=5,"",IF(S4=5,"",IF(T4=5,"",IF(U4=5,"",IF(V4=5,"",N9)))))))</f>
        <v/>
      </c>
      <c r="P9" s="324" t="str">
        <f>IF(O4=5,"",IF(Q4=5,"",IF(R4=5,"",IF(S4=5,"",IF(T4=5,"",IF(U4=5,"",IF(V4=5,"",N9)))))))</f>
        <v/>
      </c>
      <c r="Q9" s="324" t="str">
        <f>IF(P4=5,"",IF(O4=5,"",IF(R4=5,"",IF(S4=5,"",IF(T4=5,"",IF(U4=5,"",IF(V4=5,"",N9)))))))</f>
        <v/>
      </c>
      <c r="R9" s="324">
        <f>IF(P4=5,"",IF(Q4=5,"",IF(O4=5,"",IF(S4=5,"",IF(T4=5,"",IF(U4=5,"",IF(V4=5,"",N9)))))))</f>
        <v>5</v>
      </c>
      <c r="S9" s="324" t="str">
        <f>IF(P4=5,"",IF(Q4=5,"",IF(R4=5,"",IF(O4=5,"",IF(T4=5,"",IF(U4=5,"",IF(V4=5,"",N9)))))))</f>
        <v/>
      </c>
      <c r="T9" s="324" t="str">
        <f>IF(P4=5,"",IF(Q4=5,"",IF(R4=5,"",IF(S4=5,"",IF(O4=5,"",IF(U4=5,"",IF(V4=5,"",N9)))))))</f>
        <v/>
      </c>
      <c r="U9" s="324" t="str">
        <f>IF(P4=5,"",IF(Q4=5,"",IF(R4=5,"",IF(S4=5,"",IF(T4=5,"",IF(O4=5,"",IF(V4=5,"",N9)))))))</f>
        <v/>
      </c>
      <c r="V9" s="327" t="str">
        <f>IF(P4=5,"",IF(Q4=5,"",IF(R4=5,"",IF(S4=5,"",IF(T4=5,"",IF(U4=5,"",IF(O4=5,"",N9)))))))</f>
        <v/>
      </c>
    </row>
    <row r="10" spans="1:22" x14ac:dyDescent="0.25">
      <c r="N10" s="323">
        <f>IF(N4&gt;5,6,"")</f>
        <v>6</v>
      </c>
      <c r="O10" s="324" t="str">
        <f>IF(P4=6,"",IF(Q4=6,"",IF(R4=6,"",IF(S4=6,"",IF(T4=6,"",IF(U4=6,"",IF(V4=6,"",N10)))))))</f>
        <v/>
      </c>
      <c r="P10" s="324" t="str">
        <f>IF(O4=6,"",IF(Q4=6,"",IF(R4=6,"",IF(S4=6,"",IF(T4=6,"",IF(U4=6,"",IF(V4=6,"",N10)))))))</f>
        <v/>
      </c>
      <c r="Q10" s="324">
        <f>IF(P4=6,"",IF(O4=6,"",IF(R4=6,"",IF(S4=6,"",IF(T4=6,"",IF(U4=6,"",IF(V4=6,"",N10)))))))</f>
        <v>6</v>
      </c>
      <c r="R10" s="324" t="str">
        <f>IF(P4=6,"",IF(Q4=6,"",IF(O4=6,"",IF(S4=6,"",IF(T4=6,"",IF(U4=6,"",IF(V4=6,"",N10)))))))</f>
        <v/>
      </c>
      <c r="S10" s="324" t="str">
        <f>IF(P4=6,"",IF(Q4=6,"",IF(R4=6,"",IF(O4=6,"",IF(T4=6,"",IF(U4=6,"",IF(V4=6,"",N10)))))))</f>
        <v/>
      </c>
      <c r="T10" s="324" t="str">
        <f>IF(P4=6,"",IF(Q4=6,"",IF(R4=6,"",IF(S4=6,"",IF(O4=6,"",IF(U4=6,"",IF(V4=6,"",N10)))))))</f>
        <v/>
      </c>
      <c r="U10" s="324" t="str">
        <f>IF(P4=6,"",IF(Q4=6,"",IF(R4=6,"",IF(S4=6,"",IF(T4=6,"",IF(O4=6,"",IF(V4=6,"",N10)))))))</f>
        <v/>
      </c>
      <c r="V10" s="327" t="str">
        <f>IF(P4=6,"",IF(Q4=6,"",IF(R4=6,"",IF(S4=6,"",IF(T4=6,"",IF(U4=6,"",IF(O4=6,"",N10)))))))</f>
        <v/>
      </c>
    </row>
    <row r="11" spans="1:22" x14ac:dyDescent="0.25">
      <c r="N11" s="323">
        <f>IF(N4&gt;6,7,"")</f>
        <v>7</v>
      </c>
      <c r="O11" s="324" t="str">
        <f>IF(P4=7,"",IF(Q4=7,"",IF(R4=7,"",IF(S4=7,"",IF(T4=7,"",IF(U4=7,"",IF(V4=7,"",N11)))))))</f>
        <v/>
      </c>
      <c r="P11" s="324">
        <f>IF(O4=7,"",IF(Q4=7,"",IF(R4=7,"",IF(S4=7,"",IF(T4=7,"",IF(U4=7,"",IF(V4=7,"",N11)))))))</f>
        <v>7</v>
      </c>
      <c r="Q11" s="324" t="str">
        <f>IF(P4=7,"",IF(O4=7,"",IF(R4=7,"",IF(S4=7,"",IF(T4=7,"",IF(U4=7,"",IF(V4=7,"",N11)))))))</f>
        <v/>
      </c>
      <c r="R11" s="324" t="str">
        <f>IF(P4=7,"",IF(Q4=7,"",IF(O4=7,"",IF(S4=7,"",IF(T4=7,"",IF(U4=7,"",IF(V4=7,"",N11)))))))</f>
        <v/>
      </c>
      <c r="S11" s="324" t="str">
        <f>IF(P4=7,"",IF(Q4=7,"",IF(R4=7,"",IF(O4=7,"",IF(T4=7,"",IF(U4=7,"",IF(V4=7,"",N11)))))))</f>
        <v/>
      </c>
      <c r="T11" s="324" t="str">
        <f>IF(P4=7,"",IF(Q4=7,"",IF(R4=7,"",IF(S4=7,"",IF(O4=7,"",IF(U4=7,"",IF(V4=7,"",N11)))))))</f>
        <v/>
      </c>
      <c r="U11" s="324" t="str">
        <f>IF(P4=7,"",IF(Q4=7,"",IF(R4=7,"",IF(S4=7,"",IF(T4=7,"",IF(O4=7,"",IF(V4=7,"",N11)))))))</f>
        <v/>
      </c>
      <c r="V11" s="327" t="str">
        <f>IF(P4=7,"",IF(Q4=7,"",IF(R4=7,"",IF(S4=7,"",IF(T4=7,"",IF(U4=7,"",IF(O4=7,"",N11)))))))</f>
        <v/>
      </c>
    </row>
    <row r="12" spans="1:22" ht="15.75" thickBot="1" x14ac:dyDescent="0.3">
      <c r="N12" s="325">
        <f>IF(N4&gt;7,8,"")</f>
        <v>8</v>
      </c>
      <c r="O12" s="328">
        <f>IF(P4=8,"",IF(Q4=8,"",IF(R4=8,"",IF(S4=8,"",IF(T4=8,"",IF(U4=8,"",IF(V4=8,"",N12)))))))</f>
        <v>8</v>
      </c>
      <c r="P12" s="328" t="str">
        <f>IF(O4=8,"",IF(Q4=8,"",IF(R4=8,"",IF(S4=8,"",IF(T4=8,"",IF(U4=8,"",IF(V4=8,"",N12)))))))</f>
        <v/>
      </c>
      <c r="Q12" s="328" t="str">
        <f>IF(P4=8,"",IF(O4=8,"",IF(R4=8,"",IF(S4=8,"",IF(T4=8,"",IF(U4=8,"",IF(V4=8,"",N12)))))))</f>
        <v/>
      </c>
      <c r="R12" s="328" t="str">
        <f>IF(P4=8,"",IF(Q4=8,"",IF(O4=8,"",IF(S4=8,"",IF(T4=8,"",IF(U4=8,"",IF(V4=8,"",N12)))))))</f>
        <v/>
      </c>
      <c r="S12" s="328" t="str">
        <f>IF(P4=8,"",IF(Q4=8,"",IF(R4=8,"",IF(O4=8,"",IF(T4=8,"",IF(U4=8,"",IF(V4=8,"",N12)))))))</f>
        <v/>
      </c>
      <c r="T12" s="328" t="str">
        <f>IF(P4=8,"",IF(Q4=8,"",IF(R4=8,"",IF(S4=8,"",IF(O4=8,"",IF(U4=8,"",IF(V4=8,"",N12)))))))</f>
        <v/>
      </c>
      <c r="U12" s="328" t="str">
        <f>IF(P4=8,"",IF(Q4=8,"",IF(R4=8,"",IF(S4=8,"",IF(T4=8,"",IF(O4=8,"",IF(V4=8,"",N12)))))))</f>
        <v/>
      </c>
      <c r="V12" s="329" t="str">
        <f>IF(P4=8,"",IF(Q4=8,"",IF(R4=8,"",IF(S4=8,"",IF(T4=8,"",IF(U4=8,"",IF(O4=8,"",N12)))))))</f>
        <v/>
      </c>
    </row>
    <row r="17" spans="3:16" x14ac:dyDescent="0.25">
      <c r="E17" s="17"/>
      <c r="F17" s="17"/>
    </row>
    <row r="18" spans="3:16" ht="15.75" thickBot="1" x14ac:dyDescent="0.3">
      <c r="E18" s="17"/>
      <c r="F18" s="17"/>
    </row>
    <row r="19" spans="3:16" ht="15.75" thickBot="1" x14ac:dyDescent="0.3">
      <c r="C19" s="226" t="s">
        <v>0</v>
      </c>
      <c r="D19" s="227"/>
      <c r="E19" s="17"/>
    </row>
    <row r="20" spans="3:16" x14ac:dyDescent="0.25">
      <c r="C20" s="28" t="s">
        <v>237</v>
      </c>
      <c r="D20" s="57" t="s">
        <v>256</v>
      </c>
      <c r="E20" s="17">
        <f>'Calculo General Hornilla'!D51</f>
        <v>1</v>
      </c>
      <c r="F20" s="17">
        <f>'Calculo General Hornilla'!E51</f>
        <v>2</v>
      </c>
      <c r="G20" s="17">
        <f>'Calculo General Hornilla'!F51</f>
        <v>3</v>
      </c>
      <c r="H20" s="17">
        <f>'Calculo General Hornilla'!G51</f>
        <v>4</v>
      </c>
      <c r="I20" s="17">
        <f>'Calculo General Hornilla'!H51</f>
        <v>5</v>
      </c>
      <c r="J20" s="17">
        <f>'Calculo General Hornilla'!I51</f>
        <v>6</v>
      </c>
      <c r="K20" s="17">
        <f>'Calculo General Hornilla'!J51</f>
        <v>7</v>
      </c>
      <c r="L20" s="17">
        <f>'Calculo General Hornilla'!K51</f>
        <v>8</v>
      </c>
      <c r="M20" s="17" t="str">
        <f>'Calculo General Hornilla'!L51</f>
        <v>MELOTERA</v>
      </c>
    </row>
    <row r="21" spans="3:16" x14ac:dyDescent="0.25">
      <c r="C21" s="28" t="s">
        <v>239</v>
      </c>
      <c r="D21" s="57" t="s">
        <v>261</v>
      </c>
      <c r="E21" s="17">
        <f>'Calculo General Hornilla'!D52</f>
        <v>8</v>
      </c>
      <c r="F21" s="17">
        <f>'Calculo General Hornilla'!E52</f>
        <v>7</v>
      </c>
      <c r="G21" s="17">
        <f>'Calculo General Hornilla'!F52</f>
        <v>6</v>
      </c>
      <c r="H21" s="17">
        <f>'Calculo General Hornilla'!G52</f>
        <v>5</v>
      </c>
      <c r="I21" s="17">
        <f>'Calculo General Hornilla'!H52</f>
        <v>4</v>
      </c>
      <c r="J21" s="17">
        <f>'Calculo General Hornilla'!I52</f>
        <v>3</v>
      </c>
      <c r="K21" s="17">
        <f>'Calculo General Hornilla'!J52</f>
        <v>2</v>
      </c>
      <c r="L21" s="17">
        <f>'Calculo General Hornilla'!K52</f>
        <v>1</v>
      </c>
      <c r="M21" s="17" t="str">
        <f>'Calculo General Hornilla'!L52</f>
        <v>MELOTERA</v>
      </c>
    </row>
    <row r="22" spans="3:16" x14ac:dyDescent="0.25">
      <c r="C22" s="54" t="s">
        <v>240</v>
      </c>
      <c r="D22" s="57" t="s">
        <v>262</v>
      </c>
      <c r="E22" s="17" t="str">
        <f>'Calculo General Hornilla'!D53</f>
        <v>SEMIESFERICA</v>
      </c>
      <c r="F22" s="17" t="str">
        <f>'Calculo General Hornilla'!E53</f>
        <v>SEMICILINDRICA</v>
      </c>
      <c r="G22" s="17" t="str">
        <f>'Calculo General Hornilla'!F53</f>
        <v>SEMICILINDRICA</v>
      </c>
      <c r="H22" s="17" t="str">
        <f>'Calculo General Hornilla'!G53</f>
        <v>PIROTUBULAR</v>
      </c>
      <c r="I22" s="17" t="str">
        <f>'Calculo General Hornilla'!H53</f>
        <v>PIROTUBULAR</v>
      </c>
      <c r="J22" s="17" t="str">
        <f>'Calculo General Hornilla'!I53</f>
        <v>ACANALADA</v>
      </c>
      <c r="K22" s="17" t="str">
        <f>'Calculo General Hornilla'!J53</f>
        <v>ACANALADA</v>
      </c>
      <c r="L22" s="17" t="str">
        <f>'Calculo General Hornilla'!K53</f>
        <v>PLANA</v>
      </c>
      <c r="M22" s="17">
        <f>'Calculo General Hornilla'!L53</f>
        <v>0</v>
      </c>
    </row>
    <row r="23" spans="3:16" x14ac:dyDescent="0.25">
      <c r="C23" s="28" t="s">
        <v>246</v>
      </c>
      <c r="D23" s="58" t="s">
        <v>242</v>
      </c>
      <c r="E23" s="17">
        <f>'Calculo General Hornilla'!D54</f>
        <v>0.3</v>
      </c>
      <c r="F23" s="17">
        <f>'Calculo General Hornilla'!E54</f>
        <v>0.5</v>
      </c>
      <c r="G23" s="17">
        <f>'Calculo General Hornilla'!F54</f>
        <v>0.5</v>
      </c>
      <c r="H23" s="17">
        <f>'Calculo General Hornilla'!G54</f>
        <v>0.3</v>
      </c>
      <c r="I23" s="17">
        <f>'Calculo General Hornilla'!H54</f>
        <v>0.3</v>
      </c>
      <c r="J23" s="17">
        <f>'Calculo General Hornilla'!I54</f>
        <v>0.3</v>
      </c>
      <c r="K23" s="17">
        <f>'Calculo General Hornilla'!J54</f>
        <v>0.3</v>
      </c>
      <c r="L23" s="17">
        <f>'Calculo General Hornilla'!K54</f>
        <v>0.3</v>
      </c>
      <c r="M23" s="17">
        <f>'Calculo General Hornilla'!L54</f>
        <v>0</v>
      </c>
    </row>
    <row r="24" spans="3:16" x14ac:dyDescent="0.25">
      <c r="C24" s="28" t="s">
        <v>247</v>
      </c>
      <c r="D24" s="58" t="s">
        <v>244</v>
      </c>
      <c r="E24" s="17">
        <f>'Calculo General Hornilla'!D55</f>
        <v>0.8</v>
      </c>
      <c r="F24" s="17">
        <f>'Calculo General Hornilla'!E55</f>
        <v>1.2</v>
      </c>
      <c r="G24" s="17">
        <f>'Calculo General Hornilla'!F55</f>
        <v>1.2</v>
      </c>
      <c r="H24" s="17">
        <f>'Calculo General Hornilla'!G55</f>
        <v>1.22</v>
      </c>
      <c r="I24" s="17">
        <f>'Calculo General Hornilla'!H55</f>
        <v>1.22</v>
      </c>
      <c r="J24" s="17">
        <f>'Calculo General Hornilla'!I55</f>
        <v>1.2</v>
      </c>
      <c r="K24" s="17">
        <f>'Calculo General Hornilla'!J55</f>
        <v>1.2</v>
      </c>
      <c r="L24" s="17">
        <f>'Calculo General Hornilla'!K55</f>
        <v>1.22</v>
      </c>
      <c r="M24" s="17">
        <f>'Calculo General Hornilla'!L55</f>
        <v>0</v>
      </c>
    </row>
    <row r="25" spans="3:16" x14ac:dyDescent="0.25">
      <c r="C25" s="28" t="s">
        <v>248</v>
      </c>
      <c r="D25" s="58" t="s">
        <v>241</v>
      </c>
      <c r="E25" s="17">
        <f>'Calculo General Hornilla'!D56</f>
        <v>0.5</v>
      </c>
      <c r="F25" s="17">
        <f>'Calculo General Hornilla'!E56</f>
        <v>0.65</v>
      </c>
      <c r="G25" s="17">
        <f>'Calculo General Hornilla'!F56</f>
        <v>0.65</v>
      </c>
      <c r="H25" s="17">
        <f>'Calculo General Hornilla'!G56</f>
        <v>0.6</v>
      </c>
      <c r="I25" s="17">
        <f>'Calculo General Hornilla'!H56</f>
        <v>0.65</v>
      </c>
      <c r="J25" s="17">
        <f>'Calculo General Hornilla'!I56</f>
        <v>0.65</v>
      </c>
      <c r="K25" s="17">
        <f>'Calculo General Hornilla'!J56</f>
        <v>0.6</v>
      </c>
      <c r="L25" s="17">
        <f>'Calculo General Hornilla'!K56</f>
        <v>0.3</v>
      </c>
      <c r="M25" s="17">
        <f>'Calculo General Hornilla'!L56</f>
        <v>0</v>
      </c>
    </row>
    <row r="26" spans="3:16" ht="15.75" x14ac:dyDescent="0.25">
      <c r="C26" s="28" t="s">
        <v>249</v>
      </c>
      <c r="D26" s="58" t="s">
        <v>243</v>
      </c>
      <c r="E26" s="17">
        <f>'Calculo General Hornilla'!D57</f>
        <v>68</v>
      </c>
      <c r="F26" s="17">
        <f>'Calculo General Hornilla'!E57</f>
        <v>68</v>
      </c>
      <c r="G26" s="17">
        <f>'Calculo General Hornilla'!F57</f>
        <v>68</v>
      </c>
      <c r="H26" s="17">
        <f>'Calculo General Hornilla'!G57</f>
        <v>68</v>
      </c>
      <c r="I26" s="17">
        <f>'Calculo General Hornilla'!H57</f>
        <v>68</v>
      </c>
      <c r="J26" s="17">
        <f>'Calculo General Hornilla'!I57</f>
        <v>68</v>
      </c>
      <c r="K26" s="17">
        <f>'Calculo General Hornilla'!J57</f>
        <v>68</v>
      </c>
      <c r="L26" s="17">
        <f>'Calculo General Hornilla'!K57</f>
        <v>68</v>
      </c>
      <c r="M26" s="17">
        <f>'Calculo General Hornilla'!L57</f>
        <v>0</v>
      </c>
    </row>
    <row r="27" spans="3:16" x14ac:dyDescent="0.25">
      <c r="C27" s="28" t="s">
        <v>250</v>
      </c>
      <c r="D27" s="58" t="s">
        <v>245</v>
      </c>
      <c r="E27" s="17">
        <f>'Calculo General Hornilla'!D58</f>
        <v>0</v>
      </c>
      <c r="F27" s="17">
        <f>'Calculo General Hornilla'!E58</f>
        <v>1.52</v>
      </c>
      <c r="G27" s="17">
        <f>'Calculo General Hornilla'!F58</f>
        <v>1.52</v>
      </c>
      <c r="H27" s="17">
        <f>'Calculo General Hornilla'!G58</f>
        <v>1.5</v>
      </c>
      <c r="I27" s="17">
        <f>'Calculo General Hornilla'!H58</f>
        <v>2.44</v>
      </c>
      <c r="J27" s="17">
        <f>'Calculo General Hornilla'!I58</f>
        <v>2.44</v>
      </c>
      <c r="K27" s="17">
        <f>'Calculo General Hornilla'!J58</f>
        <v>2.4</v>
      </c>
      <c r="L27" s="17">
        <f>'Calculo General Hornilla'!K58</f>
        <v>2.44</v>
      </c>
      <c r="M27" s="17">
        <f>'Calculo General Hornilla'!L58</f>
        <v>0</v>
      </c>
    </row>
    <row r="28" spans="3:16" x14ac:dyDescent="0.25">
      <c r="C28" s="28" t="s">
        <v>238</v>
      </c>
      <c r="D28" s="58" t="s">
        <v>263</v>
      </c>
      <c r="E28" s="17" t="str">
        <f>'Calculo General Hornilla'!D59</f>
        <v>NO</v>
      </c>
      <c r="F28" s="17" t="str">
        <f>'Calculo General Hornilla'!E59</f>
        <v>NO</v>
      </c>
      <c r="G28" s="17" t="str">
        <f>'Calculo General Hornilla'!F59</f>
        <v>SI</v>
      </c>
      <c r="H28" s="17" t="str">
        <f>'Calculo General Hornilla'!G59</f>
        <v>NO</v>
      </c>
      <c r="I28" s="17" t="str">
        <f>'Calculo General Hornilla'!H59</f>
        <v>SI</v>
      </c>
      <c r="J28" s="17" t="str">
        <f>'Calculo General Hornilla'!I59</f>
        <v>SI</v>
      </c>
      <c r="K28" s="17" t="str">
        <f>'Calculo General Hornilla'!J59</f>
        <v>NO</v>
      </c>
      <c r="L28" s="17" t="str">
        <f>'Calculo General Hornilla'!K59</f>
        <v>SI</v>
      </c>
      <c r="M28" s="17">
        <f>'Calculo General Hornilla'!L59</f>
        <v>0</v>
      </c>
    </row>
    <row r="29" spans="3:16" x14ac:dyDescent="0.25">
      <c r="C29" s="28" t="s">
        <v>266</v>
      </c>
      <c r="D29" s="58" t="s">
        <v>205</v>
      </c>
      <c r="E29" s="17" t="str">
        <f>'Calculo General Hornilla'!D60</f>
        <v>NA</v>
      </c>
      <c r="F29" s="17" t="str">
        <f>'Calculo General Hornilla'!E60</f>
        <v>NA</v>
      </c>
      <c r="G29" s="17">
        <f>'Calculo General Hornilla'!F60</f>
        <v>11</v>
      </c>
      <c r="H29" s="17" t="str">
        <f>'Calculo General Hornilla'!G60</f>
        <v>NA</v>
      </c>
      <c r="I29" s="17">
        <f>'Calculo General Hornilla'!H60</f>
        <v>24</v>
      </c>
      <c r="J29" s="17">
        <f>'Calculo General Hornilla'!I60</f>
        <v>23</v>
      </c>
      <c r="K29" s="17" t="str">
        <f>'Calculo General Hornilla'!J60</f>
        <v>NA</v>
      </c>
      <c r="L29" s="17">
        <f>'Calculo General Hornilla'!K60</f>
        <v>23</v>
      </c>
      <c r="M29" s="17">
        <f>'Calculo General Hornilla'!L60</f>
        <v>0</v>
      </c>
    </row>
    <row r="30" spans="3:16" x14ac:dyDescent="0.25">
      <c r="C30" s="28" t="s">
        <v>251</v>
      </c>
      <c r="D30" s="58" t="s">
        <v>264</v>
      </c>
      <c r="E30" s="17">
        <f>'Calculo General Hornilla'!D61</f>
        <v>0</v>
      </c>
      <c r="F30" s="17">
        <f>'Calculo General Hornilla'!E61</f>
        <v>0</v>
      </c>
      <c r="G30" s="17">
        <f>'Calculo General Hornilla'!F61</f>
        <v>0.1</v>
      </c>
      <c r="H30" s="17">
        <f>'Calculo General Hornilla'!G61</f>
        <v>0.1</v>
      </c>
      <c r="I30" s="17">
        <f>'Calculo General Hornilla'!H61</f>
        <v>0.1</v>
      </c>
      <c r="J30" s="17">
        <f>'Calculo General Hornilla'!I61</f>
        <v>0.1</v>
      </c>
      <c r="K30" s="17">
        <f>'Calculo General Hornilla'!J61</f>
        <v>0.1</v>
      </c>
      <c r="L30" s="17">
        <f>'Calculo General Hornilla'!K61</f>
        <v>0.1</v>
      </c>
      <c r="M30" s="17">
        <f>'Calculo General Hornilla'!L61</f>
        <v>0</v>
      </c>
    </row>
    <row r="31" spans="3:16" x14ac:dyDescent="0.25">
      <c r="C31" s="28" t="s">
        <v>252</v>
      </c>
      <c r="D31" s="58" t="s">
        <v>265</v>
      </c>
      <c r="E31" s="17">
        <f>'Calculo General Hornilla'!D62</f>
        <v>0</v>
      </c>
      <c r="F31" s="17">
        <f>'Calculo General Hornilla'!E62</f>
        <v>0</v>
      </c>
      <c r="G31" s="17">
        <f>'Calculo General Hornilla'!F62</f>
        <v>0.2</v>
      </c>
      <c r="H31" s="17">
        <f>'Calculo General Hornilla'!G62</f>
        <v>0</v>
      </c>
      <c r="I31" s="17">
        <f>'Calculo General Hornilla'!H62</f>
        <v>0</v>
      </c>
      <c r="J31" s="17">
        <f>'Calculo General Hornilla'!I62</f>
        <v>0</v>
      </c>
      <c r="K31" s="17">
        <f>'Calculo General Hornilla'!J62</f>
        <v>0</v>
      </c>
      <c r="L31" s="17">
        <f>'Calculo General Hornilla'!K62</f>
        <v>0</v>
      </c>
      <c r="M31" s="17">
        <f>'Calculo General Hornilla'!L62</f>
        <v>0</v>
      </c>
    </row>
    <row r="32" spans="3:16" x14ac:dyDescent="0.25">
      <c r="C32" s="28" t="s">
        <v>253</v>
      </c>
      <c r="D32" s="58" t="s">
        <v>259</v>
      </c>
      <c r="E32" s="17">
        <f>'Calculo General Hornilla'!D63</f>
        <v>0</v>
      </c>
      <c r="F32" s="17">
        <f>'Calculo General Hornilla'!E63</f>
        <v>0</v>
      </c>
      <c r="G32" s="17">
        <f>'Calculo General Hornilla'!F63</f>
        <v>0</v>
      </c>
      <c r="H32" s="17">
        <f>'Calculo General Hornilla'!G63</f>
        <v>0</v>
      </c>
      <c r="I32" s="17">
        <f>'Calculo General Hornilla'!H63</f>
        <v>0</v>
      </c>
      <c r="J32" s="17">
        <f>'Calculo General Hornilla'!I63</f>
        <v>0.2</v>
      </c>
      <c r="K32" s="17">
        <f>'Calculo General Hornilla'!J63</f>
        <v>0.2</v>
      </c>
      <c r="L32" s="17">
        <f>'Calculo General Hornilla'!K63</f>
        <v>0</v>
      </c>
      <c r="M32" s="17">
        <f>'Calculo General Hornilla'!L63</f>
        <v>0</v>
      </c>
      <c r="N32" s="17"/>
      <c r="O32" s="17"/>
      <c r="P32" s="17"/>
    </row>
    <row r="33" spans="2:52" ht="15.75" thickBot="1" x14ac:dyDescent="0.3">
      <c r="C33" s="30" t="s">
        <v>254</v>
      </c>
      <c r="D33" s="59" t="s">
        <v>260</v>
      </c>
      <c r="E33" s="17">
        <f>'Calculo General Hornilla'!D64</f>
        <v>0</v>
      </c>
      <c r="F33" s="17">
        <f>'Calculo General Hornilla'!E64</f>
        <v>0</v>
      </c>
      <c r="G33" s="17">
        <f>'Calculo General Hornilla'!F64</f>
        <v>0</v>
      </c>
      <c r="H33" s="17">
        <f>'Calculo General Hornilla'!G64</f>
        <v>0.2</v>
      </c>
      <c r="I33" s="17">
        <f>'Calculo General Hornilla'!H64</f>
        <v>0.2</v>
      </c>
      <c r="J33" s="17">
        <f>'Calculo General Hornilla'!I64</f>
        <v>0</v>
      </c>
      <c r="K33" s="17">
        <f>'Calculo General Hornilla'!J64</f>
        <v>0</v>
      </c>
      <c r="L33" s="17">
        <f>'Calculo General Hornilla'!K64</f>
        <v>0</v>
      </c>
      <c r="M33" s="17">
        <f>'Calculo General Hornilla'!L64</f>
        <v>0</v>
      </c>
      <c r="N33" s="17"/>
      <c r="O33" s="17"/>
      <c r="P33" s="17"/>
    </row>
    <row r="34" spans="2:52" x14ac:dyDescent="0.25">
      <c r="C34" s="433" t="s">
        <v>431</v>
      </c>
      <c r="D34" s="434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2:52" x14ac:dyDescent="0.25">
      <c r="C35" s="28" t="s">
        <v>311</v>
      </c>
      <c r="D35" s="58" t="s">
        <v>316</v>
      </c>
      <c r="N35" s="17"/>
      <c r="O35" s="17"/>
      <c r="P35" s="17"/>
    </row>
    <row r="36" spans="2:52" x14ac:dyDescent="0.25">
      <c r="C36" s="28" t="s">
        <v>313</v>
      </c>
      <c r="D36" s="58" t="s">
        <v>317</v>
      </c>
      <c r="N36" s="17"/>
      <c r="O36" s="17"/>
      <c r="P36" s="17"/>
    </row>
    <row r="37" spans="2:52" x14ac:dyDescent="0.25">
      <c r="C37" s="28" t="s">
        <v>312</v>
      </c>
      <c r="D37" s="58" t="s">
        <v>318</v>
      </c>
      <c r="N37" s="17"/>
      <c r="O37" s="17"/>
      <c r="P37" s="17"/>
    </row>
    <row r="38" spans="2:52" x14ac:dyDescent="0.25">
      <c r="C38" s="28" t="s">
        <v>319</v>
      </c>
      <c r="D38" s="121" t="s">
        <v>322</v>
      </c>
      <c r="N38" s="17"/>
      <c r="O38" s="17"/>
      <c r="P38" s="17"/>
    </row>
    <row r="39" spans="2:52" x14ac:dyDescent="0.25">
      <c r="C39" s="28" t="s">
        <v>320</v>
      </c>
      <c r="D39" s="121" t="s">
        <v>223</v>
      </c>
      <c r="N39" s="17"/>
      <c r="O39" s="17"/>
      <c r="P39" s="17"/>
    </row>
    <row r="40" spans="2:52" x14ac:dyDescent="0.25">
      <c r="C40" s="28" t="s">
        <v>314</v>
      </c>
      <c r="D40" s="121" t="s">
        <v>227</v>
      </c>
      <c r="N40" s="17"/>
      <c r="O40" s="17"/>
      <c r="P40" s="17"/>
    </row>
    <row r="41" spans="2:52" ht="15.75" thickBot="1" x14ac:dyDescent="0.3">
      <c r="C41" s="30" t="s">
        <v>308</v>
      </c>
      <c r="D41" s="122" t="s">
        <v>321</v>
      </c>
      <c r="N41" s="17"/>
      <c r="O41" s="17"/>
      <c r="P41" s="17"/>
    </row>
    <row r="42" spans="2:52" x14ac:dyDescent="0.25">
      <c r="N42" s="17"/>
      <c r="O42" s="17"/>
      <c r="P42" s="17"/>
    </row>
    <row r="43" spans="2:52" x14ac:dyDescent="0.25">
      <c r="N43" s="17"/>
      <c r="O43" s="17"/>
      <c r="P43" s="17"/>
    </row>
    <row r="44" spans="2:52" x14ac:dyDescent="0.25">
      <c r="N44" s="17"/>
      <c r="O44" s="17"/>
      <c r="P44" s="17"/>
    </row>
    <row r="45" spans="2:52" x14ac:dyDescent="0.25">
      <c r="B45" s="14"/>
      <c r="C45" s="207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2:52" x14ac:dyDescent="0.25">
      <c r="B46" s="14"/>
      <c r="T46" s="27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</row>
    <row r="47" spans="2:52" x14ac:dyDescent="0.25">
      <c r="B47" s="14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</row>
    <row r="48" spans="2:52" x14ac:dyDescent="0.25">
      <c r="B48" s="14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</row>
    <row r="49" spans="2:80" x14ac:dyDescent="0.25">
      <c r="B49" s="14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</row>
    <row r="50" spans="2:80" x14ac:dyDescent="0.25">
      <c r="B50" s="14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</row>
    <row r="51" spans="2:80" x14ac:dyDescent="0.25">
      <c r="B51" s="14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</row>
    <row r="52" spans="2:80" x14ac:dyDescent="0.25">
      <c r="B52" s="14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</row>
    <row r="53" spans="2:80" x14ac:dyDescent="0.25">
      <c r="B53" s="14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</row>
    <row r="54" spans="2:80" x14ac:dyDescent="0.25">
      <c r="B54" s="14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</row>
    <row r="55" spans="2:80" x14ac:dyDescent="0.25">
      <c r="B55" s="14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</row>
    <row r="56" spans="2:80" x14ac:dyDescent="0.25">
      <c r="B56" s="14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</row>
    <row r="57" spans="2:80" x14ac:dyDescent="0.25">
      <c r="B57" s="14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</row>
    <row r="58" spans="2:80" x14ac:dyDescent="0.25">
      <c r="B58" s="14"/>
      <c r="C58" s="207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</row>
    <row r="59" spans="2:80" x14ac:dyDescent="0.25"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</row>
    <row r="60" spans="2:80" x14ac:dyDescent="0.25"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</row>
    <row r="61" spans="2:80" x14ac:dyDescent="0.25"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</row>
    <row r="62" spans="2:80" x14ac:dyDescent="0.25"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</row>
    <row r="63" spans="2:80" ht="15.75" thickBot="1" x14ac:dyDescent="0.3">
      <c r="B63" s="27"/>
      <c r="C63" s="27"/>
      <c r="D63" s="27"/>
      <c r="E63" s="27"/>
      <c r="F63" s="27"/>
      <c r="G63" s="27"/>
      <c r="H63" s="27"/>
      <c r="I63" s="27"/>
      <c r="J63" s="27"/>
      <c r="K63" s="27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</row>
    <row r="64" spans="2:80" ht="15.75" thickBot="1" x14ac:dyDescent="0.3">
      <c r="B64" s="388" t="s">
        <v>179</v>
      </c>
      <c r="C64" s="389"/>
      <c r="D64" s="389"/>
      <c r="E64" s="389"/>
      <c r="F64" s="389"/>
      <c r="G64" s="389"/>
      <c r="H64" s="389"/>
      <c r="I64" s="389"/>
      <c r="J64" s="390"/>
      <c r="K64" s="27"/>
      <c r="L64" s="388" t="s">
        <v>179</v>
      </c>
      <c r="M64" s="389"/>
      <c r="N64" s="389"/>
      <c r="O64" s="389"/>
      <c r="P64" s="389"/>
      <c r="Q64" s="389"/>
      <c r="R64" s="389"/>
      <c r="S64" s="389"/>
      <c r="T64" s="390"/>
      <c r="U64" s="70"/>
      <c r="V64" s="388" t="s">
        <v>179</v>
      </c>
      <c r="W64" s="389"/>
      <c r="X64" s="389"/>
      <c r="Y64" s="389"/>
      <c r="Z64" s="389"/>
      <c r="AA64" s="389"/>
      <c r="AB64" s="389"/>
      <c r="AC64" s="389"/>
      <c r="AD64" s="390"/>
      <c r="AE64" s="70"/>
      <c r="AF64" s="388" t="s">
        <v>179</v>
      </c>
      <c r="AG64" s="389"/>
      <c r="AH64" s="389"/>
      <c r="AI64" s="389"/>
      <c r="AJ64" s="389"/>
      <c r="AK64" s="389"/>
      <c r="AL64" s="389"/>
      <c r="AM64" s="389"/>
      <c r="AN64" s="390"/>
      <c r="AO64" s="70"/>
      <c r="AP64" s="388" t="s">
        <v>179</v>
      </c>
      <c r="AQ64" s="389"/>
      <c r="AR64" s="389"/>
      <c r="AS64" s="389"/>
      <c r="AT64" s="389"/>
      <c r="AU64" s="389"/>
      <c r="AV64" s="389"/>
      <c r="AW64" s="389"/>
      <c r="AX64" s="390"/>
      <c r="AY64" s="70"/>
      <c r="AZ64" s="388" t="s">
        <v>179</v>
      </c>
      <c r="BA64" s="389"/>
      <c r="BB64" s="389"/>
      <c r="BC64" s="389"/>
      <c r="BD64" s="389"/>
      <c r="BE64" s="389"/>
      <c r="BF64" s="389"/>
      <c r="BG64" s="389"/>
      <c r="BH64" s="390"/>
      <c r="BJ64" s="388" t="s">
        <v>179</v>
      </c>
      <c r="BK64" s="389"/>
      <c r="BL64" s="389"/>
      <c r="BM64" s="389"/>
      <c r="BN64" s="389"/>
      <c r="BO64" s="389"/>
      <c r="BP64" s="389"/>
      <c r="BQ64" s="389"/>
      <c r="BR64" s="390"/>
      <c r="BT64" s="388" t="s">
        <v>179</v>
      </c>
      <c r="BU64" s="389"/>
      <c r="BV64" s="389"/>
      <c r="BW64" s="389"/>
      <c r="BX64" s="389"/>
      <c r="BY64" s="389"/>
      <c r="BZ64" s="389"/>
      <c r="CA64" s="389"/>
      <c r="CB64" s="390"/>
    </row>
    <row r="65" spans="2:80" x14ac:dyDescent="0.25">
      <c r="B65" s="100" t="s">
        <v>184</v>
      </c>
      <c r="C65" s="101">
        <f>E23</f>
        <v>0.3</v>
      </c>
      <c r="D65" s="101" t="s">
        <v>17</v>
      </c>
      <c r="E65" s="52"/>
      <c r="F65" s="52"/>
      <c r="G65" s="52"/>
      <c r="H65" s="52"/>
      <c r="I65" s="52"/>
      <c r="J65" s="102"/>
      <c r="K65" s="27"/>
      <c r="L65" s="100" t="s">
        <v>184</v>
      </c>
      <c r="M65" s="101">
        <v>0.34</v>
      </c>
      <c r="N65" s="101" t="s">
        <v>17</v>
      </c>
      <c r="O65" s="52"/>
      <c r="P65" s="52"/>
      <c r="Q65" s="52"/>
      <c r="R65" s="52"/>
      <c r="S65" s="52"/>
      <c r="T65" s="102"/>
      <c r="U65" s="70"/>
      <c r="V65" s="100" t="s">
        <v>184</v>
      </c>
      <c r="W65" s="101">
        <v>0.34</v>
      </c>
      <c r="X65" s="101" t="s">
        <v>17</v>
      </c>
      <c r="Y65" s="52"/>
      <c r="Z65" s="52"/>
      <c r="AA65" s="52"/>
      <c r="AB65" s="52"/>
      <c r="AC65" s="52"/>
      <c r="AD65" s="102"/>
      <c r="AE65" s="70"/>
      <c r="AF65" s="100" t="s">
        <v>184</v>
      </c>
      <c r="AG65" s="101">
        <v>0.34</v>
      </c>
      <c r="AH65" s="101" t="s">
        <v>17</v>
      </c>
      <c r="AI65" s="52"/>
      <c r="AJ65" s="52"/>
      <c r="AK65" s="52"/>
      <c r="AL65" s="52"/>
      <c r="AM65" s="52"/>
      <c r="AN65" s="102"/>
      <c r="AO65" s="70"/>
      <c r="AP65" s="100" t="s">
        <v>184</v>
      </c>
      <c r="AQ65" s="101">
        <v>0.34</v>
      </c>
      <c r="AR65" s="101" t="s">
        <v>17</v>
      </c>
      <c r="AS65" s="52"/>
      <c r="AT65" s="52"/>
      <c r="AU65" s="52"/>
      <c r="AV65" s="52"/>
      <c r="AW65" s="52"/>
      <c r="AX65" s="102"/>
      <c r="AY65" s="70"/>
      <c r="AZ65" s="100" t="s">
        <v>184</v>
      </c>
      <c r="BA65" s="101">
        <v>0.34</v>
      </c>
      <c r="BB65" s="101" t="s">
        <v>17</v>
      </c>
      <c r="BC65" s="52"/>
      <c r="BD65" s="52"/>
      <c r="BE65" s="52"/>
      <c r="BF65" s="52"/>
      <c r="BG65" s="52"/>
      <c r="BH65" s="102"/>
      <c r="BJ65" s="100" t="s">
        <v>184</v>
      </c>
      <c r="BK65" s="101">
        <v>0.34</v>
      </c>
      <c r="BL65" s="101" t="s">
        <v>17</v>
      </c>
      <c r="BM65" s="52"/>
      <c r="BN65" s="52"/>
      <c r="BO65" s="52"/>
      <c r="BP65" s="52"/>
      <c r="BQ65" s="52"/>
      <c r="BR65" s="102"/>
      <c r="BT65" s="100" t="s">
        <v>184</v>
      </c>
      <c r="BU65" s="101">
        <v>0.34</v>
      </c>
      <c r="BV65" s="101" t="s">
        <v>17</v>
      </c>
      <c r="BW65" s="52"/>
      <c r="BX65" s="52"/>
      <c r="BY65" s="52"/>
      <c r="BZ65" s="52"/>
      <c r="CA65" s="52"/>
      <c r="CB65" s="102"/>
    </row>
    <row r="66" spans="2:80" x14ac:dyDescent="0.25">
      <c r="B66" s="103" t="s">
        <v>186</v>
      </c>
      <c r="C66" s="5">
        <f>E24</f>
        <v>0.8</v>
      </c>
      <c r="D66" s="5" t="s">
        <v>17</v>
      </c>
      <c r="E66" s="52"/>
      <c r="F66" s="52"/>
      <c r="G66" s="52"/>
      <c r="H66" s="52"/>
      <c r="I66" s="52"/>
      <c r="J66" s="102"/>
      <c r="K66" s="27"/>
      <c r="L66" s="103" t="s">
        <v>186</v>
      </c>
      <c r="M66" s="5">
        <v>0.75</v>
      </c>
      <c r="N66" s="5" t="s">
        <v>17</v>
      </c>
      <c r="O66" s="52"/>
      <c r="P66" s="52"/>
      <c r="Q66" s="52"/>
      <c r="R66" s="52"/>
      <c r="S66" s="52"/>
      <c r="T66" s="102"/>
      <c r="U66" s="70"/>
      <c r="V66" s="103" t="s">
        <v>186</v>
      </c>
      <c r="W66" s="5">
        <v>0.75</v>
      </c>
      <c r="X66" s="5" t="s">
        <v>17</v>
      </c>
      <c r="Y66" s="52"/>
      <c r="Z66" s="52"/>
      <c r="AA66" s="52"/>
      <c r="AB66" s="52"/>
      <c r="AC66" s="52"/>
      <c r="AD66" s="102"/>
      <c r="AE66" s="70"/>
      <c r="AF66" s="103" t="s">
        <v>186</v>
      </c>
      <c r="AG66" s="5">
        <v>0.75</v>
      </c>
      <c r="AH66" s="5" t="s">
        <v>17</v>
      </c>
      <c r="AI66" s="52"/>
      <c r="AJ66" s="52"/>
      <c r="AK66" s="52"/>
      <c r="AL66" s="52"/>
      <c r="AM66" s="52"/>
      <c r="AN66" s="102"/>
      <c r="AO66" s="70"/>
      <c r="AP66" s="103" t="s">
        <v>186</v>
      </c>
      <c r="AQ66" s="5">
        <v>0.75</v>
      </c>
      <c r="AR66" s="5" t="s">
        <v>17</v>
      </c>
      <c r="AS66" s="52"/>
      <c r="AT66" s="52"/>
      <c r="AU66" s="52"/>
      <c r="AV66" s="52"/>
      <c r="AW66" s="52"/>
      <c r="AX66" s="102"/>
      <c r="AY66" s="70"/>
      <c r="AZ66" s="103" t="s">
        <v>186</v>
      </c>
      <c r="BA66" s="5">
        <v>0.75</v>
      </c>
      <c r="BB66" s="5" t="s">
        <v>17</v>
      </c>
      <c r="BC66" s="52"/>
      <c r="BD66" s="52"/>
      <c r="BE66" s="52"/>
      <c r="BF66" s="52"/>
      <c r="BG66" s="52"/>
      <c r="BH66" s="102"/>
      <c r="BJ66" s="103" t="s">
        <v>186</v>
      </c>
      <c r="BK66" s="5">
        <v>0.75</v>
      </c>
      <c r="BL66" s="5" t="s">
        <v>17</v>
      </c>
      <c r="BM66" s="52"/>
      <c r="BN66" s="52"/>
      <c r="BO66" s="52"/>
      <c r="BP66" s="52"/>
      <c r="BQ66" s="52"/>
      <c r="BR66" s="102"/>
      <c r="BT66" s="103" t="s">
        <v>186</v>
      </c>
      <c r="BU66" s="5">
        <v>0.75</v>
      </c>
      <c r="BV66" s="5" t="s">
        <v>17</v>
      </c>
      <c r="BW66" s="52"/>
      <c r="BX66" s="52"/>
      <c r="BY66" s="52"/>
      <c r="BZ66" s="52"/>
      <c r="CA66" s="52"/>
      <c r="CB66" s="102"/>
    </row>
    <row r="67" spans="2:80" x14ac:dyDescent="0.25">
      <c r="B67" s="6" t="s">
        <v>163</v>
      </c>
      <c r="C67" s="5">
        <f>((C66/2)^2+C65^2)/(2*C65)</f>
        <v>0.41666666666666669</v>
      </c>
      <c r="D67" s="5" t="s">
        <v>17</v>
      </c>
      <c r="E67" s="52"/>
      <c r="F67" s="52"/>
      <c r="G67" s="52"/>
      <c r="H67" s="52"/>
      <c r="I67" s="52"/>
      <c r="J67" s="102"/>
      <c r="K67" s="27"/>
      <c r="L67" s="6" t="s">
        <v>163</v>
      </c>
      <c r="M67" s="5">
        <f>((M66/2)^2+M65^2)/(2*M65)</f>
        <v>0.37680147058823532</v>
      </c>
      <c r="N67" s="5" t="s">
        <v>17</v>
      </c>
      <c r="O67" s="52"/>
      <c r="P67" s="52"/>
      <c r="Q67" s="52"/>
      <c r="R67" s="52"/>
      <c r="S67" s="52"/>
      <c r="T67" s="102"/>
      <c r="U67" s="70"/>
      <c r="V67" s="6" t="s">
        <v>163</v>
      </c>
      <c r="W67" s="5">
        <f>((W66/2)^2+W65^2)/(2*W65)</f>
        <v>0.37680147058823532</v>
      </c>
      <c r="X67" s="5" t="s">
        <v>17</v>
      </c>
      <c r="Y67" s="52"/>
      <c r="Z67" s="52"/>
      <c r="AA67" s="52"/>
      <c r="AB67" s="52"/>
      <c r="AC67" s="52"/>
      <c r="AD67" s="102"/>
      <c r="AE67" s="70"/>
      <c r="AF67" s="6" t="s">
        <v>163</v>
      </c>
      <c r="AG67" s="5">
        <f>((AG66/2)^2+AG65^2)/(2*AG65)</f>
        <v>0.37680147058823532</v>
      </c>
      <c r="AH67" s="5" t="s">
        <v>17</v>
      </c>
      <c r="AI67" s="52"/>
      <c r="AJ67" s="52"/>
      <c r="AK67" s="52"/>
      <c r="AL67" s="52"/>
      <c r="AM67" s="52"/>
      <c r="AN67" s="102"/>
      <c r="AO67" s="70"/>
      <c r="AP67" s="6" t="s">
        <v>163</v>
      </c>
      <c r="AQ67" s="5">
        <f>((AQ66/2)^2+AQ65^2)/(2*AQ65)</f>
        <v>0.37680147058823532</v>
      </c>
      <c r="AR67" s="5" t="s">
        <v>17</v>
      </c>
      <c r="AS67" s="52"/>
      <c r="AT67" s="52"/>
      <c r="AU67" s="52"/>
      <c r="AV67" s="52"/>
      <c r="AW67" s="52"/>
      <c r="AX67" s="102"/>
      <c r="AY67" s="70"/>
      <c r="AZ67" s="6" t="s">
        <v>163</v>
      </c>
      <c r="BA67" s="5">
        <f>((BA66/2)^2+BA65^2)/(2*BA65)</f>
        <v>0.37680147058823532</v>
      </c>
      <c r="BB67" s="5" t="s">
        <v>17</v>
      </c>
      <c r="BC67" s="52"/>
      <c r="BD67" s="52"/>
      <c r="BE67" s="52"/>
      <c r="BF67" s="52"/>
      <c r="BG67" s="52"/>
      <c r="BH67" s="102"/>
      <c r="BJ67" s="6" t="s">
        <v>163</v>
      </c>
      <c r="BK67" s="5">
        <f>((BK66/2)^2+BK65^2)/(2*BK65)</f>
        <v>0.37680147058823532</v>
      </c>
      <c r="BL67" s="5" t="s">
        <v>17</v>
      </c>
      <c r="BM67" s="52"/>
      <c r="BN67" s="52"/>
      <c r="BO67" s="52"/>
      <c r="BP67" s="52"/>
      <c r="BQ67" s="52"/>
      <c r="BR67" s="102"/>
      <c r="BT67" s="6" t="s">
        <v>163</v>
      </c>
      <c r="BU67" s="5">
        <f>((BU66/2)^2+BU65^2)/(2*BU65)</f>
        <v>0.37680147058823532</v>
      </c>
      <c r="BV67" s="5" t="s">
        <v>17</v>
      </c>
      <c r="BW67" s="52"/>
      <c r="BX67" s="52"/>
      <c r="BY67" s="52"/>
      <c r="BZ67" s="52"/>
      <c r="CA67" s="52"/>
      <c r="CB67" s="102"/>
    </row>
    <row r="68" spans="2:80" x14ac:dyDescent="0.25">
      <c r="B68" s="104"/>
      <c r="C68" s="29"/>
      <c r="D68" s="29"/>
      <c r="E68" s="52"/>
      <c r="F68" s="5" t="s">
        <v>195</v>
      </c>
      <c r="G68" s="5">
        <f>PI()*(C66/2)^2</f>
        <v>0.50265482457436694</v>
      </c>
      <c r="H68" s="52"/>
      <c r="I68" s="52"/>
      <c r="J68" s="102"/>
      <c r="K68" s="27"/>
      <c r="L68" s="104"/>
      <c r="M68" s="29"/>
      <c r="N68" s="29"/>
      <c r="O68" s="52"/>
      <c r="P68" s="5" t="s">
        <v>195</v>
      </c>
      <c r="Q68" s="5">
        <f>PI()*(M66/2)^2</f>
        <v>0.44178646691106466</v>
      </c>
      <c r="R68" s="52"/>
      <c r="S68" s="52"/>
      <c r="T68" s="102"/>
      <c r="U68" s="70"/>
      <c r="V68" s="104"/>
      <c r="W68" s="29"/>
      <c r="X68" s="29"/>
      <c r="Y68" s="52"/>
      <c r="Z68" s="5" t="s">
        <v>195</v>
      </c>
      <c r="AA68" s="5">
        <f>PI()*(W66/2)^2</f>
        <v>0.44178646691106466</v>
      </c>
      <c r="AB68" s="52"/>
      <c r="AC68" s="52"/>
      <c r="AD68" s="102"/>
      <c r="AE68" s="70"/>
      <c r="AF68" s="104"/>
      <c r="AG68" s="29"/>
      <c r="AH68" s="29"/>
      <c r="AI68" s="52"/>
      <c r="AJ68" s="5" t="s">
        <v>195</v>
      </c>
      <c r="AK68" s="5">
        <f>PI()*(AG66/2)^2</f>
        <v>0.44178646691106466</v>
      </c>
      <c r="AL68" s="52"/>
      <c r="AM68" s="52"/>
      <c r="AN68" s="102"/>
      <c r="AO68" s="70"/>
      <c r="AP68" s="104"/>
      <c r="AQ68" s="29"/>
      <c r="AR68" s="29"/>
      <c r="AS68" s="52"/>
      <c r="AT68" s="5" t="s">
        <v>195</v>
      </c>
      <c r="AU68" s="5">
        <f>PI()*(AQ66/2)^2</f>
        <v>0.44178646691106466</v>
      </c>
      <c r="AV68" s="52"/>
      <c r="AW68" s="52"/>
      <c r="AX68" s="102"/>
      <c r="AY68" s="70"/>
      <c r="AZ68" s="104"/>
      <c r="BA68" s="29"/>
      <c r="BB68" s="29"/>
      <c r="BC68" s="52"/>
      <c r="BD68" s="5" t="s">
        <v>195</v>
      </c>
      <c r="BE68" s="5">
        <f>PI()*(BA66/2)^2</f>
        <v>0.44178646691106466</v>
      </c>
      <c r="BF68" s="52"/>
      <c r="BG68" s="52"/>
      <c r="BH68" s="102"/>
      <c r="BJ68" s="104"/>
      <c r="BK68" s="29"/>
      <c r="BL68" s="29"/>
      <c r="BM68" s="52"/>
      <c r="BN68" s="5" t="s">
        <v>195</v>
      </c>
      <c r="BO68" s="5">
        <f>PI()*(BK66/2)^2</f>
        <v>0.44178646691106466</v>
      </c>
      <c r="BP68" s="52"/>
      <c r="BQ68" s="52"/>
      <c r="BR68" s="102"/>
      <c r="BT68" s="104"/>
      <c r="BU68" s="29"/>
      <c r="BV68" s="29"/>
      <c r="BW68" s="52"/>
      <c r="BX68" s="5" t="s">
        <v>195</v>
      </c>
      <c r="BY68" s="5">
        <f>PI()*(BU66/2)^2</f>
        <v>0.44178646691106466</v>
      </c>
      <c r="BZ68" s="52"/>
      <c r="CA68" s="52"/>
      <c r="CB68" s="102"/>
    </row>
    <row r="69" spans="2:80" x14ac:dyDescent="0.25">
      <c r="B69" s="6" t="s">
        <v>198</v>
      </c>
      <c r="C69" s="5">
        <f>E25</f>
        <v>0.5</v>
      </c>
      <c r="D69" s="5" t="s">
        <v>17</v>
      </c>
      <c r="E69" s="52"/>
      <c r="F69" s="5" t="s">
        <v>199</v>
      </c>
      <c r="G69" s="5">
        <f>C66+2*(C69/TAN(C70))</f>
        <v>1.2040262258351568</v>
      </c>
      <c r="H69" s="52"/>
      <c r="I69" s="52"/>
      <c r="J69" s="102"/>
      <c r="K69" s="27"/>
      <c r="L69" s="6" t="s">
        <v>198</v>
      </c>
      <c r="M69" s="5">
        <v>0.5</v>
      </c>
      <c r="N69" s="5" t="s">
        <v>17</v>
      </c>
      <c r="O69" s="52"/>
      <c r="P69" s="5" t="s">
        <v>199</v>
      </c>
      <c r="Q69" s="5">
        <f>M66+2*(M69/TAN(M70))</f>
        <v>1.1540262258351568</v>
      </c>
      <c r="R69" s="52"/>
      <c r="S69" s="52"/>
      <c r="T69" s="102"/>
      <c r="U69" s="70"/>
      <c r="V69" s="6" t="s">
        <v>198</v>
      </c>
      <c r="W69" s="5">
        <v>0.5</v>
      </c>
      <c r="X69" s="5" t="s">
        <v>17</v>
      </c>
      <c r="Y69" s="52"/>
      <c r="Z69" s="5" t="s">
        <v>199</v>
      </c>
      <c r="AA69" s="5">
        <f>W66+2*(W69/TAN(W70))</f>
        <v>1.1540262258351568</v>
      </c>
      <c r="AB69" s="52"/>
      <c r="AC69" s="52"/>
      <c r="AD69" s="102"/>
      <c r="AE69" s="70"/>
      <c r="AF69" s="6" t="s">
        <v>198</v>
      </c>
      <c r="AG69" s="5">
        <v>0.5</v>
      </c>
      <c r="AH69" s="5" t="s">
        <v>17</v>
      </c>
      <c r="AI69" s="52"/>
      <c r="AJ69" s="5" t="s">
        <v>199</v>
      </c>
      <c r="AK69" s="5">
        <f>AG66+2*(AG69/TAN(AG70))</f>
        <v>1.1540262258351568</v>
      </c>
      <c r="AL69" s="52"/>
      <c r="AM69" s="52"/>
      <c r="AN69" s="102"/>
      <c r="AO69" s="70"/>
      <c r="AP69" s="6" t="s">
        <v>198</v>
      </c>
      <c r="AQ69" s="5">
        <v>0.5</v>
      </c>
      <c r="AR69" s="5" t="s">
        <v>17</v>
      </c>
      <c r="AS69" s="52"/>
      <c r="AT69" s="5" t="s">
        <v>199</v>
      </c>
      <c r="AU69" s="5">
        <f>AQ66+2*(AQ69/TAN(AQ70))</f>
        <v>1.1540262258351568</v>
      </c>
      <c r="AV69" s="52"/>
      <c r="AW69" s="52"/>
      <c r="AX69" s="102"/>
      <c r="AY69" s="70"/>
      <c r="AZ69" s="6" t="s">
        <v>198</v>
      </c>
      <c r="BA69" s="5">
        <v>0.5</v>
      </c>
      <c r="BB69" s="5" t="s">
        <v>17</v>
      </c>
      <c r="BC69" s="52"/>
      <c r="BD69" s="5" t="s">
        <v>199</v>
      </c>
      <c r="BE69" s="5">
        <f>BA66+2*(BA69/TAN(BA70))</f>
        <v>1.1540262258351568</v>
      </c>
      <c r="BF69" s="52"/>
      <c r="BG69" s="52"/>
      <c r="BH69" s="102"/>
      <c r="BJ69" s="6" t="s">
        <v>198</v>
      </c>
      <c r="BK69" s="5">
        <v>0.5</v>
      </c>
      <c r="BL69" s="5" t="s">
        <v>17</v>
      </c>
      <c r="BM69" s="52"/>
      <c r="BN69" s="5" t="s">
        <v>199</v>
      </c>
      <c r="BO69" s="5">
        <f>BK66+2*(BK69/TAN(BK70))</f>
        <v>1.1540262258351568</v>
      </c>
      <c r="BP69" s="52"/>
      <c r="BQ69" s="52"/>
      <c r="BR69" s="102"/>
      <c r="BT69" s="6" t="s">
        <v>198</v>
      </c>
      <c r="BU69" s="5">
        <v>0.5</v>
      </c>
      <c r="BV69" s="5" t="s">
        <v>17</v>
      </c>
      <c r="BW69" s="52"/>
      <c r="BX69" s="5" t="s">
        <v>199</v>
      </c>
      <c r="BY69" s="5">
        <f>BU66+2*(BU69/TAN(BU70))</f>
        <v>1.1540262258351568</v>
      </c>
      <c r="BZ69" s="52"/>
      <c r="CA69" s="52"/>
      <c r="CB69" s="102"/>
    </row>
    <row r="70" spans="2:80" ht="15.75" x14ac:dyDescent="0.25">
      <c r="B70" s="6" t="s">
        <v>194</v>
      </c>
      <c r="C70" s="5">
        <f>E26*PI()/180</f>
        <v>1.1868238913561442</v>
      </c>
      <c r="D70" s="5" t="s">
        <v>192</v>
      </c>
      <c r="E70" s="52"/>
      <c r="F70" s="5" t="s">
        <v>202</v>
      </c>
      <c r="G70" s="5">
        <f>G69^2</f>
        <v>1.4496791524988522</v>
      </c>
      <c r="H70" s="52"/>
      <c r="I70" s="52"/>
      <c r="J70" s="102"/>
      <c r="K70" s="27"/>
      <c r="L70" s="6" t="s">
        <v>194</v>
      </c>
      <c r="M70" s="5">
        <f>68*PI()/180</f>
        <v>1.1868238913561442</v>
      </c>
      <c r="N70" s="5" t="s">
        <v>192</v>
      </c>
      <c r="O70" s="52"/>
      <c r="P70" s="5" t="s">
        <v>202</v>
      </c>
      <c r="Q70" s="5">
        <f>Q69^2</f>
        <v>1.3317765299153363</v>
      </c>
      <c r="R70" s="52"/>
      <c r="S70" s="52"/>
      <c r="T70" s="102"/>
      <c r="U70" s="70"/>
      <c r="V70" s="6" t="s">
        <v>194</v>
      </c>
      <c r="W70" s="5">
        <f>68*PI()/180</f>
        <v>1.1868238913561442</v>
      </c>
      <c r="X70" s="5" t="s">
        <v>192</v>
      </c>
      <c r="Y70" s="52"/>
      <c r="Z70" s="5" t="s">
        <v>202</v>
      </c>
      <c r="AA70" s="5">
        <f>AA69^2</f>
        <v>1.3317765299153363</v>
      </c>
      <c r="AB70" s="52"/>
      <c r="AC70" s="52"/>
      <c r="AD70" s="102"/>
      <c r="AE70" s="70"/>
      <c r="AF70" s="6" t="s">
        <v>194</v>
      </c>
      <c r="AG70" s="5">
        <f>68*PI()/180</f>
        <v>1.1868238913561442</v>
      </c>
      <c r="AH70" s="5" t="s">
        <v>192</v>
      </c>
      <c r="AI70" s="52"/>
      <c r="AJ70" s="5" t="s">
        <v>202</v>
      </c>
      <c r="AK70" s="5">
        <f>AK69^2</f>
        <v>1.3317765299153363</v>
      </c>
      <c r="AL70" s="52"/>
      <c r="AM70" s="52"/>
      <c r="AN70" s="102"/>
      <c r="AO70" s="70"/>
      <c r="AP70" s="6" t="s">
        <v>194</v>
      </c>
      <c r="AQ70" s="5">
        <f>68*PI()/180</f>
        <v>1.1868238913561442</v>
      </c>
      <c r="AR70" s="5" t="s">
        <v>192</v>
      </c>
      <c r="AS70" s="52"/>
      <c r="AT70" s="5" t="s">
        <v>202</v>
      </c>
      <c r="AU70" s="5">
        <f>AU69^2</f>
        <v>1.3317765299153363</v>
      </c>
      <c r="AV70" s="52"/>
      <c r="AW70" s="52"/>
      <c r="AX70" s="102"/>
      <c r="AY70" s="70"/>
      <c r="AZ70" s="6" t="s">
        <v>194</v>
      </c>
      <c r="BA70" s="5">
        <f>68*PI()/180</f>
        <v>1.1868238913561442</v>
      </c>
      <c r="BB70" s="5" t="s">
        <v>192</v>
      </c>
      <c r="BC70" s="52"/>
      <c r="BD70" s="5" t="s">
        <v>202</v>
      </c>
      <c r="BE70" s="5">
        <f>BE69^2</f>
        <v>1.3317765299153363</v>
      </c>
      <c r="BF70" s="52"/>
      <c r="BG70" s="52"/>
      <c r="BH70" s="102"/>
      <c r="BJ70" s="6" t="s">
        <v>194</v>
      </c>
      <c r="BK70" s="5">
        <f>68*PI()/180</f>
        <v>1.1868238913561442</v>
      </c>
      <c r="BL70" s="5" t="s">
        <v>192</v>
      </c>
      <c r="BM70" s="52"/>
      <c r="BN70" s="5" t="s">
        <v>202</v>
      </c>
      <c r="BO70" s="5">
        <f>BO69^2</f>
        <v>1.3317765299153363</v>
      </c>
      <c r="BP70" s="52"/>
      <c r="BQ70" s="52"/>
      <c r="BR70" s="102"/>
      <c r="BT70" s="6" t="s">
        <v>194</v>
      </c>
      <c r="BU70" s="5">
        <f>68*PI()/180</f>
        <v>1.1868238913561442</v>
      </c>
      <c r="BV70" s="5" t="s">
        <v>192</v>
      </c>
      <c r="BW70" s="52"/>
      <c r="BX70" s="5" t="s">
        <v>202</v>
      </c>
      <c r="BY70" s="5">
        <f>BY69^2</f>
        <v>1.3317765299153363</v>
      </c>
      <c r="BZ70" s="52"/>
      <c r="CA70" s="52"/>
      <c r="CB70" s="102"/>
    </row>
    <row r="71" spans="2:80" x14ac:dyDescent="0.25">
      <c r="B71" s="104"/>
      <c r="C71" s="29"/>
      <c r="D71" s="29"/>
      <c r="E71" s="52"/>
      <c r="F71" s="5" t="s">
        <v>207</v>
      </c>
      <c r="G71" s="5">
        <f>(C69*(G68+G70+SQRT(G68*G70)))/3</f>
        <v>0.46766105755038706</v>
      </c>
      <c r="H71" s="52"/>
      <c r="I71" s="52"/>
      <c r="J71" s="102"/>
      <c r="K71" s="27"/>
      <c r="L71" s="104"/>
      <c r="M71" s="29"/>
      <c r="N71" s="29"/>
      <c r="O71" s="52"/>
      <c r="P71" s="5" t="s">
        <v>207</v>
      </c>
      <c r="Q71" s="5">
        <f>(M69*(Q68+Q70+SQRT(Q68*Q70)))/3</f>
        <v>0.42343497205611785</v>
      </c>
      <c r="R71" s="52"/>
      <c r="S71" s="52"/>
      <c r="T71" s="102"/>
      <c r="U71" s="70"/>
      <c r="V71" s="104"/>
      <c r="W71" s="29"/>
      <c r="X71" s="29"/>
      <c r="Y71" s="52"/>
      <c r="Z71" s="5" t="s">
        <v>207</v>
      </c>
      <c r="AA71" s="5">
        <f>(W69*(AA68+AA70+SQRT(AA68*AA70)))/3</f>
        <v>0.42343497205611785</v>
      </c>
      <c r="AB71" s="52"/>
      <c r="AC71" s="52"/>
      <c r="AD71" s="102"/>
      <c r="AE71" s="70"/>
      <c r="AF71" s="104"/>
      <c r="AG71" s="29"/>
      <c r="AH71" s="29"/>
      <c r="AI71" s="52"/>
      <c r="AJ71" s="5" t="s">
        <v>207</v>
      </c>
      <c r="AK71" s="5">
        <f>(AG69*(AK68+AK70+SQRT(AK68*AK70)))/3</f>
        <v>0.42343497205611785</v>
      </c>
      <c r="AL71" s="52"/>
      <c r="AM71" s="52"/>
      <c r="AN71" s="102"/>
      <c r="AO71" s="70"/>
      <c r="AP71" s="104"/>
      <c r="AQ71" s="29"/>
      <c r="AR71" s="29"/>
      <c r="AS71" s="52"/>
      <c r="AT71" s="5" t="s">
        <v>207</v>
      </c>
      <c r="AU71" s="5">
        <f>(AQ69*(AU68+AU70+SQRT(AU68*AU70)))/3</f>
        <v>0.42343497205611785</v>
      </c>
      <c r="AV71" s="52"/>
      <c r="AW71" s="52"/>
      <c r="AX71" s="102"/>
      <c r="AY71" s="70"/>
      <c r="AZ71" s="104"/>
      <c r="BA71" s="29"/>
      <c r="BB71" s="29"/>
      <c r="BC71" s="52"/>
      <c r="BD71" s="5" t="s">
        <v>207</v>
      </c>
      <c r="BE71" s="5">
        <f>(BA69*(BE68+BE70+SQRT(BE68*BE70)))/3</f>
        <v>0.42343497205611785</v>
      </c>
      <c r="BF71" s="52"/>
      <c r="BG71" s="52"/>
      <c r="BH71" s="102"/>
      <c r="BJ71" s="104"/>
      <c r="BK71" s="29"/>
      <c r="BL71" s="29"/>
      <c r="BM71" s="52"/>
      <c r="BN71" s="5" t="s">
        <v>207</v>
      </c>
      <c r="BO71" s="5">
        <f>(BK69*(BO68+BO70+SQRT(BO68*BO70)))/3</f>
        <v>0.42343497205611785</v>
      </c>
      <c r="BP71" s="52"/>
      <c r="BQ71" s="52"/>
      <c r="BR71" s="102"/>
      <c r="BT71" s="104"/>
      <c r="BU71" s="29"/>
      <c r="BV71" s="29"/>
      <c r="BW71" s="52"/>
      <c r="BX71" s="5" t="s">
        <v>207</v>
      </c>
      <c r="BY71" s="5">
        <f>(BU69*(BY68+BY70+SQRT(BY68*BY70)))/3</f>
        <v>0.42343497205611785</v>
      </c>
      <c r="BZ71" s="52"/>
      <c r="CA71" s="52"/>
      <c r="CB71" s="102"/>
    </row>
    <row r="72" spans="2:80" x14ac:dyDescent="0.25">
      <c r="B72" s="6" t="s">
        <v>212</v>
      </c>
      <c r="C72" s="5">
        <f>(PI()*C65^2*(3*C67-C65))/3</f>
        <v>8.95353906273091E-2</v>
      </c>
      <c r="D72" s="5" t="s">
        <v>204</v>
      </c>
      <c r="E72" s="52"/>
      <c r="F72" s="52"/>
      <c r="G72" s="52"/>
      <c r="H72" s="52"/>
      <c r="I72" s="52"/>
      <c r="J72" s="102"/>
      <c r="K72" s="27"/>
      <c r="L72" s="6" t="s">
        <v>212</v>
      </c>
      <c r="M72" s="5">
        <f>(PI()*M65^2*(3*M67-M65))/3</f>
        <v>9.5683225650996531E-2</v>
      </c>
      <c r="N72" s="5" t="s">
        <v>204</v>
      </c>
      <c r="O72" s="52"/>
      <c r="P72" s="52"/>
      <c r="Q72" s="52"/>
      <c r="R72" s="52"/>
      <c r="S72" s="52"/>
      <c r="T72" s="102"/>
      <c r="U72" s="70"/>
      <c r="V72" s="6" t="s">
        <v>212</v>
      </c>
      <c r="W72" s="5">
        <f>(PI()*W65^2*(3*W67-W65))/3</f>
        <v>9.5683225650996531E-2</v>
      </c>
      <c r="X72" s="5" t="s">
        <v>204</v>
      </c>
      <c r="Y72" s="52"/>
      <c r="Z72" s="52"/>
      <c r="AA72" s="52"/>
      <c r="AB72" s="52"/>
      <c r="AC72" s="52"/>
      <c r="AD72" s="102"/>
      <c r="AE72" s="70"/>
      <c r="AF72" s="6" t="s">
        <v>212</v>
      </c>
      <c r="AG72" s="5">
        <f>(PI()*AG65^2*(3*AG67-AG65))/3</f>
        <v>9.5683225650996531E-2</v>
      </c>
      <c r="AH72" s="5" t="s">
        <v>204</v>
      </c>
      <c r="AI72" s="52"/>
      <c r="AJ72" s="52"/>
      <c r="AK72" s="52"/>
      <c r="AL72" s="52"/>
      <c r="AM72" s="52"/>
      <c r="AN72" s="102"/>
      <c r="AO72" s="70"/>
      <c r="AP72" s="6" t="s">
        <v>212</v>
      </c>
      <c r="AQ72" s="5">
        <f>(PI()*AQ65^2*(3*AQ67-AQ65))/3</f>
        <v>9.5683225650996531E-2</v>
      </c>
      <c r="AR72" s="5" t="s">
        <v>204</v>
      </c>
      <c r="AS72" s="52"/>
      <c r="AT72" s="52"/>
      <c r="AU72" s="52"/>
      <c r="AV72" s="52"/>
      <c r="AW72" s="52"/>
      <c r="AX72" s="102"/>
      <c r="AY72" s="70"/>
      <c r="AZ72" s="6" t="s">
        <v>212</v>
      </c>
      <c r="BA72" s="5">
        <f>(PI()*BA65^2*(3*BA67-BA65))/3</f>
        <v>9.5683225650996531E-2</v>
      </c>
      <c r="BB72" s="5" t="s">
        <v>204</v>
      </c>
      <c r="BC72" s="52"/>
      <c r="BD72" s="52"/>
      <c r="BE72" s="52"/>
      <c r="BF72" s="52"/>
      <c r="BG72" s="52"/>
      <c r="BH72" s="102"/>
      <c r="BJ72" s="6" t="s">
        <v>212</v>
      </c>
      <c r="BK72" s="5">
        <f>(PI()*BK65^2*(3*BK67-BK65))/3</f>
        <v>9.5683225650996531E-2</v>
      </c>
      <c r="BL72" s="5" t="s">
        <v>204</v>
      </c>
      <c r="BM72" s="52"/>
      <c r="BN72" s="52"/>
      <c r="BO72" s="52"/>
      <c r="BP72" s="52"/>
      <c r="BQ72" s="52"/>
      <c r="BR72" s="102"/>
      <c r="BT72" s="6" t="s">
        <v>212</v>
      </c>
      <c r="BU72" s="5">
        <f>(PI()*BU65^2*(3*BU67-BU65))/3</f>
        <v>9.5683225650996531E-2</v>
      </c>
      <c r="BV72" s="5" t="s">
        <v>204</v>
      </c>
      <c r="BW72" s="52"/>
      <c r="BX72" s="52"/>
      <c r="BY72" s="52"/>
      <c r="BZ72" s="52"/>
      <c r="CA72" s="52"/>
      <c r="CB72" s="102"/>
    </row>
    <row r="73" spans="2:80" x14ac:dyDescent="0.25">
      <c r="B73" s="104"/>
      <c r="C73" s="29"/>
      <c r="D73" s="29"/>
      <c r="E73" s="52"/>
      <c r="F73" s="52"/>
      <c r="G73" s="52"/>
      <c r="H73" s="52"/>
      <c r="I73" s="52"/>
      <c r="J73" s="102"/>
      <c r="K73" s="27"/>
      <c r="L73" s="104"/>
      <c r="M73" s="29"/>
      <c r="N73" s="29"/>
      <c r="O73" s="52"/>
      <c r="P73" s="52"/>
      <c r="Q73" s="52"/>
      <c r="R73" s="52"/>
      <c r="S73" s="52"/>
      <c r="T73" s="102"/>
      <c r="U73" s="70"/>
      <c r="V73" s="104"/>
      <c r="W73" s="29"/>
      <c r="X73" s="29"/>
      <c r="Y73" s="52"/>
      <c r="Z73" s="52"/>
      <c r="AA73" s="52"/>
      <c r="AB73" s="52"/>
      <c r="AC73" s="52"/>
      <c r="AD73" s="102"/>
      <c r="AE73" s="70"/>
      <c r="AF73" s="104"/>
      <c r="AG73" s="29"/>
      <c r="AH73" s="29"/>
      <c r="AI73" s="52"/>
      <c r="AJ73" s="52"/>
      <c r="AK73" s="52"/>
      <c r="AL73" s="52"/>
      <c r="AM73" s="52"/>
      <c r="AN73" s="102"/>
      <c r="AO73" s="70"/>
      <c r="AP73" s="104"/>
      <c r="AQ73" s="29"/>
      <c r="AR73" s="29"/>
      <c r="AS73" s="52"/>
      <c r="AT73" s="52"/>
      <c r="AU73" s="52"/>
      <c r="AV73" s="52"/>
      <c r="AW73" s="52"/>
      <c r="AX73" s="102"/>
      <c r="AY73" s="70"/>
      <c r="AZ73" s="104"/>
      <c r="BA73" s="29"/>
      <c r="BB73" s="29"/>
      <c r="BC73" s="52"/>
      <c r="BD73" s="52"/>
      <c r="BE73" s="52"/>
      <c r="BF73" s="52"/>
      <c r="BG73" s="52"/>
      <c r="BH73" s="102"/>
      <c r="BJ73" s="104"/>
      <c r="BK73" s="29"/>
      <c r="BL73" s="29"/>
      <c r="BM73" s="52"/>
      <c r="BN73" s="52"/>
      <c r="BO73" s="52"/>
      <c r="BP73" s="52"/>
      <c r="BQ73" s="52"/>
      <c r="BR73" s="102"/>
      <c r="BT73" s="104"/>
      <c r="BU73" s="29"/>
      <c r="BV73" s="29"/>
      <c r="BW73" s="52"/>
      <c r="BX73" s="52"/>
      <c r="BY73" s="52"/>
      <c r="BZ73" s="52"/>
      <c r="CA73" s="52"/>
      <c r="CB73" s="102"/>
    </row>
    <row r="74" spans="2:80" x14ac:dyDescent="0.25">
      <c r="B74" s="6" t="s">
        <v>223</v>
      </c>
      <c r="C74" s="5">
        <f>G71</f>
        <v>0.46766105755038706</v>
      </c>
      <c r="D74" s="5" t="s">
        <v>204</v>
      </c>
      <c r="E74" s="52"/>
      <c r="F74" s="52"/>
      <c r="G74" s="52"/>
      <c r="H74" s="52"/>
      <c r="I74" s="52"/>
      <c r="J74" s="102"/>
      <c r="K74" s="27"/>
      <c r="L74" s="6" t="s">
        <v>223</v>
      </c>
      <c r="M74" s="5">
        <f>Q71</f>
        <v>0.42343497205611785</v>
      </c>
      <c r="N74" s="5" t="s">
        <v>204</v>
      </c>
      <c r="O74" s="52"/>
      <c r="P74" s="52"/>
      <c r="Q74" s="52"/>
      <c r="R74" s="52"/>
      <c r="S74" s="52"/>
      <c r="T74" s="102"/>
      <c r="U74" s="70"/>
      <c r="V74" s="6" t="s">
        <v>223</v>
      </c>
      <c r="W74" s="5">
        <f>AA71</f>
        <v>0.42343497205611785</v>
      </c>
      <c r="X74" s="5" t="s">
        <v>204</v>
      </c>
      <c r="Y74" s="52"/>
      <c r="Z74" s="52"/>
      <c r="AA74" s="52"/>
      <c r="AB74" s="52"/>
      <c r="AC74" s="52"/>
      <c r="AD74" s="102"/>
      <c r="AE74" s="70"/>
      <c r="AF74" s="6" t="s">
        <v>223</v>
      </c>
      <c r="AG74" s="5">
        <f>AK71</f>
        <v>0.42343497205611785</v>
      </c>
      <c r="AH74" s="5" t="s">
        <v>204</v>
      </c>
      <c r="AI74" s="52"/>
      <c r="AJ74" s="52"/>
      <c r="AK74" s="52"/>
      <c r="AL74" s="52"/>
      <c r="AM74" s="52"/>
      <c r="AN74" s="102"/>
      <c r="AO74" s="70"/>
      <c r="AP74" s="6" t="s">
        <v>223</v>
      </c>
      <c r="AQ74" s="5">
        <f>AU71</f>
        <v>0.42343497205611785</v>
      </c>
      <c r="AR74" s="5" t="s">
        <v>204</v>
      </c>
      <c r="AS74" s="52"/>
      <c r="AT74" s="52"/>
      <c r="AU74" s="52"/>
      <c r="AV74" s="52"/>
      <c r="AW74" s="52"/>
      <c r="AX74" s="102"/>
      <c r="AY74" s="70"/>
      <c r="AZ74" s="6" t="s">
        <v>223</v>
      </c>
      <c r="BA74" s="5">
        <f>BE71</f>
        <v>0.42343497205611785</v>
      </c>
      <c r="BB74" s="5" t="s">
        <v>204</v>
      </c>
      <c r="BC74" s="52"/>
      <c r="BD74" s="52"/>
      <c r="BE74" s="52"/>
      <c r="BF74" s="52"/>
      <c r="BG74" s="52"/>
      <c r="BH74" s="102"/>
      <c r="BJ74" s="6" t="s">
        <v>223</v>
      </c>
      <c r="BK74" s="5">
        <f>BO71</f>
        <v>0.42343497205611785</v>
      </c>
      <c r="BL74" s="5" t="s">
        <v>204</v>
      </c>
      <c r="BM74" s="52"/>
      <c r="BN74" s="52"/>
      <c r="BO74" s="52"/>
      <c r="BP74" s="52"/>
      <c r="BQ74" s="52"/>
      <c r="BR74" s="102"/>
      <c r="BT74" s="6" t="s">
        <v>223</v>
      </c>
      <c r="BU74" s="5">
        <f>BY71</f>
        <v>0.42343497205611785</v>
      </c>
      <c r="BV74" s="5" t="s">
        <v>204</v>
      </c>
      <c r="BW74" s="52"/>
      <c r="BX74" s="52"/>
      <c r="BY74" s="52"/>
      <c r="BZ74" s="52"/>
      <c r="CA74" s="52"/>
      <c r="CB74" s="102"/>
    </row>
    <row r="75" spans="2:80" x14ac:dyDescent="0.25">
      <c r="B75" s="104"/>
      <c r="C75" s="29"/>
      <c r="D75" s="29"/>
      <c r="E75" s="52"/>
      <c r="F75" s="52"/>
      <c r="G75" s="52"/>
      <c r="H75" s="52"/>
      <c r="I75" s="52"/>
      <c r="J75" s="102"/>
      <c r="K75" s="27"/>
      <c r="L75" s="104"/>
      <c r="M75" s="29"/>
      <c r="N75" s="29"/>
      <c r="O75" s="52"/>
      <c r="P75" s="52"/>
      <c r="Q75" s="52"/>
      <c r="R75" s="52"/>
      <c r="S75" s="52"/>
      <c r="T75" s="102"/>
      <c r="U75" s="70"/>
      <c r="V75" s="104"/>
      <c r="W75" s="29"/>
      <c r="X75" s="29"/>
      <c r="Y75" s="52"/>
      <c r="Z75" s="52"/>
      <c r="AA75" s="52"/>
      <c r="AB75" s="52"/>
      <c r="AC75" s="52"/>
      <c r="AD75" s="102"/>
      <c r="AE75" s="70"/>
      <c r="AF75" s="104"/>
      <c r="AG75" s="29"/>
      <c r="AH75" s="29"/>
      <c r="AI75" s="52"/>
      <c r="AJ75" s="52"/>
      <c r="AK75" s="52"/>
      <c r="AL75" s="52"/>
      <c r="AM75" s="52"/>
      <c r="AN75" s="102"/>
      <c r="AO75" s="70"/>
      <c r="AP75" s="104"/>
      <c r="AQ75" s="29"/>
      <c r="AR75" s="29"/>
      <c r="AS75" s="52"/>
      <c r="AT75" s="52"/>
      <c r="AU75" s="52"/>
      <c r="AV75" s="52"/>
      <c r="AW75" s="52"/>
      <c r="AX75" s="102"/>
      <c r="AY75" s="70"/>
      <c r="AZ75" s="104"/>
      <c r="BA75" s="29"/>
      <c r="BB75" s="29"/>
      <c r="BC75" s="52"/>
      <c r="BD75" s="52"/>
      <c r="BE75" s="52"/>
      <c r="BF75" s="52"/>
      <c r="BG75" s="52"/>
      <c r="BH75" s="102"/>
      <c r="BJ75" s="104"/>
      <c r="BK75" s="29"/>
      <c r="BL75" s="29"/>
      <c r="BM75" s="52"/>
      <c r="BN75" s="52"/>
      <c r="BO75" s="52"/>
      <c r="BP75" s="52"/>
      <c r="BQ75" s="52"/>
      <c r="BR75" s="102"/>
      <c r="BT75" s="104"/>
      <c r="BU75" s="29"/>
      <c r="BV75" s="29"/>
      <c r="BW75" s="52"/>
      <c r="BX75" s="52"/>
      <c r="BY75" s="52"/>
      <c r="BZ75" s="52"/>
      <c r="CA75" s="52"/>
      <c r="CB75" s="102"/>
    </row>
    <row r="76" spans="2:80" x14ac:dyDescent="0.25">
      <c r="B76" s="6" t="s">
        <v>227</v>
      </c>
      <c r="C76" s="5">
        <f>C74+C72</f>
        <v>0.5571964481776962</v>
      </c>
      <c r="D76" s="5" t="s">
        <v>204</v>
      </c>
      <c r="E76" s="52"/>
      <c r="F76" s="29"/>
      <c r="G76" s="29"/>
      <c r="H76" s="29"/>
      <c r="I76" s="52"/>
      <c r="J76" s="102"/>
      <c r="K76" s="27"/>
      <c r="L76" s="6" t="s">
        <v>227</v>
      </c>
      <c r="M76" s="5">
        <f>M74+M72</f>
        <v>0.51911819770711443</v>
      </c>
      <c r="N76" s="5" t="s">
        <v>204</v>
      </c>
      <c r="O76" s="52"/>
      <c r="P76" s="29"/>
      <c r="Q76" s="29"/>
      <c r="R76" s="29"/>
      <c r="S76" s="52"/>
      <c r="T76" s="102"/>
      <c r="U76" s="70"/>
      <c r="V76" s="6" t="s">
        <v>227</v>
      </c>
      <c r="W76" s="5">
        <f>W74+W72</f>
        <v>0.51911819770711443</v>
      </c>
      <c r="X76" s="5" t="s">
        <v>204</v>
      </c>
      <c r="Y76" s="52"/>
      <c r="Z76" s="29"/>
      <c r="AA76" s="29"/>
      <c r="AB76" s="29"/>
      <c r="AC76" s="52"/>
      <c r="AD76" s="102"/>
      <c r="AE76" s="70"/>
      <c r="AF76" s="6" t="s">
        <v>227</v>
      </c>
      <c r="AG76" s="5">
        <f>AG74+AG72</f>
        <v>0.51911819770711443</v>
      </c>
      <c r="AH76" s="5" t="s">
        <v>204</v>
      </c>
      <c r="AI76" s="52"/>
      <c r="AJ76" s="29"/>
      <c r="AK76" s="29"/>
      <c r="AL76" s="29"/>
      <c r="AM76" s="52"/>
      <c r="AN76" s="102"/>
      <c r="AO76" s="70"/>
      <c r="AP76" s="6" t="s">
        <v>227</v>
      </c>
      <c r="AQ76" s="5">
        <f>AQ74+AQ72</f>
        <v>0.51911819770711443</v>
      </c>
      <c r="AR76" s="5" t="s">
        <v>204</v>
      </c>
      <c r="AS76" s="52"/>
      <c r="AT76" s="29"/>
      <c r="AU76" s="29"/>
      <c r="AV76" s="29"/>
      <c r="AW76" s="52"/>
      <c r="AX76" s="102"/>
      <c r="AY76" s="70"/>
      <c r="AZ76" s="6" t="s">
        <v>227</v>
      </c>
      <c r="BA76" s="5">
        <f>BA74+BA72</f>
        <v>0.51911819770711443</v>
      </c>
      <c r="BB76" s="5" t="s">
        <v>204</v>
      </c>
      <c r="BC76" s="52"/>
      <c r="BD76" s="29"/>
      <c r="BE76" s="29"/>
      <c r="BF76" s="29"/>
      <c r="BG76" s="52"/>
      <c r="BH76" s="102"/>
      <c r="BJ76" s="6" t="s">
        <v>227</v>
      </c>
      <c r="BK76" s="5">
        <f>BK74+BK72</f>
        <v>0.51911819770711443</v>
      </c>
      <c r="BL76" s="5" t="s">
        <v>204</v>
      </c>
      <c r="BM76" s="52"/>
      <c r="BN76" s="29"/>
      <c r="BO76" s="29"/>
      <c r="BP76" s="29"/>
      <c r="BQ76" s="52"/>
      <c r="BR76" s="102"/>
      <c r="BT76" s="6" t="s">
        <v>227</v>
      </c>
      <c r="BU76" s="5">
        <f>BU74+BU72</f>
        <v>0.51911819770711443</v>
      </c>
      <c r="BV76" s="5" t="s">
        <v>204</v>
      </c>
      <c r="BW76" s="52"/>
      <c r="BX76" s="29"/>
      <c r="BY76" s="29"/>
      <c r="BZ76" s="29"/>
      <c r="CA76" s="52"/>
      <c r="CB76" s="102"/>
    </row>
    <row r="77" spans="2:80" x14ac:dyDescent="0.25">
      <c r="B77" s="104"/>
      <c r="C77" s="29"/>
      <c r="D77" s="29"/>
      <c r="E77" s="52"/>
      <c r="F77" s="29"/>
      <c r="G77" s="29"/>
      <c r="H77" s="29"/>
      <c r="I77" s="52"/>
      <c r="J77" s="102"/>
      <c r="K77" s="27"/>
      <c r="L77" s="104"/>
      <c r="M77" s="29"/>
      <c r="N77" s="29"/>
      <c r="O77" s="52"/>
      <c r="P77" s="29"/>
      <c r="Q77" s="29"/>
      <c r="R77" s="29"/>
      <c r="S77" s="52"/>
      <c r="T77" s="102"/>
      <c r="U77" s="70"/>
      <c r="V77" s="104"/>
      <c r="W77" s="29"/>
      <c r="X77" s="29"/>
      <c r="Y77" s="52"/>
      <c r="Z77" s="29"/>
      <c r="AA77" s="29"/>
      <c r="AB77" s="29"/>
      <c r="AC77" s="52"/>
      <c r="AD77" s="102"/>
      <c r="AE77" s="70"/>
      <c r="AF77" s="104"/>
      <c r="AG77" s="29"/>
      <c r="AH77" s="29"/>
      <c r="AI77" s="52"/>
      <c r="AJ77" s="29"/>
      <c r="AK77" s="29"/>
      <c r="AL77" s="29"/>
      <c r="AM77" s="52"/>
      <c r="AN77" s="102"/>
      <c r="AO77" s="70"/>
      <c r="AP77" s="104"/>
      <c r="AQ77" s="29"/>
      <c r="AR77" s="29"/>
      <c r="AS77" s="52"/>
      <c r="AT77" s="29"/>
      <c r="AU77" s="29"/>
      <c r="AV77" s="29"/>
      <c r="AW77" s="52"/>
      <c r="AX77" s="102"/>
      <c r="AY77" s="70"/>
      <c r="AZ77" s="104"/>
      <c r="BA77" s="29"/>
      <c r="BB77" s="29"/>
      <c r="BC77" s="52"/>
      <c r="BD77" s="29"/>
      <c r="BE77" s="29"/>
      <c r="BF77" s="29"/>
      <c r="BG77" s="52"/>
      <c r="BH77" s="102"/>
      <c r="BJ77" s="104"/>
      <c r="BK77" s="29"/>
      <c r="BL77" s="29"/>
      <c r="BM77" s="52"/>
      <c r="BN77" s="29"/>
      <c r="BO77" s="29"/>
      <c r="BP77" s="29"/>
      <c r="BQ77" s="52"/>
      <c r="BR77" s="102"/>
      <c r="BT77" s="104"/>
      <c r="BU77" s="29"/>
      <c r="BV77" s="29"/>
      <c r="BW77" s="52"/>
      <c r="BX77" s="29"/>
      <c r="BY77" s="29"/>
      <c r="BZ77" s="29"/>
      <c r="CA77" s="52"/>
      <c r="CB77" s="102"/>
    </row>
    <row r="78" spans="2:80" ht="15.75" thickBot="1" x14ac:dyDescent="0.3">
      <c r="B78" s="7" t="s">
        <v>218</v>
      </c>
      <c r="C78" s="105">
        <f>2*PI()*C67*C65</f>
        <v>0.78539816339744828</v>
      </c>
      <c r="D78" s="105" t="s">
        <v>201</v>
      </c>
      <c r="E78" s="106"/>
      <c r="F78" s="106"/>
      <c r="G78" s="106"/>
      <c r="H78" s="106"/>
      <c r="I78" s="106"/>
      <c r="J78" s="107"/>
      <c r="K78" s="27"/>
      <c r="L78" s="7" t="s">
        <v>218</v>
      </c>
      <c r="M78" s="105">
        <f>2*PI()*M67*M65</f>
        <v>0.80495457766604483</v>
      </c>
      <c r="N78" s="105" t="s">
        <v>201</v>
      </c>
      <c r="O78" s="106"/>
      <c r="P78" s="106"/>
      <c r="Q78" s="106"/>
      <c r="R78" s="106"/>
      <c r="S78" s="106"/>
      <c r="T78" s="107"/>
      <c r="V78" s="7" t="s">
        <v>218</v>
      </c>
      <c r="W78" s="105">
        <f>2*PI()*W67*W65</f>
        <v>0.80495457766604483</v>
      </c>
      <c r="X78" s="105" t="s">
        <v>201</v>
      </c>
      <c r="Y78" s="106"/>
      <c r="Z78" s="106"/>
      <c r="AA78" s="106"/>
      <c r="AB78" s="106"/>
      <c r="AC78" s="106"/>
      <c r="AD78" s="107"/>
      <c r="AF78" s="7" t="s">
        <v>218</v>
      </c>
      <c r="AG78" s="105">
        <f>2*PI()*AG67*AG65</f>
        <v>0.80495457766604483</v>
      </c>
      <c r="AH78" s="105" t="s">
        <v>201</v>
      </c>
      <c r="AI78" s="106"/>
      <c r="AJ78" s="106"/>
      <c r="AK78" s="106"/>
      <c r="AL78" s="106"/>
      <c r="AM78" s="106"/>
      <c r="AN78" s="107"/>
      <c r="AP78" s="7" t="s">
        <v>218</v>
      </c>
      <c r="AQ78" s="105">
        <f>2*PI()*AQ67*AQ65</f>
        <v>0.80495457766604483</v>
      </c>
      <c r="AR78" s="105" t="s">
        <v>201</v>
      </c>
      <c r="AS78" s="106"/>
      <c r="AT78" s="106"/>
      <c r="AU78" s="106"/>
      <c r="AV78" s="106"/>
      <c r="AW78" s="106"/>
      <c r="AX78" s="107"/>
      <c r="AZ78" s="7" t="s">
        <v>218</v>
      </c>
      <c r="BA78" s="105">
        <f>2*PI()*BA67*BA65</f>
        <v>0.80495457766604483</v>
      </c>
      <c r="BB78" s="105" t="s">
        <v>201</v>
      </c>
      <c r="BC78" s="106"/>
      <c r="BD78" s="106"/>
      <c r="BE78" s="106"/>
      <c r="BF78" s="106"/>
      <c r="BG78" s="106"/>
      <c r="BH78" s="107"/>
      <c r="BJ78" s="7" t="s">
        <v>218</v>
      </c>
      <c r="BK78" s="105">
        <f>2*PI()*BK67*BK65</f>
        <v>0.80495457766604483</v>
      </c>
      <c r="BL78" s="105" t="s">
        <v>201</v>
      </c>
      <c r="BM78" s="106"/>
      <c r="BN78" s="106"/>
      <c r="BO78" s="106"/>
      <c r="BP78" s="106"/>
      <c r="BQ78" s="106"/>
      <c r="BR78" s="107"/>
      <c r="BT78" s="7" t="s">
        <v>218</v>
      </c>
      <c r="BU78" s="105">
        <f>2*PI()*BU67*BU65</f>
        <v>0.80495457766604483</v>
      </c>
      <c r="BV78" s="105" t="s">
        <v>201</v>
      </c>
      <c r="BW78" s="106"/>
      <c r="BX78" s="106"/>
      <c r="BY78" s="106"/>
      <c r="BZ78" s="106"/>
      <c r="CA78" s="106"/>
      <c r="CB78" s="107"/>
    </row>
    <row r="79" spans="2:80" ht="15.75" thickBot="1" x14ac:dyDescent="0.3"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V79" s="27"/>
      <c r="W79" s="27"/>
      <c r="X79" s="27"/>
      <c r="Y79" s="27"/>
      <c r="Z79" s="27"/>
      <c r="AA79" s="27"/>
      <c r="AB79" s="27"/>
      <c r="AC79" s="27"/>
      <c r="AD79" s="27"/>
      <c r="AF79" s="27"/>
      <c r="AG79" s="27"/>
      <c r="AH79" s="27"/>
      <c r="AI79" s="27"/>
      <c r="AJ79" s="27"/>
      <c r="AK79" s="27"/>
      <c r="AL79" s="27"/>
      <c r="AM79" s="27"/>
      <c r="AN79" s="27"/>
      <c r="AP79" s="27"/>
      <c r="AQ79" s="27"/>
      <c r="AR79" s="27"/>
      <c r="AS79" s="27"/>
      <c r="AT79" s="27"/>
      <c r="AU79" s="27"/>
      <c r="AV79" s="27"/>
      <c r="AW79" s="27"/>
      <c r="AX79" s="27"/>
      <c r="AZ79" s="27"/>
      <c r="BA79" s="27"/>
      <c r="BB79" s="27"/>
      <c r="BC79" s="27"/>
      <c r="BD79" s="27"/>
      <c r="BE79" s="27"/>
      <c r="BF79" s="27"/>
      <c r="BG79" s="27"/>
      <c r="BH79" s="27"/>
      <c r="BJ79" s="27"/>
      <c r="BK79" s="27"/>
      <c r="BL79" s="27"/>
      <c r="BM79" s="27"/>
      <c r="BN79" s="27"/>
      <c r="BO79" s="27"/>
      <c r="BP79" s="27"/>
      <c r="BQ79" s="27"/>
      <c r="BR79" s="27"/>
      <c r="BT79" s="27"/>
      <c r="BU79" s="27"/>
      <c r="BV79" s="27"/>
      <c r="BW79" s="27"/>
      <c r="BX79" s="27"/>
      <c r="BY79" s="27"/>
      <c r="BZ79" s="27"/>
      <c r="CA79" s="27"/>
      <c r="CB79" s="27"/>
    </row>
    <row r="80" spans="2:80" ht="15.75" thickBot="1" x14ac:dyDescent="0.3">
      <c r="B80" s="388" t="s">
        <v>180</v>
      </c>
      <c r="C80" s="389"/>
      <c r="D80" s="389"/>
      <c r="E80" s="389"/>
      <c r="F80" s="389"/>
      <c r="G80" s="389"/>
      <c r="H80" s="389"/>
      <c r="I80" s="389"/>
      <c r="J80" s="390"/>
      <c r="K80" s="27"/>
      <c r="L80" s="388" t="s">
        <v>180</v>
      </c>
      <c r="M80" s="389"/>
      <c r="N80" s="389"/>
      <c r="O80" s="389"/>
      <c r="P80" s="389"/>
      <c r="Q80" s="389"/>
      <c r="R80" s="389"/>
      <c r="S80" s="389"/>
      <c r="T80" s="390"/>
      <c r="V80" s="388" t="s">
        <v>180</v>
      </c>
      <c r="W80" s="389"/>
      <c r="X80" s="389"/>
      <c r="Y80" s="389"/>
      <c r="Z80" s="389"/>
      <c r="AA80" s="389"/>
      <c r="AB80" s="389"/>
      <c r="AC80" s="389"/>
      <c r="AD80" s="390"/>
      <c r="AF80" s="388" t="s">
        <v>180</v>
      </c>
      <c r="AG80" s="389"/>
      <c r="AH80" s="389"/>
      <c r="AI80" s="389"/>
      <c r="AJ80" s="389"/>
      <c r="AK80" s="389"/>
      <c r="AL80" s="389"/>
      <c r="AM80" s="389"/>
      <c r="AN80" s="390"/>
      <c r="AP80" s="388" t="s">
        <v>180</v>
      </c>
      <c r="AQ80" s="389"/>
      <c r="AR80" s="389"/>
      <c r="AS80" s="389"/>
      <c r="AT80" s="389"/>
      <c r="AU80" s="389"/>
      <c r="AV80" s="389"/>
      <c r="AW80" s="389"/>
      <c r="AX80" s="390"/>
      <c r="AZ80" s="388" t="s">
        <v>180</v>
      </c>
      <c r="BA80" s="389"/>
      <c r="BB80" s="389"/>
      <c r="BC80" s="389"/>
      <c r="BD80" s="389"/>
      <c r="BE80" s="389"/>
      <c r="BF80" s="389"/>
      <c r="BG80" s="389"/>
      <c r="BH80" s="390"/>
      <c r="BJ80" s="388" t="s">
        <v>180</v>
      </c>
      <c r="BK80" s="389"/>
      <c r="BL80" s="389"/>
      <c r="BM80" s="389"/>
      <c r="BN80" s="389"/>
      <c r="BO80" s="389"/>
      <c r="BP80" s="389"/>
      <c r="BQ80" s="389"/>
      <c r="BR80" s="390"/>
      <c r="BT80" s="388" t="s">
        <v>180</v>
      </c>
      <c r="BU80" s="389"/>
      <c r="BV80" s="389"/>
      <c r="BW80" s="389"/>
      <c r="BX80" s="389"/>
      <c r="BY80" s="389"/>
      <c r="BZ80" s="389"/>
      <c r="CA80" s="389"/>
      <c r="CB80" s="390"/>
    </row>
    <row r="81" spans="2:80" x14ac:dyDescent="0.25">
      <c r="B81" s="108" t="s">
        <v>135</v>
      </c>
      <c r="C81" s="101">
        <f>E24</f>
        <v>0.8</v>
      </c>
      <c r="D81" s="101" t="s">
        <v>17</v>
      </c>
      <c r="E81" s="52" t="s">
        <v>163</v>
      </c>
      <c r="F81" s="52">
        <f>((C81/2)^2+C82^2)/(2*C82)</f>
        <v>0.41666666666666669</v>
      </c>
      <c r="G81" s="52" t="s">
        <v>17</v>
      </c>
      <c r="H81" s="52"/>
      <c r="I81" s="52"/>
      <c r="J81" s="102"/>
      <c r="L81" s="108" t="s">
        <v>135</v>
      </c>
      <c r="M81" s="101">
        <v>0.6</v>
      </c>
      <c r="N81" s="101" t="s">
        <v>17</v>
      </c>
      <c r="O81" s="52" t="s">
        <v>163</v>
      </c>
      <c r="P81" s="52">
        <f>((M81/2)^2+M82^2)/(2*M82)</f>
        <v>0.31454545454545452</v>
      </c>
      <c r="Q81" s="52" t="s">
        <v>17</v>
      </c>
      <c r="R81" s="52"/>
      <c r="S81" s="52"/>
      <c r="T81" s="102"/>
      <c r="V81" s="108" t="s">
        <v>135</v>
      </c>
      <c r="W81" s="101">
        <v>0.6</v>
      </c>
      <c r="X81" s="101" t="s">
        <v>17</v>
      </c>
      <c r="Y81" s="52" t="s">
        <v>163</v>
      </c>
      <c r="Z81" s="52">
        <f>((W81/2)^2+W82^2)/(2*W82)</f>
        <v>0.31454545454545452</v>
      </c>
      <c r="AA81" s="52" t="s">
        <v>17</v>
      </c>
      <c r="AB81" s="52"/>
      <c r="AC81" s="52"/>
      <c r="AD81" s="102"/>
      <c r="AF81" s="108" t="s">
        <v>135</v>
      </c>
      <c r="AG81" s="101">
        <v>0.6</v>
      </c>
      <c r="AH81" s="101" t="s">
        <v>17</v>
      </c>
      <c r="AI81" s="52" t="s">
        <v>163</v>
      </c>
      <c r="AJ81" s="52">
        <f>((AG81/2)^2+AG82^2)/(2*AG82)</f>
        <v>0.31454545454545452</v>
      </c>
      <c r="AK81" s="52" t="s">
        <v>17</v>
      </c>
      <c r="AL81" s="52"/>
      <c r="AM81" s="52"/>
      <c r="AN81" s="102"/>
      <c r="AP81" s="108" t="s">
        <v>135</v>
      </c>
      <c r="AQ81" s="101">
        <v>0.6</v>
      </c>
      <c r="AR81" s="101" t="s">
        <v>17</v>
      </c>
      <c r="AS81" s="52" t="s">
        <v>163</v>
      </c>
      <c r="AT81" s="52">
        <f>((AQ81/2)^2+AQ82^2)/(2*AQ82)</f>
        <v>0.31454545454545452</v>
      </c>
      <c r="AU81" s="52" t="s">
        <v>17</v>
      </c>
      <c r="AV81" s="52"/>
      <c r="AW81" s="52"/>
      <c r="AX81" s="102"/>
      <c r="AZ81" s="108" t="s">
        <v>135</v>
      </c>
      <c r="BA81" s="101">
        <v>0.6</v>
      </c>
      <c r="BB81" s="101" t="s">
        <v>17</v>
      </c>
      <c r="BC81" s="52" t="s">
        <v>163</v>
      </c>
      <c r="BD81" s="52">
        <f>((BA81/2)^2+BA82^2)/(2*BA82)</f>
        <v>0.31454545454545452</v>
      </c>
      <c r="BE81" s="52" t="s">
        <v>17</v>
      </c>
      <c r="BF81" s="52"/>
      <c r="BG81" s="52"/>
      <c r="BH81" s="102"/>
      <c r="BJ81" s="108" t="s">
        <v>135</v>
      </c>
      <c r="BK81" s="101">
        <v>0.6</v>
      </c>
      <c r="BL81" s="101" t="s">
        <v>17</v>
      </c>
      <c r="BM81" s="52" t="s">
        <v>163</v>
      </c>
      <c r="BN81" s="52">
        <f>((BK81/2)^2+BK82^2)/(2*BK82)</f>
        <v>0.31454545454545452</v>
      </c>
      <c r="BO81" s="52" t="s">
        <v>17</v>
      </c>
      <c r="BP81" s="52"/>
      <c r="BQ81" s="52"/>
      <c r="BR81" s="102"/>
      <c r="BT81" s="108" t="s">
        <v>135</v>
      </c>
      <c r="BU81" s="101">
        <v>0.6</v>
      </c>
      <c r="BV81" s="101" t="s">
        <v>17</v>
      </c>
      <c r="BW81" s="52" t="s">
        <v>163</v>
      </c>
      <c r="BX81" s="52">
        <f>((BU81/2)^2+BU82^2)/(2*BU82)</f>
        <v>0.31454545454545452</v>
      </c>
      <c r="BY81" s="52" t="s">
        <v>17</v>
      </c>
      <c r="BZ81" s="52"/>
      <c r="CA81" s="52"/>
      <c r="CB81" s="102"/>
    </row>
    <row r="82" spans="2:80" x14ac:dyDescent="0.25">
      <c r="B82" s="6" t="s">
        <v>16</v>
      </c>
      <c r="C82" s="5">
        <f>E23</f>
        <v>0.3</v>
      </c>
      <c r="D82" s="5" t="s">
        <v>17</v>
      </c>
      <c r="E82" s="52" t="s">
        <v>187</v>
      </c>
      <c r="F82" s="52">
        <f>F81-C82</f>
        <v>0.1166666666666667</v>
      </c>
      <c r="G82" s="52" t="s">
        <v>17</v>
      </c>
      <c r="H82" s="52" t="s">
        <v>188</v>
      </c>
      <c r="I82" s="52">
        <f>C81+2*(C85/TAN(C86))</f>
        <v>1.2040262258351568</v>
      </c>
      <c r="J82" s="102"/>
      <c r="L82" s="6" t="s">
        <v>16</v>
      </c>
      <c r="M82" s="5">
        <v>0.22</v>
      </c>
      <c r="N82" s="5" t="s">
        <v>17</v>
      </c>
      <c r="O82" s="52" t="s">
        <v>187</v>
      </c>
      <c r="P82" s="52">
        <f>P81-M82</f>
        <v>9.4545454545454516E-2</v>
      </c>
      <c r="Q82" s="52" t="s">
        <v>17</v>
      </c>
      <c r="R82" s="52" t="s">
        <v>188</v>
      </c>
      <c r="S82" s="52">
        <f>M81+2*(M85/TAN(M86))</f>
        <v>1.0040262258351567</v>
      </c>
      <c r="T82" s="102"/>
      <c r="V82" s="6" t="s">
        <v>16</v>
      </c>
      <c r="W82" s="5">
        <v>0.22</v>
      </c>
      <c r="X82" s="5" t="s">
        <v>17</v>
      </c>
      <c r="Y82" s="52" t="s">
        <v>187</v>
      </c>
      <c r="Z82" s="52">
        <f>Z81-W82</f>
        <v>9.4545454545454516E-2</v>
      </c>
      <c r="AA82" s="52" t="s">
        <v>17</v>
      </c>
      <c r="AB82" s="52" t="s">
        <v>188</v>
      </c>
      <c r="AC82" s="52">
        <f>W81+2*(W85/TAN(W86))</f>
        <v>1.0040262258351567</v>
      </c>
      <c r="AD82" s="102"/>
      <c r="AF82" s="6" t="s">
        <v>16</v>
      </c>
      <c r="AG82" s="5">
        <v>0.22</v>
      </c>
      <c r="AH82" s="5" t="s">
        <v>17</v>
      </c>
      <c r="AI82" s="52" t="s">
        <v>187</v>
      </c>
      <c r="AJ82" s="52">
        <f>AJ81-AG82</f>
        <v>9.4545454545454516E-2</v>
      </c>
      <c r="AK82" s="52" t="s">
        <v>17</v>
      </c>
      <c r="AL82" s="52" t="s">
        <v>188</v>
      </c>
      <c r="AM82" s="52">
        <f>AG81+2*(AG85/TAN(AG86))</f>
        <v>1.0040262258351567</v>
      </c>
      <c r="AN82" s="102"/>
      <c r="AP82" s="6" t="s">
        <v>16</v>
      </c>
      <c r="AQ82" s="5">
        <v>0.22</v>
      </c>
      <c r="AR82" s="5" t="s">
        <v>17</v>
      </c>
      <c r="AS82" s="52" t="s">
        <v>187</v>
      </c>
      <c r="AT82" s="52">
        <f>AT81-AQ82</f>
        <v>9.4545454545454516E-2</v>
      </c>
      <c r="AU82" s="52" t="s">
        <v>17</v>
      </c>
      <c r="AV82" s="52" t="s">
        <v>188</v>
      </c>
      <c r="AW82" s="52">
        <f>AQ81+2*(AQ85/TAN(AQ86))</f>
        <v>1.0040262258351567</v>
      </c>
      <c r="AX82" s="102"/>
      <c r="AZ82" s="6" t="s">
        <v>16</v>
      </c>
      <c r="BA82" s="5">
        <v>0.22</v>
      </c>
      <c r="BB82" s="5" t="s">
        <v>17</v>
      </c>
      <c r="BC82" s="52" t="s">
        <v>187</v>
      </c>
      <c r="BD82" s="52">
        <f>BD81-BA82</f>
        <v>9.4545454545454516E-2</v>
      </c>
      <c r="BE82" s="52" t="s">
        <v>17</v>
      </c>
      <c r="BF82" s="52" t="s">
        <v>188</v>
      </c>
      <c r="BG82" s="52">
        <f>BA81+2*(BA85/TAN(BA86))</f>
        <v>1.0040262258351567</v>
      </c>
      <c r="BH82" s="102"/>
      <c r="BJ82" s="6" t="s">
        <v>16</v>
      </c>
      <c r="BK82" s="5">
        <v>0.22</v>
      </c>
      <c r="BL82" s="5" t="s">
        <v>17</v>
      </c>
      <c r="BM82" s="52" t="s">
        <v>187</v>
      </c>
      <c r="BN82" s="52">
        <f>BN81-BK82</f>
        <v>9.4545454545454516E-2</v>
      </c>
      <c r="BO82" s="52" t="s">
        <v>17</v>
      </c>
      <c r="BP82" s="52" t="s">
        <v>188</v>
      </c>
      <c r="BQ82" s="52">
        <f>BK81+2*(BK85/TAN(BK86))</f>
        <v>1.0040262258351567</v>
      </c>
      <c r="BR82" s="102"/>
      <c r="BT82" s="6" t="s">
        <v>16</v>
      </c>
      <c r="BU82" s="5">
        <v>0.22</v>
      </c>
      <c r="BV82" s="5" t="s">
        <v>17</v>
      </c>
      <c r="BW82" s="52" t="s">
        <v>187</v>
      </c>
      <c r="BX82" s="52">
        <f>BX81-BU82</f>
        <v>9.4545454545454516E-2</v>
      </c>
      <c r="BY82" s="52" t="s">
        <v>17</v>
      </c>
      <c r="BZ82" s="52" t="s">
        <v>188</v>
      </c>
      <c r="CA82" s="52">
        <f>BU81+2*(BU85/TAN(BU86))</f>
        <v>1.0040262258351567</v>
      </c>
      <c r="CB82" s="102"/>
    </row>
    <row r="83" spans="2:80" x14ac:dyDescent="0.25">
      <c r="B83" s="6" t="s">
        <v>190</v>
      </c>
      <c r="C83" s="5">
        <f>E31</f>
        <v>0</v>
      </c>
      <c r="D83" s="5" t="s">
        <v>17</v>
      </c>
      <c r="E83" s="109" t="s">
        <v>191</v>
      </c>
      <c r="F83" s="52">
        <f>2*ASIN((C81/2)/F81)</f>
        <v>2.574004435173137</v>
      </c>
      <c r="G83" s="52" t="s">
        <v>192</v>
      </c>
      <c r="H83" s="52" t="s">
        <v>193</v>
      </c>
      <c r="I83" s="52">
        <f>(C84+2*C83)+2*(C85/TAN(C86))</f>
        <v>0.40402622583515674</v>
      </c>
      <c r="J83" s="102"/>
      <c r="L83" s="6" t="s">
        <v>190</v>
      </c>
      <c r="M83" s="5">
        <v>0.16</v>
      </c>
      <c r="N83" s="5" t="s">
        <v>17</v>
      </c>
      <c r="O83" s="109" t="s">
        <v>191</v>
      </c>
      <c r="P83" s="52">
        <f>2*ASIN((M81/2)/P81)</f>
        <v>2.5309953400087326</v>
      </c>
      <c r="Q83" s="52" t="s">
        <v>192</v>
      </c>
      <c r="R83" s="52" t="s">
        <v>193</v>
      </c>
      <c r="S83" s="52">
        <f>(M84+2*M83)+2*(M85/TAN(M86))</f>
        <v>1.5240262258351569</v>
      </c>
      <c r="T83" s="102"/>
      <c r="V83" s="6" t="s">
        <v>190</v>
      </c>
      <c r="W83" s="5">
        <v>0.16</v>
      </c>
      <c r="X83" s="5" t="s">
        <v>17</v>
      </c>
      <c r="Y83" s="109" t="s">
        <v>191</v>
      </c>
      <c r="Z83" s="52">
        <f>2*ASIN((W81/2)/Z81)</f>
        <v>2.5309953400087326</v>
      </c>
      <c r="AA83" s="52" t="s">
        <v>192</v>
      </c>
      <c r="AB83" s="52" t="s">
        <v>193</v>
      </c>
      <c r="AC83" s="52">
        <f>(W84+2*W83)+2*(W85/TAN(W86))</f>
        <v>1.5240262258351569</v>
      </c>
      <c r="AD83" s="102"/>
      <c r="AF83" s="6" t="s">
        <v>190</v>
      </c>
      <c r="AG83" s="5">
        <v>0.16</v>
      </c>
      <c r="AH83" s="5" t="s">
        <v>17</v>
      </c>
      <c r="AI83" s="109" t="s">
        <v>191</v>
      </c>
      <c r="AJ83" s="52">
        <f>2*ASIN((AG81/2)/AJ81)</f>
        <v>2.5309953400087326</v>
      </c>
      <c r="AK83" s="52" t="s">
        <v>192</v>
      </c>
      <c r="AL83" s="52" t="s">
        <v>193</v>
      </c>
      <c r="AM83" s="52">
        <f>(AG84+2*AG83)+2*(AG85/TAN(AG86))</f>
        <v>1.5240262258351569</v>
      </c>
      <c r="AN83" s="102"/>
      <c r="AP83" s="6" t="s">
        <v>190</v>
      </c>
      <c r="AQ83" s="5">
        <v>0.16</v>
      </c>
      <c r="AR83" s="5" t="s">
        <v>17</v>
      </c>
      <c r="AS83" s="109" t="s">
        <v>191</v>
      </c>
      <c r="AT83" s="52">
        <f>2*ASIN((AQ81/2)/AT81)</f>
        <v>2.5309953400087326</v>
      </c>
      <c r="AU83" s="52" t="s">
        <v>192</v>
      </c>
      <c r="AV83" s="52" t="s">
        <v>193</v>
      </c>
      <c r="AW83" s="52">
        <f>(AQ84+2*AQ83)+2*(AQ85/TAN(AQ86))</f>
        <v>1.5240262258351569</v>
      </c>
      <c r="AX83" s="102"/>
      <c r="AZ83" s="6" t="s">
        <v>190</v>
      </c>
      <c r="BA83" s="5">
        <v>0.16</v>
      </c>
      <c r="BB83" s="5" t="s">
        <v>17</v>
      </c>
      <c r="BC83" s="109" t="s">
        <v>191</v>
      </c>
      <c r="BD83" s="52">
        <f>2*ASIN((BA81/2)/BD81)</f>
        <v>2.5309953400087326</v>
      </c>
      <c r="BE83" s="52" t="s">
        <v>192</v>
      </c>
      <c r="BF83" s="52" t="s">
        <v>193</v>
      </c>
      <c r="BG83" s="52">
        <f>(BA84+2*BA83)+2*(BA85/TAN(BA86))</f>
        <v>1.5240262258351569</v>
      </c>
      <c r="BH83" s="102"/>
      <c r="BJ83" s="6" t="s">
        <v>190</v>
      </c>
      <c r="BK83" s="5">
        <v>0.16</v>
      </c>
      <c r="BL83" s="5" t="s">
        <v>17</v>
      </c>
      <c r="BM83" s="109" t="s">
        <v>191</v>
      </c>
      <c r="BN83" s="52">
        <f>2*ASIN((BK81/2)/BN81)</f>
        <v>2.5309953400087326</v>
      </c>
      <c r="BO83" s="52" t="s">
        <v>192</v>
      </c>
      <c r="BP83" s="52" t="s">
        <v>193</v>
      </c>
      <c r="BQ83" s="52">
        <f>(BK84+2*BK83)+2*(BK85/TAN(BK86))</f>
        <v>1.5240262258351569</v>
      </c>
      <c r="BR83" s="102"/>
      <c r="BT83" s="6" t="s">
        <v>190</v>
      </c>
      <c r="BU83" s="5">
        <v>0.16</v>
      </c>
      <c r="BV83" s="5" t="s">
        <v>17</v>
      </c>
      <c r="BW83" s="109" t="s">
        <v>191</v>
      </c>
      <c r="BX83" s="52">
        <f>2*ASIN((BU81/2)/BX81)</f>
        <v>2.5309953400087326</v>
      </c>
      <c r="BY83" s="52" t="s">
        <v>192</v>
      </c>
      <c r="BZ83" s="52" t="s">
        <v>193</v>
      </c>
      <c r="CA83" s="52">
        <f>(BU84+2*BU83)+2*(BU85/TAN(BU86))</f>
        <v>1.5240262258351569</v>
      </c>
      <c r="CB83" s="102"/>
    </row>
    <row r="84" spans="2:80" x14ac:dyDescent="0.25">
      <c r="B84" s="6" t="s">
        <v>196</v>
      </c>
      <c r="C84" s="5">
        <f>E27</f>
        <v>0</v>
      </c>
      <c r="D84" s="5" t="s">
        <v>17</v>
      </c>
      <c r="E84" s="109" t="s">
        <v>197</v>
      </c>
      <c r="F84" s="52">
        <f>F81*F83</f>
        <v>1.0725018479888071</v>
      </c>
      <c r="G84" s="52" t="s">
        <v>17</v>
      </c>
      <c r="H84" s="52" t="s">
        <v>195</v>
      </c>
      <c r="I84" s="52">
        <f>I83*I82</f>
        <v>0.48645817183072648</v>
      </c>
      <c r="J84" s="102"/>
      <c r="L84" s="6" t="s">
        <v>196</v>
      </c>
      <c r="M84" s="5">
        <v>0.8</v>
      </c>
      <c r="N84" s="5" t="s">
        <v>17</v>
      </c>
      <c r="O84" s="109" t="s">
        <v>197</v>
      </c>
      <c r="P84" s="52">
        <f>P81*P83</f>
        <v>0.79611307967547396</v>
      </c>
      <c r="Q84" s="52" t="s">
        <v>17</v>
      </c>
      <c r="R84" s="52" t="s">
        <v>195</v>
      </c>
      <c r="S84" s="52">
        <f>S83*S82</f>
        <v>1.5301622995990707</v>
      </c>
      <c r="T84" s="102"/>
      <c r="V84" s="6" t="s">
        <v>196</v>
      </c>
      <c r="W84" s="5">
        <v>0.8</v>
      </c>
      <c r="X84" s="5" t="s">
        <v>17</v>
      </c>
      <c r="Y84" s="109" t="s">
        <v>197</v>
      </c>
      <c r="Z84" s="52">
        <f>Z81*Z83</f>
        <v>0.79611307967547396</v>
      </c>
      <c r="AA84" s="52" t="s">
        <v>17</v>
      </c>
      <c r="AB84" s="52" t="s">
        <v>195</v>
      </c>
      <c r="AC84" s="52">
        <f>AC83*AC82</f>
        <v>1.5301622995990707</v>
      </c>
      <c r="AD84" s="102"/>
      <c r="AF84" s="6" t="s">
        <v>196</v>
      </c>
      <c r="AG84" s="5">
        <v>0.8</v>
      </c>
      <c r="AH84" s="5" t="s">
        <v>17</v>
      </c>
      <c r="AI84" s="109" t="s">
        <v>197</v>
      </c>
      <c r="AJ84" s="52">
        <f>AJ81*AJ83</f>
        <v>0.79611307967547396</v>
      </c>
      <c r="AK84" s="52" t="s">
        <v>17</v>
      </c>
      <c r="AL84" s="52" t="s">
        <v>195</v>
      </c>
      <c r="AM84" s="52">
        <f>AM83*AM82</f>
        <v>1.5301622995990707</v>
      </c>
      <c r="AN84" s="102"/>
      <c r="AP84" s="6" t="s">
        <v>196</v>
      </c>
      <c r="AQ84" s="5">
        <v>0.8</v>
      </c>
      <c r="AR84" s="5" t="s">
        <v>17</v>
      </c>
      <c r="AS84" s="109" t="s">
        <v>197</v>
      </c>
      <c r="AT84" s="52">
        <f>AT81*AT83</f>
        <v>0.79611307967547396</v>
      </c>
      <c r="AU84" s="52" t="s">
        <v>17</v>
      </c>
      <c r="AV84" s="52" t="s">
        <v>195</v>
      </c>
      <c r="AW84" s="52">
        <f>AW83*AW82</f>
        <v>1.5301622995990707</v>
      </c>
      <c r="AX84" s="102"/>
      <c r="AZ84" s="6" t="s">
        <v>196</v>
      </c>
      <c r="BA84" s="5">
        <v>0.8</v>
      </c>
      <c r="BB84" s="5" t="s">
        <v>17</v>
      </c>
      <c r="BC84" s="109" t="s">
        <v>197</v>
      </c>
      <c r="BD84" s="52">
        <f>BD81*BD83</f>
        <v>0.79611307967547396</v>
      </c>
      <c r="BE84" s="52" t="s">
        <v>17</v>
      </c>
      <c r="BF84" s="52" t="s">
        <v>195</v>
      </c>
      <c r="BG84" s="52">
        <f>BG83*BG82</f>
        <v>1.5301622995990707</v>
      </c>
      <c r="BH84" s="102"/>
      <c r="BJ84" s="6" t="s">
        <v>196</v>
      </c>
      <c r="BK84" s="5">
        <v>0.8</v>
      </c>
      <c r="BL84" s="5" t="s">
        <v>17</v>
      </c>
      <c r="BM84" s="109" t="s">
        <v>197</v>
      </c>
      <c r="BN84" s="52">
        <f>BN81*BN83</f>
        <v>0.79611307967547396</v>
      </c>
      <c r="BO84" s="52" t="s">
        <v>17</v>
      </c>
      <c r="BP84" s="52" t="s">
        <v>195</v>
      </c>
      <c r="BQ84" s="52">
        <f>BQ83*BQ82</f>
        <v>1.5301622995990707</v>
      </c>
      <c r="BR84" s="102"/>
      <c r="BT84" s="6" t="s">
        <v>196</v>
      </c>
      <c r="BU84" s="5">
        <v>0.8</v>
      </c>
      <c r="BV84" s="5" t="s">
        <v>17</v>
      </c>
      <c r="BW84" s="109" t="s">
        <v>197</v>
      </c>
      <c r="BX84" s="52">
        <f>BX81*BX83</f>
        <v>0.79611307967547396</v>
      </c>
      <c r="BY84" s="52" t="s">
        <v>17</v>
      </c>
      <c r="BZ84" s="52" t="s">
        <v>195</v>
      </c>
      <c r="CA84" s="52">
        <f>CA83*CA82</f>
        <v>1.5301622995990707</v>
      </c>
      <c r="CB84" s="102"/>
    </row>
    <row r="85" spans="2:80" x14ac:dyDescent="0.25">
      <c r="B85" s="6" t="s">
        <v>198</v>
      </c>
      <c r="C85" s="5">
        <f>E25</f>
        <v>0.5</v>
      </c>
      <c r="D85" s="5" t="s">
        <v>17</v>
      </c>
      <c r="E85" s="109" t="s">
        <v>200</v>
      </c>
      <c r="F85" s="52">
        <f>F81^2*(F83)/2-(F81^2*SIN(F83)/2)</f>
        <v>0.17677121833100146</v>
      </c>
      <c r="G85" s="52" t="s">
        <v>201</v>
      </c>
      <c r="H85" s="52" t="s">
        <v>163</v>
      </c>
      <c r="I85" s="52" t="e">
        <f>((C81/2)^2+C83^2)/(2*C83)</f>
        <v>#DIV/0!</v>
      </c>
      <c r="J85" s="102"/>
      <c r="L85" s="6" t="s">
        <v>198</v>
      </c>
      <c r="M85" s="5">
        <v>0.5</v>
      </c>
      <c r="N85" s="5" t="s">
        <v>17</v>
      </c>
      <c r="O85" s="109" t="s">
        <v>200</v>
      </c>
      <c r="P85" s="52">
        <f>P81^2*(P83)/2-(P81^2*SIN(P83)/2)</f>
        <v>9.6843238894415429E-2</v>
      </c>
      <c r="Q85" s="52" t="s">
        <v>201</v>
      </c>
      <c r="R85" s="52" t="s">
        <v>163</v>
      </c>
      <c r="S85" s="52">
        <f>((M81/2)^2+M83^2)/(2*M83)</f>
        <v>0.36124999999999996</v>
      </c>
      <c r="T85" s="102"/>
      <c r="V85" s="6" t="s">
        <v>198</v>
      </c>
      <c r="W85" s="5">
        <v>0.5</v>
      </c>
      <c r="X85" s="5" t="s">
        <v>17</v>
      </c>
      <c r="Y85" s="109" t="s">
        <v>200</v>
      </c>
      <c r="Z85" s="52">
        <f>Z81^2*(Z83)/2-(Z81^2*SIN(Z83)/2)</f>
        <v>9.6843238894415429E-2</v>
      </c>
      <c r="AA85" s="52" t="s">
        <v>201</v>
      </c>
      <c r="AB85" s="52" t="s">
        <v>163</v>
      </c>
      <c r="AC85" s="52">
        <f>((W81/2)^2+W83^2)/(2*W83)</f>
        <v>0.36124999999999996</v>
      </c>
      <c r="AD85" s="102"/>
      <c r="AF85" s="6" t="s">
        <v>198</v>
      </c>
      <c r="AG85" s="5">
        <v>0.5</v>
      </c>
      <c r="AH85" s="5" t="s">
        <v>17</v>
      </c>
      <c r="AI85" s="109" t="s">
        <v>200</v>
      </c>
      <c r="AJ85" s="52">
        <f>AJ81^2*(AJ83)/2-(AJ81^2*SIN(AJ83)/2)</f>
        <v>9.6843238894415429E-2</v>
      </c>
      <c r="AK85" s="52" t="s">
        <v>201</v>
      </c>
      <c r="AL85" s="52" t="s">
        <v>163</v>
      </c>
      <c r="AM85" s="52">
        <f>((AG81/2)^2+AG83^2)/(2*AG83)</f>
        <v>0.36124999999999996</v>
      </c>
      <c r="AN85" s="102"/>
      <c r="AP85" s="6" t="s">
        <v>198</v>
      </c>
      <c r="AQ85" s="5">
        <v>0.5</v>
      </c>
      <c r="AR85" s="5" t="s">
        <v>17</v>
      </c>
      <c r="AS85" s="109" t="s">
        <v>200</v>
      </c>
      <c r="AT85" s="52">
        <f>AT81^2*(AT83)/2-(AT81^2*SIN(AT83)/2)</f>
        <v>9.6843238894415429E-2</v>
      </c>
      <c r="AU85" s="52" t="s">
        <v>201</v>
      </c>
      <c r="AV85" s="52" t="s">
        <v>163</v>
      </c>
      <c r="AW85" s="52">
        <f>((AQ81/2)^2+AQ83^2)/(2*AQ83)</f>
        <v>0.36124999999999996</v>
      </c>
      <c r="AX85" s="102"/>
      <c r="AZ85" s="6" t="s">
        <v>198</v>
      </c>
      <c r="BA85" s="5">
        <v>0.5</v>
      </c>
      <c r="BB85" s="5" t="s">
        <v>17</v>
      </c>
      <c r="BC85" s="109" t="s">
        <v>200</v>
      </c>
      <c r="BD85" s="52">
        <f>BD81^2*(BD83)/2-(BD81^2*SIN(BD83)/2)</f>
        <v>9.6843238894415429E-2</v>
      </c>
      <c r="BE85" s="52" t="s">
        <v>201</v>
      </c>
      <c r="BF85" s="52" t="s">
        <v>163</v>
      </c>
      <c r="BG85" s="52">
        <f>((BA81/2)^2+BA83^2)/(2*BA83)</f>
        <v>0.36124999999999996</v>
      </c>
      <c r="BH85" s="102"/>
      <c r="BJ85" s="6" t="s">
        <v>198</v>
      </c>
      <c r="BK85" s="5">
        <v>0.5</v>
      </c>
      <c r="BL85" s="5" t="s">
        <v>17</v>
      </c>
      <c r="BM85" s="109" t="s">
        <v>200</v>
      </c>
      <c r="BN85" s="52">
        <f>BN81^2*(BN83)/2-(BN81^2*SIN(BN83)/2)</f>
        <v>9.6843238894415429E-2</v>
      </c>
      <c r="BO85" s="52" t="s">
        <v>201</v>
      </c>
      <c r="BP85" s="52" t="s">
        <v>163</v>
      </c>
      <c r="BQ85" s="52">
        <f>((BK81/2)^2+BK83^2)/(2*BK83)</f>
        <v>0.36124999999999996</v>
      </c>
      <c r="BR85" s="102"/>
      <c r="BT85" s="6" t="s">
        <v>198</v>
      </c>
      <c r="BU85" s="5">
        <v>0.5</v>
      </c>
      <c r="BV85" s="5" t="s">
        <v>17</v>
      </c>
      <c r="BW85" s="109" t="s">
        <v>200</v>
      </c>
      <c r="BX85" s="52">
        <f>BX81^2*(BX83)/2-(BX81^2*SIN(BX83)/2)</f>
        <v>9.6843238894415429E-2</v>
      </c>
      <c r="BY85" s="52" t="s">
        <v>201</v>
      </c>
      <c r="BZ85" s="52" t="s">
        <v>163</v>
      </c>
      <c r="CA85" s="52">
        <f>((BU81/2)^2+BU83^2)/(2*BU83)</f>
        <v>0.36124999999999996</v>
      </c>
      <c r="CB85" s="102"/>
    </row>
    <row r="86" spans="2:80" ht="15.75" x14ac:dyDescent="0.25">
      <c r="B86" s="6" t="s">
        <v>194</v>
      </c>
      <c r="C86" s="5">
        <f>E26*PI()/180</f>
        <v>1.1868238913561442</v>
      </c>
      <c r="D86" s="5" t="s">
        <v>192</v>
      </c>
      <c r="E86" s="109" t="s">
        <v>203</v>
      </c>
      <c r="F86" s="52">
        <f>F85*C84</f>
        <v>0</v>
      </c>
      <c r="G86" s="52" t="s">
        <v>204</v>
      </c>
      <c r="H86" s="109" t="s">
        <v>191</v>
      </c>
      <c r="I86" s="52" t="e">
        <f>2*ASIN((C81/2)/I85)</f>
        <v>#DIV/0!</v>
      </c>
      <c r="J86" s="102"/>
      <c r="L86" s="6" t="s">
        <v>194</v>
      </c>
      <c r="M86" s="5">
        <f>68*PI()/180</f>
        <v>1.1868238913561442</v>
      </c>
      <c r="N86" s="5" t="s">
        <v>192</v>
      </c>
      <c r="O86" s="109" t="s">
        <v>203</v>
      </c>
      <c r="P86" s="52">
        <f>P85*M84</f>
        <v>7.7474591115532343E-2</v>
      </c>
      <c r="Q86" s="52" t="s">
        <v>204</v>
      </c>
      <c r="R86" s="109" t="s">
        <v>191</v>
      </c>
      <c r="S86" s="52">
        <f>2*ASIN((M81/2)/S85)</f>
        <v>1.9598293050149134</v>
      </c>
      <c r="T86" s="102"/>
      <c r="V86" s="6" t="s">
        <v>194</v>
      </c>
      <c r="W86" s="5">
        <f>68*PI()/180</f>
        <v>1.1868238913561442</v>
      </c>
      <c r="X86" s="5" t="s">
        <v>192</v>
      </c>
      <c r="Y86" s="109" t="s">
        <v>203</v>
      </c>
      <c r="Z86" s="52">
        <f>Z85*W84</f>
        <v>7.7474591115532343E-2</v>
      </c>
      <c r="AA86" s="52" t="s">
        <v>204</v>
      </c>
      <c r="AB86" s="109" t="s">
        <v>191</v>
      </c>
      <c r="AC86" s="52">
        <f>2*ASIN((W81/2)/AC85)</f>
        <v>1.9598293050149134</v>
      </c>
      <c r="AD86" s="102"/>
      <c r="AF86" s="6" t="s">
        <v>194</v>
      </c>
      <c r="AG86" s="5">
        <f>68*PI()/180</f>
        <v>1.1868238913561442</v>
      </c>
      <c r="AH86" s="5" t="s">
        <v>192</v>
      </c>
      <c r="AI86" s="109" t="s">
        <v>203</v>
      </c>
      <c r="AJ86" s="52">
        <f>AJ85*AG84</f>
        <v>7.7474591115532343E-2</v>
      </c>
      <c r="AK86" s="52" t="s">
        <v>204</v>
      </c>
      <c r="AL86" s="109" t="s">
        <v>191</v>
      </c>
      <c r="AM86" s="52">
        <f>2*ASIN((AG81/2)/AM85)</f>
        <v>1.9598293050149134</v>
      </c>
      <c r="AN86" s="102"/>
      <c r="AP86" s="6" t="s">
        <v>194</v>
      </c>
      <c r="AQ86" s="5">
        <f>68*PI()/180</f>
        <v>1.1868238913561442</v>
      </c>
      <c r="AR86" s="5" t="s">
        <v>192</v>
      </c>
      <c r="AS86" s="109" t="s">
        <v>203</v>
      </c>
      <c r="AT86" s="52">
        <f>AT85*AQ84</f>
        <v>7.7474591115532343E-2</v>
      </c>
      <c r="AU86" s="52" t="s">
        <v>204</v>
      </c>
      <c r="AV86" s="109" t="s">
        <v>191</v>
      </c>
      <c r="AW86" s="52">
        <f>2*ASIN((AQ81/2)/AW85)</f>
        <v>1.9598293050149134</v>
      </c>
      <c r="AX86" s="102"/>
      <c r="AZ86" s="6" t="s">
        <v>194</v>
      </c>
      <c r="BA86" s="5">
        <f>68*PI()/180</f>
        <v>1.1868238913561442</v>
      </c>
      <c r="BB86" s="5" t="s">
        <v>192</v>
      </c>
      <c r="BC86" s="109" t="s">
        <v>203</v>
      </c>
      <c r="BD86" s="52">
        <f>BD85*BA84</f>
        <v>7.7474591115532343E-2</v>
      </c>
      <c r="BE86" s="52" t="s">
        <v>204</v>
      </c>
      <c r="BF86" s="109" t="s">
        <v>191</v>
      </c>
      <c r="BG86" s="52">
        <f>2*ASIN((BA81/2)/BG85)</f>
        <v>1.9598293050149134</v>
      </c>
      <c r="BH86" s="102"/>
      <c r="BJ86" s="6" t="s">
        <v>194</v>
      </c>
      <c r="BK86" s="5">
        <f>68*PI()/180</f>
        <v>1.1868238913561442</v>
      </c>
      <c r="BL86" s="5" t="s">
        <v>192</v>
      </c>
      <c r="BM86" s="109" t="s">
        <v>203</v>
      </c>
      <c r="BN86" s="52">
        <f>BN85*BK84</f>
        <v>7.7474591115532343E-2</v>
      </c>
      <c r="BO86" s="52" t="s">
        <v>204</v>
      </c>
      <c r="BP86" s="109" t="s">
        <v>191</v>
      </c>
      <c r="BQ86" s="52">
        <f>2*ASIN((BK81/2)/BQ85)</f>
        <v>1.9598293050149134</v>
      </c>
      <c r="BR86" s="102"/>
      <c r="BT86" s="6" t="s">
        <v>194</v>
      </c>
      <c r="BU86" s="5">
        <f>68*PI()/180</f>
        <v>1.1868238913561442</v>
      </c>
      <c r="BV86" s="5" t="s">
        <v>192</v>
      </c>
      <c r="BW86" s="109" t="s">
        <v>203</v>
      </c>
      <c r="BX86" s="52">
        <f>BX85*BU84</f>
        <v>7.7474591115532343E-2</v>
      </c>
      <c r="BY86" s="52" t="s">
        <v>204</v>
      </c>
      <c r="BZ86" s="109" t="s">
        <v>191</v>
      </c>
      <c r="CA86" s="52">
        <f>2*ASIN((BU81/2)/CA85)</f>
        <v>1.9598293050149134</v>
      </c>
      <c r="CB86" s="102"/>
    </row>
    <row r="87" spans="2:80" x14ac:dyDescent="0.25">
      <c r="B87" s="6" t="s">
        <v>205</v>
      </c>
      <c r="C87" s="5" t="str">
        <f>E29</f>
        <v>NA</v>
      </c>
      <c r="D87" s="5" t="s">
        <v>105</v>
      </c>
      <c r="E87" s="109" t="s">
        <v>208</v>
      </c>
      <c r="F87" s="52">
        <f>F84*C84</f>
        <v>0</v>
      </c>
      <c r="G87" s="52" t="s">
        <v>204</v>
      </c>
      <c r="H87" s="109" t="s">
        <v>209</v>
      </c>
      <c r="I87" s="52" t="e">
        <f>(I85^2*I86/2)-(I85^2*SIN(I86)/2)</f>
        <v>#DIV/0!</v>
      </c>
      <c r="J87" s="102"/>
      <c r="L87" s="6" t="s">
        <v>205</v>
      </c>
      <c r="M87" s="5">
        <v>11</v>
      </c>
      <c r="N87" s="5" t="s">
        <v>105</v>
      </c>
      <c r="O87" s="109" t="s">
        <v>208</v>
      </c>
      <c r="P87" s="52">
        <f>P84*M84</f>
        <v>0.63689046374037916</v>
      </c>
      <c r="Q87" s="52" t="s">
        <v>204</v>
      </c>
      <c r="R87" s="109" t="s">
        <v>209</v>
      </c>
      <c r="S87" s="52">
        <f>(S85^2*S86/2)-(S85^2*SIN(S86)/2)</f>
        <v>6.7505393268867619E-2</v>
      </c>
      <c r="T87" s="102"/>
      <c r="V87" s="6" t="s">
        <v>205</v>
      </c>
      <c r="W87" s="5">
        <v>11</v>
      </c>
      <c r="X87" s="5" t="s">
        <v>105</v>
      </c>
      <c r="Y87" s="109" t="s">
        <v>208</v>
      </c>
      <c r="Z87" s="52">
        <f>Z84*W84</f>
        <v>0.63689046374037916</v>
      </c>
      <c r="AA87" s="52" t="s">
        <v>204</v>
      </c>
      <c r="AB87" s="109" t="s">
        <v>209</v>
      </c>
      <c r="AC87" s="52">
        <f>(AC85^2*AC86/2)-(AC85^2*SIN(AC86)/2)</f>
        <v>6.7505393268867619E-2</v>
      </c>
      <c r="AD87" s="102"/>
      <c r="AF87" s="6" t="s">
        <v>205</v>
      </c>
      <c r="AG87" s="5">
        <v>11</v>
      </c>
      <c r="AH87" s="5" t="s">
        <v>105</v>
      </c>
      <c r="AI87" s="109" t="s">
        <v>208</v>
      </c>
      <c r="AJ87" s="52">
        <f>AJ84*AG84</f>
        <v>0.63689046374037916</v>
      </c>
      <c r="AK87" s="52" t="s">
        <v>204</v>
      </c>
      <c r="AL87" s="109" t="s">
        <v>209</v>
      </c>
      <c r="AM87" s="52">
        <f>(AM85^2*AM86/2)-(AM85^2*SIN(AM86)/2)</f>
        <v>6.7505393268867619E-2</v>
      </c>
      <c r="AN87" s="102"/>
      <c r="AP87" s="6" t="s">
        <v>205</v>
      </c>
      <c r="AQ87" s="5">
        <v>11</v>
      </c>
      <c r="AR87" s="5" t="s">
        <v>105</v>
      </c>
      <c r="AS87" s="109" t="s">
        <v>208</v>
      </c>
      <c r="AT87" s="52">
        <f>AT84*AQ84</f>
        <v>0.63689046374037916</v>
      </c>
      <c r="AU87" s="52" t="s">
        <v>204</v>
      </c>
      <c r="AV87" s="109" t="s">
        <v>209</v>
      </c>
      <c r="AW87" s="52">
        <f>(AW85^2*AW86/2)-(AW85^2*SIN(AW86)/2)</f>
        <v>6.7505393268867619E-2</v>
      </c>
      <c r="AX87" s="102"/>
      <c r="AZ87" s="6" t="s">
        <v>205</v>
      </c>
      <c r="BA87" s="5">
        <v>11</v>
      </c>
      <c r="BB87" s="5" t="s">
        <v>105</v>
      </c>
      <c r="BC87" s="109" t="s">
        <v>208</v>
      </c>
      <c r="BD87" s="52">
        <f>BD84*BA84</f>
        <v>0.63689046374037916</v>
      </c>
      <c r="BE87" s="52" t="s">
        <v>204</v>
      </c>
      <c r="BF87" s="109" t="s">
        <v>209</v>
      </c>
      <c r="BG87" s="52">
        <f>(BG85^2*BG86/2)-(BG85^2*SIN(BG86)/2)</f>
        <v>6.7505393268867619E-2</v>
      </c>
      <c r="BH87" s="102"/>
      <c r="BJ87" s="6" t="s">
        <v>205</v>
      </c>
      <c r="BK87" s="5">
        <v>11</v>
      </c>
      <c r="BL87" s="5" t="s">
        <v>105</v>
      </c>
      <c r="BM87" s="109" t="s">
        <v>208</v>
      </c>
      <c r="BN87" s="52">
        <f>BN84*BK84</f>
        <v>0.63689046374037916</v>
      </c>
      <c r="BO87" s="52" t="s">
        <v>204</v>
      </c>
      <c r="BP87" s="109" t="s">
        <v>209</v>
      </c>
      <c r="BQ87" s="52">
        <f>(BQ85^2*BQ86/2)-(BQ85^2*SIN(BQ86)/2)</f>
        <v>6.7505393268867619E-2</v>
      </c>
      <c r="BR87" s="102"/>
      <c r="BT87" s="6" t="s">
        <v>205</v>
      </c>
      <c r="BU87" s="5">
        <v>11</v>
      </c>
      <c r="BV87" s="5" t="s">
        <v>105</v>
      </c>
      <c r="BW87" s="109" t="s">
        <v>208</v>
      </c>
      <c r="BX87" s="52">
        <f>BX84*BU84</f>
        <v>0.63689046374037916</v>
      </c>
      <c r="BY87" s="52" t="s">
        <v>204</v>
      </c>
      <c r="BZ87" s="109" t="s">
        <v>209</v>
      </c>
      <c r="CA87" s="52">
        <f>(CA85^2*CA86/2)-(CA85^2*SIN(CA86)/2)</f>
        <v>6.7505393268867619E-2</v>
      </c>
      <c r="CB87" s="102"/>
    </row>
    <row r="88" spans="2:80" x14ac:dyDescent="0.25">
      <c r="B88" s="6" t="s">
        <v>213</v>
      </c>
      <c r="C88" s="5">
        <f>E30</f>
        <v>0</v>
      </c>
      <c r="D88" s="5" t="s">
        <v>17</v>
      </c>
      <c r="E88" s="52" t="s">
        <v>214</v>
      </c>
      <c r="F88" s="52" t="e">
        <f>((F81)^2+C83^2)/(2*C83)</f>
        <v>#DIV/0!</v>
      </c>
      <c r="G88" s="52" t="s">
        <v>17</v>
      </c>
      <c r="H88" s="109" t="s">
        <v>202</v>
      </c>
      <c r="I88" s="52" t="e">
        <f>C81*C84+2*I87</f>
        <v>#DIV/0!</v>
      </c>
      <c r="J88" s="102"/>
      <c r="L88" s="6" t="s">
        <v>213</v>
      </c>
      <c r="M88" s="5">
        <v>0.1</v>
      </c>
      <c r="N88" s="5" t="s">
        <v>17</v>
      </c>
      <c r="O88" s="52" t="s">
        <v>214</v>
      </c>
      <c r="P88" s="52">
        <f>((P81)^2+M83^2)/(2*M83)</f>
        <v>0.3891838842975206</v>
      </c>
      <c r="Q88" s="52" t="s">
        <v>17</v>
      </c>
      <c r="R88" s="109" t="s">
        <v>202</v>
      </c>
      <c r="S88" s="52">
        <f>M81*M84+2*S87</f>
        <v>0.61501078653773522</v>
      </c>
      <c r="T88" s="102"/>
      <c r="V88" s="6" t="s">
        <v>213</v>
      </c>
      <c r="W88" s="5">
        <v>0.1</v>
      </c>
      <c r="X88" s="5" t="s">
        <v>17</v>
      </c>
      <c r="Y88" s="52" t="s">
        <v>214</v>
      </c>
      <c r="Z88" s="52">
        <f>((Z81)^2+W83^2)/(2*W83)</f>
        <v>0.3891838842975206</v>
      </c>
      <c r="AA88" s="52" t="s">
        <v>17</v>
      </c>
      <c r="AB88" s="109" t="s">
        <v>202</v>
      </c>
      <c r="AC88" s="52">
        <f>W81*W84+2*AC87</f>
        <v>0.61501078653773522</v>
      </c>
      <c r="AD88" s="102"/>
      <c r="AF88" s="6" t="s">
        <v>213</v>
      </c>
      <c r="AG88" s="5">
        <v>0.1</v>
      </c>
      <c r="AH88" s="5" t="s">
        <v>17</v>
      </c>
      <c r="AI88" s="52" t="s">
        <v>214</v>
      </c>
      <c r="AJ88" s="52">
        <f>((AJ81)^2+AG83^2)/(2*AG83)</f>
        <v>0.3891838842975206</v>
      </c>
      <c r="AK88" s="52" t="s">
        <v>17</v>
      </c>
      <c r="AL88" s="109" t="s">
        <v>202</v>
      </c>
      <c r="AM88" s="52">
        <f>AG81*AG84+2*AM87</f>
        <v>0.61501078653773522</v>
      </c>
      <c r="AN88" s="102"/>
      <c r="AP88" s="6" t="s">
        <v>213</v>
      </c>
      <c r="AQ88" s="5">
        <v>0.1</v>
      </c>
      <c r="AR88" s="5" t="s">
        <v>17</v>
      </c>
      <c r="AS88" s="52" t="s">
        <v>214</v>
      </c>
      <c r="AT88" s="52">
        <f>((AT81)^2+AQ83^2)/(2*AQ83)</f>
        <v>0.3891838842975206</v>
      </c>
      <c r="AU88" s="52" t="s">
        <v>17</v>
      </c>
      <c r="AV88" s="109" t="s">
        <v>202</v>
      </c>
      <c r="AW88" s="52">
        <f>AQ81*AQ84+2*AW87</f>
        <v>0.61501078653773522</v>
      </c>
      <c r="AX88" s="102"/>
      <c r="AZ88" s="6" t="s">
        <v>213</v>
      </c>
      <c r="BA88" s="5">
        <v>0.1</v>
      </c>
      <c r="BB88" s="5" t="s">
        <v>17</v>
      </c>
      <c r="BC88" s="52" t="s">
        <v>214</v>
      </c>
      <c r="BD88" s="52">
        <f>((BD81)^2+BA83^2)/(2*BA83)</f>
        <v>0.3891838842975206</v>
      </c>
      <c r="BE88" s="52" t="s">
        <v>17</v>
      </c>
      <c r="BF88" s="109" t="s">
        <v>202</v>
      </c>
      <c r="BG88" s="52">
        <f>BA81*BA84+2*BG87</f>
        <v>0.61501078653773522</v>
      </c>
      <c r="BH88" s="102"/>
      <c r="BJ88" s="6" t="s">
        <v>213</v>
      </c>
      <c r="BK88" s="5">
        <v>0.1</v>
      </c>
      <c r="BL88" s="5" t="s">
        <v>17</v>
      </c>
      <c r="BM88" s="52" t="s">
        <v>214</v>
      </c>
      <c r="BN88" s="52">
        <f>((BN81)^2+BK83^2)/(2*BK83)</f>
        <v>0.3891838842975206</v>
      </c>
      <c r="BO88" s="52" t="s">
        <v>17</v>
      </c>
      <c r="BP88" s="109" t="s">
        <v>202</v>
      </c>
      <c r="BQ88" s="52">
        <f>BK81*BK84+2*BQ87</f>
        <v>0.61501078653773522</v>
      </c>
      <c r="BR88" s="102"/>
      <c r="BT88" s="6" t="s">
        <v>213</v>
      </c>
      <c r="BU88" s="5">
        <v>0.1</v>
      </c>
      <c r="BV88" s="5" t="s">
        <v>17</v>
      </c>
      <c r="BW88" s="52" t="s">
        <v>214</v>
      </c>
      <c r="BX88" s="52">
        <f>((BX81)^2+BU83^2)/(2*BU83)</f>
        <v>0.3891838842975206</v>
      </c>
      <c r="BY88" s="52" t="s">
        <v>17</v>
      </c>
      <c r="BZ88" s="109" t="s">
        <v>202</v>
      </c>
      <c r="CA88" s="52">
        <f>BU81*BU84+2*CA87</f>
        <v>0.61501078653773522</v>
      </c>
      <c r="CB88" s="102"/>
    </row>
    <row r="89" spans="2:80" x14ac:dyDescent="0.25">
      <c r="B89" s="6" t="s">
        <v>218</v>
      </c>
      <c r="C89" s="5" t="e">
        <f>F87+2*F92</f>
        <v>#DIV/0!</v>
      </c>
      <c r="D89" s="5" t="s">
        <v>201</v>
      </c>
      <c r="E89" s="52" t="s">
        <v>219</v>
      </c>
      <c r="F89" s="52" t="e">
        <f>(PI()*C83^2*(3*F88-C83)/3)</f>
        <v>#DIV/0!</v>
      </c>
      <c r="G89" s="52" t="s">
        <v>204</v>
      </c>
      <c r="H89" s="109" t="s">
        <v>207</v>
      </c>
      <c r="I89" s="52" t="e">
        <f>(C85*(I84+I88+SQRT(I84*I88)))/3</f>
        <v>#DIV/0!</v>
      </c>
      <c r="J89" s="102"/>
      <c r="L89" s="6" t="s">
        <v>218</v>
      </c>
      <c r="M89" s="5">
        <f>P87+2*P92</f>
        <v>0.91053952741364685</v>
      </c>
      <c r="N89" s="5" t="s">
        <v>201</v>
      </c>
      <c r="O89" s="52" t="s">
        <v>219</v>
      </c>
      <c r="P89" s="52">
        <f>(PI()*M83^2*(3*P88-M83)/3)</f>
        <v>2.7010703964497285E-2</v>
      </c>
      <c r="Q89" s="52" t="s">
        <v>204</v>
      </c>
      <c r="R89" s="109" t="s">
        <v>207</v>
      </c>
      <c r="S89" s="52">
        <f>(M85*(S84+S88+SQRT(S84*S88)))/3</f>
        <v>0.51920980233358682</v>
      </c>
      <c r="T89" s="102"/>
      <c r="V89" s="6" t="s">
        <v>218</v>
      </c>
      <c r="W89" s="5">
        <f>Z87+2*Z92</f>
        <v>0.91053952741364685</v>
      </c>
      <c r="X89" s="5" t="s">
        <v>201</v>
      </c>
      <c r="Y89" s="52" t="s">
        <v>219</v>
      </c>
      <c r="Z89" s="52">
        <f>(PI()*W83^2*(3*Z88-W83)/3)</f>
        <v>2.7010703964497285E-2</v>
      </c>
      <c r="AA89" s="52" t="s">
        <v>204</v>
      </c>
      <c r="AB89" s="109" t="s">
        <v>207</v>
      </c>
      <c r="AC89" s="52">
        <f>(W85*(AC84+AC88+SQRT(AC84*AC88)))/3</f>
        <v>0.51920980233358682</v>
      </c>
      <c r="AD89" s="102"/>
      <c r="AF89" s="6" t="s">
        <v>218</v>
      </c>
      <c r="AG89" s="5">
        <f>AJ87+2*AJ92</f>
        <v>0.91053952741364685</v>
      </c>
      <c r="AH89" s="5" t="s">
        <v>201</v>
      </c>
      <c r="AI89" s="52" t="s">
        <v>219</v>
      </c>
      <c r="AJ89" s="52">
        <f>(PI()*AG83^2*(3*AJ88-AG83)/3)</f>
        <v>2.7010703964497285E-2</v>
      </c>
      <c r="AK89" s="52" t="s">
        <v>204</v>
      </c>
      <c r="AL89" s="109" t="s">
        <v>207</v>
      </c>
      <c r="AM89" s="52">
        <f>(AG85*(AM84+AM88+SQRT(AM84*AM88)))/3</f>
        <v>0.51920980233358682</v>
      </c>
      <c r="AN89" s="102"/>
      <c r="AP89" s="6" t="s">
        <v>218</v>
      </c>
      <c r="AQ89" s="5">
        <f>AT87+2*AT92</f>
        <v>0.91053952741364685</v>
      </c>
      <c r="AR89" s="5" t="s">
        <v>201</v>
      </c>
      <c r="AS89" s="52" t="s">
        <v>219</v>
      </c>
      <c r="AT89" s="52">
        <f>(PI()*AQ83^2*(3*AT88-AQ83)/3)</f>
        <v>2.7010703964497285E-2</v>
      </c>
      <c r="AU89" s="52" t="s">
        <v>204</v>
      </c>
      <c r="AV89" s="109" t="s">
        <v>207</v>
      </c>
      <c r="AW89" s="52">
        <f>(AQ85*(AW84+AW88+SQRT(AW84*AW88)))/3</f>
        <v>0.51920980233358682</v>
      </c>
      <c r="AX89" s="102"/>
      <c r="AZ89" s="6" t="s">
        <v>218</v>
      </c>
      <c r="BA89" s="5">
        <f>BD87+2*BD92</f>
        <v>0.91053952741364685</v>
      </c>
      <c r="BB89" s="5" t="s">
        <v>201</v>
      </c>
      <c r="BC89" s="52" t="s">
        <v>219</v>
      </c>
      <c r="BD89" s="52">
        <f>(PI()*BA83^2*(3*BD88-BA83)/3)</f>
        <v>2.7010703964497285E-2</v>
      </c>
      <c r="BE89" s="52" t="s">
        <v>204</v>
      </c>
      <c r="BF89" s="109" t="s">
        <v>207</v>
      </c>
      <c r="BG89" s="52">
        <f>(BA85*(BG84+BG88+SQRT(BG84*BG88)))/3</f>
        <v>0.51920980233358682</v>
      </c>
      <c r="BH89" s="102"/>
      <c r="BJ89" s="6" t="s">
        <v>218</v>
      </c>
      <c r="BK89" s="5">
        <f>BN87+2*BN92</f>
        <v>0.91053952741364685</v>
      </c>
      <c r="BL89" s="5" t="s">
        <v>201</v>
      </c>
      <c r="BM89" s="52" t="s">
        <v>219</v>
      </c>
      <c r="BN89" s="52">
        <f>(PI()*BK83^2*(3*BN88-BK83)/3)</f>
        <v>2.7010703964497285E-2</v>
      </c>
      <c r="BO89" s="52" t="s">
        <v>204</v>
      </c>
      <c r="BP89" s="109" t="s">
        <v>207</v>
      </c>
      <c r="BQ89" s="52">
        <f>(BK85*(BQ84+BQ88+SQRT(BQ84*BQ88)))/3</f>
        <v>0.51920980233358682</v>
      </c>
      <c r="BR89" s="102"/>
      <c r="BT89" s="6" t="s">
        <v>218</v>
      </c>
      <c r="BU89" s="5">
        <f>BX87+2*BX92</f>
        <v>0.91053952741364685</v>
      </c>
      <c r="BV89" s="5" t="s">
        <v>201</v>
      </c>
      <c r="BW89" s="52" t="s">
        <v>219</v>
      </c>
      <c r="BX89" s="52">
        <f>(PI()*BU83^2*(3*BX88-BU83)/3)</f>
        <v>2.7010703964497285E-2</v>
      </c>
      <c r="BY89" s="52" t="s">
        <v>204</v>
      </c>
      <c r="BZ89" s="109" t="s">
        <v>207</v>
      </c>
      <c r="CA89" s="52">
        <f>(BU85*(CA84+CA88+SQRT(CA84*CA88)))/3</f>
        <v>0.51920980233358682</v>
      </c>
      <c r="CB89" s="102"/>
    </row>
    <row r="90" spans="2:80" x14ac:dyDescent="0.25">
      <c r="B90" s="6" t="s">
        <v>212</v>
      </c>
      <c r="C90" s="5" t="e">
        <f>F86+2*F90</f>
        <v>#DIV/0!</v>
      </c>
      <c r="D90" s="5" t="s">
        <v>204</v>
      </c>
      <c r="E90" s="52" t="s">
        <v>224</v>
      </c>
      <c r="F90" s="52" t="e">
        <f>(C82/(F81*2))*F89</f>
        <v>#DIV/0!</v>
      </c>
      <c r="G90" s="52" t="s">
        <v>204</v>
      </c>
      <c r="H90" s="52"/>
      <c r="I90" s="52"/>
      <c r="J90" s="102"/>
      <c r="L90" s="6" t="s">
        <v>212</v>
      </c>
      <c r="M90" s="5">
        <f>P86+2*P90</f>
        <v>9.6366470767001541E-2</v>
      </c>
      <c r="N90" s="5" t="s">
        <v>204</v>
      </c>
      <c r="O90" s="52" t="s">
        <v>224</v>
      </c>
      <c r="P90" s="52">
        <f>(M82/(P81*2))*P89</f>
        <v>9.4459398257346009E-3</v>
      </c>
      <c r="Q90" s="52" t="s">
        <v>204</v>
      </c>
      <c r="R90" s="52"/>
      <c r="S90" s="52"/>
      <c r="T90" s="102"/>
      <c r="V90" s="6" t="s">
        <v>212</v>
      </c>
      <c r="W90" s="5">
        <f>Z86+2*Z90</f>
        <v>9.6366470767001541E-2</v>
      </c>
      <c r="X90" s="5" t="s">
        <v>204</v>
      </c>
      <c r="Y90" s="52" t="s">
        <v>224</v>
      </c>
      <c r="Z90" s="52">
        <f>(W82/(Z81*2))*Z89</f>
        <v>9.4459398257346009E-3</v>
      </c>
      <c r="AA90" s="52" t="s">
        <v>204</v>
      </c>
      <c r="AB90" s="52"/>
      <c r="AC90" s="52"/>
      <c r="AD90" s="102"/>
      <c r="AF90" s="6" t="s">
        <v>212</v>
      </c>
      <c r="AG90" s="5">
        <f>AJ86+2*AJ90</f>
        <v>9.6366470767001541E-2</v>
      </c>
      <c r="AH90" s="5" t="s">
        <v>204</v>
      </c>
      <c r="AI90" s="52" t="s">
        <v>224</v>
      </c>
      <c r="AJ90" s="52">
        <f>(AG82/(AJ81*2))*AJ89</f>
        <v>9.4459398257346009E-3</v>
      </c>
      <c r="AK90" s="52" t="s">
        <v>204</v>
      </c>
      <c r="AL90" s="52"/>
      <c r="AM90" s="52"/>
      <c r="AN90" s="102"/>
      <c r="AP90" s="6" t="s">
        <v>212</v>
      </c>
      <c r="AQ90" s="5">
        <f>AT86+2*AT90</f>
        <v>9.6366470767001541E-2</v>
      </c>
      <c r="AR90" s="5" t="s">
        <v>204</v>
      </c>
      <c r="AS90" s="52" t="s">
        <v>224</v>
      </c>
      <c r="AT90" s="52">
        <f>(AQ82/(AT81*2))*AT89</f>
        <v>9.4459398257346009E-3</v>
      </c>
      <c r="AU90" s="52" t="s">
        <v>204</v>
      </c>
      <c r="AV90" s="52"/>
      <c r="AW90" s="52"/>
      <c r="AX90" s="102"/>
      <c r="AZ90" s="6" t="s">
        <v>212</v>
      </c>
      <c r="BA90" s="5">
        <f>BD86+2*BD90</f>
        <v>9.6366470767001541E-2</v>
      </c>
      <c r="BB90" s="5" t="s">
        <v>204</v>
      </c>
      <c r="BC90" s="52" t="s">
        <v>224</v>
      </c>
      <c r="BD90" s="52">
        <f>(BA82/(BD81*2))*BD89</f>
        <v>9.4459398257346009E-3</v>
      </c>
      <c r="BE90" s="52" t="s">
        <v>204</v>
      </c>
      <c r="BF90" s="52"/>
      <c r="BG90" s="52"/>
      <c r="BH90" s="102"/>
      <c r="BJ90" s="6" t="s">
        <v>212</v>
      </c>
      <c r="BK90" s="5">
        <f>BN86+2*BN90</f>
        <v>9.6366470767001541E-2</v>
      </c>
      <c r="BL90" s="5" t="s">
        <v>204</v>
      </c>
      <c r="BM90" s="52" t="s">
        <v>224</v>
      </c>
      <c r="BN90" s="52">
        <f>(BK82/(BN81*2))*BN89</f>
        <v>9.4459398257346009E-3</v>
      </c>
      <c r="BO90" s="52" t="s">
        <v>204</v>
      </c>
      <c r="BP90" s="52"/>
      <c r="BQ90" s="52"/>
      <c r="BR90" s="102"/>
      <c r="BT90" s="6" t="s">
        <v>212</v>
      </c>
      <c r="BU90" s="5">
        <f>BX86+2*BX90</f>
        <v>9.6366470767001541E-2</v>
      </c>
      <c r="BV90" s="5" t="s">
        <v>204</v>
      </c>
      <c r="BW90" s="52" t="s">
        <v>224</v>
      </c>
      <c r="BX90" s="52">
        <f>(BU82/(BX81*2))*BX89</f>
        <v>9.4459398257346009E-3</v>
      </c>
      <c r="BY90" s="52" t="s">
        <v>204</v>
      </c>
      <c r="BZ90" s="52"/>
      <c r="CA90" s="52"/>
      <c r="CB90" s="102"/>
    </row>
    <row r="91" spans="2:80" x14ac:dyDescent="0.25">
      <c r="B91" s="6" t="s">
        <v>223</v>
      </c>
      <c r="C91" s="5" t="e">
        <f>I89</f>
        <v>#DIV/0!</v>
      </c>
      <c r="D91" s="5" t="s">
        <v>204</v>
      </c>
      <c r="E91" s="52" t="s">
        <v>226</v>
      </c>
      <c r="F91" s="52" t="e">
        <f>2*PI()*F88*C83</f>
        <v>#DIV/0!</v>
      </c>
      <c r="G91" s="52" t="s">
        <v>201</v>
      </c>
      <c r="H91" s="52"/>
      <c r="I91" s="52"/>
      <c r="J91" s="102"/>
      <c r="L91" s="6" t="s">
        <v>223</v>
      </c>
      <c r="M91" s="5">
        <f>S89</f>
        <v>0.51920980233358682</v>
      </c>
      <c r="N91" s="5" t="s">
        <v>204</v>
      </c>
      <c r="O91" s="52" t="s">
        <v>226</v>
      </c>
      <c r="P91" s="52">
        <f>2*PI()*P88*M83</f>
        <v>0.39125031417748185</v>
      </c>
      <c r="Q91" s="52" t="s">
        <v>201</v>
      </c>
      <c r="R91" s="52"/>
      <c r="S91" s="52"/>
      <c r="T91" s="102"/>
      <c r="V91" s="6" t="s">
        <v>223</v>
      </c>
      <c r="W91" s="5">
        <f>AC89</f>
        <v>0.51920980233358682</v>
      </c>
      <c r="X91" s="5" t="s">
        <v>204</v>
      </c>
      <c r="Y91" s="52" t="s">
        <v>226</v>
      </c>
      <c r="Z91" s="52">
        <f>2*PI()*Z88*W83</f>
        <v>0.39125031417748185</v>
      </c>
      <c r="AA91" s="52" t="s">
        <v>201</v>
      </c>
      <c r="AB91" s="52"/>
      <c r="AC91" s="52"/>
      <c r="AD91" s="102"/>
      <c r="AF91" s="6" t="s">
        <v>223</v>
      </c>
      <c r="AG91" s="5">
        <f>AM89</f>
        <v>0.51920980233358682</v>
      </c>
      <c r="AH91" s="5" t="s">
        <v>204</v>
      </c>
      <c r="AI91" s="52" t="s">
        <v>226</v>
      </c>
      <c r="AJ91" s="52">
        <f>2*PI()*AJ88*AG83</f>
        <v>0.39125031417748185</v>
      </c>
      <c r="AK91" s="52" t="s">
        <v>201</v>
      </c>
      <c r="AL91" s="52"/>
      <c r="AM91" s="52"/>
      <c r="AN91" s="102"/>
      <c r="AP91" s="6" t="s">
        <v>223</v>
      </c>
      <c r="AQ91" s="5">
        <f>AW89</f>
        <v>0.51920980233358682</v>
      </c>
      <c r="AR91" s="5" t="s">
        <v>204</v>
      </c>
      <c r="AS91" s="52" t="s">
        <v>226</v>
      </c>
      <c r="AT91" s="52">
        <f>2*PI()*AT88*AQ83</f>
        <v>0.39125031417748185</v>
      </c>
      <c r="AU91" s="52" t="s">
        <v>201</v>
      </c>
      <c r="AV91" s="52"/>
      <c r="AW91" s="52"/>
      <c r="AX91" s="102"/>
      <c r="AZ91" s="6" t="s">
        <v>223</v>
      </c>
      <c r="BA91" s="5">
        <f>BG89</f>
        <v>0.51920980233358682</v>
      </c>
      <c r="BB91" s="5" t="s">
        <v>204</v>
      </c>
      <c r="BC91" s="52" t="s">
        <v>226</v>
      </c>
      <c r="BD91" s="52">
        <f>2*PI()*BD88*BA83</f>
        <v>0.39125031417748185</v>
      </c>
      <c r="BE91" s="52" t="s">
        <v>201</v>
      </c>
      <c r="BF91" s="52"/>
      <c r="BG91" s="52"/>
      <c r="BH91" s="102"/>
      <c r="BJ91" s="6" t="s">
        <v>223</v>
      </c>
      <c r="BK91" s="5">
        <f>BQ89</f>
        <v>0.51920980233358682</v>
      </c>
      <c r="BL91" s="5" t="s">
        <v>204</v>
      </c>
      <c r="BM91" s="52" t="s">
        <v>226</v>
      </c>
      <c r="BN91" s="52">
        <f>2*PI()*BN88*BK83</f>
        <v>0.39125031417748185</v>
      </c>
      <c r="BO91" s="52" t="s">
        <v>201</v>
      </c>
      <c r="BP91" s="52"/>
      <c r="BQ91" s="52"/>
      <c r="BR91" s="102"/>
      <c r="BT91" s="6" t="s">
        <v>223</v>
      </c>
      <c r="BU91" s="5">
        <f>CA89</f>
        <v>0.51920980233358682</v>
      </c>
      <c r="BV91" s="5" t="s">
        <v>204</v>
      </c>
      <c r="BW91" s="52" t="s">
        <v>226</v>
      </c>
      <c r="BX91" s="52">
        <f>2*PI()*BX88*BU83</f>
        <v>0.39125031417748185</v>
      </c>
      <c r="BY91" s="52" t="s">
        <v>201</v>
      </c>
      <c r="BZ91" s="52"/>
      <c r="CA91" s="52"/>
      <c r="CB91" s="102"/>
    </row>
    <row r="92" spans="2:80" x14ac:dyDescent="0.25">
      <c r="B92" s="6" t="s">
        <v>227</v>
      </c>
      <c r="C92" s="5" t="e">
        <f>C91+C90</f>
        <v>#DIV/0!</v>
      </c>
      <c r="D92" s="5" t="s">
        <v>204</v>
      </c>
      <c r="E92" s="52" t="s">
        <v>228</v>
      </c>
      <c r="F92" s="52" t="e">
        <f>F91*(C82/(F81*2))</f>
        <v>#DIV/0!</v>
      </c>
      <c r="G92" s="52" t="s">
        <v>201</v>
      </c>
      <c r="H92" s="52"/>
      <c r="I92" s="52"/>
      <c r="J92" s="102"/>
      <c r="L92" s="6" t="s">
        <v>227</v>
      </c>
      <c r="M92" s="5">
        <f>M91+M90</f>
        <v>0.61557627310058838</v>
      </c>
      <c r="N92" s="5" t="s">
        <v>204</v>
      </c>
      <c r="O92" s="52" t="s">
        <v>228</v>
      </c>
      <c r="P92" s="52">
        <f>P91*(M82/(P81*2))</f>
        <v>0.13682453183663384</v>
      </c>
      <c r="Q92" s="52" t="s">
        <v>201</v>
      </c>
      <c r="R92" s="52"/>
      <c r="S92" s="52"/>
      <c r="T92" s="102"/>
      <c r="V92" s="6" t="s">
        <v>227</v>
      </c>
      <c r="W92" s="5">
        <f>W91+W90</f>
        <v>0.61557627310058838</v>
      </c>
      <c r="X92" s="5" t="s">
        <v>204</v>
      </c>
      <c r="Y92" s="52" t="s">
        <v>228</v>
      </c>
      <c r="Z92" s="52">
        <f>Z91*(W82/(Z81*2))</f>
        <v>0.13682453183663384</v>
      </c>
      <c r="AA92" s="52" t="s">
        <v>201</v>
      </c>
      <c r="AB92" s="52"/>
      <c r="AC92" s="52"/>
      <c r="AD92" s="102"/>
      <c r="AF92" s="6" t="s">
        <v>227</v>
      </c>
      <c r="AG92" s="5">
        <f>AG91+AG90</f>
        <v>0.61557627310058838</v>
      </c>
      <c r="AH92" s="5" t="s">
        <v>204</v>
      </c>
      <c r="AI92" s="52" t="s">
        <v>228</v>
      </c>
      <c r="AJ92" s="52">
        <f>AJ91*(AG82/(AJ81*2))</f>
        <v>0.13682453183663384</v>
      </c>
      <c r="AK92" s="52" t="s">
        <v>201</v>
      </c>
      <c r="AL92" s="52"/>
      <c r="AM92" s="52"/>
      <c r="AN92" s="102"/>
      <c r="AP92" s="6" t="s">
        <v>227</v>
      </c>
      <c r="AQ92" s="5">
        <f>AQ91+AQ90</f>
        <v>0.61557627310058838</v>
      </c>
      <c r="AR92" s="5" t="s">
        <v>204</v>
      </c>
      <c r="AS92" s="52" t="s">
        <v>228</v>
      </c>
      <c r="AT92" s="52">
        <f>AT91*(AQ82/(AT81*2))</f>
        <v>0.13682453183663384</v>
      </c>
      <c r="AU92" s="52" t="s">
        <v>201</v>
      </c>
      <c r="AV92" s="52"/>
      <c r="AW92" s="52"/>
      <c r="AX92" s="102"/>
      <c r="AZ92" s="6" t="s">
        <v>227</v>
      </c>
      <c r="BA92" s="5">
        <f>BA91+BA90</f>
        <v>0.61557627310058838</v>
      </c>
      <c r="BB92" s="5" t="s">
        <v>204</v>
      </c>
      <c r="BC92" s="52" t="s">
        <v>228</v>
      </c>
      <c r="BD92" s="52">
        <f>BD91*(BA82/(BD81*2))</f>
        <v>0.13682453183663384</v>
      </c>
      <c r="BE92" s="52" t="s">
        <v>201</v>
      </c>
      <c r="BF92" s="52"/>
      <c r="BG92" s="52"/>
      <c r="BH92" s="102"/>
      <c r="BJ92" s="6" t="s">
        <v>227</v>
      </c>
      <c r="BK92" s="5">
        <f>BK91+BK90</f>
        <v>0.61557627310058838</v>
      </c>
      <c r="BL92" s="5" t="s">
        <v>204</v>
      </c>
      <c r="BM92" s="52" t="s">
        <v>228</v>
      </c>
      <c r="BN92" s="52">
        <f>BN91*(BK82/(BN81*2))</f>
        <v>0.13682453183663384</v>
      </c>
      <c r="BO92" s="52" t="s">
        <v>201</v>
      </c>
      <c r="BP92" s="52"/>
      <c r="BQ92" s="52"/>
      <c r="BR92" s="102"/>
      <c r="BT92" s="6" t="s">
        <v>227</v>
      </c>
      <c r="BU92" s="5">
        <f>BU91+BU90</f>
        <v>0.61557627310058838</v>
      </c>
      <c r="BV92" s="5" t="s">
        <v>204</v>
      </c>
      <c r="BW92" s="52" t="s">
        <v>228</v>
      </c>
      <c r="BX92" s="52">
        <f>BX91*(BU82/(BX81*2))</f>
        <v>0.13682453183663384</v>
      </c>
      <c r="BY92" s="52" t="s">
        <v>201</v>
      </c>
      <c r="BZ92" s="52"/>
      <c r="CA92" s="52"/>
      <c r="CB92" s="102"/>
    </row>
    <row r="93" spans="2:80" x14ac:dyDescent="0.25">
      <c r="B93" s="104"/>
      <c r="C93" s="29"/>
      <c r="D93" s="29"/>
      <c r="E93" s="52"/>
      <c r="F93" s="52"/>
      <c r="G93" s="52"/>
      <c r="H93" s="52"/>
      <c r="I93" s="52"/>
      <c r="J93" s="102"/>
      <c r="L93" s="104"/>
      <c r="M93" s="29"/>
      <c r="N93" s="29"/>
      <c r="O93" s="52"/>
      <c r="P93" s="52"/>
      <c r="Q93" s="52"/>
      <c r="R93" s="52"/>
      <c r="S93" s="52"/>
      <c r="T93" s="102"/>
      <c r="V93" s="104"/>
      <c r="W93" s="29"/>
      <c r="X93" s="29"/>
      <c r="Y93" s="52"/>
      <c r="Z93" s="52"/>
      <c r="AA93" s="52"/>
      <c r="AB93" s="52"/>
      <c r="AC93" s="52"/>
      <c r="AD93" s="102"/>
      <c r="AF93" s="104"/>
      <c r="AG93" s="29"/>
      <c r="AH93" s="29"/>
      <c r="AI93" s="52"/>
      <c r="AJ93" s="52"/>
      <c r="AK93" s="52"/>
      <c r="AL93" s="52"/>
      <c r="AM93" s="52"/>
      <c r="AN93" s="102"/>
      <c r="AP93" s="104"/>
      <c r="AQ93" s="29"/>
      <c r="AR93" s="29"/>
      <c r="AS93" s="52"/>
      <c r="AT93" s="52"/>
      <c r="AU93" s="52"/>
      <c r="AV93" s="52"/>
      <c r="AW93" s="52"/>
      <c r="AX93" s="102"/>
      <c r="AZ93" s="104"/>
      <c r="BA93" s="29"/>
      <c r="BB93" s="29"/>
      <c r="BC93" s="52"/>
      <c r="BD93" s="52"/>
      <c r="BE93" s="52"/>
      <c r="BF93" s="52"/>
      <c r="BG93" s="52"/>
      <c r="BH93" s="102"/>
      <c r="BJ93" s="104"/>
      <c r="BK93" s="29"/>
      <c r="BL93" s="29"/>
      <c r="BM93" s="52"/>
      <c r="BN93" s="52"/>
      <c r="BO93" s="52"/>
      <c r="BP93" s="52"/>
      <c r="BQ93" s="52"/>
      <c r="BR93" s="102"/>
      <c r="BT93" s="104"/>
      <c r="BU93" s="29"/>
      <c r="BV93" s="29"/>
      <c r="BW93" s="52"/>
      <c r="BX93" s="52"/>
      <c r="BY93" s="52"/>
      <c r="BZ93" s="52"/>
      <c r="CA93" s="52"/>
      <c r="CB93" s="102"/>
    </row>
    <row r="94" spans="2:80" ht="15.75" thickBot="1" x14ac:dyDescent="0.3">
      <c r="B94" s="110" t="s">
        <v>231</v>
      </c>
      <c r="C94" s="105" t="e">
        <f>C84*C88*2*C87+C89</f>
        <v>#VALUE!</v>
      </c>
      <c r="D94" s="105" t="s">
        <v>201</v>
      </c>
      <c r="E94" s="106"/>
      <c r="F94" s="106"/>
      <c r="G94" s="106"/>
      <c r="H94" s="106"/>
      <c r="I94" s="106"/>
      <c r="J94" s="107"/>
      <c r="L94" s="110" t="s">
        <v>231</v>
      </c>
      <c r="M94" s="105">
        <f>M84*M88*2*M87+M89</f>
        <v>2.6705395274136472</v>
      </c>
      <c r="N94" s="105" t="s">
        <v>201</v>
      </c>
      <c r="O94" s="106"/>
      <c r="P94" s="106"/>
      <c r="Q94" s="106"/>
      <c r="R94" s="106"/>
      <c r="S94" s="106"/>
      <c r="T94" s="107"/>
      <c r="V94" s="110" t="s">
        <v>231</v>
      </c>
      <c r="W94" s="105">
        <f>W84*W88*2*W87+W89</f>
        <v>2.6705395274136472</v>
      </c>
      <c r="X94" s="105" t="s">
        <v>201</v>
      </c>
      <c r="Y94" s="106"/>
      <c r="Z94" s="106"/>
      <c r="AA94" s="106"/>
      <c r="AB94" s="106"/>
      <c r="AC94" s="106"/>
      <c r="AD94" s="107"/>
      <c r="AF94" s="110" t="s">
        <v>231</v>
      </c>
      <c r="AG94" s="105">
        <f>AG84*AG88*2*AG87+AG89</f>
        <v>2.6705395274136472</v>
      </c>
      <c r="AH94" s="105" t="s">
        <v>201</v>
      </c>
      <c r="AI94" s="106"/>
      <c r="AJ94" s="106"/>
      <c r="AK94" s="106"/>
      <c r="AL94" s="106"/>
      <c r="AM94" s="106"/>
      <c r="AN94" s="107"/>
      <c r="AP94" s="110" t="s">
        <v>231</v>
      </c>
      <c r="AQ94" s="105">
        <f>AQ84*AQ88*2*AQ87+AQ89</f>
        <v>2.6705395274136472</v>
      </c>
      <c r="AR94" s="105" t="s">
        <v>201</v>
      </c>
      <c r="AS94" s="106"/>
      <c r="AT94" s="106"/>
      <c r="AU94" s="106"/>
      <c r="AV94" s="106"/>
      <c r="AW94" s="106"/>
      <c r="AX94" s="107"/>
      <c r="AZ94" s="110" t="s">
        <v>231</v>
      </c>
      <c r="BA94" s="105">
        <f>BA84*BA88*2*BA87+BA89</f>
        <v>2.6705395274136472</v>
      </c>
      <c r="BB94" s="105" t="s">
        <v>201</v>
      </c>
      <c r="BC94" s="106"/>
      <c r="BD94" s="106"/>
      <c r="BE94" s="106"/>
      <c r="BF94" s="106"/>
      <c r="BG94" s="106"/>
      <c r="BH94" s="107"/>
      <c r="BJ94" s="110" t="s">
        <v>231</v>
      </c>
      <c r="BK94" s="105">
        <f>BK84*BK88*2*BK87+BK89</f>
        <v>2.6705395274136472</v>
      </c>
      <c r="BL94" s="105" t="s">
        <v>201</v>
      </c>
      <c r="BM94" s="106"/>
      <c r="BN94" s="106"/>
      <c r="BO94" s="106"/>
      <c r="BP94" s="106"/>
      <c r="BQ94" s="106"/>
      <c r="BR94" s="107"/>
      <c r="BT94" s="110" t="s">
        <v>231</v>
      </c>
      <c r="BU94" s="105">
        <f>BU84*BU88*2*BU87+BU89</f>
        <v>2.6705395274136472</v>
      </c>
      <c r="BV94" s="105" t="s">
        <v>201</v>
      </c>
      <c r="BW94" s="106"/>
      <c r="BX94" s="106"/>
      <c r="BY94" s="106"/>
      <c r="BZ94" s="106"/>
      <c r="CA94" s="106"/>
      <c r="CB94" s="107"/>
    </row>
    <row r="95" spans="2:80" ht="15.75" thickBot="1" x14ac:dyDescent="0.3"/>
    <row r="96" spans="2:80" ht="15.75" thickBot="1" x14ac:dyDescent="0.3">
      <c r="B96" s="424" t="s">
        <v>181</v>
      </c>
      <c r="C96" s="425"/>
      <c r="D96" s="425"/>
      <c r="E96" s="389"/>
      <c r="F96" s="389"/>
      <c r="G96" s="389"/>
      <c r="H96" s="389"/>
      <c r="I96" s="389"/>
      <c r="J96" s="390"/>
      <c r="L96" s="424" t="s">
        <v>181</v>
      </c>
      <c r="M96" s="425"/>
      <c r="N96" s="425"/>
      <c r="O96" s="389"/>
      <c r="P96" s="389"/>
      <c r="Q96" s="389"/>
      <c r="R96" s="389"/>
      <c r="S96" s="389"/>
      <c r="T96" s="390"/>
      <c r="V96" s="424" t="s">
        <v>181</v>
      </c>
      <c r="W96" s="425"/>
      <c r="X96" s="425"/>
      <c r="Y96" s="389"/>
      <c r="Z96" s="389"/>
      <c r="AA96" s="389"/>
      <c r="AB96" s="389"/>
      <c r="AC96" s="389"/>
      <c r="AD96" s="390"/>
      <c r="AF96" s="424" t="s">
        <v>181</v>
      </c>
      <c r="AG96" s="425"/>
      <c r="AH96" s="425"/>
      <c r="AI96" s="389"/>
      <c r="AJ96" s="389"/>
      <c r="AK96" s="389"/>
      <c r="AL96" s="389"/>
      <c r="AM96" s="389"/>
      <c r="AN96" s="390"/>
      <c r="AP96" s="424" t="s">
        <v>181</v>
      </c>
      <c r="AQ96" s="425"/>
      <c r="AR96" s="425"/>
      <c r="AS96" s="389"/>
      <c r="AT96" s="389"/>
      <c r="AU96" s="389"/>
      <c r="AV96" s="389"/>
      <c r="AW96" s="389"/>
      <c r="AX96" s="390"/>
      <c r="AZ96" s="424" t="s">
        <v>181</v>
      </c>
      <c r="BA96" s="425"/>
      <c r="BB96" s="425"/>
      <c r="BC96" s="389"/>
      <c r="BD96" s="389"/>
      <c r="BE96" s="389"/>
      <c r="BF96" s="389"/>
      <c r="BG96" s="389"/>
      <c r="BH96" s="390"/>
      <c r="BJ96" s="424" t="s">
        <v>181</v>
      </c>
      <c r="BK96" s="425"/>
      <c r="BL96" s="425"/>
      <c r="BM96" s="389"/>
      <c r="BN96" s="389"/>
      <c r="BO96" s="389"/>
      <c r="BP96" s="389"/>
      <c r="BQ96" s="389"/>
      <c r="BR96" s="390"/>
      <c r="BT96" s="424" t="s">
        <v>181</v>
      </c>
      <c r="BU96" s="425"/>
      <c r="BV96" s="425"/>
      <c r="BW96" s="389"/>
      <c r="BX96" s="389"/>
      <c r="BY96" s="389"/>
      <c r="BZ96" s="389"/>
      <c r="CA96" s="389"/>
      <c r="CB96" s="390"/>
    </row>
    <row r="97" spans="2:80" x14ac:dyDescent="0.25">
      <c r="B97" s="6" t="s">
        <v>185</v>
      </c>
      <c r="C97" s="5">
        <f>E25</f>
        <v>0.5</v>
      </c>
      <c r="D97" s="5" t="s">
        <v>17</v>
      </c>
      <c r="E97" s="29"/>
      <c r="F97" s="29"/>
      <c r="G97" s="29"/>
      <c r="H97" s="29"/>
      <c r="I97" s="29"/>
      <c r="J97" s="111"/>
      <c r="L97" s="6" t="s">
        <v>185</v>
      </c>
      <c r="M97" s="5">
        <v>0.5</v>
      </c>
      <c r="N97" s="5" t="s">
        <v>17</v>
      </c>
      <c r="O97" s="29"/>
      <c r="P97" s="29"/>
      <c r="Q97" s="29"/>
      <c r="R97" s="29"/>
      <c r="S97" s="29"/>
      <c r="T97" s="111"/>
      <c r="V97" s="6" t="s">
        <v>185</v>
      </c>
      <c r="W97" s="5">
        <v>0.5</v>
      </c>
      <c r="X97" s="5" t="s">
        <v>17</v>
      </c>
      <c r="Y97" s="29"/>
      <c r="Z97" s="29"/>
      <c r="AA97" s="29"/>
      <c r="AB97" s="29"/>
      <c r="AC97" s="29"/>
      <c r="AD97" s="111"/>
      <c r="AF97" s="6" t="s">
        <v>185</v>
      </c>
      <c r="AG97" s="5">
        <v>0.5</v>
      </c>
      <c r="AH97" s="5" t="s">
        <v>17</v>
      </c>
      <c r="AI97" s="29"/>
      <c r="AJ97" s="29"/>
      <c r="AK97" s="29"/>
      <c r="AL97" s="29"/>
      <c r="AM97" s="29"/>
      <c r="AN97" s="111"/>
      <c r="AP97" s="6" t="s">
        <v>185</v>
      </c>
      <c r="AQ97" s="5">
        <v>0.5</v>
      </c>
      <c r="AR97" s="5" t="s">
        <v>17</v>
      </c>
      <c r="AS97" s="29"/>
      <c r="AT97" s="29"/>
      <c r="AU97" s="29"/>
      <c r="AV97" s="29"/>
      <c r="AW97" s="29"/>
      <c r="AX97" s="111"/>
      <c r="AZ97" s="6" t="s">
        <v>185</v>
      </c>
      <c r="BA97" s="5">
        <v>0.5</v>
      </c>
      <c r="BB97" s="5" t="s">
        <v>17</v>
      </c>
      <c r="BC97" s="29"/>
      <c r="BD97" s="29"/>
      <c r="BE97" s="29"/>
      <c r="BF97" s="29"/>
      <c r="BG97" s="29"/>
      <c r="BH97" s="111"/>
      <c r="BJ97" s="6" t="s">
        <v>185</v>
      </c>
      <c r="BK97" s="5">
        <v>0.5</v>
      </c>
      <c r="BL97" s="5" t="s">
        <v>17</v>
      </c>
      <c r="BM97" s="29"/>
      <c r="BN97" s="29"/>
      <c r="BO97" s="29"/>
      <c r="BP97" s="29"/>
      <c r="BQ97" s="29"/>
      <c r="BR97" s="111"/>
      <c r="BT97" s="6" t="s">
        <v>185</v>
      </c>
      <c r="BU97" s="5">
        <v>0.5</v>
      </c>
      <c r="BV97" s="5" t="s">
        <v>17</v>
      </c>
      <c r="BW97" s="29"/>
      <c r="BX97" s="29"/>
      <c r="BY97" s="29"/>
      <c r="BZ97" s="29"/>
      <c r="CA97" s="29"/>
      <c r="CB97" s="111"/>
    </row>
    <row r="98" spans="2:80" x14ac:dyDescent="0.25">
      <c r="B98" s="6" t="s">
        <v>189</v>
      </c>
      <c r="C98" s="5">
        <f>E23</f>
        <v>0.3</v>
      </c>
      <c r="D98" s="5" t="s">
        <v>17</v>
      </c>
      <c r="E98" s="29"/>
      <c r="F98" s="29"/>
      <c r="G98" s="29"/>
      <c r="H98" s="29"/>
      <c r="I98" s="29"/>
      <c r="J98" s="111"/>
      <c r="L98" s="6" t="s">
        <v>189</v>
      </c>
      <c r="M98" s="5">
        <v>0.2</v>
      </c>
      <c r="N98" s="5" t="s">
        <v>17</v>
      </c>
      <c r="O98" s="29"/>
      <c r="P98" s="29"/>
      <c r="Q98" s="29"/>
      <c r="R98" s="29"/>
      <c r="S98" s="29"/>
      <c r="T98" s="111"/>
      <c r="V98" s="6" t="s">
        <v>189</v>
      </c>
      <c r="W98" s="5">
        <v>0.2</v>
      </c>
      <c r="X98" s="5" t="s">
        <v>17</v>
      </c>
      <c r="Y98" s="29"/>
      <c r="Z98" s="29"/>
      <c r="AA98" s="29"/>
      <c r="AB98" s="29"/>
      <c r="AC98" s="29"/>
      <c r="AD98" s="111"/>
      <c r="AF98" s="6" t="s">
        <v>189</v>
      </c>
      <c r="AG98" s="5">
        <v>0.2</v>
      </c>
      <c r="AH98" s="5" t="s">
        <v>17</v>
      </c>
      <c r="AI98" s="29"/>
      <c r="AJ98" s="29"/>
      <c r="AK98" s="29"/>
      <c r="AL98" s="29"/>
      <c r="AM98" s="29"/>
      <c r="AN98" s="111"/>
      <c r="AP98" s="6" t="s">
        <v>189</v>
      </c>
      <c r="AQ98" s="5">
        <v>0.2</v>
      </c>
      <c r="AR98" s="5" t="s">
        <v>17</v>
      </c>
      <c r="AS98" s="29"/>
      <c r="AT98" s="29"/>
      <c r="AU98" s="29"/>
      <c r="AV98" s="29"/>
      <c r="AW98" s="29"/>
      <c r="AX98" s="111"/>
      <c r="AZ98" s="6" t="s">
        <v>189</v>
      </c>
      <c r="BA98" s="5">
        <v>0.2</v>
      </c>
      <c r="BB98" s="5" t="s">
        <v>17</v>
      </c>
      <c r="BC98" s="29"/>
      <c r="BD98" s="29"/>
      <c r="BE98" s="29"/>
      <c r="BF98" s="29"/>
      <c r="BG98" s="29"/>
      <c r="BH98" s="111"/>
      <c r="BJ98" s="6" t="s">
        <v>189</v>
      </c>
      <c r="BK98" s="5">
        <v>0.2</v>
      </c>
      <c r="BL98" s="5" t="s">
        <v>17</v>
      </c>
      <c r="BM98" s="29"/>
      <c r="BN98" s="29"/>
      <c r="BO98" s="29"/>
      <c r="BP98" s="29"/>
      <c r="BQ98" s="29"/>
      <c r="BR98" s="111"/>
      <c r="BT98" s="6" t="s">
        <v>189</v>
      </c>
      <c r="BU98" s="5">
        <v>0.2</v>
      </c>
      <c r="BV98" s="5" t="s">
        <v>17</v>
      </c>
      <c r="BW98" s="29"/>
      <c r="BX98" s="29"/>
      <c r="BY98" s="29"/>
      <c r="BZ98" s="29"/>
      <c r="CA98" s="29"/>
      <c r="CB98" s="111"/>
    </row>
    <row r="99" spans="2:80" ht="15.75" x14ac:dyDescent="0.25">
      <c r="B99" s="6" t="s">
        <v>194</v>
      </c>
      <c r="C99" s="5">
        <f>E26*PI()/180</f>
        <v>1.1868238913561442</v>
      </c>
      <c r="D99" s="5" t="s">
        <v>192</v>
      </c>
      <c r="E99" s="29"/>
      <c r="F99" s="29"/>
      <c r="G99" s="29"/>
      <c r="H99" s="29"/>
      <c r="I99" s="29"/>
      <c r="J99" s="111"/>
      <c r="L99" s="6" t="s">
        <v>194</v>
      </c>
      <c r="M99" s="5">
        <f>68*PI()/180</f>
        <v>1.1868238913561442</v>
      </c>
      <c r="N99" s="5" t="s">
        <v>192</v>
      </c>
      <c r="O99" s="29"/>
      <c r="P99" s="29"/>
      <c r="Q99" s="29"/>
      <c r="R99" s="29"/>
      <c r="S99" s="29"/>
      <c r="T99" s="111"/>
      <c r="V99" s="6" t="s">
        <v>194</v>
      </c>
      <c r="W99" s="5">
        <f>68*PI()/180</f>
        <v>1.1868238913561442</v>
      </c>
      <c r="X99" s="5" t="s">
        <v>192</v>
      </c>
      <c r="Y99" s="29"/>
      <c r="Z99" s="29"/>
      <c r="AA99" s="29"/>
      <c r="AB99" s="29"/>
      <c r="AC99" s="29"/>
      <c r="AD99" s="111"/>
      <c r="AF99" s="6" t="s">
        <v>194</v>
      </c>
      <c r="AG99" s="5">
        <f>68*PI()/180</f>
        <v>1.1868238913561442</v>
      </c>
      <c r="AH99" s="5" t="s">
        <v>192</v>
      </c>
      <c r="AI99" s="29"/>
      <c r="AJ99" s="29"/>
      <c r="AK99" s="29"/>
      <c r="AL99" s="29"/>
      <c r="AM99" s="29"/>
      <c r="AN99" s="111"/>
      <c r="AP99" s="6" t="s">
        <v>194</v>
      </c>
      <c r="AQ99" s="5">
        <f>68*PI()/180</f>
        <v>1.1868238913561442</v>
      </c>
      <c r="AR99" s="5" t="s">
        <v>192</v>
      </c>
      <c r="AS99" s="29"/>
      <c r="AT99" s="29"/>
      <c r="AU99" s="29"/>
      <c r="AV99" s="29"/>
      <c r="AW99" s="29"/>
      <c r="AX99" s="111"/>
      <c r="AZ99" s="6" t="s">
        <v>194</v>
      </c>
      <c r="BA99" s="5">
        <f>68*PI()/180</f>
        <v>1.1868238913561442</v>
      </c>
      <c r="BB99" s="5" t="s">
        <v>192</v>
      </c>
      <c r="BC99" s="29"/>
      <c r="BD99" s="29"/>
      <c r="BE99" s="29"/>
      <c r="BF99" s="29"/>
      <c r="BG99" s="29"/>
      <c r="BH99" s="111"/>
      <c r="BJ99" s="6" t="s">
        <v>194</v>
      </c>
      <c r="BK99" s="5">
        <f>68*PI()/180</f>
        <v>1.1868238913561442</v>
      </c>
      <c r="BL99" s="5" t="s">
        <v>192</v>
      </c>
      <c r="BM99" s="29"/>
      <c r="BN99" s="29"/>
      <c r="BO99" s="29"/>
      <c r="BP99" s="29"/>
      <c r="BQ99" s="29"/>
      <c r="BR99" s="111"/>
      <c r="BT99" s="6" t="s">
        <v>194</v>
      </c>
      <c r="BU99" s="5">
        <f>68*PI()/180</f>
        <v>1.1868238913561442</v>
      </c>
      <c r="BV99" s="5" t="s">
        <v>192</v>
      </c>
      <c r="BW99" s="29"/>
      <c r="BX99" s="29"/>
      <c r="BY99" s="29"/>
      <c r="BZ99" s="29"/>
      <c r="CA99" s="29"/>
      <c r="CB99" s="111"/>
    </row>
    <row r="100" spans="2:80" x14ac:dyDescent="0.25">
      <c r="B100" s="6" t="s">
        <v>135</v>
      </c>
      <c r="C100" s="5">
        <f>E24</f>
        <v>0.8</v>
      </c>
      <c r="D100" s="5" t="s">
        <v>17</v>
      </c>
      <c r="E100" s="29"/>
      <c r="F100" s="29"/>
      <c r="G100" s="29"/>
      <c r="H100" s="29"/>
      <c r="I100" s="29"/>
      <c r="J100" s="111"/>
      <c r="L100" s="6" t="s">
        <v>135</v>
      </c>
      <c r="M100" s="5">
        <v>0.6</v>
      </c>
      <c r="N100" s="5" t="s">
        <v>17</v>
      </c>
      <c r="O100" s="29"/>
      <c r="P100" s="29"/>
      <c r="Q100" s="29"/>
      <c r="R100" s="29"/>
      <c r="S100" s="29"/>
      <c r="T100" s="111"/>
      <c r="V100" s="6" t="s">
        <v>135</v>
      </c>
      <c r="W100" s="5">
        <v>0.6</v>
      </c>
      <c r="X100" s="5" t="s">
        <v>17</v>
      </c>
      <c r="Y100" s="29"/>
      <c r="Z100" s="29"/>
      <c r="AA100" s="29"/>
      <c r="AB100" s="29"/>
      <c r="AC100" s="29"/>
      <c r="AD100" s="111"/>
      <c r="AF100" s="6" t="s">
        <v>135</v>
      </c>
      <c r="AG100" s="5">
        <v>0.6</v>
      </c>
      <c r="AH100" s="5" t="s">
        <v>17</v>
      </c>
      <c r="AI100" s="29"/>
      <c r="AJ100" s="29"/>
      <c r="AK100" s="29"/>
      <c r="AL100" s="29"/>
      <c r="AM100" s="29"/>
      <c r="AN100" s="111"/>
      <c r="AP100" s="6" t="s">
        <v>135</v>
      </c>
      <c r="AQ100" s="5">
        <v>0.6</v>
      </c>
      <c r="AR100" s="5" t="s">
        <v>17</v>
      </c>
      <c r="AS100" s="29"/>
      <c r="AT100" s="29"/>
      <c r="AU100" s="29"/>
      <c r="AV100" s="29"/>
      <c r="AW100" s="29"/>
      <c r="AX100" s="111"/>
      <c r="AZ100" s="6" t="s">
        <v>135</v>
      </c>
      <c r="BA100" s="5">
        <v>0.6</v>
      </c>
      <c r="BB100" s="5" t="s">
        <v>17</v>
      </c>
      <c r="BC100" s="29"/>
      <c r="BD100" s="29"/>
      <c r="BE100" s="29"/>
      <c r="BF100" s="29"/>
      <c r="BG100" s="29"/>
      <c r="BH100" s="111"/>
      <c r="BJ100" s="6" t="s">
        <v>135</v>
      </c>
      <c r="BK100" s="5">
        <v>0.6</v>
      </c>
      <c r="BL100" s="5" t="s">
        <v>17</v>
      </c>
      <c r="BM100" s="29"/>
      <c r="BN100" s="29"/>
      <c r="BO100" s="29"/>
      <c r="BP100" s="29"/>
      <c r="BQ100" s="29"/>
      <c r="BR100" s="111"/>
      <c r="BT100" s="6" t="s">
        <v>135</v>
      </c>
      <c r="BU100" s="5">
        <v>0.6</v>
      </c>
      <c r="BV100" s="5" t="s">
        <v>17</v>
      </c>
      <c r="BW100" s="29"/>
      <c r="BX100" s="29"/>
      <c r="BY100" s="29"/>
      <c r="BZ100" s="29"/>
      <c r="CA100" s="29"/>
      <c r="CB100" s="111"/>
    </row>
    <row r="101" spans="2:80" x14ac:dyDescent="0.25">
      <c r="B101" s="6" t="s">
        <v>196</v>
      </c>
      <c r="C101" s="5">
        <f>E27</f>
        <v>0</v>
      </c>
      <c r="D101" s="5" t="s">
        <v>17</v>
      </c>
      <c r="E101" s="29"/>
      <c r="F101" s="29"/>
      <c r="G101" s="29"/>
      <c r="H101" s="29"/>
      <c r="I101" s="29"/>
      <c r="J101" s="111"/>
      <c r="L101" s="6" t="s">
        <v>196</v>
      </c>
      <c r="M101" s="5">
        <v>0.8</v>
      </c>
      <c r="N101" s="5" t="s">
        <v>17</v>
      </c>
      <c r="O101" s="29"/>
      <c r="P101" s="29"/>
      <c r="Q101" s="29"/>
      <c r="R101" s="29"/>
      <c r="S101" s="29"/>
      <c r="T101" s="111"/>
      <c r="V101" s="6" t="s">
        <v>196</v>
      </c>
      <c r="W101" s="5">
        <v>0.8</v>
      </c>
      <c r="X101" s="5" t="s">
        <v>17</v>
      </c>
      <c r="Y101" s="29"/>
      <c r="Z101" s="29"/>
      <c r="AA101" s="29"/>
      <c r="AB101" s="29"/>
      <c r="AC101" s="29"/>
      <c r="AD101" s="111"/>
      <c r="AF101" s="6" t="s">
        <v>196</v>
      </c>
      <c r="AG101" s="5">
        <v>0.8</v>
      </c>
      <c r="AH101" s="5" t="s">
        <v>17</v>
      </c>
      <c r="AI101" s="29"/>
      <c r="AJ101" s="29"/>
      <c r="AK101" s="29"/>
      <c r="AL101" s="29"/>
      <c r="AM101" s="29"/>
      <c r="AN101" s="111"/>
      <c r="AP101" s="6" t="s">
        <v>196</v>
      </c>
      <c r="AQ101" s="5">
        <v>0.8</v>
      </c>
      <c r="AR101" s="5" t="s">
        <v>17</v>
      </c>
      <c r="AS101" s="29"/>
      <c r="AT101" s="29"/>
      <c r="AU101" s="29"/>
      <c r="AV101" s="29"/>
      <c r="AW101" s="29"/>
      <c r="AX101" s="111"/>
      <c r="AZ101" s="6" t="s">
        <v>196</v>
      </c>
      <c r="BA101" s="5">
        <v>0.8</v>
      </c>
      <c r="BB101" s="5" t="s">
        <v>17</v>
      </c>
      <c r="BC101" s="29"/>
      <c r="BD101" s="29"/>
      <c r="BE101" s="29"/>
      <c r="BF101" s="29"/>
      <c r="BG101" s="29"/>
      <c r="BH101" s="111"/>
      <c r="BJ101" s="6" t="s">
        <v>196</v>
      </c>
      <c r="BK101" s="5">
        <v>0.8</v>
      </c>
      <c r="BL101" s="5" t="s">
        <v>17</v>
      </c>
      <c r="BM101" s="29"/>
      <c r="BN101" s="29"/>
      <c r="BO101" s="29"/>
      <c r="BP101" s="29"/>
      <c r="BQ101" s="29"/>
      <c r="BR101" s="111"/>
      <c r="BT101" s="6" t="s">
        <v>196</v>
      </c>
      <c r="BU101" s="5">
        <v>0.8</v>
      </c>
      <c r="BV101" s="5" t="s">
        <v>17</v>
      </c>
      <c r="BW101" s="29"/>
      <c r="BX101" s="29"/>
      <c r="BY101" s="29"/>
      <c r="BZ101" s="29"/>
      <c r="CA101" s="29"/>
      <c r="CB101" s="111"/>
    </row>
    <row r="102" spans="2:80" x14ac:dyDescent="0.25">
      <c r="B102" s="6" t="s">
        <v>205</v>
      </c>
      <c r="C102" s="5">
        <f>E30</f>
        <v>0</v>
      </c>
      <c r="D102" s="5" t="s">
        <v>105</v>
      </c>
      <c r="E102" s="29"/>
      <c r="F102" s="29"/>
      <c r="G102" s="29"/>
      <c r="H102" s="29"/>
      <c r="I102" s="29"/>
      <c r="J102" s="111"/>
      <c r="L102" s="6" t="s">
        <v>205</v>
      </c>
      <c r="M102" s="5">
        <v>20</v>
      </c>
      <c r="N102" s="5" t="s">
        <v>105</v>
      </c>
      <c r="O102" s="29"/>
      <c r="P102" s="29"/>
      <c r="Q102" s="29"/>
      <c r="R102" s="29"/>
      <c r="S102" s="29"/>
      <c r="T102" s="111"/>
      <c r="V102" s="6" t="s">
        <v>205</v>
      </c>
      <c r="W102" s="5">
        <v>20</v>
      </c>
      <c r="X102" s="5" t="s">
        <v>105</v>
      </c>
      <c r="Y102" s="29"/>
      <c r="Z102" s="29"/>
      <c r="AA102" s="29"/>
      <c r="AB102" s="29"/>
      <c r="AC102" s="29"/>
      <c r="AD102" s="111"/>
      <c r="AF102" s="6" t="s">
        <v>205</v>
      </c>
      <c r="AG102" s="5">
        <v>20</v>
      </c>
      <c r="AH102" s="5" t="s">
        <v>105</v>
      </c>
      <c r="AI102" s="29"/>
      <c r="AJ102" s="29"/>
      <c r="AK102" s="29"/>
      <c r="AL102" s="29"/>
      <c r="AM102" s="29"/>
      <c r="AN102" s="111"/>
      <c r="AP102" s="6" t="s">
        <v>205</v>
      </c>
      <c r="AQ102" s="5">
        <v>20</v>
      </c>
      <c r="AR102" s="5" t="s">
        <v>105</v>
      </c>
      <c r="AS102" s="29"/>
      <c r="AT102" s="29"/>
      <c r="AU102" s="29"/>
      <c r="AV102" s="29"/>
      <c r="AW102" s="29"/>
      <c r="AX102" s="111"/>
      <c r="AZ102" s="6" t="s">
        <v>205</v>
      </c>
      <c r="BA102" s="5">
        <v>20</v>
      </c>
      <c r="BB102" s="5" t="s">
        <v>105</v>
      </c>
      <c r="BC102" s="29"/>
      <c r="BD102" s="29"/>
      <c r="BE102" s="29"/>
      <c r="BF102" s="29"/>
      <c r="BG102" s="29"/>
      <c r="BH102" s="111"/>
      <c r="BJ102" s="6" t="s">
        <v>205</v>
      </c>
      <c r="BK102" s="5">
        <v>20</v>
      </c>
      <c r="BL102" s="5" t="s">
        <v>105</v>
      </c>
      <c r="BM102" s="29"/>
      <c r="BN102" s="29"/>
      <c r="BO102" s="29"/>
      <c r="BP102" s="29"/>
      <c r="BQ102" s="29"/>
      <c r="BR102" s="111"/>
      <c r="BT102" s="6" t="s">
        <v>205</v>
      </c>
      <c r="BU102" s="5">
        <v>20</v>
      </c>
      <c r="BV102" s="5" t="s">
        <v>105</v>
      </c>
      <c r="BW102" s="29"/>
      <c r="BX102" s="29"/>
      <c r="BY102" s="29"/>
      <c r="BZ102" s="29"/>
      <c r="CA102" s="29"/>
      <c r="CB102" s="111"/>
    </row>
    <row r="103" spans="2:80" x14ac:dyDescent="0.25">
      <c r="B103" s="6" t="s">
        <v>210</v>
      </c>
      <c r="C103" s="5">
        <v>0.1</v>
      </c>
      <c r="D103" s="5" t="s">
        <v>17</v>
      </c>
      <c r="E103" s="29"/>
      <c r="F103" s="29"/>
      <c r="G103" s="29"/>
      <c r="H103" s="29"/>
      <c r="I103" s="29"/>
      <c r="J103" s="111"/>
      <c r="L103" s="6" t="s">
        <v>210</v>
      </c>
      <c r="M103" s="5">
        <v>0.1</v>
      </c>
      <c r="N103" s="5" t="s">
        <v>17</v>
      </c>
      <c r="O103" s="29"/>
      <c r="P103" s="29"/>
      <c r="Q103" s="29"/>
      <c r="R103" s="29"/>
      <c r="S103" s="29"/>
      <c r="T103" s="111"/>
      <c r="V103" s="6" t="s">
        <v>210</v>
      </c>
      <c r="W103" s="5">
        <v>0.1</v>
      </c>
      <c r="X103" s="5" t="s">
        <v>17</v>
      </c>
      <c r="Y103" s="29"/>
      <c r="Z103" s="29"/>
      <c r="AA103" s="29"/>
      <c r="AB103" s="29"/>
      <c r="AC103" s="29"/>
      <c r="AD103" s="111"/>
      <c r="AF103" s="6" t="s">
        <v>210</v>
      </c>
      <c r="AG103" s="5">
        <v>0.1</v>
      </c>
      <c r="AH103" s="5" t="s">
        <v>17</v>
      </c>
      <c r="AI103" s="29"/>
      <c r="AJ103" s="29"/>
      <c r="AK103" s="29"/>
      <c r="AL103" s="29"/>
      <c r="AM103" s="29"/>
      <c r="AN103" s="111"/>
      <c r="AP103" s="6" t="s">
        <v>210</v>
      </c>
      <c r="AQ103" s="5">
        <v>0.1</v>
      </c>
      <c r="AR103" s="5" t="s">
        <v>17</v>
      </c>
      <c r="AS103" s="29"/>
      <c r="AT103" s="29"/>
      <c r="AU103" s="29"/>
      <c r="AV103" s="29"/>
      <c r="AW103" s="29"/>
      <c r="AX103" s="111"/>
      <c r="AZ103" s="6" t="s">
        <v>210</v>
      </c>
      <c r="BA103" s="5">
        <v>0.1</v>
      </c>
      <c r="BB103" s="5" t="s">
        <v>17</v>
      </c>
      <c r="BC103" s="29"/>
      <c r="BD103" s="29"/>
      <c r="BE103" s="29"/>
      <c r="BF103" s="29"/>
      <c r="BG103" s="29"/>
      <c r="BH103" s="111"/>
      <c r="BJ103" s="6" t="s">
        <v>210</v>
      </c>
      <c r="BK103" s="5">
        <v>0.1</v>
      </c>
      <c r="BL103" s="5" t="s">
        <v>17</v>
      </c>
      <c r="BM103" s="29"/>
      <c r="BN103" s="29"/>
      <c r="BO103" s="29"/>
      <c r="BP103" s="29"/>
      <c r="BQ103" s="29"/>
      <c r="BR103" s="111"/>
      <c r="BT103" s="6" t="s">
        <v>210</v>
      </c>
      <c r="BU103" s="5">
        <v>0.1</v>
      </c>
      <c r="BV103" s="5" t="s">
        <v>17</v>
      </c>
      <c r="BW103" s="29"/>
      <c r="BX103" s="29"/>
      <c r="BY103" s="29"/>
      <c r="BZ103" s="29"/>
      <c r="CA103" s="29"/>
      <c r="CB103" s="111"/>
    </row>
    <row r="104" spans="2:80" x14ac:dyDescent="0.25">
      <c r="B104" s="6" t="s">
        <v>215</v>
      </c>
      <c r="C104" s="5">
        <f>(C100*C101+2*C100*C98+2*C98*C101)</f>
        <v>0.48</v>
      </c>
      <c r="D104" s="5" t="s">
        <v>201</v>
      </c>
      <c r="E104" s="29"/>
      <c r="F104" s="29"/>
      <c r="G104" s="29"/>
      <c r="H104" s="29"/>
      <c r="I104" s="29"/>
      <c r="J104" s="111"/>
      <c r="L104" s="6" t="s">
        <v>215</v>
      </c>
      <c r="M104" s="5">
        <f>(M100*M101+2*M100*M98+2*M98*M101)</f>
        <v>1.04</v>
      </c>
      <c r="N104" s="5" t="s">
        <v>201</v>
      </c>
      <c r="O104" s="29"/>
      <c r="P104" s="29"/>
      <c r="Q104" s="29"/>
      <c r="R104" s="29"/>
      <c r="S104" s="29"/>
      <c r="T104" s="111"/>
      <c r="V104" s="6" t="s">
        <v>215</v>
      </c>
      <c r="W104" s="5">
        <f>(W100*W101+2*W100*W98+2*W98*W101)</f>
        <v>1.04</v>
      </c>
      <c r="X104" s="5" t="s">
        <v>201</v>
      </c>
      <c r="Y104" s="29"/>
      <c r="Z104" s="29"/>
      <c r="AA104" s="29"/>
      <c r="AB104" s="29"/>
      <c r="AC104" s="29"/>
      <c r="AD104" s="111"/>
      <c r="AF104" s="6" t="s">
        <v>215</v>
      </c>
      <c r="AG104" s="5">
        <f>(AG100*AG101+2*AG100*AG98+2*AG98*AG101)</f>
        <v>1.04</v>
      </c>
      <c r="AH104" s="5" t="s">
        <v>201</v>
      </c>
      <c r="AI104" s="29"/>
      <c r="AJ104" s="29"/>
      <c r="AK104" s="29"/>
      <c r="AL104" s="29"/>
      <c r="AM104" s="29"/>
      <c r="AN104" s="111"/>
      <c r="AP104" s="6" t="s">
        <v>215</v>
      </c>
      <c r="AQ104" s="5">
        <f>(AQ100*AQ101+2*AQ100*AQ98+2*AQ98*AQ101)</f>
        <v>1.04</v>
      </c>
      <c r="AR104" s="5" t="s">
        <v>201</v>
      </c>
      <c r="AS104" s="29"/>
      <c r="AT104" s="29"/>
      <c r="AU104" s="29"/>
      <c r="AV104" s="29"/>
      <c r="AW104" s="29"/>
      <c r="AX104" s="111"/>
      <c r="AZ104" s="6" t="s">
        <v>215</v>
      </c>
      <c r="BA104" s="5">
        <f>(BA100*BA101+2*BA100*BA98+2*BA98*BA101)</f>
        <v>1.04</v>
      </c>
      <c r="BB104" s="5" t="s">
        <v>201</v>
      </c>
      <c r="BC104" s="29"/>
      <c r="BD104" s="29"/>
      <c r="BE104" s="29"/>
      <c r="BF104" s="29"/>
      <c r="BG104" s="29"/>
      <c r="BH104" s="111"/>
      <c r="BJ104" s="6" t="s">
        <v>215</v>
      </c>
      <c r="BK104" s="5">
        <f>(BK100*BK101+2*BK100*BK98+2*BK98*BK101)</f>
        <v>1.04</v>
      </c>
      <c r="BL104" s="5" t="s">
        <v>201</v>
      </c>
      <c r="BM104" s="29"/>
      <c r="BN104" s="29"/>
      <c r="BO104" s="29"/>
      <c r="BP104" s="29"/>
      <c r="BQ104" s="29"/>
      <c r="BR104" s="111"/>
      <c r="BT104" s="6" t="s">
        <v>215</v>
      </c>
      <c r="BU104" s="5">
        <f>(BU100*BU101+2*BU100*BU98+2*BU98*BU101)</f>
        <v>1.04</v>
      </c>
      <c r="BV104" s="5" t="s">
        <v>201</v>
      </c>
      <c r="BW104" s="29"/>
      <c r="BX104" s="29"/>
      <c r="BY104" s="29"/>
      <c r="BZ104" s="29"/>
      <c r="CA104" s="29"/>
      <c r="CB104" s="111"/>
    </row>
    <row r="105" spans="2:80" x14ac:dyDescent="0.25">
      <c r="B105" s="6" t="s">
        <v>220</v>
      </c>
      <c r="C105" s="5">
        <f>C98*C100*C101</f>
        <v>0</v>
      </c>
      <c r="D105" s="5" t="s">
        <v>204</v>
      </c>
      <c r="E105" s="29"/>
      <c r="F105" s="29"/>
      <c r="G105" s="29"/>
      <c r="H105" s="29"/>
      <c r="I105" s="29"/>
      <c r="J105" s="111"/>
      <c r="L105" s="6" t="s">
        <v>220</v>
      </c>
      <c r="M105" s="5">
        <f>M98*M100*M101</f>
        <v>9.6000000000000002E-2</v>
      </c>
      <c r="N105" s="5" t="s">
        <v>204</v>
      </c>
      <c r="O105" s="29"/>
      <c r="P105" s="29"/>
      <c r="Q105" s="29"/>
      <c r="R105" s="29"/>
      <c r="S105" s="29"/>
      <c r="T105" s="111"/>
      <c r="V105" s="6" t="s">
        <v>220</v>
      </c>
      <c r="W105" s="5">
        <f>W98*W100*W101</f>
        <v>9.6000000000000002E-2</v>
      </c>
      <c r="X105" s="5" t="s">
        <v>204</v>
      </c>
      <c r="Y105" s="29"/>
      <c r="Z105" s="29"/>
      <c r="AA105" s="29"/>
      <c r="AB105" s="29"/>
      <c r="AC105" s="29"/>
      <c r="AD105" s="111"/>
      <c r="AF105" s="6" t="s">
        <v>220</v>
      </c>
      <c r="AG105" s="5">
        <f>AG98*AG100*AG101</f>
        <v>9.6000000000000002E-2</v>
      </c>
      <c r="AH105" s="5" t="s">
        <v>204</v>
      </c>
      <c r="AI105" s="29"/>
      <c r="AJ105" s="29"/>
      <c r="AK105" s="29"/>
      <c r="AL105" s="29"/>
      <c r="AM105" s="29"/>
      <c r="AN105" s="111"/>
      <c r="AP105" s="6" t="s">
        <v>220</v>
      </c>
      <c r="AQ105" s="5">
        <f>AQ98*AQ100*AQ101</f>
        <v>9.6000000000000002E-2</v>
      </c>
      <c r="AR105" s="5" t="s">
        <v>204</v>
      </c>
      <c r="AS105" s="29"/>
      <c r="AT105" s="29"/>
      <c r="AU105" s="29"/>
      <c r="AV105" s="29"/>
      <c r="AW105" s="29"/>
      <c r="AX105" s="111"/>
      <c r="AZ105" s="6" t="s">
        <v>220</v>
      </c>
      <c r="BA105" s="5">
        <f>BA98*BA100*BA101</f>
        <v>9.6000000000000002E-2</v>
      </c>
      <c r="BB105" s="5" t="s">
        <v>204</v>
      </c>
      <c r="BC105" s="29"/>
      <c r="BD105" s="29"/>
      <c r="BE105" s="29"/>
      <c r="BF105" s="29"/>
      <c r="BG105" s="29"/>
      <c r="BH105" s="111"/>
      <c r="BJ105" s="6" t="s">
        <v>220</v>
      </c>
      <c r="BK105" s="5">
        <f>BK98*BK100*BK101</f>
        <v>9.6000000000000002E-2</v>
      </c>
      <c r="BL105" s="5" t="s">
        <v>204</v>
      </c>
      <c r="BM105" s="29"/>
      <c r="BN105" s="29"/>
      <c r="BO105" s="29"/>
      <c r="BP105" s="29"/>
      <c r="BQ105" s="29"/>
      <c r="BR105" s="111"/>
      <c r="BT105" s="6" t="s">
        <v>220</v>
      </c>
      <c r="BU105" s="5">
        <f>BU98*BU100*BU101</f>
        <v>9.6000000000000002E-2</v>
      </c>
      <c r="BV105" s="5" t="s">
        <v>204</v>
      </c>
      <c r="BW105" s="29"/>
      <c r="BX105" s="29"/>
      <c r="BY105" s="29"/>
      <c r="BZ105" s="29"/>
      <c r="CA105" s="29"/>
      <c r="CB105" s="111"/>
    </row>
    <row r="106" spans="2:80" x14ac:dyDescent="0.25">
      <c r="B106" s="6" t="s">
        <v>225</v>
      </c>
      <c r="C106" s="5">
        <f>(C100*C98*C101)+(C100+C97/TAN(C99))*C97*C101</f>
        <v>0</v>
      </c>
      <c r="D106" s="5" t="s">
        <v>204</v>
      </c>
      <c r="E106" s="29"/>
      <c r="F106" s="29"/>
      <c r="G106" s="29"/>
      <c r="H106" s="29"/>
      <c r="I106" s="29"/>
      <c r="J106" s="111"/>
      <c r="L106" s="6" t="s">
        <v>225</v>
      </c>
      <c r="M106" s="5">
        <f>(M100*M98*M101)+(M100+M97/TAN(M99))*M97*M101</f>
        <v>0.41680524516703132</v>
      </c>
      <c r="N106" s="5" t="s">
        <v>204</v>
      </c>
      <c r="O106" s="29"/>
      <c r="P106" s="29"/>
      <c r="Q106" s="29"/>
      <c r="R106" s="29"/>
      <c r="S106" s="29"/>
      <c r="T106" s="111"/>
      <c r="V106" s="6" t="s">
        <v>225</v>
      </c>
      <c r="W106" s="5">
        <f>(W100*W98*W101)+(W100+W97/TAN(W99))*W97*W101</f>
        <v>0.41680524516703132</v>
      </c>
      <c r="X106" s="5" t="s">
        <v>204</v>
      </c>
      <c r="Y106" s="29"/>
      <c r="Z106" s="29"/>
      <c r="AA106" s="29"/>
      <c r="AB106" s="29"/>
      <c r="AC106" s="29"/>
      <c r="AD106" s="111"/>
      <c r="AF106" s="6" t="s">
        <v>225</v>
      </c>
      <c r="AG106" s="5">
        <f>(AG100*AG98*AG101)+(AG100+AG97/TAN(AG99))*AG97*AG101</f>
        <v>0.41680524516703132</v>
      </c>
      <c r="AH106" s="5" t="s">
        <v>204</v>
      </c>
      <c r="AI106" s="29"/>
      <c r="AJ106" s="29"/>
      <c r="AK106" s="29"/>
      <c r="AL106" s="29"/>
      <c r="AM106" s="29"/>
      <c r="AN106" s="111"/>
      <c r="AP106" s="6" t="s">
        <v>225</v>
      </c>
      <c r="AQ106" s="5">
        <f>(AQ100*AQ98*AQ101)+(AQ100+AQ97/TAN(AQ99))*AQ97*AQ101</f>
        <v>0.41680524516703132</v>
      </c>
      <c r="AR106" s="5" t="s">
        <v>204</v>
      </c>
      <c r="AS106" s="29"/>
      <c r="AT106" s="29"/>
      <c r="AU106" s="29"/>
      <c r="AV106" s="29"/>
      <c r="AW106" s="29"/>
      <c r="AX106" s="111"/>
      <c r="AZ106" s="6" t="s">
        <v>225</v>
      </c>
      <c r="BA106" s="5">
        <f>(BA100*BA98*BA101)+(BA100+BA97/TAN(BA99))*BA97*BA101</f>
        <v>0.41680524516703132</v>
      </c>
      <c r="BB106" s="5" t="s">
        <v>204</v>
      </c>
      <c r="BC106" s="29"/>
      <c r="BD106" s="29"/>
      <c r="BE106" s="29"/>
      <c r="BF106" s="29"/>
      <c r="BG106" s="29"/>
      <c r="BH106" s="111"/>
      <c r="BJ106" s="6" t="s">
        <v>225</v>
      </c>
      <c r="BK106" s="5">
        <f>(BK100*BK98*BK101)+(BK100+BK97/TAN(BK99))*BK97*BK101</f>
        <v>0.41680524516703132</v>
      </c>
      <c r="BL106" s="5" t="s">
        <v>204</v>
      </c>
      <c r="BM106" s="29"/>
      <c r="BN106" s="29"/>
      <c r="BO106" s="29"/>
      <c r="BP106" s="29"/>
      <c r="BQ106" s="29"/>
      <c r="BR106" s="111"/>
      <c r="BT106" s="6" t="s">
        <v>225</v>
      </c>
      <c r="BU106" s="5">
        <f>(BU100*BU98*BU101)+(BU100+BU97/TAN(BU99))*BU97*BU101</f>
        <v>0.41680524516703132</v>
      </c>
      <c r="BV106" s="5" t="s">
        <v>204</v>
      </c>
      <c r="BW106" s="29"/>
      <c r="BX106" s="29"/>
      <c r="BY106" s="29"/>
      <c r="BZ106" s="29"/>
      <c r="CA106" s="29"/>
      <c r="CB106" s="111"/>
    </row>
    <row r="107" spans="2:80" x14ac:dyDescent="0.25">
      <c r="B107" s="112"/>
      <c r="C107" s="113"/>
      <c r="D107" s="113"/>
      <c r="E107" s="29"/>
      <c r="F107" s="29"/>
      <c r="G107" s="29"/>
      <c r="H107" s="29"/>
      <c r="I107" s="29"/>
      <c r="J107" s="111"/>
      <c r="L107" s="112"/>
      <c r="M107" s="113"/>
      <c r="N107" s="113"/>
      <c r="O107" s="29"/>
      <c r="P107" s="29"/>
      <c r="Q107" s="29"/>
      <c r="R107" s="29"/>
      <c r="S107" s="29"/>
      <c r="T107" s="111"/>
      <c r="V107" s="112"/>
      <c r="W107" s="113"/>
      <c r="X107" s="113"/>
      <c r="Y107" s="29"/>
      <c r="Z107" s="29"/>
      <c r="AA107" s="29"/>
      <c r="AB107" s="29"/>
      <c r="AC107" s="29"/>
      <c r="AD107" s="111"/>
      <c r="AF107" s="112"/>
      <c r="AG107" s="113"/>
      <c r="AH107" s="113"/>
      <c r="AI107" s="29"/>
      <c r="AJ107" s="29"/>
      <c r="AK107" s="29"/>
      <c r="AL107" s="29"/>
      <c r="AM107" s="29"/>
      <c r="AN107" s="111"/>
      <c r="AP107" s="112"/>
      <c r="AQ107" s="113"/>
      <c r="AR107" s="113"/>
      <c r="AS107" s="29"/>
      <c r="AT107" s="29"/>
      <c r="AU107" s="29"/>
      <c r="AV107" s="29"/>
      <c r="AW107" s="29"/>
      <c r="AX107" s="111"/>
      <c r="AZ107" s="112"/>
      <c r="BA107" s="113"/>
      <c r="BB107" s="113"/>
      <c r="BC107" s="29"/>
      <c r="BD107" s="29"/>
      <c r="BE107" s="29"/>
      <c r="BF107" s="29"/>
      <c r="BG107" s="29"/>
      <c r="BH107" s="111"/>
      <c r="BJ107" s="112"/>
      <c r="BK107" s="113"/>
      <c r="BL107" s="113"/>
      <c r="BM107" s="29"/>
      <c r="BN107" s="29"/>
      <c r="BO107" s="29"/>
      <c r="BP107" s="29"/>
      <c r="BQ107" s="29"/>
      <c r="BR107" s="111"/>
      <c r="BT107" s="112"/>
      <c r="BU107" s="113"/>
      <c r="BV107" s="113"/>
      <c r="BW107" s="29"/>
      <c r="BX107" s="29"/>
      <c r="BY107" s="29"/>
      <c r="BZ107" s="29"/>
      <c r="CA107" s="29"/>
      <c r="CB107" s="111"/>
    </row>
    <row r="108" spans="2:80" x14ac:dyDescent="0.25">
      <c r="B108" s="6" t="s">
        <v>229</v>
      </c>
      <c r="C108" s="114" t="e">
        <f>C105/C106</f>
        <v>#DIV/0!</v>
      </c>
      <c r="D108" s="5" t="s">
        <v>6</v>
      </c>
      <c r="E108" s="29"/>
      <c r="F108" s="29"/>
      <c r="G108" s="29"/>
      <c r="H108" s="29"/>
      <c r="I108" s="29"/>
      <c r="J108" s="111"/>
      <c r="L108" s="6" t="s">
        <v>229</v>
      </c>
      <c r="M108" s="114">
        <f>M105/M106</f>
        <v>0.23032339710967117</v>
      </c>
      <c r="N108" s="5" t="s">
        <v>6</v>
      </c>
      <c r="O108" s="29"/>
      <c r="P108" s="29"/>
      <c r="Q108" s="29"/>
      <c r="R108" s="29"/>
      <c r="S108" s="29"/>
      <c r="T108" s="111"/>
      <c r="V108" s="6" t="s">
        <v>229</v>
      </c>
      <c r="W108" s="114">
        <f>W105/W106</f>
        <v>0.23032339710967117</v>
      </c>
      <c r="X108" s="5" t="s">
        <v>6</v>
      </c>
      <c r="Y108" s="29"/>
      <c r="Z108" s="29"/>
      <c r="AA108" s="29"/>
      <c r="AB108" s="29"/>
      <c r="AC108" s="29"/>
      <c r="AD108" s="111"/>
      <c r="AF108" s="6" t="s">
        <v>229</v>
      </c>
      <c r="AG108" s="114">
        <f>AG105/AG106</f>
        <v>0.23032339710967117</v>
      </c>
      <c r="AH108" s="5" t="s">
        <v>6</v>
      </c>
      <c r="AI108" s="29"/>
      <c r="AJ108" s="29"/>
      <c r="AK108" s="29"/>
      <c r="AL108" s="29"/>
      <c r="AM108" s="29"/>
      <c r="AN108" s="111"/>
      <c r="AP108" s="6" t="s">
        <v>229</v>
      </c>
      <c r="AQ108" s="114">
        <f>AQ105/AQ106</f>
        <v>0.23032339710967117</v>
      </c>
      <c r="AR108" s="5" t="s">
        <v>6</v>
      </c>
      <c r="AS108" s="29"/>
      <c r="AT108" s="29"/>
      <c r="AU108" s="29"/>
      <c r="AV108" s="29"/>
      <c r="AW108" s="29"/>
      <c r="AX108" s="111"/>
      <c r="AZ108" s="6" t="s">
        <v>229</v>
      </c>
      <c r="BA108" s="114">
        <f>BA105/BA106</f>
        <v>0.23032339710967117</v>
      </c>
      <c r="BB108" s="5" t="s">
        <v>6</v>
      </c>
      <c r="BC108" s="29"/>
      <c r="BD108" s="29"/>
      <c r="BE108" s="29"/>
      <c r="BF108" s="29"/>
      <c r="BG108" s="29"/>
      <c r="BH108" s="111"/>
      <c r="BJ108" s="6" t="s">
        <v>229</v>
      </c>
      <c r="BK108" s="114">
        <f>BK105/BK106</f>
        <v>0.23032339710967117</v>
      </c>
      <c r="BL108" s="5" t="s">
        <v>6</v>
      </c>
      <c r="BM108" s="29"/>
      <c r="BN108" s="29"/>
      <c r="BO108" s="29"/>
      <c r="BP108" s="29"/>
      <c r="BQ108" s="29"/>
      <c r="BR108" s="111"/>
      <c r="BT108" s="6" t="s">
        <v>229</v>
      </c>
      <c r="BU108" s="114">
        <f>BU105/BU106</f>
        <v>0.23032339710967117</v>
      </c>
      <c r="BV108" s="5" t="s">
        <v>6</v>
      </c>
      <c r="BW108" s="29"/>
      <c r="BX108" s="29"/>
      <c r="BY108" s="29"/>
      <c r="BZ108" s="29"/>
      <c r="CA108" s="29"/>
      <c r="CB108" s="111"/>
    </row>
    <row r="109" spans="2:80" x14ac:dyDescent="0.25">
      <c r="B109" s="112"/>
      <c r="C109" s="113"/>
      <c r="D109" s="113"/>
      <c r="E109" s="29"/>
      <c r="F109" s="29"/>
      <c r="G109" s="29"/>
      <c r="H109" s="29"/>
      <c r="I109" s="29"/>
      <c r="J109" s="111"/>
      <c r="L109" s="112"/>
      <c r="M109" s="113"/>
      <c r="N109" s="113"/>
      <c r="O109" s="29"/>
      <c r="P109" s="29"/>
      <c r="Q109" s="29"/>
      <c r="R109" s="29"/>
      <c r="S109" s="29"/>
      <c r="T109" s="111"/>
      <c r="V109" s="112"/>
      <c r="W109" s="113"/>
      <c r="X109" s="113"/>
      <c r="Y109" s="29"/>
      <c r="Z109" s="29"/>
      <c r="AA109" s="29"/>
      <c r="AB109" s="29"/>
      <c r="AC109" s="29"/>
      <c r="AD109" s="111"/>
      <c r="AF109" s="112"/>
      <c r="AG109" s="113"/>
      <c r="AH109" s="113"/>
      <c r="AI109" s="29"/>
      <c r="AJ109" s="29"/>
      <c r="AK109" s="29"/>
      <c r="AL109" s="29"/>
      <c r="AM109" s="29"/>
      <c r="AN109" s="111"/>
      <c r="AP109" s="112"/>
      <c r="AQ109" s="113"/>
      <c r="AR109" s="113"/>
      <c r="AS109" s="29"/>
      <c r="AT109" s="29"/>
      <c r="AU109" s="29"/>
      <c r="AV109" s="29"/>
      <c r="AW109" s="29"/>
      <c r="AX109" s="111"/>
      <c r="AZ109" s="112"/>
      <c r="BA109" s="113"/>
      <c r="BB109" s="113"/>
      <c r="BC109" s="29"/>
      <c r="BD109" s="29"/>
      <c r="BE109" s="29"/>
      <c r="BF109" s="29"/>
      <c r="BG109" s="29"/>
      <c r="BH109" s="111"/>
      <c r="BJ109" s="112"/>
      <c r="BK109" s="113"/>
      <c r="BL109" s="113"/>
      <c r="BM109" s="29"/>
      <c r="BN109" s="29"/>
      <c r="BO109" s="29"/>
      <c r="BP109" s="29"/>
      <c r="BQ109" s="29"/>
      <c r="BR109" s="111"/>
      <c r="BT109" s="112"/>
      <c r="BU109" s="113"/>
      <c r="BV109" s="113"/>
      <c r="BW109" s="29"/>
      <c r="BX109" s="29"/>
      <c r="BY109" s="29"/>
      <c r="BZ109" s="29"/>
      <c r="CA109" s="29"/>
      <c r="CB109" s="111"/>
    </row>
    <row r="110" spans="2:80" ht="15.75" thickBot="1" x14ac:dyDescent="0.3">
      <c r="B110" s="110" t="s">
        <v>231</v>
      </c>
      <c r="C110" s="105">
        <f>C103*C101*C102*2+C104</f>
        <v>0.48</v>
      </c>
      <c r="D110" s="105" t="s">
        <v>201</v>
      </c>
      <c r="E110" s="115"/>
      <c r="F110" s="115"/>
      <c r="G110" s="115"/>
      <c r="H110" s="115"/>
      <c r="I110" s="115"/>
      <c r="J110" s="116"/>
      <c r="L110" s="110" t="s">
        <v>231</v>
      </c>
      <c r="M110" s="105">
        <f>M103*M101*M102*2+M104</f>
        <v>4.24</v>
      </c>
      <c r="N110" s="105" t="s">
        <v>201</v>
      </c>
      <c r="O110" s="115"/>
      <c r="P110" s="115"/>
      <c r="Q110" s="115"/>
      <c r="R110" s="115"/>
      <c r="S110" s="115"/>
      <c r="T110" s="116"/>
      <c r="V110" s="110" t="s">
        <v>231</v>
      </c>
      <c r="W110" s="105">
        <f>W103*W101*W102*2+W104</f>
        <v>4.24</v>
      </c>
      <c r="X110" s="105" t="s">
        <v>201</v>
      </c>
      <c r="Y110" s="115"/>
      <c r="Z110" s="115"/>
      <c r="AA110" s="115"/>
      <c r="AB110" s="115"/>
      <c r="AC110" s="115"/>
      <c r="AD110" s="116"/>
      <c r="AF110" s="110" t="s">
        <v>231</v>
      </c>
      <c r="AG110" s="105">
        <f>AG103*AG101*AG102*2+AG104</f>
        <v>4.24</v>
      </c>
      <c r="AH110" s="105" t="s">
        <v>201</v>
      </c>
      <c r="AI110" s="115"/>
      <c r="AJ110" s="115"/>
      <c r="AK110" s="115"/>
      <c r="AL110" s="115"/>
      <c r="AM110" s="115"/>
      <c r="AN110" s="116"/>
      <c r="AP110" s="110" t="s">
        <v>231</v>
      </c>
      <c r="AQ110" s="105">
        <f>AQ103*AQ101*AQ102*2+AQ104</f>
        <v>4.24</v>
      </c>
      <c r="AR110" s="105" t="s">
        <v>201</v>
      </c>
      <c r="AS110" s="115"/>
      <c r="AT110" s="115"/>
      <c r="AU110" s="115"/>
      <c r="AV110" s="115"/>
      <c r="AW110" s="115"/>
      <c r="AX110" s="116"/>
      <c r="AZ110" s="110" t="s">
        <v>231</v>
      </c>
      <c r="BA110" s="105">
        <f>BA103*BA101*BA102*2+BA104</f>
        <v>4.24</v>
      </c>
      <c r="BB110" s="105" t="s">
        <v>201</v>
      </c>
      <c r="BC110" s="115"/>
      <c r="BD110" s="115"/>
      <c r="BE110" s="115"/>
      <c r="BF110" s="115"/>
      <c r="BG110" s="115"/>
      <c r="BH110" s="116"/>
      <c r="BJ110" s="110" t="s">
        <v>231</v>
      </c>
      <c r="BK110" s="105">
        <f>BK103*BK101*BK102*2+BK104</f>
        <v>4.24</v>
      </c>
      <c r="BL110" s="105" t="s">
        <v>201</v>
      </c>
      <c r="BM110" s="115"/>
      <c r="BN110" s="115"/>
      <c r="BO110" s="115"/>
      <c r="BP110" s="115"/>
      <c r="BQ110" s="115"/>
      <c r="BR110" s="116"/>
      <c r="BT110" s="110" t="s">
        <v>231</v>
      </c>
      <c r="BU110" s="105">
        <f>BU103*BU101*BU102*2+BU104</f>
        <v>4.24</v>
      </c>
      <c r="BV110" s="105" t="s">
        <v>201</v>
      </c>
      <c r="BW110" s="115"/>
      <c r="BX110" s="115"/>
      <c r="BY110" s="115"/>
      <c r="BZ110" s="115"/>
      <c r="CA110" s="115"/>
      <c r="CB110" s="116"/>
    </row>
    <row r="111" spans="2:80" ht="15.75" thickBot="1" x14ac:dyDescent="0.3"/>
    <row r="112" spans="2:80" ht="15.75" thickBot="1" x14ac:dyDescent="0.3">
      <c r="B112" s="424" t="s">
        <v>495</v>
      </c>
      <c r="C112" s="425"/>
      <c r="D112" s="425"/>
      <c r="E112" s="389"/>
      <c r="F112" s="389"/>
      <c r="G112" s="389"/>
      <c r="H112" s="389"/>
      <c r="I112" s="389"/>
      <c r="J112" s="390"/>
      <c r="L112" s="424" t="s">
        <v>182</v>
      </c>
      <c r="M112" s="425"/>
      <c r="N112" s="425"/>
      <c r="O112" s="389"/>
      <c r="P112" s="389"/>
      <c r="Q112" s="389"/>
      <c r="R112" s="389"/>
      <c r="S112" s="389"/>
      <c r="T112" s="390"/>
      <c r="V112" s="424" t="s">
        <v>182</v>
      </c>
      <c r="W112" s="425"/>
      <c r="X112" s="425"/>
      <c r="Y112" s="389"/>
      <c r="Z112" s="389"/>
      <c r="AA112" s="389"/>
      <c r="AB112" s="389"/>
      <c r="AC112" s="389"/>
      <c r="AD112" s="390"/>
      <c r="AF112" s="424" t="s">
        <v>182</v>
      </c>
      <c r="AG112" s="425"/>
      <c r="AH112" s="425"/>
      <c r="AI112" s="389"/>
      <c r="AJ112" s="389"/>
      <c r="AK112" s="389"/>
      <c r="AL112" s="389"/>
      <c r="AM112" s="389"/>
      <c r="AN112" s="390"/>
      <c r="AP112" s="424" t="s">
        <v>182</v>
      </c>
      <c r="AQ112" s="425"/>
      <c r="AR112" s="425"/>
      <c r="AS112" s="389"/>
      <c r="AT112" s="389"/>
      <c r="AU112" s="389"/>
      <c r="AV112" s="389"/>
      <c r="AW112" s="389"/>
      <c r="AX112" s="390"/>
      <c r="AZ112" s="424" t="s">
        <v>182</v>
      </c>
      <c r="BA112" s="425"/>
      <c r="BB112" s="425"/>
      <c r="BC112" s="389"/>
      <c r="BD112" s="389"/>
      <c r="BE112" s="389"/>
      <c r="BF112" s="389"/>
      <c r="BG112" s="389"/>
      <c r="BH112" s="390"/>
      <c r="BJ112" s="424" t="s">
        <v>182</v>
      </c>
      <c r="BK112" s="425"/>
      <c r="BL112" s="425"/>
      <c r="BM112" s="389"/>
      <c r="BN112" s="389"/>
      <c r="BO112" s="389"/>
      <c r="BP112" s="389"/>
      <c r="BQ112" s="389"/>
      <c r="BR112" s="390"/>
      <c r="BT112" s="424" t="s">
        <v>182</v>
      </c>
      <c r="BU112" s="425"/>
      <c r="BV112" s="425"/>
      <c r="BW112" s="389"/>
      <c r="BX112" s="389"/>
      <c r="BY112" s="389"/>
      <c r="BZ112" s="389"/>
      <c r="CA112" s="389"/>
      <c r="CB112" s="390"/>
    </row>
    <row r="113" spans="2:80" x14ac:dyDescent="0.25">
      <c r="B113" s="6" t="s">
        <v>185</v>
      </c>
      <c r="C113" s="5">
        <f>E25</f>
        <v>0.5</v>
      </c>
      <c r="D113" s="5" t="s">
        <v>17</v>
      </c>
      <c r="E113" s="29"/>
      <c r="F113" s="29"/>
      <c r="G113" s="29"/>
      <c r="H113" s="29"/>
      <c r="I113" s="29"/>
      <c r="J113" s="111"/>
      <c r="L113" s="6" t="s">
        <v>185</v>
      </c>
      <c r="M113" s="5">
        <v>0.5</v>
      </c>
      <c r="N113" s="5" t="s">
        <v>17</v>
      </c>
      <c r="O113" s="29"/>
      <c r="P113" s="29"/>
      <c r="Q113" s="29"/>
      <c r="R113" s="29"/>
      <c r="S113" s="29"/>
      <c r="T113" s="111"/>
      <c r="V113" s="6" t="s">
        <v>185</v>
      </c>
      <c r="W113" s="5">
        <v>0.5</v>
      </c>
      <c r="X113" s="5" t="s">
        <v>17</v>
      </c>
      <c r="Y113" s="29"/>
      <c r="Z113" s="29"/>
      <c r="AA113" s="29"/>
      <c r="AB113" s="29"/>
      <c r="AC113" s="29"/>
      <c r="AD113" s="111"/>
      <c r="AF113" s="6" t="s">
        <v>185</v>
      </c>
      <c r="AG113" s="5">
        <v>0.5</v>
      </c>
      <c r="AH113" s="5" t="s">
        <v>17</v>
      </c>
      <c r="AI113" s="29"/>
      <c r="AJ113" s="29"/>
      <c r="AK113" s="29"/>
      <c r="AL113" s="29"/>
      <c r="AM113" s="29"/>
      <c r="AN113" s="111"/>
      <c r="AP113" s="6" t="s">
        <v>185</v>
      </c>
      <c r="AQ113" s="5">
        <v>0.5</v>
      </c>
      <c r="AR113" s="5" t="s">
        <v>17</v>
      </c>
      <c r="AS113" s="29"/>
      <c r="AT113" s="29"/>
      <c r="AU113" s="29"/>
      <c r="AV113" s="29"/>
      <c r="AW113" s="29"/>
      <c r="AX113" s="111"/>
      <c r="AZ113" s="6" t="s">
        <v>185</v>
      </c>
      <c r="BA113" s="5">
        <v>0.5</v>
      </c>
      <c r="BB113" s="5" t="s">
        <v>17</v>
      </c>
      <c r="BC113" s="29"/>
      <c r="BD113" s="29"/>
      <c r="BE113" s="29"/>
      <c r="BF113" s="29"/>
      <c r="BG113" s="29"/>
      <c r="BH113" s="111"/>
      <c r="BJ113" s="6" t="s">
        <v>185</v>
      </c>
      <c r="BK113" s="5">
        <v>0.5</v>
      </c>
      <c r="BL113" s="5" t="s">
        <v>17</v>
      </c>
      <c r="BM113" s="29"/>
      <c r="BN113" s="29"/>
      <c r="BO113" s="29"/>
      <c r="BP113" s="29"/>
      <c r="BQ113" s="29"/>
      <c r="BR113" s="111"/>
      <c r="BT113" s="6" t="s">
        <v>185</v>
      </c>
      <c r="BU113" s="5">
        <v>0.5</v>
      </c>
      <c r="BV113" s="5" t="s">
        <v>17</v>
      </c>
      <c r="BW113" s="29"/>
      <c r="BX113" s="29"/>
      <c r="BY113" s="29"/>
      <c r="BZ113" s="29"/>
      <c r="CA113" s="29"/>
      <c r="CB113" s="111"/>
    </row>
    <row r="114" spans="2:80" x14ac:dyDescent="0.25">
      <c r="B114" s="6" t="s">
        <v>189</v>
      </c>
      <c r="C114" s="5">
        <f>E23</f>
        <v>0.3</v>
      </c>
      <c r="D114" s="5" t="s">
        <v>17</v>
      </c>
      <c r="E114" s="29"/>
      <c r="F114" s="29"/>
      <c r="G114" s="29"/>
      <c r="H114" s="29"/>
      <c r="I114" s="29"/>
      <c r="J114" s="111"/>
      <c r="L114" s="6" t="s">
        <v>189</v>
      </c>
      <c r="M114" s="5">
        <v>0.25</v>
      </c>
      <c r="N114" s="5" t="s">
        <v>17</v>
      </c>
      <c r="O114" s="29"/>
      <c r="P114" s="29"/>
      <c r="Q114" s="29"/>
      <c r="R114" s="29"/>
      <c r="S114" s="29"/>
      <c r="T114" s="111"/>
      <c r="V114" s="6" t="s">
        <v>189</v>
      </c>
      <c r="W114" s="5">
        <v>0.25</v>
      </c>
      <c r="X114" s="5" t="s">
        <v>17</v>
      </c>
      <c r="Y114" s="29"/>
      <c r="Z114" s="29"/>
      <c r="AA114" s="29"/>
      <c r="AB114" s="29"/>
      <c r="AC114" s="29"/>
      <c r="AD114" s="111"/>
      <c r="AF114" s="6" t="s">
        <v>189</v>
      </c>
      <c r="AG114" s="5">
        <v>0.25</v>
      </c>
      <c r="AH114" s="5" t="s">
        <v>17</v>
      </c>
      <c r="AI114" s="29"/>
      <c r="AJ114" s="29"/>
      <c r="AK114" s="29"/>
      <c r="AL114" s="29"/>
      <c r="AM114" s="29"/>
      <c r="AN114" s="111"/>
      <c r="AP114" s="6" t="s">
        <v>189</v>
      </c>
      <c r="AQ114" s="5">
        <v>0.25</v>
      </c>
      <c r="AR114" s="5" t="s">
        <v>17</v>
      </c>
      <c r="AS114" s="29"/>
      <c r="AT114" s="29"/>
      <c r="AU114" s="29"/>
      <c r="AV114" s="29"/>
      <c r="AW114" s="29"/>
      <c r="AX114" s="111"/>
      <c r="AZ114" s="6" t="s">
        <v>189</v>
      </c>
      <c r="BA114" s="5">
        <v>0.25</v>
      </c>
      <c r="BB114" s="5" t="s">
        <v>17</v>
      </c>
      <c r="BC114" s="29"/>
      <c r="BD114" s="29"/>
      <c r="BE114" s="29"/>
      <c r="BF114" s="29"/>
      <c r="BG114" s="29"/>
      <c r="BH114" s="111"/>
      <c r="BJ114" s="6" t="s">
        <v>189</v>
      </c>
      <c r="BK114" s="5">
        <v>0.25</v>
      </c>
      <c r="BL114" s="5" t="s">
        <v>17</v>
      </c>
      <c r="BM114" s="29"/>
      <c r="BN114" s="29"/>
      <c r="BO114" s="29"/>
      <c r="BP114" s="29"/>
      <c r="BQ114" s="29"/>
      <c r="BR114" s="111"/>
      <c r="BT114" s="6" t="s">
        <v>189</v>
      </c>
      <c r="BU114" s="5">
        <v>0.25</v>
      </c>
      <c r="BV114" s="5" t="s">
        <v>17</v>
      </c>
      <c r="BW114" s="29"/>
      <c r="BX114" s="29"/>
      <c r="BY114" s="29"/>
      <c r="BZ114" s="29"/>
      <c r="CA114" s="29"/>
      <c r="CB114" s="111"/>
    </row>
    <row r="115" spans="2:80" ht="15.75" x14ac:dyDescent="0.25">
      <c r="B115" s="6" t="s">
        <v>194</v>
      </c>
      <c r="C115" s="5">
        <f>E26*PI()/180</f>
        <v>1.1868238913561442</v>
      </c>
      <c r="D115" s="5" t="s">
        <v>192</v>
      </c>
      <c r="E115" s="29"/>
      <c r="F115" s="29"/>
      <c r="G115" s="29"/>
      <c r="H115" s="29"/>
      <c r="I115" s="29"/>
      <c r="J115" s="111"/>
      <c r="L115" s="6" t="s">
        <v>194</v>
      </c>
      <c r="M115" s="5">
        <f>68*PI()/180</f>
        <v>1.1868238913561442</v>
      </c>
      <c r="N115" s="5" t="s">
        <v>192</v>
      </c>
      <c r="O115" s="29"/>
      <c r="P115" s="29"/>
      <c r="Q115" s="29"/>
      <c r="R115" s="29"/>
      <c r="S115" s="29"/>
      <c r="T115" s="111"/>
      <c r="V115" s="6" t="s">
        <v>194</v>
      </c>
      <c r="W115" s="5">
        <f>68*PI()/180</f>
        <v>1.1868238913561442</v>
      </c>
      <c r="X115" s="5" t="s">
        <v>192</v>
      </c>
      <c r="Y115" s="29"/>
      <c r="Z115" s="29"/>
      <c r="AA115" s="29"/>
      <c r="AB115" s="29"/>
      <c r="AC115" s="29"/>
      <c r="AD115" s="111"/>
      <c r="AF115" s="6" t="s">
        <v>194</v>
      </c>
      <c r="AG115" s="5">
        <f>68*PI()/180</f>
        <v>1.1868238913561442</v>
      </c>
      <c r="AH115" s="5" t="s">
        <v>192</v>
      </c>
      <c r="AI115" s="29"/>
      <c r="AJ115" s="29"/>
      <c r="AK115" s="29"/>
      <c r="AL115" s="29"/>
      <c r="AM115" s="29"/>
      <c r="AN115" s="111"/>
      <c r="AP115" s="6" t="s">
        <v>194</v>
      </c>
      <c r="AQ115" s="5">
        <f>68*PI()/180</f>
        <v>1.1868238913561442</v>
      </c>
      <c r="AR115" s="5" t="s">
        <v>192</v>
      </c>
      <c r="AS115" s="29"/>
      <c r="AT115" s="29"/>
      <c r="AU115" s="29"/>
      <c r="AV115" s="29"/>
      <c r="AW115" s="29"/>
      <c r="AX115" s="111"/>
      <c r="AZ115" s="6" t="s">
        <v>194</v>
      </c>
      <c r="BA115" s="5">
        <f>68*PI()/180</f>
        <v>1.1868238913561442</v>
      </c>
      <c r="BB115" s="5" t="s">
        <v>192</v>
      </c>
      <c r="BC115" s="29"/>
      <c r="BD115" s="29"/>
      <c r="BE115" s="29"/>
      <c r="BF115" s="29"/>
      <c r="BG115" s="29"/>
      <c r="BH115" s="111"/>
      <c r="BJ115" s="6" t="s">
        <v>194</v>
      </c>
      <c r="BK115" s="5">
        <f>68*PI()/180</f>
        <v>1.1868238913561442</v>
      </c>
      <c r="BL115" s="5" t="s">
        <v>192</v>
      </c>
      <c r="BM115" s="29"/>
      <c r="BN115" s="29"/>
      <c r="BO115" s="29"/>
      <c r="BP115" s="29"/>
      <c r="BQ115" s="29"/>
      <c r="BR115" s="111"/>
      <c r="BT115" s="6" t="s">
        <v>194</v>
      </c>
      <c r="BU115" s="5">
        <f>68*PI()/180</f>
        <v>1.1868238913561442</v>
      </c>
      <c r="BV115" s="5" t="s">
        <v>192</v>
      </c>
      <c r="BW115" s="29"/>
      <c r="BX115" s="29"/>
      <c r="BY115" s="29"/>
      <c r="BZ115" s="29"/>
      <c r="CA115" s="29"/>
      <c r="CB115" s="111"/>
    </row>
    <row r="116" spans="2:80" x14ac:dyDescent="0.25">
      <c r="B116" s="6" t="s">
        <v>135</v>
      </c>
      <c r="C116" s="5">
        <f>E24</f>
        <v>0.8</v>
      </c>
      <c r="D116" s="5" t="s">
        <v>17</v>
      </c>
      <c r="E116" s="29"/>
      <c r="F116" s="29"/>
      <c r="G116" s="29"/>
      <c r="H116" s="29"/>
      <c r="I116" s="29"/>
      <c r="J116" s="111"/>
      <c r="L116" s="6" t="s">
        <v>135</v>
      </c>
      <c r="M116" s="5">
        <v>0.6</v>
      </c>
      <c r="N116" s="5" t="s">
        <v>17</v>
      </c>
      <c r="O116" s="29"/>
      <c r="P116" s="29"/>
      <c r="Q116" s="29"/>
      <c r="R116" s="29"/>
      <c r="S116" s="29"/>
      <c r="T116" s="111"/>
      <c r="V116" s="6" t="s">
        <v>135</v>
      </c>
      <c r="W116" s="5">
        <v>0.6</v>
      </c>
      <c r="X116" s="5" t="s">
        <v>17</v>
      </c>
      <c r="Y116" s="29"/>
      <c r="Z116" s="29"/>
      <c r="AA116" s="29"/>
      <c r="AB116" s="29"/>
      <c r="AC116" s="29"/>
      <c r="AD116" s="111"/>
      <c r="AF116" s="6" t="s">
        <v>135</v>
      </c>
      <c r="AG116" s="5">
        <v>0.6</v>
      </c>
      <c r="AH116" s="5" t="s">
        <v>17</v>
      </c>
      <c r="AI116" s="29"/>
      <c r="AJ116" s="29"/>
      <c r="AK116" s="29"/>
      <c r="AL116" s="29"/>
      <c r="AM116" s="29"/>
      <c r="AN116" s="111"/>
      <c r="AP116" s="6" t="s">
        <v>135</v>
      </c>
      <c r="AQ116" s="5">
        <v>0.6</v>
      </c>
      <c r="AR116" s="5" t="s">
        <v>17</v>
      </c>
      <c r="AS116" s="29"/>
      <c r="AT116" s="29"/>
      <c r="AU116" s="29"/>
      <c r="AV116" s="29"/>
      <c r="AW116" s="29"/>
      <c r="AX116" s="111"/>
      <c r="AZ116" s="6" t="s">
        <v>135</v>
      </c>
      <c r="BA116" s="5">
        <v>0.6</v>
      </c>
      <c r="BB116" s="5" t="s">
        <v>17</v>
      </c>
      <c r="BC116" s="29"/>
      <c r="BD116" s="29"/>
      <c r="BE116" s="29"/>
      <c r="BF116" s="29"/>
      <c r="BG116" s="29"/>
      <c r="BH116" s="111"/>
      <c r="BJ116" s="6" t="s">
        <v>135</v>
      </c>
      <c r="BK116" s="5">
        <v>0.6</v>
      </c>
      <c r="BL116" s="5" t="s">
        <v>17</v>
      </c>
      <c r="BM116" s="29"/>
      <c r="BN116" s="29"/>
      <c r="BO116" s="29"/>
      <c r="BP116" s="29"/>
      <c r="BQ116" s="29"/>
      <c r="BR116" s="111"/>
      <c r="BT116" s="6" t="s">
        <v>135</v>
      </c>
      <c r="BU116" s="5">
        <v>0.6</v>
      </c>
      <c r="BV116" s="5" t="s">
        <v>17</v>
      </c>
      <c r="BW116" s="29"/>
      <c r="BX116" s="29"/>
      <c r="BY116" s="29"/>
      <c r="BZ116" s="29"/>
      <c r="CA116" s="29"/>
      <c r="CB116" s="111"/>
    </row>
    <row r="117" spans="2:80" x14ac:dyDescent="0.25">
      <c r="B117" s="6" t="s">
        <v>196</v>
      </c>
      <c r="C117" s="5">
        <f>E27</f>
        <v>0</v>
      </c>
      <c r="D117" s="5" t="s">
        <v>17</v>
      </c>
      <c r="E117" s="29"/>
      <c r="F117" s="29"/>
      <c r="G117" s="29"/>
      <c r="H117" s="29"/>
      <c r="I117" s="29"/>
      <c r="J117" s="111"/>
      <c r="L117" s="6" t="s">
        <v>196</v>
      </c>
      <c r="M117" s="5">
        <v>0.8</v>
      </c>
      <c r="N117" s="5" t="s">
        <v>17</v>
      </c>
      <c r="O117" s="29"/>
      <c r="P117" s="29"/>
      <c r="Q117" s="29"/>
      <c r="R117" s="29"/>
      <c r="S117" s="29"/>
      <c r="T117" s="111"/>
      <c r="V117" s="6" t="s">
        <v>196</v>
      </c>
      <c r="W117" s="5">
        <v>0.8</v>
      </c>
      <c r="X117" s="5" t="s">
        <v>17</v>
      </c>
      <c r="Y117" s="29"/>
      <c r="Z117" s="29"/>
      <c r="AA117" s="29"/>
      <c r="AB117" s="29"/>
      <c r="AC117" s="29"/>
      <c r="AD117" s="111"/>
      <c r="AF117" s="6" t="s">
        <v>196</v>
      </c>
      <c r="AG117" s="5">
        <v>0.8</v>
      </c>
      <c r="AH117" s="5" t="s">
        <v>17</v>
      </c>
      <c r="AI117" s="29"/>
      <c r="AJ117" s="29"/>
      <c r="AK117" s="29"/>
      <c r="AL117" s="29"/>
      <c r="AM117" s="29"/>
      <c r="AN117" s="111"/>
      <c r="AP117" s="6" t="s">
        <v>196</v>
      </c>
      <c r="AQ117" s="5">
        <v>0.8</v>
      </c>
      <c r="AR117" s="5" t="s">
        <v>17</v>
      </c>
      <c r="AS117" s="29"/>
      <c r="AT117" s="29"/>
      <c r="AU117" s="29"/>
      <c r="AV117" s="29"/>
      <c r="AW117" s="29"/>
      <c r="AX117" s="111"/>
      <c r="AZ117" s="6" t="s">
        <v>196</v>
      </c>
      <c r="BA117" s="5">
        <v>0.8</v>
      </c>
      <c r="BB117" s="5" t="s">
        <v>17</v>
      </c>
      <c r="BC117" s="29"/>
      <c r="BD117" s="29"/>
      <c r="BE117" s="29"/>
      <c r="BF117" s="29"/>
      <c r="BG117" s="29"/>
      <c r="BH117" s="111"/>
      <c r="BJ117" s="6" t="s">
        <v>196</v>
      </c>
      <c r="BK117" s="5">
        <v>0.8</v>
      </c>
      <c r="BL117" s="5" t="s">
        <v>17</v>
      </c>
      <c r="BM117" s="29"/>
      <c r="BN117" s="29"/>
      <c r="BO117" s="29"/>
      <c r="BP117" s="29"/>
      <c r="BQ117" s="29"/>
      <c r="BR117" s="111"/>
      <c r="BT117" s="6" t="s">
        <v>196</v>
      </c>
      <c r="BU117" s="5">
        <v>0.8</v>
      </c>
      <c r="BV117" s="5" t="s">
        <v>17</v>
      </c>
      <c r="BW117" s="29"/>
      <c r="BX117" s="29"/>
      <c r="BY117" s="29"/>
      <c r="BZ117" s="29"/>
      <c r="CA117" s="29"/>
      <c r="CB117" s="111"/>
    </row>
    <row r="118" spans="2:80" x14ac:dyDescent="0.25">
      <c r="B118" s="6" t="s">
        <v>205</v>
      </c>
      <c r="C118" s="5" t="str">
        <f>E29</f>
        <v>NA</v>
      </c>
      <c r="D118" s="5" t="s">
        <v>105</v>
      </c>
      <c r="E118" s="29"/>
      <c r="F118" s="29"/>
      <c r="G118" s="29"/>
      <c r="H118" s="29"/>
      <c r="I118" s="29"/>
      <c r="J118" s="111"/>
      <c r="L118" s="6" t="s">
        <v>205</v>
      </c>
      <c r="M118" s="5">
        <v>20</v>
      </c>
      <c r="N118" s="5" t="s">
        <v>105</v>
      </c>
      <c r="O118" s="29"/>
      <c r="P118" s="29"/>
      <c r="Q118" s="29"/>
      <c r="R118" s="29"/>
      <c r="S118" s="29"/>
      <c r="T118" s="111"/>
      <c r="V118" s="6" t="s">
        <v>205</v>
      </c>
      <c r="W118" s="5">
        <v>20</v>
      </c>
      <c r="X118" s="5" t="s">
        <v>105</v>
      </c>
      <c r="Y118" s="29"/>
      <c r="Z118" s="29"/>
      <c r="AA118" s="29"/>
      <c r="AB118" s="29"/>
      <c r="AC118" s="29"/>
      <c r="AD118" s="111"/>
      <c r="AF118" s="6" t="s">
        <v>205</v>
      </c>
      <c r="AG118" s="5">
        <v>20</v>
      </c>
      <c r="AH118" s="5" t="s">
        <v>105</v>
      </c>
      <c r="AI118" s="29"/>
      <c r="AJ118" s="29"/>
      <c r="AK118" s="29"/>
      <c r="AL118" s="29"/>
      <c r="AM118" s="29"/>
      <c r="AN118" s="111"/>
      <c r="AP118" s="6" t="s">
        <v>205</v>
      </c>
      <c r="AQ118" s="5">
        <v>20</v>
      </c>
      <c r="AR118" s="5" t="s">
        <v>105</v>
      </c>
      <c r="AS118" s="29"/>
      <c r="AT118" s="29"/>
      <c r="AU118" s="29"/>
      <c r="AV118" s="29"/>
      <c r="AW118" s="29"/>
      <c r="AX118" s="111"/>
      <c r="AZ118" s="6" t="s">
        <v>205</v>
      </c>
      <c r="BA118" s="5">
        <v>20</v>
      </c>
      <c r="BB118" s="5" t="s">
        <v>105</v>
      </c>
      <c r="BC118" s="29"/>
      <c r="BD118" s="29"/>
      <c r="BE118" s="29"/>
      <c r="BF118" s="29"/>
      <c r="BG118" s="29"/>
      <c r="BH118" s="111"/>
      <c r="BJ118" s="6" t="s">
        <v>205</v>
      </c>
      <c r="BK118" s="5">
        <v>20</v>
      </c>
      <c r="BL118" s="5" t="s">
        <v>105</v>
      </c>
      <c r="BM118" s="29"/>
      <c r="BN118" s="29"/>
      <c r="BO118" s="29"/>
      <c r="BP118" s="29"/>
      <c r="BQ118" s="29"/>
      <c r="BR118" s="111"/>
      <c r="BT118" s="6" t="s">
        <v>205</v>
      </c>
      <c r="BU118" s="5">
        <v>20</v>
      </c>
      <c r="BV118" s="5" t="s">
        <v>105</v>
      </c>
      <c r="BW118" s="29"/>
      <c r="BX118" s="29"/>
      <c r="BY118" s="29"/>
      <c r="BZ118" s="29"/>
      <c r="CA118" s="29"/>
      <c r="CB118" s="111"/>
    </row>
    <row r="119" spans="2:80" x14ac:dyDescent="0.25">
      <c r="B119" s="6" t="s">
        <v>211</v>
      </c>
      <c r="C119" s="5">
        <f>E30</f>
        <v>0</v>
      </c>
      <c r="D119" s="5" t="s">
        <v>17</v>
      </c>
      <c r="E119" s="29"/>
      <c r="F119" s="29"/>
      <c r="G119" s="29"/>
      <c r="H119" s="29"/>
      <c r="I119" s="29"/>
      <c r="J119" s="111"/>
      <c r="L119" s="6" t="s">
        <v>211</v>
      </c>
      <c r="M119" s="5">
        <v>0.1</v>
      </c>
      <c r="N119" s="5" t="s">
        <v>17</v>
      </c>
      <c r="O119" s="29"/>
      <c r="P119" s="29"/>
      <c r="Q119" s="29"/>
      <c r="R119" s="29"/>
      <c r="S119" s="29"/>
      <c r="T119" s="111"/>
      <c r="V119" s="6" t="s">
        <v>211</v>
      </c>
      <c r="W119" s="5">
        <v>0.1</v>
      </c>
      <c r="X119" s="5" t="s">
        <v>17</v>
      </c>
      <c r="Y119" s="29"/>
      <c r="Z119" s="29"/>
      <c r="AA119" s="29"/>
      <c r="AB119" s="29"/>
      <c r="AC119" s="29"/>
      <c r="AD119" s="111"/>
      <c r="AF119" s="6" t="s">
        <v>211</v>
      </c>
      <c r="AG119" s="5">
        <v>0.1</v>
      </c>
      <c r="AH119" s="5" t="s">
        <v>17</v>
      </c>
      <c r="AI119" s="29"/>
      <c r="AJ119" s="29"/>
      <c r="AK119" s="29"/>
      <c r="AL119" s="29"/>
      <c r="AM119" s="29"/>
      <c r="AN119" s="111"/>
      <c r="AP119" s="6" t="s">
        <v>211</v>
      </c>
      <c r="AQ119" s="5">
        <v>0.1</v>
      </c>
      <c r="AR119" s="5" t="s">
        <v>17</v>
      </c>
      <c r="AS119" s="29"/>
      <c r="AT119" s="29"/>
      <c r="AU119" s="29"/>
      <c r="AV119" s="29"/>
      <c r="AW119" s="29"/>
      <c r="AX119" s="111"/>
      <c r="AZ119" s="6" t="s">
        <v>211</v>
      </c>
      <c r="BA119" s="5">
        <v>0.1</v>
      </c>
      <c r="BB119" s="5" t="s">
        <v>17</v>
      </c>
      <c r="BC119" s="29"/>
      <c r="BD119" s="29"/>
      <c r="BE119" s="29"/>
      <c r="BF119" s="29"/>
      <c r="BG119" s="29"/>
      <c r="BH119" s="111"/>
      <c r="BJ119" s="6" t="s">
        <v>211</v>
      </c>
      <c r="BK119" s="5">
        <v>0.1</v>
      </c>
      <c r="BL119" s="5" t="s">
        <v>17</v>
      </c>
      <c r="BM119" s="29"/>
      <c r="BN119" s="29"/>
      <c r="BO119" s="29"/>
      <c r="BP119" s="29"/>
      <c r="BQ119" s="29"/>
      <c r="BR119" s="111"/>
      <c r="BT119" s="6" t="s">
        <v>211</v>
      </c>
      <c r="BU119" s="5">
        <v>0.1</v>
      </c>
      <c r="BV119" s="5" t="s">
        <v>17</v>
      </c>
      <c r="BW119" s="29"/>
      <c r="BX119" s="29"/>
      <c r="BY119" s="29"/>
      <c r="BZ119" s="29"/>
      <c r="CA119" s="29"/>
      <c r="CB119" s="111"/>
    </row>
    <row r="120" spans="2:80" x14ac:dyDescent="0.25">
      <c r="B120" s="117" t="s">
        <v>216</v>
      </c>
      <c r="C120" s="74">
        <f>C114/2</f>
        <v>0.15</v>
      </c>
      <c r="D120" s="74" t="s">
        <v>17</v>
      </c>
      <c r="E120" s="29"/>
      <c r="F120" s="29"/>
      <c r="G120" s="29"/>
      <c r="H120" s="29"/>
      <c r="I120" s="29"/>
      <c r="J120" s="111"/>
      <c r="L120" s="117" t="s">
        <v>216</v>
      </c>
      <c r="M120" s="74">
        <f>M114/2</f>
        <v>0.125</v>
      </c>
      <c r="N120" s="74" t="s">
        <v>17</v>
      </c>
      <c r="O120" s="29"/>
      <c r="P120" s="29"/>
      <c r="Q120" s="29"/>
      <c r="R120" s="29"/>
      <c r="S120" s="29"/>
      <c r="T120" s="111"/>
      <c r="V120" s="117" t="s">
        <v>216</v>
      </c>
      <c r="W120" s="74">
        <f>W114/2</f>
        <v>0.125</v>
      </c>
      <c r="X120" s="74" t="s">
        <v>17</v>
      </c>
      <c r="Y120" s="29"/>
      <c r="Z120" s="29"/>
      <c r="AA120" s="29"/>
      <c r="AB120" s="29"/>
      <c r="AC120" s="29"/>
      <c r="AD120" s="111"/>
      <c r="AF120" s="117" t="s">
        <v>216</v>
      </c>
      <c r="AG120" s="74">
        <f>AG114/2</f>
        <v>0.125</v>
      </c>
      <c r="AH120" s="74" t="s">
        <v>17</v>
      </c>
      <c r="AI120" s="29"/>
      <c r="AJ120" s="29"/>
      <c r="AK120" s="29"/>
      <c r="AL120" s="29"/>
      <c r="AM120" s="29"/>
      <c r="AN120" s="111"/>
      <c r="AP120" s="117" t="s">
        <v>216</v>
      </c>
      <c r="AQ120" s="74">
        <f>AQ114/2</f>
        <v>0.125</v>
      </c>
      <c r="AR120" s="74" t="s">
        <v>17</v>
      </c>
      <c r="AS120" s="29"/>
      <c r="AT120" s="29"/>
      <c r="AU120" s="29"/>
      <c r="AV120" s="29"/>
      <c r="AW120" s="29"/>
      <c r="AX120" s="111"/>
      <c r="AZ120" s="117" t="s">
        <v>216</v>
      </c>
      <c r="BA120" s="74">
        <f>BA114/2</f>
        <v>0.125</v>
      </c>
      <c r="BB120" s="74" t="s">
        <v>17</v>
      </c>
      <c r="BC120" s="29"/>
      <c r="BD120" s="29"/>
      <c r="BE120" s="29"/>
      <c r="BF120" s="29"/>
      <c r="BG120" s="29"/>
      <c r="BH120" s="111"/>
      <c r="BJ120" s="117" t="s">
        <v>216</v>
      </c>
      <c r="BK120" s="74">
        <f>BK114/2</f>
        <v>0.125</v>
      </c>
      <c r="BL120" s="74" t="s">
        <v>17</v>
      </c>
      <c r="BM120" s="29"/>
      <c r="BN120" s="29"/>
      <c r="BO120" s="29"/>
      <c r="BP120" s="29"/>
      <c r="BQ120" s="29"/>
      <c r="BR120" s="111"/>
      <c r="BT120" s="117" t="s">
        <v>216</v>
      </c>
      <c r="BU120" s="74">
        <f>BU114/2</f>
        <v>0.125</v>
      </c>
      <c r="BV120" s="74" t="s">
        <v>17</v>
      </c>
      <c r="BW120" s="29"/>
      <c r="BX120" s="29"/>
      <c r="BY120" s="29"/>
      <c r="BZ120" s="29"/>
      <c r="CA120" s="29"/>
      <c r="CB120" s="111"/>
    </row>
    <row r="121" spans="2:80" x14ac:dyDescent="0.25">
      <c r="B121" s="117" t="s">
        <v>221</v>
      </c>
      <c r="C121" s="74">
        <f>INT(C116/(C120*2))</f>
        <v>2</v>
      </c>
      <c r="D121" s="74" t="s">
        <v>105</v>
      </c>
      <c r="E121" s="29"/>
      <c r="F121" s="29"/>
      <c r="G121" s="29"/>
      <c r="H121" s="29"/>
      <c r="I121" s="29"/>
      <c r="J121" s="111"/>
      <c r="L121" s="117" t="s">
        <v>221</v>
      </c>
      <c r="M121" s="74">
        <f>INT(M116/(M120*2))</f>
        <v>2</v>
      </c>
      <c r="N121" s="74" t="s">
        <v>105</v>
      </c>
      <c r="O121" s="29"/>
      <c r="P121" s="29"/>
      <c r="Q121" s="29"/>
      <c r="R121" s="29"/>
      <c r="S121" s="29"/>
      <c r="T121" s="111"/>
      <c r="V121" s="117" t="s">
        <v>221</v>
      </c>
      <c r="W121" s="74">
        <f>INT(W116/(W120*2))</f>
        <v>2</v>
      </c>
      <c r="X121" s="74" t="s">
        <v>105</v>
      </c>
      <c r="Y121" s="29"/>
      <c r="Z121" s="29"/>
      <c r="AA121" s="29"/>
      <c r="AB121" s="29"/>
      <c r="AC121" s="29"/>
      <c r="AD121" s="111"/>
      <c r="AF121" s="117" t="s">
        <v>221</v>
      </c>
      <c r="AG121" s="74">
        <f>INT(AG116/(AG120*2))</f>
        <v>2</v>
      </c>
      <c r="AH121" s="74" t="s">
        <v>105</v>
      </c>
      <c r="AI121" s="29"/>
      <c r="AJ121" s="29"/>
      <c r="AK121" s="29"/>
      <c r="AL121" s="29"/>
      <c r="AM121" s="29"/>
      <c r="AN121" s="111"/>
      <c r="AP121" s="117" t="s">
        <v>221</v>
      </c>
      <c r="AQ121" s="74">
        <f>INT(AQ116/(AQ120*2))</f>
        <v>2</v>
      </c>
      <c r="AR121" s="74" t="s">
        <v>105</v>
      </c>
      <c r="AS121" s="29"/>
      <c r="AT121" s="29"/>
      <c r="AU121" s="29"/>
      <c r="AV121" s="29"/>
      <c r="AW121" s="29"/>
      <c r="AX121" s="111"/>
      <c r="AZ121" s="117" t="s">
        <v>221</v>
      </c>
      <c r="BA121" s="74">
        <f>INT(BA116/(BA120*2))</f>
        <v>2</v>
      </c>
      <c r="BB121" s="74" t="s">
        <v>105</v>
      </c>
      <c r="BC121" s="29"/>
      <c r="BD121" s="29"/>
      <c r="BE121" s="29"/>
      <c r="BF121" s="29"/>
      <c r="BG121" s="29"/>
      <c r="BH121" s="111"/>
      <c r="BJ121" s="117" t="s">
        <v>221</v>
      </c>
      <c r="BK121" s="74">
        <f>INT(BK116/(BK120*2))</f>
        <v>2</v>
      </c>
      <c r="BL121" s="74" t="s">
        <v>105</v>
      </c>
      <c r="BM121" s="29"/>
      <c r="BN121" s="29"/>
      <c r="BO121" s="29"/>
      <c r="BP121" s="29"/>
      <c r="BQ121" s="29"/>
      <c r="BR121" s="111"/>
      <c r="BT121" s="117" t="s">
        <v>221</v>
      </c>
      <c r="BU121" s="74">
        <f>INT(BU116/(BU120*2))</f>
        <v>2</v>
      </c>
      <c r="BV121" s="74" t="s">
        <v>105</v>
      </c>
      <c r="BW121" s="29"/>
      <c r="BX121" s="29"/>
      <c r="BY121" s="29"/>
      <c r="BZ121" s="29"/>
      <c r="CA121" s="29"/>
      <c r="CB121" s="111"/>
    </row>
    <row r="122" spans="2:80" x14ac:dyDescent="0.25">
      <c r="B122" s="6" t="s">
        <v>215</v>
      </c>
      <c r="C122" s="5">
        <f>(C116*C117+2*C117*C114+2*C116*C114)-2*C121*C120^2</f>
        <v>0.39</v>
      </c>
      <c r="D122" s="5" t="s">
        <v>201</v>
      </c>
      <c r="E122" s="29"/>
      <c r="F122" s="29"/>
      <c r="G122" s="29"/>
      <c r="H122" s="29"/>
      <c r="I122" s="29"/>
      <c r="J122" s="111"/>
      <c r="L122" s="6" t="s">
        <v>215</v>
      </c>
      <c r="M122" s="5">
        <f>(M116*M117+2*M117*M114+2*M116*M114)-2*M121*M120^2</f>
        <v>1.1174999999999999</v>
      </c>
      <c r="N122" s="5" t="s">
        <v>201</v>
      </c>
      <c r="O122" s="29"/>
      <c r="P122" s="29"/>
      <c r="Q122" s="29"/>
      <c r="R122" s="29"/>
      <c r="S122" s="29"/>
      <c r="T122" s="111"/>
      <c r="V122" s="6" t="s">
        <v>215</v>
      </c>
      <c r="W122" s="5">
        <f>(W116*W117+2*W117*W114+2*W116*W114)-2*W121*W120^2</f>
        <v>1.1174999999999999</v>
      </c>
      <c r="X122" s="5" t="s">
        <v>201</v>
      </c>
      <c r="Y122" s="29"/>
      <c r="Z122" s="29"/>
      <c r="AA122" s="29"/>
      <c r="AB122" s="29"/>
      <c r="AC122" s="29"/>
      <c r="AD122" s="111"/>
      <c r="AF122" s="6" t="s">
        <v>215</v>
      </c>
      <c r="AG122" s="5">
        <f>(AG116*AG117+2*AG117*AG114+2*AG116*AG114)-2*AG121*AG120^2</f>
        <v>1.1174999999999999</v>
      </c>
      <c r="AH122" s="5" t="s">
        <v>201</v>
      </c>
      <c r="AI122" s="29"/>
      <c r="AJ122" s="29"/>
      <c r="AK122" s="29"/>
      <c r="AL122" s="29"/>
      <c r="AM122" s="29"/>
      <c r="AN122" s="111"/>
      <c r="AP122" s="6" t="s">
        <v>215</v>
      </c>
      <c r="AQ122" s="5">
        <f>(AQ116*AQ117+2*AQ117*AQ114+2*AQ116*AQ114)-2*AQ121*AQ120^2</f>
        <v>1.1174999999999999</v>
      </c>
      <c r="AR122" s="5" t="s">
        <v>201</v>
      </c>
      <c r="AS122" s="29"/>
      <c r="AT122" s="29"/>
      <c r="AU122" s="29"/>
      <c r="AV122" s="29"/>
      <c r="AW122" s="29"/>
      <c r="AX122" s="111"/>
      <c r="AZ122" s="6" t="s">
        <v>215</v>
      </c>
      <c r="BA122" s="5">
        <f>(BA116*BA117+2*BA117*BA114+2*BA116*BA114)-2*BA121*BA120^2</f>
        <v>1.1174999999999999</v>
      </c>
      <c r="BB122" s="5" t="s">
        <v>201</v>
      </c>
      <c r="BC122" s="29"/>
      <c r="BD122" s="29"/>
      <c r="BE122" s="29"/>
      <c r="BF122" s="29"/>
      <c r="BG122" s="29"/>
      <c r="BH122" s="111"/>
      <c r="BJ122" s="6" t="s">
        <v>215</v>
      </c>
      <c r="BK122" s="5">
        <f>(BK116*BK117+2*BK117*BK114+2*BK116*BK114)-2*BK121*BK120^2</f>
        <v>1.1174999999999999</v>
      </c>
      <c r="BL122" s="5" t="s">
        <v>201</v>
      </c>
      <c r="BM122" s="29"/>
      <c r="BN122" s="29"/>
      <c r="BO122" s="29"/>
      <c r="BP122" s="29"/>
      <c r="BQ122" s="29"/>
      <c r="BR122" s="111"/>
      <c r="BT122" s="6" t="s">
        <v>215</v>
      </c>
      <c r="BU122" s="5">
        <f>(BU116*BU117+2*BU117*BU114+2*BU116*BU114)-2*BU121*BU120^2</f>
        <v>1.1174999999999999</v>
      </c>
      <c r="BV122" s="5" t="s">
        <v>201</v>
      </c>
      <c r="BW122" s="29"/>
      <c r="BX122" s="29"/>
      <c r="BY122" s="29"/>
      <c r="BZ122" s="29"/>
      <c r="CA122" s="29"/>
      <c r="CB122" s="111"/>
    </row>
    <row r="123" spans="2:80" x14ac:dyDescent="0.25">
      <c r="B123" s="6" t="s">
        <v>220</v>
      </c>
      <c r="C123" s="5">
        <f>(C116*C114-C121*C120^2)*C117</f>
        <v>0</v>
      </c>
      <c r="D123" s="5" t="s">
        <v>204</v>
      </c>
      <c r="E123" s="29"/>
      <c r="F123" s="29"/>
      <c r="G123" s="29"/>
      <c r="H123" s="29"/>
      <c r="I123" s="29"/>
      <c r="J123" s="111"/>
      <c r="L123" s="6" t="s">
        <v>220</v>
      </c>
      <c r="M123" s="5">
        <f>(M116*M114-M121*M120^2)*M117</f>
        <v>9.5000000000000001E-2</v>
      </c>
      <c r="N123" s="5" t="s">
        <v>204</v>
      </c>
      <c r="O123" s="29"/>
      <c r="P123" s="29"/>
      <c r="Q123" s="29"/>
      <c r="R123" s="29"/>
      <c r="S123" s="29"/>
      <c r="T123" s="111"/>
      <c r="V123" s="6" t="s">
        <v>220</v>
      </c>
      <c r="W123" s="5">
        <f>(W116*W114-W121*W120^2)*W117</f>
        <v>9.5000000000000001E-2</v>
      </c>
      <c r="X123" s="5" t="s">
        <v>204</v>
      </c>
      <c r="Y123" s="29"/>
      <c r="Z123" s="29"/>
      <c r="AA123" s="29"/>
      <c r="AB123" s="29"/>
      <c r="AC123" s="29"/>
      <c r="AD123" s="111"/>
      <c r="AF123" s="6" t="s">
        <v>220</v>
      </c>
      <c r="AG123" s="5">
        <f>(AG116*AG114-AG121*AG120^2)*AG117</f>
        <v>9.5000000000000001E-2</v>
      </c>
      <c r="AH123" s="5" t="s">
        <v>204</v>
      </c>
      <c r="AI123" s="29"/>
      <c r="AJ123" s="29"/>
      <c r="AK123" s="29"/>
      <c r="AL123" s="29"/>
      <c r="AM123" s="29"/>
      <c r="AN123" s="111"/>
      <c r="AP123" s="6" t="s">
        <v>220</v>
      </c>
      <c r="AQ123" s="5">
        <f>(AQ116*AQ114-AQ121*AQ120^2)*AQ117</f>
        <v>9.5000000000000001E-2</v>
      </c>
      <c r="AR123" s="5" t="s">
        <v>204</v>
      </c>
      <c r="AS123" s="29"/>
      <c r="AT123" s="29"/>
      <c r="AU123" s="29"/>
      <c r="AV123" s="29"/>
      <c r="AW123" s="29"/>
      <c r="AX123" s="111"/>
      <c r="AZ123" s="6" t="s">
        <v>220</v>
      </c>
      <c r="BA123" s="5">
        <f>(BA116*BA114-BA121*BA120^2)*BA117</f>
        <v>9.5000000000000001E-2</v>
      </c>
      <c r="BB123" s="5" t="s">
        <v>204</v>
      </c>
      <c r="BC123" s="29"/>
      <c r="BD123" s="29"/>
      <c r="BE123" s="29"/>
      <c r="BF123" s="29"/>
      <c r="BG123" s="29"/>
      <c r="BH123" s="111"/>
      <c r="BJ123" s="6" t="s">
        <v>220</v>
      </c>
      <c r="BK123" s="5">
        <f>(BK116*BK114-BK121*BK120^2)*BK117</f>
        <v>9.5000000000000001E-2</v>
      </c>
      <c r="BL123" s="5" t="s">
        <v>204</v>
      </c>
      <c r="BM123" s="29"/>
      <c r="BN123" s="29"/>
      <c r="BO123" s="29"/>
      <c r="BP123" s="29"/>
      <c r="BQ123" s="29"/>
      <c r="BR123" s="111"/>
      <c r="BT123" s="6" t="s">
        <v>220</v>
      </c>
      <c r="BU123" s="5">
        <f>(BU116*BU114-BU121*BU120^2)*BU117</f>
        <v>9.5000000000000001E-2</v>
      </c>
      <c r="BV123" s="5" t="s">
        <v>204</v>
      </c>
      <c r="BW123" s="29"/>
      <c r="BX123" s="29"/>
      <c r="BY123" s="29"/>
      <c r="BZ123" s="29"/>
      <c r="CA123" s="29"/>
      <c r="CB123" s="111"/>
    </row>
    <row r="124" spans="2:80" x14ac:dyDescent="0.25">
      <c r="B124" s="6" t="s">
        <v>230</v>
      </c>
      <c r="C124" s="5">
        <f>C123+(C117*C113*(C116+C113/TAN(C115)))</f>
        <v>0</v>
      </c>
      <c r="D124" s="5" t="s">
        <v>204</v>
      </c>
      <c r="E124" s="29"/>
      <c r="F124" s="29"/>
      <c r="G124" s="29"/>
      <c r="H124" s="29"/>
      <c r="I124" s="29"/>
      <c r="J124" s="111"/>
      <c r="L124" s="6" t="s">
        <v>230</v>
      </c>
      <c r="M124" s="5">
        <f>M123+(M117*M113*(M116+M113/TAN(M115)))</f>
        <v>0.41580524516703132</v>
      </c>
      <c r="N124" s="5" t="s">
        <v>204</v>
      </c>
      <c r="O124" s="29"/>
      <c r="P124" s="29"/>
      <c r="Q124" s="29"/>
      <c r="R124" s="29"/>
      <c r="S124" s="29"/>
      <c r="T124" s="111"/>
      <c r="V124" s="6" t="s">
        <v>230</v>
      </c>
      <c r="W124" s="5">
        <f>W123+(W117*W113*(W116+W113/TAN(W115)))</f>
        <v>0.41580524516703132</v>
      </c>
      <c r="X124" s="5" t="s">
        <v>204</v>
      </c>
      <c r="Y124" s="29"/>
      <c r="Z124" s="29"/>
      <c r="AA124" s="29"/>
      <c r="AB124" s="29"/>
      <c r="AC124" s="29"/>
      <c r="AD124" s="111"/>
      <c r="AF124" s="6" t="s">
        <v>230</v>
      </c>
      <c r="AG124" s="5">
        <f>AG123+(AG117*AG113*(AG116+AG113/TAN(AG115)))</f>
        <v>0.41580524516703132</v>
      </c>
      <c r="AH124" s="5" t="s">
        <v>204</v>
      </c>
      <c r="AI124" s="29"/>
      <c r="AJ124" s="29"/>
      <c r="AK124" s="29"/>
      <c r="AL124" s="29"/>
      <c r="AM124" s="29"/>
      <c r="AN124" s="111"/>
      <c r="AP124" s="6" t="s">
        <v>230</v>
      </c>
      <c r="AQ124" s="5">
        <f>AQ123+(AQ117*AQ113*(AQ116+AQ113/TAN(AQ115)))</f>
        <v>0.41580524516703132</v>
      </c>
      <c r="AR124" s="5" t="s">
        <v>204</v>
      </c>
      <c r="AS124" s="29"/>
      <c r="AT124" s="29"/>
      <c r="AU124" s="29"/>
      <c r="AV124" s="29"/>
      <c r="AW124" s="29"/>
      <c r="AX124" s="111"/>
      <c r="AZ124" s="6" t="s">
        <v>230</v>
      </c>
      <c r="BA124" s="5">
        <f>BA123+(BA117*BA113*(BA116+BA113/TAN(BA115)))</f>
        <v>0.41580524516703132</v>
      </c>
      <c r="BB124" s="5" t="s">
        <v>204</v>
      </c>
      <c r="BC124" s="29"/>
      <c r="BD124" s="29"/>
      <c r="BE124" s="29"/>
      <c r="BF124" s="29"/>
      <c r="BG124" s="29"/>
      <c r="BH124" s="111"/>
      <c r="BJ124" s="6" t="s">
        <v>230</v>
      </c>
      <c r="BK124" s="5">
        <f>BK123+(BK117*BK113*(BK116+BK113/TAN(BK115)))</f>
        <v>0.41580524516703132</v>
      </c>
      <c r="BL124" s="5" t="s">
        <v>204</v>
      </c>
      <c r="BM124" s="29"/>
      <c r="BN124" s="29"/>
      <c r="BO124" s="29"/>
      <c r="BP124" s="29"/>
      <c r="BQ124" s="29"/>
      <c r="BR124" s="111"/>
      <c r="BT124" s="6" t="s">
        <v>230</v>
      </c>
      <c r="BU124" s="5">
        <f>BU123+(BU117*BU113*(BU116+BU113/TAN(BU115)))</f>
        <v>0.41580524516703132</v>
      </c>
      <c r="BV124" s="5" t="s">
        <v>204</v>
      </c>
      <c r="BW124" s="29"/>
      <c r="BX124" s="29"/>
      <c r="BY124" s="29"/>
      <c r="BZ124" s="29"/>
      <c r="CA124" s="29"/>
      <c r="CB124" s="111"/>
    </row>
    <row r="125" spans="2:80" x14ac:dyDescent="0.25">
      <c r="B125" s="6" t="s">
        <v>229</v>
      </c>
      <c r="C125" s="114" t="e">
        <f>C123/C124</f>
        <v>#DIV/0!</v>
      </c>
      <c r="D125" s="29" t="s">
        <v>6</v>
      </c>
      <c r="E125" s="29"/>
      <c r="F125" s="29"/>
      <c r="G125" s="29"/>
      <c r="H125" s="29"/>
      <c r="I125" s="29"/>
      <c r="J125" s="111"/>
      <c r="L125" s="6" t="s">
        <v>229</v>
      </c>
      <c r="M125" s="114">
        <f>M123/M124</f>
        <v>0.22847234637898317</v>
      </c>
      <c r="N125" s="29" t="s">
        <v>6</v>
      </c>
      <c r="O125" s="29"/>
      <c r="P125" s="29"/>
      <c r="Q125" s="29"/>
      <c r="R125" s="29"/>
      <c r="S125" s="29"/>
      <c r="T125" s="111"/>
      <c r="V125" s="6" t="s">
        <v>229</v>
      </c>
      <c r="W125" s="114">
        <f>W123/W124</f>
        <v>0.22847234637898317</v>
      </c>
      <c r="X125" s="29" t="s">
        <v>6</v>
      </c>
      <c r="Y125" s="29"/>
      <c r="Z125" s="29"/>
      <c r="AA125" s="29"/>
      <c r="AB125" s="29"/>
      <c r="AC125" s="29"/>
      <c r="AD125" s="111"/>
      <c r="AF125" s="6" t="s">
        <v>229</v>
      </c>
      <c r="AG125" s="114">
        <f>AG123/AG124</f>
        <v>0.22847234637898317</v>
      </c>
      <c r="AH125" s="29" t="s">
        <v>6</v>
      </c>
      <c r="AI125" s="29"/>
      <c r="AJ125" s="29"/>
      <c r="AK125" s="29"/>
      <c r="AL125" s="29"/>
      <c r="AM125" s="29"/>
      <c r="AN125" s="111"/>
      <c r="AP125" s="6" t="s">
        <v>229</v>
      </c>
      <c r="AQ125" s="114">
        <f>AQ123/AQ124</f>
        <v>0.22847234637898317</v>
      </c>
      <c r="AR125" s="29" t="s">
        <v>6</v>
      </c>
      <c r="AS125" s="29"/>
      <c r="AT125" s="29"/>
      <c r="AU125" s="29"/>
      <c r="AV125" s="29"/>
      <c r="AW125" s="29"/>
      <c r="AX125" s="111"/>
      <c r="AZ125" s="6" t="s">
        <v>229</v>
      </c>
      <c r="BA125" s="114">
        <f>BA123/BA124</f>
        <v>0.22847234637898317</v>
      </c>
      <c r="BB125" s="29" t="s">
        <v>6</v>
      </c>
      <c r="BC125" s="29"/>
      <c r="BD125" s="29"/>
      <c r="BE125" s="29"/>
      <c r="BF125" s="29"/>
      <c r="BG125" s="29"/>
      <c r="BH125" s="111"/>
      <c r="BJ125" s="6" t="s">
        <v>229</v>
      </c>
      <c r="BK125" s="114">
        <f>BK123/BK124</f>
        <v>0.22847234637898317</v>
      </c>
      <c r="BL125" s="29" t="s">
        <v>6</v>
      </c>
      <c r="BM125" s="29"/>
      <c r="BN125" s="29"/>
      <c r="BO125" s="29"/>
      <c r="BP125" s="29"/>
      <c r="BQ125" s="29"/>
      <c r="BR125" s="111"/>
      <c r="BT125" s="6" t="s">
        <v>229</v>
      </c>
      <c r="BU125" s="114">
        <f>BU123/BU124</f>
        <v>0.22847234637898317</v>
      </c>
      <c r="BV125" s="29" t="s">
        <v>6</v>
      </c>
      <c r="BW125" s="29"/>
      <c r="BX125" s="29"/>
      <c r="BY125" s="29"/>
      <c r="BZ125" s="29"/>
      <c r="CA125" s="29"/>
      <c r="CB125" s="111"/>
    </row>
    <row r="126" spans="2:80" ht="15.75" thickBot="1" x14ac:dyDescent="0.3">
      <c r="B126" s="110" t="s">
        <v>231</v>
      </c>
      <c r="C126" s="105" t="e">
        <f>C119*C117*C118*2+C122</f>
        <v>#VALUE!</v>
      </c>
      <c r="D126" s="105" t="s">
        <v>201</v>
      </c>
      <c r="E126" s="115"/>
      <c r="F126" s="115"/>
      <c r="G126" s="115"/>
      <c r="H126" s="115"/>
      <c r="I126" s="115"/>
      <c r="J126" s="116"/>
      <c r="L126" s="110" t="s">
        <v>231</v>
      </c>
      <c r="M126" s="105">
        <f>M119*M117*M118*2+M122</f>
        <v>4.3175000000000008</v>
      </c>
      <c r="N126" s="105" t="s">
        <v>201</v>
      </c>
      <c r="O126" s="115"/>
      <c r="P126" s="115"/>
      <c r="Q126" s="115"/>
      <c r="R126" s="115"/>
      <c r="S126" s="115"/>
      <c r="T126" s="116"/>
      <c r="V126" s="110" t="s">
        <v>231</v>
      </c>
      <c r="W126" s="105">
        <f>W119*W117*W118*2+W122</f>
        <v>4.3175000000000008</v>
      </c>
      <c r="X126" s="105" t="s">
        <v>201</v>
      </c>
      <c r="Y126" s="115"/>
      <c r="Z126" s="115"/>
      <c r="AA126" s="115"/>
      <c r="AB126" s="115"/>
      <c r="AC126" s="115"/>
      <c r="AD126" s="116"/>
      <c r="AF126" s="110" t="s">
        <v>231</v>
      </c>
      <c r="AG126" s="105">
        <f>AG119*AG117*AG118*2+AG122</f>
        <v>4.3175000000000008</v>
      </c>
      <c r="AH126" s="105" t="s">
        <v>201</v>
      </c>
      <c r="AI126" s="115"/>
      <c r="AJ126" s="115"/>
      <c r="AK126" s="115"/>
      <c r="AL126" s="115"/>
      <c r="AM126" s="115"/>
      <c r="AN126" s="116"/>
      <c r="AP126" s="110" t="s">
        <v>231</v>
      </c>
      <c r="AQ126" s="105">
        <f>AQ119*AQ117*AQ118*2+AQ122</f>
        <v>4.3175000000000008</v>
      </c>
      <c r="AR126" s="105" t="s">
        <v>201</v>
      </c>
      <c r="AS126" s="115"/>
      <c r="AT126" s="115"/>
      <c r="AU126" s="115"/>
      <c r="AV126" s="115"/>
      <c r="AW126" s="115"/>
      <c r="AX126" s="116"/>
      <c r="AZ126" s="110" t="s">
        <v>231</v>
      </c>
      <c r="BA126" s="105">
        <f>BA119*BA117*BA118*2+BA122</f>
        <v>4.3175000000000008</v>
      </c>
      <c r="BB126" s="105" t="s">
        <v>201</v>
      </c>
      <c r="BC126" s="115"/>
      <c r="BD126" s="115"/>
      <c r="BE126" s="115"/>
      <c r="BF126" s="115"/>
      <c r="BG126" s="115"/>
      <c r="BH126" s="116"/>
      <c r="BJ126" s="110" t="s">
        <v>231</v>
      </c>
      <c r="BK126" s="105">
        <f>BK119*BK117*BK118*2+BK122</f>
        <v>4.3175000000000008</v>
      </c>
      <c r="BL126" s="105" t="s">
        <v>201</v>
      </c>
      <c r="BM126" s="115"/>
      <c r="BN126" s="115"/>
      <c r="BO126" s="115"/>
      <c r="BP126" s="115"/>
      <c r="BQ126" s="115"/>
      <c r="BR126" s="116"/>
      <c r="BT126" s="110" t="s">
        <v>231</v>
      </c>
      <c r="BU126" s="105">
        <f>BU119*BU117*BU118*2+BU122</f>
        <v>4.3175000000000008</v>
      </c>
      <c r="BV126" s="105" t="s">
        <v>201</v>
      </c>
      <c r="BW126" s="115"/>
      <c r="BX126" s="115"/>
      <c r="BY126" s="115"/>
      <c r="BZ126" s="115"/>
      <c r="CA126" s="115"/>
      <c r="CB126" s="116"/>
    </row>
    <row r="127" spans="2:80" ht="15.75" thickBot="1" x14ac:dyDescent="0.3"/>
    <row r="128" spans="2:80" ht="15.75" thickBot="1" x14ac:dyDescent="0.3">
      <c r="B128" s="424" t="s">
        <v>183</v>
      </c>
      <c r="C128" s="425"/>
      <c r="D128" s="425"/>
      <c r="E128" s="389"/>
      <c r="F128" s="389"/>
      <c r="G128" s="389"/>
      <c r="H128" s="389"/>
      <c r="I128" s="389"/>
      <c r="J128" s="390"/>
      <c r="L128" s="424" t="s">
        <v>183</v>
      </c>
      <c r="M128" s="425"/>
      <c r="N128" s="425"/>
      <c r="O128" s="389"/>
      <c r="P128" s="389"/>
      <c r="Q128" s="389"/>
      <c r="R128" s="389"/>
      <c r="S128" s="389"/>
      <c r="T128" s="390"/>
      <c r="V128" s="424" t="s">
        <v>183</v>
      </c>
      <c r="W128" s="425"/>
      <c r="X128" s="425"/>
      <c r="Y128" s="389"/>
      <c r="Z128" s="389"/>
      <c r="AA128" s="389"/>
      <c r="AB128" s="389"/>
      <c r="AC128" s="389"/>
      <c r="AD128" s="390"/>
      <c r="AF128" s="424" t="s">
        <v>183</v>
      </c>
      <c r="AG128" s="425"/>
      <c r="AH128" s="425"/>
      <c r="AI128" s="389"/>
      <c r="AJ128" s="389"/>
      <c r="AK128" s="389"/>
      <c r="AL128" s="389"/>
      <c r="AM128" s="389"/>
      <c r="AN128" s="390"/>
      <c r="AP128" s="424" t="s">
        <v>183</v>
      </c>
      <c r="AQ128" s="425"/>
      <c r="AR128" s="425"/>
      <c r="AS128" s="389"/>
      <c r="AT128" s="389"/>
      <c r="AU128" s="389"/>
      <c r="AV128" s="389"/>
      <c r="AW128" s="389"/>
      <c r="AX128" s="390"/>
      <c r="AZ128" s="424" t="s">
        <v>183</v>
      </c>
      <c r="BA128" s="425"/>
      <c r="BB128" s="425"/>
      <c r="BC128" s="389"/>
      <c r="BD128" s="389"/>
      <c r="BE128" s="389"/>
      <c r="BF128" s="389"/>
      <c r="BG128" s="389"/>
      <c r="BH128" s="390"/>
      <c r="BJ128" s="424" t="s">
        <v>183</v>
      </c>
      <c r="BK128" s="425"/>
      <c r="BL128" s="425"/>
      <c r="BM128" s="389"/>
      <c r="BN128" s="389"/>
      <c r="BO128" s="389"/>
      <c r="BP128" s="389"/>
      <c r="BQ128" s="389"/>
      <c r="BR128" s="390"/>
      <c r="BT128" s="424" t="s">
        <v>183</v>
      </c>
      <c r="BU128" s="425"/>
      <c r="BV128" s="425"/>
      <c r="BW128" s="389"/>
      <c r="BX128" s="389"/>
      <c r="BY128" s="389"/>
      <c r="BZ128" s="389"/>
      <c r="CA128" s="389"/>
      <c r="CB128" s="390"/>
    </row>
    <row r="129" spans="2:80" x14ac:dyDescent="0.25">
      <c r="B129" s="6" t="s">
        <v>185</v>
      </c>
      <c r="C129" s="5">
        <f>E25</f>
        <v>0.5</v>
      </c>
      <c r="D129" s="5" t="s">
        <v>17</v>
      </c>
      <c r="E129" s="29"/>
      <c r="F129" s="29"/>
      <c r="G129" s="29"/>
      <c r="H129" s="29"/>
      <c r="I129" s="29"/>
      <c r="J129" s="111"/>
      <c r="L129" s="6" t="s">
        <v>185</v>
      </c>
      <c r="M129" s="5">
        <v>0.5</v>
      </c>
      <c r="N129" s="5" t="s">
        <v>17</v>
      </c>
      <c r="O129" s="29"/>
      <c r="P129" s="29"/>
      <c r="Q129" s="29"/>
      <c r="R129" s="29"/>
      <c r="S129" s="29"/>
      <c r="T129" s="111"/>
      <c r="V129" s="6" t="s">
        <v>185</v>
      </c>
      <c r="W129" s="5">
        <v>0.5</v>
      </c>
      <c r="X129" s="5" t="s">
        <v>17</v>
      </c>
      <c r="Y129" s="29"/>
      <c r="Z129" s="29"/>
      <c r="AA129" s="29"/>
      <c r="AB129" s="29"/>
      <c r="AC129" s="29"/>
      <c r="AD129" s="111"/>
      <c r="AF129" s="6" t="s">
        <v>185</v>
      </c>
      <c r="AG129" s="5">
        <v>0.5</v>
      </c>
      <c r="AH129" s="5" t="s">
        <v>17</v>
      </c>
      <c r="AI129" s="29"/>
      <c r="AJ129" s="29"/>
      <c r="AK129" s="29"/>
      <c r="AL129" s="29"/>
      <c r="AM129" s="29"/>
      <c r="AN129" s="111"/>
      <c r="AP129" s="6" t="s">
        <v>185</v>
      </c>
      <c r="AQ129" s="5">
        <v>0.5</v>
      </c>
      <c r="AR129" s="5" t="s">
        <v>17</v>
      </c>
      <c r="AS129" s="29"/>
      <c r="AT129" s="29"/>
      <c r="AU129" s="29"/>
      <c r="AV129" s="29"/>
      <c r="AW129" s="29"/>
      <c r="AX129" s="111"/>
      <c r="AZ129" s="6" t="s">
        <v>185</v>
      </c>
      <c r="BA129" s="5">
        <v>0.5</v>
      </c>
      <c r="BB129" s="5" t="s">
        <v>17</v>
      </c>
      <c r="BC129" s="29"/>
      <c r="BD129" s="29"/>
      <c r="BE129" s="29"/>
      <c r="BF129" s="29"/>
      <c r="BG129" s="29"/>
      <c r="BH129" s="111"/>
      <c r="BJ129" s="6" t="s">
        <v>185</v>
      </c>
      <c r="BK129" s="5">
        <v>0.5</v>
      </c>
      <c r="BL129" s="5" t="s">
        <v>17</v>
      </c>
      <c r="BM129" s="29"/>
      <c r="BN129" s="29"/>
      <c r="BO129" s="29"/>
      <c r="BP129" s="29"/>
      <c r="BQ129" s="29"/>
      <c r="BR129" s="111"/>
      <c r="BT129" s="6" t="s">
        <v>185</v>
      </c>
      <c r="BU129" s="5">
        <v>0.5</v>
      </c>
      <c r="BV129" s="5" t="s">
        <v>17</v>
      </c>
      <c r="BW129" s="29"/>
      <c r="BX129" s="29"/>
      <c r="BY129" s="29"/>
      <c r="BZ129" s="29"/>
      <c r="CA129" s="29"/>
      <c r="CB129" s="111"/>
    </row>
    <row r="130" spans="2:80" x14ac:dyDescent="0.25">
      <c r="B130" s="6" t="s">
        <v>189</v>
      </c>
      <c r="C130" s="5">
        <f>E23</f>
        <v>0.3</v>
      </c>
      <c r="D130" s="5" t="s">
        <v>17</v>
      </c>
      <c r="E130" s="29"/>
      <c r="F130" s="29"/>
      <c r="G130" s="29"/>
      <c r="H130" s="29"/>
      <c r="I130" s="29"/>
      <c r="J130" s="111"/>
      <c r="L130" s="6" t="s">
        <v>189</v>
      </c>
      <c r="M130" s="5">
        <v>0.245</v>
      </c>
      <c r="N130" s="5" t="s">
        <v>17</v>
      </c>
      <c r="O130" s="29"/>
      <c r="P130" s="29"/>
      <c r="Q130" s="29"/>
      <c r="R130" s="29"/>
      <c r="S130" s="29"/>
      <c r="T130" s="111"/>
      <c r="V130" s="6" t="s">
        <v>189</v>
      </c>
      <c r="W130" s="5">
        <v>0.245</v>
      </c>
      <c r="X130" s="5" t="s">
        <v>17</v>
      </c>
      <c r="Y130" s="29"/>
      <c r="Z130" s="29"/>
      <c r="AA130" s="29"/>
      <c r="AB130" s="29"/>
      <c r="AC130" s="29"/>
      <c r="AD130" s="111"/>
      <c r="AF130" s="6" t="s">
        <v>189</v>
      </c>
      <c r="AG130" s="5">
        <v>0.245</v>
      </c>
      <c r="AH130" s="5" t="s">
        <v>17</v>
      </c>
      <c r="AI130" s="29"/>
      <c r="AJ130" s="29"/>
      <c r="AK130" s="29"/>
      <c r="AL130" s="29"/>
      <c r="AM130" s="29"/>
      <c r="AN130" s="111"/>
      <c r="AP130" s="6" t="s">
        <v>189</v>
      </c>
      <c r="AQ130" s="5">
        <v>0.245</v>
      </c>
      <c r="AR130" s="5" t="s">
        <v>17</v>
      </c>
      <c r="AS130" s="29"/>
      <c r="AT130" s="29"/>
      <c r="AU130" s="29"/>
      <c r="AV130" s="29"/>
      <c r="AW130" s="29"/>
      <c r="AX130" s="111"/>
      <c r="AZ130" s="6" t="s">
        <v>189</v>
      </c>
      <c r="BA130" s="5">
        <v>0.245</v>
      </c>
      <c r="BB130" s="5" t="s">
        <v>17</v>
      </c>
      <c r="BC130" s="29"/>
      <c r="BD130" s="29"/>
      <c r="BE130" s="29"/>
      <c r="BF130" s="29"/>
      <c r="BG130" s="29"/>
      <c r="BH130" s="111"/>
      <c r="BJ130" s="6" t="s">
        <v>189</v>
      </c>
      <c r="BK130" s="5">
        <v>0.245</v>
      </c>
      <c r="BL130" s="5" t="s">
        <v>17</v>
      </c>
      <c r="BM130" s="29"/>
      <c r="BN130" s="29"/>
      <c r="BO130" s="29"/>
      <c r="BP130" s="29"/>
      <c r="BQ130" s="29"/>
      <c r="BR130" s="111"/>
      <c r="BT130" s="6" t="s">
        <v>189</v>
      </c>
      <c r="BU130" s="5">
        <v>0.245</v>
      </c>
      <c r="BV130" s="5" t="s">
        <v>17</v>
      </c>
      <c r="BW130" s="29"/>
      <c r="BX130" s="29"/>
      <c r="BY130" s="29"/>
      <c r="BZ130" s="29"/>
      <c r="CA130" s="29"/>
      <c r="CB130" s="111"/>
    </row>
    <row r="131" spans="2:80" ht="15.75" x14ac:dyDescent="0.25">
      <c r="B131" s="6" t="s">
        <v>194</v>
      </c>
      <c r="C131" s="5">
        <f>E26*PI()/180</f>
        <v>1.1868238913561442</v>
      </c>
      <c r="D131" s="5" t="s">
        <v>192</v>
      </c>
      <c r="E131" s="29"/>
      <c r="F131" s="29"/>
      <c r="G131" s="29"/>
      <c r="H131" s="29"/>
      <c r="I131" s="29"/>
      <c r="J131" s="111"/>
      <c r="L131" s="6" t="s">
        <v>194</v>
      </c>
      <c r="M131" s="5">
        <f>68*PI()/180</f>
        <v>1.1868238913561442</v>
      </c>
      <c r="N131" s="5" t="s">
        <v>192</v>
      </c>
      <c r="O131" s="29"/>
      <c r="P131" s="29"/>
      <c r="Q131" s="29"/>
      <c r="R131" s="29"/>
      <c r="S131" s="29"/>
      <c r="T131" s="111"/>
      <c r="V131" s="6" t="s">
        <v>194</v>
      </c>
      <c r="W131" s="5">
        <f>68*PI()/180</f>
        <v>1.1868238913561442</v>
      </c>
      <c r="X131" s="5" t="s">
        <v>192</v>
      </c>
      <c r="Y131" s="29"/>
      <c r="Z131" s="29"/>
      <c r="AA131" s="29"/>
      <c r="AB131" s="29"/>
      <c r="AC131" s="29"/>
      <c r="AD131" s="111"/>
      <c r="AF131" s="6" t="s">
        <v>194</v>
      </c>
      <c r="AG131" s="5">
        <f>68*PI()/180</f>
        <v>1.1868238913561442</v>
      </c>
      <c r="AH131" s="5" t="s">
        <v>192</v>
      </c>
      <c r="AI131" s="29"/>
      <c r="AJ131" s="29"/>
      <c r="AK131" s="29"/>
      <c r="AL131" s="29"/>
      <c r="AM131" s="29"/>
      <c r="AN131" s="111"/>
      <c r="AP131" s="6" t="s">
        <v>194</v>
      </c>
      <c r="AQ131" s="5">
        <f>68*PI()/180</f>
        <v>1.1868238913561442</v>
      </c>
      <c r="AR131" s="5" t="s">
        <v>192</v>
      </c>
      <c r="AS131" s="29"/>
      <c r="AT131" s="29"/>
      <c r="AU131" s="29"/>
      <c r="AV131" s="29"/>
      <c r="AW131" s="29"/>
      <c r="AX131" s="111"/>
      <c r="AZ131" s="6" t="s">
        <v>194</v>
      </c>
      <c r="BA131" s="5">
        <f>68*PI()/180</f>
        <v>1.1868238913561442</v>
      </c>
      <c r="BB131" s="5" t="s">
        <v>192</v>
      </c>
      <c r="BC131" s="29"/>
      <c r="BD131" s="29"/>
      <c r="BE131" s="29"/>
      <c r="BF131" s="29"/>
      <c r="BG131" s="29"/>
      <c r="BH131" s="111"/>
      <c r="BJ131" s="6" t="s">
        <v>194</v>
      </c>
      <c r="BK131" s="5">
        <f>68*PI()/180</f>
        <v>1.1868238913561442</v>
      </c>
      <c r="BL131" s="5" t="s">
        <v>192</v>
      </c>
      <c r="BM131" s="29"/>
      <c r="BN131" s="29"/>
      <c r="BO131" s="29"/>
      <c r="BP131" s="29"/>
      <c r="BQ131" s="29"/>
      <c r="BR131" s="111"/>
      <c r="BT131" s="6" t="s">
        <v>194</v>
      </c>
      <c r="BU131" s="5">
        <f>68*PI()/180</f>
        <v>1.1868238913561442</v>
      </c>
      <c r="BV131" s="5" t="s">
        <v>192</v>
      </c>
      <c r="BW131" s="29"/>
      <c r="BX131" s="29"/>
      <c r="BY131" s="29"/>
      <c r="BZ131" s="29"/>
      <c r="CA131" s="29"/>
      <c r="CB131" s="111"/>
    </row>
    <row r="132" spans="2:80" x14ac:dyDescent="0.25">
      <c r="B132" s="6" t="s">
        <v>135</v>
      </c>
      <c r="C132" s="5">
        <f>E24</f>
        <v>0.8</v>
      </c>
      <c r="D132" s="5" t="s">
        <v>17</v>
      </c>
      <c r="E132" s="29"/>
      <c r="F132" s="29"/>
      <c r="G132" s="29"/>
      <c r="H132" s="29"/>
      <c r="I132" s="29"/>
      <c r="J132" s="111"/>
      <c r="L132" s="6" t="s">
        <v>135</v>
      </c>
      <c r="M132" s="5">
        <v>0.6</v>
      </c>
      <c r="N132" s="5" t="s">
        <v>17</v>
      </c>
      <c r="O132" s="29"/>
      <c r="P132" s="29"/>
      <c r="Q132" s="29"/>
      <c r="R132" s="29"/>
      <c r="S132" s="29"/>
      <c r="T132" s="111"/>
      <c r="V132" s="6" t="s">
        <v>135</v>
      </c>
      <c r="W132" s="5">
        <v>0.6</v>
      </c>
      <c r="X132" s="5" t="s">
        <v>17</v>
      </c>
      <c r="Y132" s="29"/>
      <c r="Z132" s="29"/>
      <c r="AA132" s="29"/>
      <c r="AB132" s="29"/>
      <c r="AC132" s="29"/>
      <c r="AD132" s="111"/>
      <c r="AF132" s="6" t="s">
        <v>135</v>
      </c>
      <c r="AG132" s="5">
        <v>0.6</v>
      </c>
      <c r="AH132" s="5" t="s">
        <v>17</v>
      </c>
      <c r="AI132" s="29"/>
      <c r="AJ132" s="29"/>
      <c r="AK132" s="29"/>
      <c r="AL132" s="29"/>
      <c r="AM132" s="29"/>
      <c r="AN132" s="111"/>
      <c r="AP132" s="6" t="s">
        <v>135</v>
      </c>
      <c r="AQ132" s="5">
        <v>0.6</v>
      </c>
      <c r="AR132" s="5" t="s">
        <v>17</v>
      </c>
      <c r="AS132" s="29"/>
      <c r="AT132" s="29"/>
      <c r="AU132" s="29"/>
      <c r="AV132" s="29"/>
      <c r="AW132" s="29"/>
      <c r="AX132" s="111"/>
      <c r="AZ132" s="6" t="s">
        <v>135</v>
      </c>
      <c r="BA132" s="5">
        <v>0.6</v>
      </c>
      <c r="BB132" s="5" t="s">
        <v>17</v>
      </c>
      <c r="BC132" s="29"/>
      <c r="BD132" s="29"/>
      <c r="BE132" s="29"/>
      <c r="BF132" s="29"/>
      <c r="BG132" s="29"/>
      <c r="BH132" s="111"/>
      <c r="BJ132" s="6" t="s">
        <v>135</v>
      </c>
      <c r="BK132" s="5">
        <v>0.6</v>
      </c>
      <c r="BL132" s="5" t="s">
        <v>17</v>
      </c>
      <c r="BM132" s="29"/>
      <c r="BN132" s="29"/>
      <c r="BO132" s="29"/>
      <c r="BP132" s="29"/>
      <c r="BQ132" s="29"/>
      <c r="BR132" s="111"/>
      <c r="BT132" s="6" t="s">
        <v>135</v>
      </c>
      <c r="BU132" s="5">
        <v>0.6</v>
      </c>
      <c r="BV132" s="5" t="s">
        <v>17</v>
      </c>
      <c r="BW132" s="29"/>
      <c r="BX132" s="29"/>
      <c r="BY132" s="29"/>
      <c r="BZ132" s="29"/>
      <c r="CA132" s="29"/>
      <c r="CB132" s="111"/>
    </row>
    <row r="133" spans="2:80" x14ac:dyDescent="0.25">
      <c r="B133" s="6" t="s">
        <v>196</v>
      </c>
      <c r="C133" s="5">
        <v>0.8</v>
      </c>
      <c r="D133" s="5" t="s">
        <v>17</v>
      </c>
      <c r="E133" s="29"/>
      <c r="F133" s="29"/>
      <c r="G133" s="29"/>
      <c r="H133" s="29"/>
      <c r="I133" s="29"/>
      <c r="J133" s="111"/>
      <c r="L133" s="6" t="s">
        <v>196</v>
      </c>
      <c r="M133" s="5">
        <v>0.8</v>
      </c>
      <c r="N133" s="5" t="s">
        <v>17</v>
      </c>
      <c r="O133" s="29"/>
      <c r="P133" s="29"/>
      <c r="Q133" s="29"/>
      <c r="R133" s="29"/>
      <c r="S133" s="29"/>
      <c r="T133" s="111"/>
      <c r="V133" s="6" t="s">
        <v>196</v>
      </c>
      <c r="W133" s="5">
        <v>0.8</v>
      </c>
      <c r="X133" s="5" t="s">
        <v>17</v>
      </c>
      <c r="Y133" s="29"/>
      <c r="Z133" s="29"/>
      <c r="AA133" s="29"/>
      <c r="AB133" s="29"/>
      <c r="AC133" s="29"/>
      <c r="AD133" s="111"/>
      <c r="AF133" s="6" t="s">
        <v>196</v>
      </c>
      <c r="AG133" s="5">
        <v>0.8</v>
      </c>
      <c r="AH133" s="5" t="s">
        <v>17</v>
      </c>
      <c r="AI133" s="29"/>
      <c r="AJ133" s="29"/>
      <c r="AK133" s="29"/>
      <c r="AL133" s="29"/>
      <c r="AM133" s="29"/>
      <c r="AN133" s="111"/>
      <c r="AP133" s="6" t="s">
        <v>196</v>
      </c>
      <c r="AQ133" s="5">
        <v>0.8</v>
      </c>
      <c r="AR133" s="5" t="s">
        <v>17</v>
      </c>
      <c r="AS133" s="29"/>
      <c r="AT133" s="29"/>
      <c r="AU133" s="29"/>
      <c r="AV133" s="29"/>
      <c r="AW133" s="29"/>
      <c r="AX133" s="111"/>
      <c r="AZ133" s="6" t="s">
        <v>196</v>
      </c>
      <c r="BA133" s="5">
        <v>0.8</v>
      </c>
      <c r="BB133" s="5" t="s">
        <v>17</v>
      </c>
      <c r="BC133" s="29"/>
      <c r="BD133" s="29"/>
      <c r="BE133" s="29"/>
      <c r="BF133" s="29"/>
      <c r="BG133" s="29"/>
      <c r="BH133" s="111"/>
      <c r="BJ133" s="6" t="s">
        <v>196</v>
      </c>
      <c r="BK133" s="5">
        <v>0.8</v>
      </c>
      <c r="BL133" s="5" t="s">
        <v>17</v>
      </c>
      <c r="BM133" s="29"/>
      <c r="BN133" s="29"/>
      <c r="BO133" s="29"/>
      <c r="BP133" s="29"/>
      <c r="BQ133" s="29"/>
      <c r="BR133" s="111"/>
      <c r="BT133" s="6" t="s">
        <v>196</v>
      </c>
      <c r="BU133" s="5">
        <v>0.8</v>
      </c>
      <c r="BV133" s="5" t="s">
        <v>17</v>
      </c>
      <c r="BW133" s="29"/>
      <c r="BX133" s="29"/>
      <c r="BY133" s="29"/>
      <c r="BZ133" s="29"/>
      <c r="CA133" s="29"/>
      <c r="CB133" s="111"/>
    </row>
    <row r="134" spans="2:80" x14ac:dyDescent="0.25">
      <c r="B134" s="6" t="s">
        <v>206</v>
      </c>
      <c r="C134" s="5" t="e">
        <f>INT(E29/C137)</f>
        <v>#VALUE!</v>
      </c>
      <c r="D134" s="5" t="s">
        <v>105</v>
      </c>
      <c r="E134" s="29"/>
      <c r="F134" s="29"/>
      <c r="G134" s="29"/>
      <c r="H134" s="29"/>
      <c r="I134" s="29"/>
      <c r="J134" s="111"/>
      <c r="L134" s="6" t="s">
        <v>206</v>
      </c>
      <c r="M134" s="5">
        <v>4</v>
      </c>
      <c r="N134" s="5" t="s">
        <v>105</v>
      </c>
      <c r="O134" s="29"/>
      <c r="P134" s="29"/>
      <c r="Q134" s="29"/>
      <c r="R134" s="29"/>
      <c r="S134" s="29"/>
      <c r="T134" s="111"/>
      <c r="V134" s="6" t="s">
        <v>206</v>
      </c>
      <c r="W134" s="5">
        <v>4</v>
      </c>
      <c r="X134" s="5" t="s">
        <v>105</v>
      </c>
      <c r="Y134" s="29"/>
      <c r="Z134" s="29"/>
      <c r="AA134" s="29"/>
      <c r="AB134" s="29"/>
      <c r="AC134" s="29"/>
      <c r="AD134" s="111"/>
      <c r="AF134" s="6" t="s">
        <v>206</v>
      </c>
      <c r="AG134" s="5">
        <v>4</v>
      </c>
      <c r="AH134" s="5" t="s">
        <v>105</v>
      </c>
      <c r="AI134" s="29"/>
      <c r="AJ134" s="29"/>
      <c r="AK134" s="29"/>
      <c r="AL134" s="29"/>
      <c r="AM134" s="29"/>
      <c r="AN134" s="111"/>
      <c r="AP134" s="6" t="s">
        <v>206</v>
      </c>
      <c r="AQ134" s="5">
        <v>4</v>
      </c>
      <c r="AR134" s="5" t="s">
        <v>105</v>
      </c>
      <c r="AS134" s="29"/>
      <c r="AT134" s="29"/>
      <c r="AU134" s="29"/>
      <c r="AV134" s="29"/>
      <c r="AW134" s="29"/>
      <c r="AX134" s="111"/>
      <c r="AZ134" s="6" t="s">
        <v>206</v>
      </c>
      <c r="BA134" s="5">
        <v>4</v>
      </c>
      <c r="BB134" s="5" t="s">
        <v>105</v>
      </c>
      <c r="BC134" s="29"/>
      <c r="BD134" s="29"/>
      <c r="BE134" s="29"/>
      <c r="BF134" s="29"/>
      <c r="BG134" s="29"/>
      <c r="BH134" s="111"/>
      <c r="BJ134" s="6" t="s">
        <v>206</v>
      </c>
      <c r="BK134" s="5">
        <v>4</v>
      </c>
      <c r="BL134" s="5" t="s">
        <v>105</v>
      </c>
      <c r="BM134" s="29"/>
      <c r="BN134" s="29"/>
      <c r="BO134" s="29"/>
      <c r="BP134" s="29"/>
      <c r="BQ134" s="29"/>
      <c r="BR134" s="111"/>
      <c r="BT134" s="6" t="s">
        <v>206</v>
      </c>
      <c r="BU134" s="5">
        <v>4</v>
      </c>
      <c r="BV134" s="5" t="s">
        <v>105</v>
      </c>
      <c r="BW134" s="29"/>
      <c r="BX134" s="29"/>
      <c r="BY134" s="29"/>
      <c r="BZ134" s="29"/>
      <c r="CA134" s="29"/>
      <c r="CB134" s="111"/>
    </row>
    <row r="135" spans="2:80" x14ac:dyDescent="0.25">
      <c r="B135" s="6" t="s">
        <v>211</v>
      </c>
      <c r="C135" s="5">
        <f>E30</f>
        <v>0</v>
      </c>
      <c r="D135" s="5" t="s">
        <v>17</v>
      </c>
      <c r="E135" s="29"/>
      <c r="F135" s="29"/>
      <c r="G135" s="29"/>
      <c r="H135" s="29"/>
      <c r="I135" s="29"/>
      <c r="J135" s="111"/>
      <c r="L135" s="6" t="s">
        <v>211</v>
      </c>
      <c r="M135" s="5">
        <v>0.1</v>
      </c>
      <c r="N135" s="5" t="s">
        <v>17</v>
      </c>
      <c r="O135" s="29"/>
      <c r="P135" s="29"/>
      <c r="Q135" s="29"/>
      <c r="R135" s="29"/>
      <c r="S135" s="29"/>
      <c r="T135" s="111"/>
      <c r="V135" s="6" t="s">
        <v>211</v>
      </c>
      <c r="W135" s="5">
        <v>0.1</v>
      </c>
      <c r="X135" s="5" t="s">
        <v>17</v>
      </c>
      <c r="Y135" s="29"/>
      <c r="Z135" s="29"/>
      <c r="AA135" s="29"/>
      <c r="AB135" s="29"/>
      <c r="AC135" s="29"/>
      <c r="AD135" s="111"/>
      <c r="AF135" s="6" t="s">
        <v>211</v>
      </c>
      <c r="AG135" s="5">
        <v>0.1</v>
      </c>
      <c r="AH135" s="5" t="s">
        <v>17</v>
      </c>
      <c r="AI135" s="29"/>
      <c r="AJ135" s="29"/>
      <c r="AK135" s="29"/>
      <c r="AL135" s="29"/>
      <c r="AM135" s="29"/>
      <c r="AN135" s="111"/>
      <c r="AP135" s="6" t="s">
        <v>211</v>
      </c>
      <c r="AQ135" s="5">
        <v>0.1</v>
      </c>
      <c r="AR135" s="5" t="s">
        <v>17</v>
      </c>
      <c r="AS135" s="29"/>
      <c r="AT135" s="29"/>
      <c r="AU135" s="29"/>
      <c r="AV135" s="29"/>
      <c r="AW135" s="29"/>
      <c r="AX135" s="111"/>
      <c r="AZ135" s="6" t="s">
        <v>211</v>
      </c>
      <c r="BA135" s="5">
        <v>0.1</v>
      </c>
      <c r="BB135" s="5" t="s">
        <v>17</v>
      </c>
      <c r="BC135" s="29"/>
      <c r="BD135" s="29"/>
      <c r="BE135" s="29"/>
      <c r="BF135" s="29"/>
      <c r="BG135" s="29"/>
      <c r="BH135" s="111"/>
      <c r="BJ135" s="6" t="s">
        <v>211</v>
      </c>
      <c r="BK135" s="5">
        <v>0.1</v>
      </c>
      <c r="BL135" s="5" t="s">
        <v>17</v>
      </c>
      <c r="BM135" s="29"/>
      <c r="BN135" s="29"/>
      <c r="BO135" s="29"/>
      <c r="BP135" s="29"/>
      <c r="BQ135" s="29"/>
      <c r="BR135" s="111"/>
      <c r="BT135" s="6" t="s">
        <v>211</v>
      </c>
      <c r="BU135" s="5">
        <v>0.1</v>
      </c>
      <c r="BV135" s="5" t="s">
        <v>17</v>
      </c>
      <c r="BW135" s="29"/>
      <c r="BX135" s="29"/>
      <c r="BY135" s="29"/>
      <c r="BZ135" s="29"/>
      <c r="CA135" s="29"/>
      <c r="CB135" s="111"/>
    </row>
    <row r="136" spans="2:80" x14ac:dyDescent="0.25">
      <c r="B136" s="117" t="s">
        <v>217</v>
      </c>
      <c r="C136" s="74">
        <v>0.12</v>
      </c>
      <c r="D136" s="74" t="s">
        <v>17</v>
      </c>
      <c r="E136" s="29"/>
      <c r="F136" s="29"/>
      <c r="G136" s="29"/>
      <c r="H136" s="29"/>
      <c r="I136" s="29"/>
      <c r="J136" s="111"/>
      <c r="L136" s="117" t="s">
        <v>217</v>
      </c>
      <c r="M136" s="74">
        <v>0.12</v>
      </c>
      <c r="N136" s="74" t="s">
        <v>17</v>
      </c>
      <c r="O136" s="29"/>
      <c r="P136" s="29"/>
      <c r="Q136" s="29"/>
      <c r="R136" s="29"/>
      <c r="S136" s="29"/>
      <c r="T136" s="111"/>
      <c r="V136" s="117" t="s">
        <v>217</v>
      </c>
      <c r="W136" s="74">
        <v>0.12</v>
      </c>
      <c r="X136" s="74" t="s">
        <v>17</v>
      </c>
      <c r="Y136" s="29"/>
      <c r="Z136" s="29"/>
      <c r="AA136" s="29"/>
      <c r="AB136" s="29"/>
      <c r="AC136" s="29"/>
      <c r="AD136" s="111"/>
      <c r="AF136" s="117" t="s">
        <v>217</v>
      </c>
      <c r="AG136" s="74">
        <v>0.12</v>
      </c>
      <c r="AH136" s="74" t="s">
        <v>17</v>
      </c>
      <c r="AI136" s="29"/>
      <c r="AJ136" s="29"/>
      <c r="AK136" s="29"/>
      <c r="AL136" s="29"/>
      <c r="AM136" s="29"/>
      <c r="AN136" s="111"/>
      <c r="AP136" s="117" t="s">
        <v>217</v>
      </c>
      <c r="AQ136" s="74">
        <v>0.12</v>
      </c>
      <c r="AR136" s="74" t="s">
        <v>17</v>
      </c>
      <c r="AS136" s="29"/>
      <c r="AT136" s="29"/>
      <c r="AU136" s="29"/>
      <c r="AV136" s="29"/>
      <c r="AW136" s="29"/>
      <c r="AX136" s="111"/>
      <c r="AZ136" s="117" t="s">
        <v>217</v>
      </c>
      <c r="BA136" s="74">
        <v>0.12</v>
      </c>
      <c r="BB136" s="74" t="s">
        <v>17</v>
      </c>
      <c r="BC136" s="29"/>
      <c r="BD136" s="29"/>
      <c r="BE136" s="29"/>
      <c r="BF136" s="29"/>
      <c r="BG136" s="29"/>
      <c r="BH136" s="111"/>
      <c r="BJ136" s="117" t="s">
        <v>217</v>
      </c>
      <c r="BK136" s="74">
        <v>0.12</v>
      </c>
      <c r="BL136" s="74" t="s">
        <v>17</v>
      </c>
      <c r="BM136" s="29"/>
      <c r="BN136" s="29"/>
      <c r="BO136" s="29"/>
      <c r="BP136" s="29"/>
      <c r="BQ136" s="29"/>
      <c r="BR136" s="111"/>
      <c r="BT136" s="117" t="s">
        <v>217</v>
      </c>
      <c r="BU136" s="74">
        <v>0.12</v>
      </c>
      <c r="BV136" s="74" t="s">
        <v>17</v>
      </c>
      <c r="BW136" s="29"/>
      <c r="BX136" s="29"/>
      <c r="BY136" s="29"/>
      <c r="BZ136" s="29"/>
      <c r="CA136" s="29"/>
      <c r="CB136" s="111"/>
    </row>
    <row r="137" spans="2:80" x14ac:dyDescent="0.25">
      <c r="B137" s="117" t="s">
        <v>222</v>
      </c>
      <c r="C137" s="74">
        <f>INT((C132+C136)/(C136*2))</f>
        <v>3</v>
      </c>
      <c r="D137" s="74" t="s">
        <v>105</v>
      </c>
      <c r="E137" s="118">
        <f>C132/(2*C137-1)</f>
        <v>0.16</v>
      </c>
      <c r="F137" s="29"/>
      <c r="G137" s="29"/>
      <c r="H137" s="29"/>
      <c r="I137" s="29"/>
      <c r="J137" s="111"/>
      <c r="L137" s="117" t="s">
        <v>222</v>
      </c>
      <c r="M137" s="74">
        <f>INT((M132+M136)/(M136*2))</f>
        <v>3</v>
      </c>
      <c r="N137" s="74" t="s">
        <v>105</v>
      </c>
      <c r="O137" s="118">
        <f>M132/(2*M137-1)</f>
        <v>0.12</v>
      </c>
      <c r="P137" s="29"/>
      <c r="Q137" s="29"/>
      <c r="R137" s="29"/>
      <c r="S137" s="29"/>
      <c r="T137" s="111"/>
      <c r="V137" s="117" t="s">
        <v>222</v>
      </c>
      <c r="W137" s="74">
        <f>INT((W132+W136)/(W136*2))</f>
        <v>3</v>
      </c>
      <c r="X137" s="74" t="s">
        <v>105</v>
      </c>
      <c r="Y137" s="118">
        <f>W132/(2*W137-1)</f>
        <v>0.12</v>
      </c>
      <c r="Z137" s="29"/>
      <c r="AA137" s="29"/>
      <c r="AB137" s="29"/>
      <c r="AC137" s="29"/>
      <c r="AD137" s="111"/>
      <c r="AF137" s="117" t="s">
        <v>222</v>
      </c>
      <c r="AG137" s="74">
        <f>INT((AG132+AG136)/(AG136*2))</f>
        <v>3</v>
      </c>
      <c r="AH137" s="74" t="s">
        <v>105</v>
      </c>
      <c r="AI137" s="118">
        <f>AG132/(2*AG137-1)</f>
        <v>0.12</v>
      </c>
      <c r="AJ137" s="29"/>
      <c r="AK137" s="29"/>
      <c r="AL137" s="29"/>
      <c r="AM137" s="29"/>
      <c r="AN137" s="111"/>
      <c r="AP137" s="117" t="s">
        <v>222</v>
      </c>
      <c r="AQ137" s="74">
        <f>INT((AQ132+AQ136)/(AQ136*2))</f>
        <v>3</v>
      </c>
      <c r="AR137" s="74" t="s">
        <v>105</v>
      </c>
      <c r="AS137" s="118">
        <f>AQ132/(2*AQ137-1)</f>
        <v>0.12</v>
      </c>
      <c r="AT137" s="29"/>
      <c r="AU137" s="29"/>
      <c r="AV137" s="29"/>
      <c r="AW137" s="29"/>
      <c r="AX137" s="111"/>
      <c r="AZ137" s="117" t="s">
        <v>222</v>
      </c>
      <c r="BA137" s="74">
        <f>INT((BA132+BA136)/(BA136*2))</f>
        <v>3</v>
      </c>
      <c r="BB137" s="74" t="s">
        <v>105</v>
      </c>
      <c r="BC137" s="118">
        <f>BA132/(2*BA137-1)</f>
        <v>0.12</v>
      </c>
      <c r="BD137" s="29"/>
      <c r="BE137" s="29"/>
      <c r="BF137" s="29"/>
      <c r="BG137" s="29"/>
      <c r="BH137" s="111"/>
      <c r="BJ137" s="117" t="s">
        <v>222</v>
      </c>
      <c r="BK137" s="74">
        <f>INT((BK132+BK136)/(BK136*2))</f>
        <v>3</v>
      </c>
      <c r="BL137" s="74" t="s">
        <v>105</v>
      </c>
      <c r="BM137" s="118">
        <f>BK132/(2*BK137-1)</f>
        <v>0.12</v>
      </c>
      <c r="BN137" s="29"/>
      <c r="BO137" s="29"/>
      <c r="BP137" s="29"/>
      <c r="BQ137" s="29"/>
      <c r="BR137" s="111"/>
      <c r="BT137" s="117" t="s">
        <v>222</v>
      </c>
      <c r="BU137" s="74">
        <f>INT((BU132+BU136)/(BU136*2))</f>
        <v>3</v>
      </c>
      <c r="BV137" s="74" t="s">
        <v>105</v>
      </c>
      <c r="BW137" s="118">
        <f>BU132/(2*BU137-1)</f>
        <v>0.12</v>
      </c>
      <c r="BX137" s="29"/>
      <c r="BY137" s="29"/>
      <c r="BZ137" s="29"/>
      <c r="CA137" s="29"/>
      <c r="CB137" s="111"/>
    </row>
    <row r="138" spans="2:80" x14ac:dyDescent="0.25">
      <c r="B138" s="6" t="s">
        <v>215</v>
      </c>
      <c r="C138" s="5">
        <f>(C132*C133+2*C133*C130+2*C132*C130)-2*(C137-1)*C136^2</f>
        <v>1.5424</v>
      </c>
      <c r="D138" s="5" t="s">
        <v>201</v>
      </c>
      <c r="E138" s="29"/>
      <c r="F138" s="29"/>
      <c r="G138" s="29"/>
      <c r="H138" s="29"/>
      <c r="I138" s="29"/>
      <c r="J138" s="111"/>
      <c r="L138" s="6" t="s">
        <v>215</v>
      </c>
      <c r="M138" s="5">
        <f>(M132*M133+2*M133*M130+2*M132*M130)-2*(M137-1)*M136^2</f>
        <v>1.1083999999999998</v>
      </c>
      <c r="N138" s="5" t="s">
        <v>201</v>
      </c>
      <c r="O138" s="29"/>
      <c r="P138" s="29"/>
      <c r="Q138" s="29"/>
      <c r="R138" s="29"/>
      <c r="S138" s="29"/>
      <c r="T138" s="111"/>
      <c r="V138" s="6" t="s">
        <v>215</v>
      </c>
      <c r="W138" s="5">
        <f>(W132*W133+2*W133*W130+2*W132*W130)-2*(W137-1)*W136^2</f>
        <v>1.1083999999999998</v>
      </c>
      <c r="X138" s="5" t="s">
        <v>201</v>
      </c>
      <c r="Y138" s="29"/>
      <c r="Z138" s="29"/>
      <c r="AA138" s="29"/>
      <c r="AB138" s="29"/>
      <c r="AC138" s="29"/>
      <c r="AD138" s="111"/>
      <c r="AF138" s="6" t="s">
        <v>215</v>
      </c>
      <c r="AG138" s="5">
        <f>(AG132*AG133+2*AG133*AG130+2*AG132*AG130)-2*(AG137-1)*AG136^2</f>
        <v>1.1083999999999998</v>
      </c>
      <c r="AH138" s="5" t="s">
        <v>201</v>
      </c>
      <c r="AI138" s="29"/>
      <c r="AJ138" s="29"/>
      <c r="AK138" s="29"/>
      <c r="AL138" s="29"/>
      <c r="AM138" s="29"/>
      <c r="AN138" s="111"/>
      <c r="AP138" s="6" t="s">
        <v>215</v>
      </c>
      <c r="AQ138" s="5">
        <f>(AQ132*AQ133+2*AQ133*AQ130+2*AQ132*AQ130)-2*(AQ137-1)*AQ136^2</f>
        <v>1.1083999999999998</v>
      </c>
      <c r="AR138" s="5" t="s">
        <v>201</v>
      </c>
      <c r="AS138" s="29"/>
      <c r="AT138" s="29"/>
      <c r="AU138" s="29"/>
      <c r="AV138" s="29"/>
      <c r="AW138" s="29"/>
      <c r="AX138" s="111"/>
      <c r="AZ138" s="6" t="s">
        <v>215</v>
      </c>
      <c r="BA138" s="5">
        <f>(BA132*BA133+2*BA133*BA130+2*BA132*BA130)-2*(BA137-1)*BA136^2</f>
        <v>1.1083999999999998</v>
      </c>
      <c r="BB138" s="5" t="s">
        <v>201</v>
      </c>
      <c r="BC138" s="29"/>
      <c r="BD138" s="29"/>
      <c r="BE138" s="29"/>
      <c r="BF138" s="29"/>
      <c r="BG138" s="29"/>
      <c r="BH138" s="111"/>
      <c r="BJ138" s="6" t="s">
        <v>215</v>
      </c>
      <c r="BK138" s="5">
        <f>(BK132*BK133+2*BK133*BK130+2*BK132*BK130)-2*(BK137-1)*BK136^2</f>
        <v>1.1083999999999998</v>
      </c>
      <c r="BL138" s="5" t="s">
        <v>201</v>
      </c>
      <c r="BM138" s="29"/>
      <c r="BN138" s="29"/>
      <c r="BO138" s="29"/>
      <c r="BP138" s="29"/>
      <c r="BQ138" s="29"/>
      <c r="BR138" s="111"/>
      <c r="BT138" s="6" t="s">
        <v>215</v>
      </c>
      <c r="BU138" s="5">
        <f>(BU132*BU133+2*BU133*BU130+2*BU132*BU130)-2*(BU137-1)*BU136^2</f>
        <v>1.1083999999999998</v>
      </c>
      <c r="BV138" s="5" t="s">
        <v>201</v>
      </c>
      <c r="BW138" s="29"/>
      <c r="BX138" s="29"/>
      <c r="BY138" s="29"/>
      <c r="BZ138" s="29"/>
      <c r="CA138" s="29"/>
      <c r="CB138" s="111"/>
    </row>
    <row r="139" spans="2:80" x14ac:dyDescent="0.25">
      <c r="B139" s="6" t="s">
        <v>220</v>
      </c>
      <c r="C139" s="5">
        <f>((C132*(C130-C136))+C137*(C136^2))*C133</f>
        <v>0.14975999999999998</v>
      </c>
      <c r="D139" s="5" t="s">
        <v>204</v>
      </c>
      <c r="E139" s="29"/>
      <c r="F139" s="29"/>
      <c r="G139" s="29"/>
      <c r="H139" s="29"/>
      <c r="I139" s="29"/>
      <c r="J139" s="111"/>
      <c r="L139" s="6" t="s">
        <v>220</v>
      </c>
      <c r="M139" s="5">
        <f>((M132*(M130-M136))+M137*(M136^2))*M133</f>
        <v>9.4560000000000005E-2</v>
      </c>
      <c r="N139" s="5" t="s">
        <v>204</v>
      </c>
      <c r="O139" s="29"/>
      <c r="P139" s="29"/>
      <c r="Q139" s="29"/>
      <c r="R139" s="29"/>
      <c r="S139" s="29"/>
      <c r="T139" s="111"/>
      <c r="V139" s="6" t="s">
        <v>220</v>
      </c>
      <c r="W139" s="5">
        <f>((W132*(W130-W136))+W137*(W136^2))*W133</f>
        <v>9.4560000000000005E-2</v>
      </c>
      <c r="X139" s="5" t="s">
        <v>204</v>
      </c>
      <c r="Y139" s="29"/>
      <c r="Z139" s="29"/>
      <c r="AA139" s="29"/>
      <c r="AB139" s="29"/>
      <c r="AC139" s="29"/>
      <c r="AD139" s="111"/>
      <c r="AF139" s="6" t="s">
        <v>220</v>
      </c>
      <c r="AG139" s="5">
        <f>((AG132*(AG130-AG136))+AG137*(AG136^2))*AG133</f>
        <v>9.4560000000000005E-2</v>
      </c>
      <c r="AH139" s="5" t="s">
        <v>204</v>
      </c>
      <c r="AI139" s="29"/>
      <c r="AJ139" s="29"/>
      <c r="AK139" s="29"/>
      <c r="AL139" s="29"/>
      <c r="AM139" s="29"/>
      <c r="AN139" s="111"/>
      <c r="AP139" s="6" t="s">
        <v>220</v>
      </c>
      <c r="AQ139" s="5">
        <f>((AQ132*(AQ130-AQ136))+AQ137*(AQ136^2))*AQ133</f>
        <v>9.4560000000000005E-2</v>
      </c>
      <c r="AR139" s="5" t="s">
        <v>204</v>
      </c>
      <c r="AS139" s="29"/>
      <c r="AT139" s="29"/>
      <c r="AU139" s="29"/>
      <c r="AV139" s="29"/>
      <c r="AW139" s="29"/>
      <c r="AX139" s="111"/>
      <c r="AZ139" s="6" t="s">
        <v>220</v>
      </c>
      <c r="BA139" s="5">
        <f>((BA132*(BA130-BA136))+BA137*(BA136^2))*BA133</f>
        <v>9.4560000000000005E-2</v>
      </c>
      <c r="BB139" s="5" t="s">
        <v>204</v>
      </c>
      <c r="BC139" s="29"/>
      <c r="BD139" s="29"/>
      <c r="BE139" s="29"/>
      <c r="BF139" s="29"/>
      <c r="BG139" s="29"/>
      <c r="BH139" s="111"/>
      <c r="BJ139" s="6" t="s">
        <v>220</v>
      </c>
      <c r="BK139" s="5">
        <f>((BK132*(BK130-BK136))+BK137*(BK136^2))*BK133</f>
        <v>9.4560000000000005E-2</v>
      </c>
      <c r="BL139" s="5" t="s">
        <v>204</v>
      </c>
      <c r="BM139" s="29"/>
      <c r="BN139" s="29"/>
      <c r="BO139" s="29"/>
      <c r="BP139" s="29"/>
      <c r="BQ139" s="29"/>
      <c r="BR139" s="111"/>
      <c r="BT139" s="6" t="s">
        <v>220</v>
      </c>
      <c r="BU139" s="5">
        <f>((BU132*(BU130-BU136))+BU137*(BU136^2))*BU133</f>
        <v>9.4560000000000005E-2</v>
      </c>
      <c r="BV139" s="5" t="s">
        <v>204</v>
      </c>
      <c r="BW139" s="29"/>
      <c r="BX139" s="29"/>
      <c r="BY139" s="29"/>
      <c r="BZ139" s="29"/>
      <c r="CA139" s="29"/>
      <c r="CB139" s="111"/>
    </row>
    <row r="140" spans="2:80" x14ac:dyDescent="0.25">
      <c r="B140" s="6" t="s">
        <v>230</v>
      </c>
      <c r="C140" s="5">
        <f>C139+(C133*C129*(C132+C129/TAN(C131)))</f>
        <v>0.55056524516703143</v>
      </c>
      <c r="D140" s="5" t="s">
        <v>204</v>
      </c>
      <c r="E140" s="29"/>
      <c r="F140" s="29"/>
      <c r="G140" s="29"/>
      <c r="H140" s="29"/>
      <c r="I140" s="29"/>
      <c r="J140" s="111"/>
      <c r="L140" s="6" t="s">
        <v>230</v>
      </c>
      <c r="M140" s="5">
        <f>M139+(M133*M129*(M132+M129/TAN(M131)))</f>
        <v>0.41536524516703133</v>
      </c>
      <c r="N140" s="5" t="s">
        <v>204</v>
      </c>
      <c r="O140" s="29"/>
      <c r="P140" s="29"/>
      <c r="Q140" s="29"/>
      <c r="R140" s="29"/>
      <c r="S140" s="29"/>
      <c r="T140" s="111"/>
      <c r="V140" s="6" t="s">
        <v>230</v>
      </c>
      <c r="W140" s="5">
        <f>W139+(W133*W129*(W132+W129/TAN(W131)))</f>
        <v>0.41536524516703133</v>
      </c>
      <c r="X140" s="5" t="s">
        <v>204</v>
      </c>
      <c r="Y140" s="29"/>
      <c r="Z140" s="29"/>
      <c r="AA140" s="29"/>
      <c r="AB140" s="29"/>
      <c r="AC140" s="29"/>
      <c r="AD140" s="111"/>
      <c r="AF140" s="6" t="s">
        <v>230</v>
      </c>
      <c r="AG140" s="5">
        <f>AG139+(AG133*AG129*(AG132+AG129/TAN(AG131)))</f>
        <v>0.41536524516703133</v>
      </c>
      <c r="AH140" s="5" t="s">
        <v>204</v>
      </c>
      <c r="AI140" s="29"/>
      <c r="AJ140" s="29"/>
      <c r="AK140" s="29"/>
      <c r="AL140" s="29"/>
      <c r="AM140" s="29"/>
      <c r="AN140" s="111"/>
      <c r="AP140" s="6" t="s">
        <v>230</v>
      </c>
      <c r="AQ140" s="5">
        <f>AQ139+(AQ133*AQ129*(AQ132+AQ129/TAN(AQ131)))</f>
        <v>0.41536524516703133</v>
      </c>
      <c r="AR140" s="5" t="s">
        <v>204</v>
      </c>
      <c r="AS140" s="29"/>
      <c r="AT140" s="29"/>
      <c r="AU140" s="29"/>
      <c r="AV140" s="29"/>
      <c r="AW140" s="29"/>
      <c r="AX140" s="111"/>
      <c r="AZ140" s="6" t="s">
        <v>230</v>
      </c>
      <c r="BA140" s="5">
        <f>BA139+(BA133*BA129*(BA132+BA129/TAN(BA131)))</f>
        <v>0.41536524516703133</v>
      </c>
      <c r="BB140" s="5" t="s">
        <v>204</v>
      </c>
      <c r="BC140" s="29"/>
      <c r="BD140" s="29"/>
      <c r="BE140" s="29"/>
      <c r="BF140" s="29"/>
      <c r="BG140" s="29"/>
      <c r="BH140" s="111"/>
      <c r="BJ140" s="6" t="s">
        <v>230</v>
      </c>
      <c r="BK140" s="5">
        <f>BK139+(BK133*BK129*(BK132+BK129/TAN(BK131)))</f>
        <v>0.41536524516703133</v>
      </c>
      <c r="BL140" s="5" t="s">
        <v>204</v>
      </c>
      <c r="BM140" s="29"/>
      <c r="BN140" s="29"/>
      <c r="BO140" s="29"/>
      <c r="BP140" s="29"/>
      <c r="BQ140" s="29"/>
      <c r="BR140" s="111"/>
      <c r="BT140" s="6" t="s">
        <v>230</v>
      </c>
      <c r="BU140" s="5">
        <f>BU139+(BU133*BU129*(BU132+BU129/TAN(BU131)))</f>
        <v>0.41536524516703133</v>
      </c>
      <c r="BV140" s="5" t="s">
        <v>204</v>
      </c>
      <c r="BW140" s="29"/>
      <c r="BX140" s="29"/>
      <c r="BY140" s="29"/>
      <c r="BZ140" s="29"/>
      <c r="CA140" s="29"/>
      <c r="CB140" s="111"/>
    </row>
    <row r="141" spans="2:80" x14ac:dyDescent="0.25">
      <c r="B141" s="6" t="s">
        <v>229</v>
      </c>
      <c r="C141" s="114">
        <f>C139/C140</f>
        <v>0.27201135799003356</v>
      </c>
      <c r="D141" s="29" t="s">
        <v>6</v>
      </c>
      <c r="E141" s="29"/>
      <c r="F141" s="29"/>
      <c r="G141" s="29"/>
      <c r="H141" s="29"/>
      <c r="I141" s="29"/>
      <c r="J141" s="111"/>
      <c r="L141" s="6" t="s">
        <v>229</v>
      </c>
      <c r="M141" s="114">
        <f>M139/M140</f>
        <v>0.22765506045642908</v>
      </c>
      <c r="N141" s="29" t="s">
        <v>6</v>
      </c>
      <c r="O141" s="29"/>
      <c r="P141" s="29"/>
      <c r="Q141" s="29"/>
      <c r="R141" s="29"/>
      <c r="S141" s="29"/>
      <c r="T141" s="111"/>
      <c r="V141" s="6" t="s">
        <v>229</v>
      </c>
      <c r="W141" s="114">
        <f>W139/W140</f>
        <v>0.22765506045642908</v>
      </c>
      <c r="X141" s="29" t="s">
        <v>6</v>
      </c>
      <c r="Y141" s="29"/>
      <c r="Z141" s="29"/>
      <c r="AA141" s="29"/>
      <c r="AB141" s="29"/>
      <c r="AC141" s="29"/>
      <c r="AD141" s="111"/>
      <c r="AF141" s="6" t="s">
        <v>229</v>
      </c>
      <c r="AG141" s="114">
        <f>AG139/AG140</f>
        <v>0.22765506045642908</v>
      </c>
      <c r="AH141" s="29" t="s">
        <v>6</v>
      </c>
      <c r="AI141" s="29"/>
      <c r="AJ141" s="29"/>
      <c r="AK141" s="29"/>
      <c r="AL141" s="29"/>
      <c r="AM141" s="29"/>
      <c r="AN141" s="111"/>
      <c r="AP141" s="6" t="s">
        <v>229</v>
      </c>
      <c r="AQ141" s="114">
        <f>AQ139/AQ140</f>
        <v>0.22765506045642908</v>
      </c>
      <c r="AR141" s="29" t="s">
        <v>6</v>
      </c>
      <c r="AS141" s="29"/>
      <c r="AT141" s="29"/>
      <c r="AU141" s="29"/>
      <c r="AV141" s="29"/>
      <c r="AW141" s="29"/>
      <c r="AX141" s="111"/>
      <c r="AZ141" s="6" t="s">
        <v>229</v>
      </c>
      <c r="BA141" s="114">
        <f>BA139/BA140</f>
        <v>0.22765506045642908</v>
      </c>
      <c r="BB141" s="29" t="s">
        <v>6</v>
      </c>
      <c r="BC141" s="29"/>
      <c r="BD141" s="29"/>
      <c r="BE141" s="29"/>
      <c r="BF141" s="29"/>
      <c r="BG141" s="29"/>
      <c r="BH141" s="111"/>
      <c r="BJ141" s="6" t="s">
        <v>229</v>
      </c>
      <c r="BK141" s="114">
        <f>BK139/BK140</f>
        <v>0.22765506045642908</v>
      </c>
      <c r="BL141" s="29" t="s">
        <v>6</v>
      </c>
      <c r="BM141" s="29"/>
      <c r="BN141" s="29"/>
      <c r="BO141" s="29"/>
      <c r="BP141" s="29"/>
      <c r="BQ141" s="29"/>
      <c r="BR141" s="111"/>
      <c r="BT141" s="6" t="s">
        <v>229</v>
      </c>
      <c r="BU141" s="114">
        <f>BU139/BU140</f>
        <v>0.22765506045642908</v>
      </c>
      <c r="BV141" s="29" t="s">
        <v>6</v>
      </c>
      <c r="BW141" s="29"/>
      <c r="BX141" s="29"/>
      <c r="BY141" s="29"/>
      <c r="BZ141" s="29"/>
      <c r="CA141" s="29"/>
      <c r="CB141" s="111"/>
    </row>
    <row r="142" spans="2:80" ht="15.75" thickBot="1" x14ac:dyDescent="0.3">
      <c r="B142" s="110" t="s">
        <v>231</v>
      </c>
      <c r="C142" s="105" t="e">
        <f>C135*C133*C134*2*C137+C138</f>
        <v>#VALUE!</v>
      </c>
      <c r="D142" s="105" t="s">
        <v>201</v>
      </c>
      <c r="E142" s="115"/>
      <c r="F142" s="115"/>
      <c r="G142" s="115"/>
      <c r="H142" s="115"/>
      <c r="I142" s="115"/>
      <c r="J142" s="116"/>
      <c r="L142" s="110" t="s">
        <v>231</v>
      </c>
      <c r="M142" s="105">
        <f>M135*M133*M134*2*M137+M138</f>
        <v>3.0284000000000004</v>
      </c>
      <c r="N142" s="105" t="s">
        <v>201</v>
      </c>
      <c r="O142" s="115"/>
      <c r="P142" s="115"/>
      <c r="Q142" s="115"/>
      <c r="R142" s="115"/>
      <c r="S142" s="115"/>
      <c r="T142" s="116"/>
      <c r="V142" s="110" t="s">
        <v>231</v>
      </c>
      <c r="W142" s="105">
        <f>W135*W133*W134*2*W137+W138</f>
        <v>3.0284000000000004</v>
      </c>
      <c r="X142" s="105" t="s">
        <v>201</v>
      </c>
      <c r="Y142" s="115"/>
      <c r="Z142" s="115"/>
      <c r="AA142" s="115"/>
      <c r="AB142" s="115"/>
      <c r="AC142" s="115"/>
      <c r="AD142" s="116"/>
      <c r="AF142" s="110" t="s">
        <v>231</v>
      </c>
      <c r="AG142" s="105">
        <f>AG135*AG133*AG134*2*AG137+AG138</f>
        <v>3.0284000000000004</v>
      </c>
      <c r="AH142" s="105" t="s">
        <v>201</v>
      </c>
      <c r="AI142" s="115"/>
      <c r="AJ142" s="115"/>
      <c r="AK142" s="115"/>
      <c r="AL142" s="115"/>
      <c r="AM142" s="115"/>
      <c r="AN142" s="116"/>
      <c r="AP142" s="110" t="s">
        <v>231</v>
      </c>
      <c r="AQ142" s="105">
        <f>AQ135*AQ133*AQ134*2*AQ137+AQ138</f>
        <v>3.0284000000000004</v>
      </c>
      <c r="AR142" s="105" t="s">
        <v>201</v>
      </c>
      <c r="AS142" s="115"/>
      <c r="AT142" s="115"/>
      <c r="AU142" s="115"/>
      <c r="AV142" s="115"/>
      <c r="AW142" s="115"/>
      <c r="AX142" s="116"/>
      <c r="AZ142" s="110" t="s">
        <v>231</v>
      </c>
      <c r="BA142" s="105">
        <f>BA135*BA133*BA134*2*BA137+BA138</f>
        <v>3.0284000000000004</v>
      </c>
      <c r="BB142" s="105" t="s">
        <v>201</v>
      </c>
      <c r="BC142" s="115"/>
      <c r="BD142" s="115"/>
      <c r="BE142" s="115"/>
      <c r="BF142" s="115"/>
      <c r="BG142" s="115"/>
      <c r="BH142" s="116"/>
      <c r="BJ142" s="110" t="s">
        <v>231</v>
      </c>
      <c r="BK142" s="105">
        <f>BK135*BK133*BK134*2*BK137+BK138</f>
        <v>3.0284000000000004</v>
      </c>
      <c r="BL142" s="105" t="s">
        <v>201</v>
      </c>
      <c r="BM142" s="115"/>
      <c r="BN142" s="115"/>
      <c r="BO142" s="115"/>
      <c r="BP142" s="115"/>
      <c r="BQ142" s="115"/>
      <c r="BR142" s="116"/>
      <c r="BT142" s="110" t="s">
        <v>231</v>
      </c>
      <c r="BU142" s="105">
        <f>BU135*BU133*BU134*2*BU137+BU138</f>
        <v>3.0284000000000004</v>
      </c>
      <c r="BV142" s="105" t="s">
        <v>201</v>
      </c>
      <c r="BW142" s="115"/>
      <c r="BX142" s="115"/>
      <c r="BY142" s="115"/>
      <c r="BZ142" s="115"/>
      <c r="CA142" s="115"/>
      <c r="CB142" s="116"/>
    </row>
    <row r="143" spans="2:80" x14ac:dyDescent="0.25">
      <c r="B143" s="266"/>
      <c r="C143" s="52"/>
      <c r="D143" s="52"/>
      <c r="E143" s="29"/>
      <c r="F143" s="29"/>
      <c r="G143" s="29"/>
      <c r="H143" s="29"/>
      <c r="I143" s="29"/>
      <c r="J143" s="29"/>
      <c r="L143" s="266"/>
      <c r="M143" s="52"/>
      <c r="N143" s="52"/>
      <c r="O143" s="29"/>
      <c r="P143" s="29"/>
      <c r="Q143" s="29"/>
      <c r="R143" s="29"/>
      <c r="S143" s="29"/>
      <c r="T143" s="29"/>
      <c r="V143" s="266"/>
      <c r="W143" s="52"/>
      <c r="X143" s="52"/>
      <c r="Y143" s="29"/>
      <c r="Z143" s="29"/>
      <c r="AA143" s="29"/>
      <c r="AB143" s="29"/>
      <c r="AC143" s="29"/>
      <c r="AD143" s="29"/>
      <c r="AF143" s="266"/>
      <c r="AG143" s="52"/>
      <c r="AH143" s="52"/>
      <c r="AI143" s="29"/>
      <c r="AJ143" s="29"/>
      <c r="AK143" s="29"/>
      <c r="AL143" s="29"/>
      <c r="AM143" s="29"/>
      <c r="AN143" s="29"/>
      <c r="AP143" s="266"/>
      <c r="AQ143" s="52"/>
      <c r="AR143" s="52"/>
      <c r="AS143" s="29"/>
      <c r="AT143" s="29"/>
      <c r="AU143" s="29"/>
      <c r="AV143" s="29"/>
      <c r="AW143" s="29"/>
      <c r="AX143" s="29"/>
      <c r="AZ143" s="266"/>
      <c r="BA143" s="52"/>
      <c r="BB143" s="52"/>
      <c r="BC143" s="29"/>
      <c r="BD143" s="29"/>
      <c r="BE143" s="29"/>
      <c r="BF143" s="29"/>
      <c r="BG143" s="29"/>
      <c r="BH143" s="29"/>
      <c r="BJ143" s="266"/>
      <c r="BK143" s="52"/>
      <c r="BL143" s="52"/>
      <c r="BM143" s="29"/>
      <c r="BN143" s="29"/>
      <c r="BO143" s="29"/>
      <c r="BP143" s="29"/>
      <c r="BQ143" s="29"/>
      <c r="BR143" s="29"/>
      <c r="BT143" s="266"/>
      <c r="BU143" s="52"/>
      <c r="BV143" s="52"/>
      <c r="BW143" s="29"/>
      <c r="BX143" s="29"/>
      <c r="BY143" s="29"/>
      <c r="BZ143" s="29"/>
      <c r="CA143" s="29"/>
      <c r="CB143" s="29"/>
    </row>
    <row r="144" spans="2:80" x14ac:dyDescent="0.25">
      <c r="B144" s="295"/>
      <c r="C144" s="52"/>
      <c r="D144" s="52"/>
      <c r="E144" s="29"/>
      <c r="F144" s="29"/>
      <c r="G144" s="29"/>
      <c r="H144" s="29"/>
      <c r="I144" s="29"/>
      <c r="J144" s="29"/>
      <c r="L144" s="295"/>
      <c r="M144" s="52"/>
      <c r="N144" s="52"/>
      <c r="O144" s="29"/>
      <c r="P144" s="29"/>
      <c r="Q144" s="29"/>
      <c r="R144" s="29"/>
      <c r="S144" s="29"/>
      <c r="T144" s="29"/>
      <c r="V144" s="295"/>
      <c r="W144" s="52"/>
      <c r="X144" s="52"/>
      <c r="Y144" s="29"/>
      <c r="Z144" s="29"/>
      <c r="AA144" s="29"/>
      <c r="AB144" s="29"/>
      <c r="AC144" s="29"/>
      <c r="AD144" s="29"/>
      <c r="AF144" s="295"/>
      <c r="AG144" s="52"/>
      <c r="AH144" s="52"/>
      <c r="AI144" s="29"/>
      <c r="AJ144" s="29"/>
      <c r="AK144" s="29"/>
      <c r="AL144" s="29"/>
      <c r="AM144" s="29"/>
      <c r="AN144" s="29"/>
      <c r="AP144" s="295"/>
      <c r="AQ144" s="52"/>
      <c r="AR144" s="52"/>
      <c r="AS144" s="29"/>
      <c r="AT144" s="29"/>
      <c r="AU144" s="29"/>
      <c r="AV144" s="29"/>
      <c r="AW144" s="29"/>
      <c r="AX144" s="29"/>
      <c r="AZ144" s="295"/>
      <c r="BA144" s="52"/>
      <c r="BB144" s="52"/>
      <c r="BC144" s="29"/>
      <c r="BD144" s="29"/>
      <c r="BE144" s="29"/>
      <c r="BF144" s="29"/>
      <c r="BG144" s="29"/>
      <c r="BH144" s="29"/>
      <c r="BJ144" s="295"/>
      <c r="BK144" s="52"/>
      <c r="BL144" s="52"/>
      <c r="BM144" s="29"/>
      <c r="BN144" s="29"/>
      <c r="BO144" s="29"/>
      <c r="BP144" s="29"/>
      <c r="BQ144" s="29"/>
      <c r="BR144" s="29"/>
      <c r="BT144" s="295"/>
      <c r="BU144" s="52"/>
      <c r="BV144" s="52"/>
      <c r="BW144" s="29"/>
      <c r="BX144" s="29"/>
      <c r="BY144" s="29"/>
      <c r="BZ144" s="29"/>
      <c r="CA144" s="29"/>
      <c r="CB144" s="29"/>
    </row>
    <row r="145" spans="2:80" x14ac:dyDescent="0.25">
      <c r="B145" s="295"/>
      <c r="C145" s="207"/>
      <c r="D145" s="14"/>
      <c r="E145" s="14"/>
      <c r="F145" s="14"/>
      <c r="G145" s="14"/>
      <c r="H145" s="14"/>
      <c r="I145" s="130" t="s">
        <v>123</v>
      </c>
      <c r="J145" s="130" t="s">
        <v>124</v>
      </c>
      <c r="K145" s="130" t="s">
        <v>125</v>
      </c>
      <c r="L145" s="130" t="s">
        <v>126</v>
      </c>
      <c r="M145" s="130" t="s">
        <v>127</v>
      </c>
      <c r="N145" s="14"/>
      <c r="O145" s="236"/>
      <c r="P145" s="236"/>
      <c r="Q145" s="236"/>
      <c r="R145" s="14"/>
      <c r="S145" s="29"/>
      <c r="T145" s="29"/>
      <c r="V145" s="295"/>
      <c r="W145" s="52"/>
      <c r="X145" s="52"/>
      <c r="Y145" s="29"/>
      <c r="Z145" s="29"/>
      <c r="AA145" s="29"/>
      <c r="AB145" s="29"/>
      <c r="AC145" s="29"/>
      <c r="AD145" s="29"/>
      <c r="AF145" s="295"/>
      <c r="AG145" s="52"/>
      <c r="AH145" s="52"/>
      <c r="AI145" s="29"/>
      <c r="AJ145" s="29"/>
      <c r="AK145" s="29"/>
      <c r="AL145" s="29"/>
      <c r="AM145" s="29"/>
      <c r="AN145" s="29"/>
      <c r="AP145" s="295"/>
      <c r="AQ145" s="52"/>
      <c r="AR145" s="52"/>
      <c r="AS145" s="29"/>
      <c r="AT145" s="29"/>
      <c r="AU145" s="29"/>
      <c r="AV145" s="29"/>
      <c r="AW145" s="29"/>
      <c r="AX145" s="29"/>
      <c r="AZ145" s="295"/>
      <c r="BA145" s="52"/>
      <c r="BB145" s="52"/>
      <c r="BC145" s="29"/>
      <c r="BD145" s="29"/>
      <c r="BE145" s="29"/>
      <c r="BF145" s="29"/>
      <c r="BG145" s="29"/>
      <c r="BH145" s="29"/>
      <c r="BJ145" s="295"/>
      <c r="BK145" s="52"/>
      <c r="BL145" s="52"/>
      <c r="BM145" s="29"/>
      <c r="BN145" s="29"/>
      <c r="BO145" s="29"/>
      <c r="BP145" s="29"/>
      <c r="BQ145" s="29"/>
      <c r="BR145" s="29"/>
      <c r="BT145" s="295"/>
      <c r="BU145" s="52"/>
      <c r="BV145" s="52"/>
      <c r="BW145" s="29"/>
      <c r="BX145" s="29"/>
      <c r="BY145" s="29"/>
      <c r="BZ145" s="29"/>
      <c r="CA145" s="29"/>
      <c r="CB145" s="29"/>
    </row>
    <row r="146" spans="2:80" x14ac:dyDescent="0.25">
      <c r="B146" s="295"/>
      <c r="C146" s="233" t="s">
        <v>425</v>
      </c>
      <c r="D146" s="130">
        <f>('Calculo General Hornilla'!K117*(1.956+0.0006479*'Calculo General Hornilla'!C116)+'Calculo General Hornilla'!K115*(0.832+0.000348*'Calculo General Hornilla'!C116)+'Calculo General Hornilla'!K116*(1.028+0.0000819*'Calculo General Hornilla'!C116)+'Calculo General Hornilla'!K118*(0.895+0.0000752*'Calculo General Hornilla'!C116)+'Calculo General Hornilla'!K119*(1.028+0.0000819*'Calculo General Hornilla'!C116))/'Calculo General Hornilla'!K120</f>
        <v>1.3466308680443566</v>
      </c>
      <c r="E146" s="130" t="s">
        <v>356</v>
      </c>
      <c r="F146" s="14"/>
      <c r="G146" s="14"/>
      <c r="H146" s="14"/>
      <c r="I146" s="130">
        <v>0.83199999999999996</v>
      </c>
      <c r="J146" s="130">
        <v>1.028</v>
      </c>
      <c r="K146" s="130">
        <v>1.956</v>
      </c>
      <c r="L146" s="130">
        <v>0.89500000000000002</v>
      </c>
      <c r="M146" s="130">
        <v>1.028</v>
      </c>
      <c r="N146" s="14"/>
      <c r="O146" s="236" t="s">
        <v>415</v>
      </c>
      <c r="P146" s="236" t="s">
        <v>352</v>
      </c>
      <c r="Q146" s="236">
        <f>SUM(I149:M149)</f>
        <v>1.1225392128051053</v>
      </c>
      <c r="R146" s="14"/>
      <c r="S146" s="29"/>
      <c r="T146" s="29"/>
      <c r="V146" s="295"/>
      <c r="W146" s="52"/>
      <c r="X146" s="52"/>
      <c r="Y146" s="29"/>
      <c r="Z146" s="29"/>
      <c r="AA146" s="29"/>
      <c r="AB146" s="29"/>
      <c r="AC146" s="29"/>
      <c r="AD146" s="29"/>
      <c r="AF146" s="295"/>
      <c r="AG146" s="52"/>
      <c r="AH146" s="52"/>
      <c r="AI146" s="29"/>
      <c r="AJ146" s="29"/>
      <c r="AK146" s="29"/>
      <c r="AL146" s="29"/>
      <c r="AM146" s="29"/>
      <c r="AN146" s="29"/>
      <c r="AP146" s="295"/>
      <c r="AQ146" s="52"/>
      <c r="AR146" s="52"/>
      <c r="AS146" s="29"/>
      <c r="AT146" s="29"/>
      <c r="AU146" s="29"/>
      <c r="AV146" s="29"/>
      <c r="AW146" s="29"/>
      <c r="AX146" s="29"/>
      <c r="AZ146" s="295"/>
      <c r="BA146" s="52"/>
      <c r="BB146" s="52"/>
      <c r="BC146" s="29"/>
      <c r="BD146" s="29"/>
      <c r="BE146" s="29"/>
      <c r="BF146" s="29"/>
      <c r="BG146" s="29"/>
      <c r="BH146" s="29"/>
      <c r="BJ146" s="295"/>
      <c r="BK146" s="52"/>
      <c r="BL146" s="52"/>
      <c r="BM146" s="29"/>
      <c r="BN146" s="29"/>
      <c r="BO146" s="29"/>
      <c r="BP146" s="29"/>
      <c r="BQ146" s="29"/>
      <c r="BR146" s="29"/>
      <c r="BT146" s="295"/>
      <c r="BU146" s="52"/>
      <c r="BV146" s="52"/>
      <c r="BW146" s="29"/>
      <c r="BX146" s="29"/>
      <c r="BY146" s="29"/>
      <c r="BZ146" s="29"/>
      <c r="CA146" s="29"/>
      <c r="CB146" s="29"/>
    </row>
    <row r="147" spans="2:80" x14ac:dyDescent="0.25">
      <c r="B147" s="295"/>
      <c r="C147" s="233" t="s">
        <v>408</v>
      </c>
      <c r="D147" s="130">
        <f>('Calculo General Hornilla'!K120*D146*'Calculo General Hornilla'!C116)/3600</f>
        <v>224.56827067641601</v>
      </c>
      <c r="E147" s="130" t="s">
        <v>48</v>
      </c>
      <c r="F147" s="14"/>
      <c r="G147" s="14"/>
      <c r="H147" s="14"/>
      <c r="I147" s="130">
        <v>3.4279999999999998E-4</v>
      </c>
      <c r="J147" s="130">
        <v>8.1899999999999999E-5</v>
      </c>
      <c r="K147" s="130">
        <v>6.4789999999999997E-4</v>
      </c>
      <c r="L147" s="130">
        <v>7.5199999999999998E-5</v>
      </c>
      <c r="M147" s="130">
        <v>8.1899999999999999E-5</v>
      </c>
      <c r="N147" s="14"/>
      <c r="O147" s="236" t="s">
        <v>414</v>
      </c>
      <c r="P147" s="236" t="s">
        <v>413</v>
      </c>
      <c r="Q147" s="236">
        <f>SUM(I150:M150)</f>
        <v>1.9384111259899785E-4</v>
      </c>
      <c r="R147" s="14"/>
      <c r="S147" s="29"/>
      <c r="T147" s="29"/>
      <c r="V147" s="295"/>
      <c r="W147" s="52"/>
      <c r="X147" s="52"/>
      <c r="Y147" s="29"/>
      <c r="Z147" s="29"/>
      <c r="AA147" s="29"/>
      <c r="AB147" s="29"/>
      <c r="AC147" s="29"/>
      <c r="AD147" s="29"/>
      <c r="AF147" s="295"/>
      <c r="AG147" s="52"/>
      <c r="AH147" s="52"/>
      <c r="AI147" s="29"/>
      <c r="AJ147" s="29"/>
      <c r="AK147" s="29"/>
      <c r="AL147" s="29"/>
      <c r="AM147" s="29"/>
      <c r="AN147" s="29"/>
      <c r="AP147" s="295"/>
      <c r="AQ147" s="52"/>
      <c r="AR147" s="52"/>
      <c r="AS147" s="29"/>
      <c r="AT147" s="29"/>
      <c r="AU147" s="29"/>
      <c r="AV147" s="29"/>
      <c r="AW147" s="29"/>
      <c r="AX147" s="29"/>
      <c r="AZ147" s="295"/>
      <c r="BA147" s="52"/>
      <c r="BB147" s="52"/>
      <c r="BC147" s="29"/>
      <c r="BD147" s="29"/>
      <c r="BE147" s="29"/>
      <c r="BF147" s="29"/>
      <c r="BG147" s="29"/>
      <c r="BH147" s="29"/>
      <c r="BJ147" s="295"/>
      <c r="BK147" s="52"/>
      <c r="BL147" s="52"/>
      <c r="BM147" s="29"/>
      <c r="BN147" s="29"/>
      <c r="BO147" s="29"/>
      <c r="BP147" s="29"/>
      <c r="BQ147" s="29"/>
      <c r="BR147" s="29"/>
      <c r="BT147" s="295"/>
      <c r="BU147" s="52"/>
      <c r="BV147" s="52"/>
      <c r="BW147" s="29"/>
      <c r="BX147" s="29"/>
      <c r="BY147" s="29"/>
      <c r="BZ147" s="29"/>
      <c r="CA147" s="29"/>
      <c r="CB147" s="29"/>
    </row>
    <row r="148" spans="2:80" x14ac:dyDescent="0.25">
      <c r="B148" s="295"/>
      <c r="C148" s="233" t="s">
        <v>409</v>
      </c>
      <c r="D148" s="130">
        <f>D147-'Calculo General Hornilla'!G119/1000</f>
        <v>206.3695731890665</v>
      </c>
      <c r="E148" s="130" t="s">
        <v>412</v>
      </c>
      <c r="F148" s="14"/>
      <c r="G148" s="14"/>
      <c r="H148" s="14"/>
      <c r="I148" s="130">
        <f>'Calculo General Hornilla'!K115/'Calculo General Hornilla'!K120</f>
        <v>0.12493729378544732</v>
      </c>
      <c r="J148" s="130">
        <f>'Calculo General Hornilla'!K116/'Calculo General Hornilla'!K120</f>
        <v>8.8352289913661477E-3</v>
      </c>
      <c r="K148" s="130">
        <f>'Calculo General Hornilla'!K117/'Calculo General Hornilla'!K120</f>
        <v>0.1412589701552058</v>
      </c>
      <c r="L148" s="130">
        <f>'Calculo General Hornilla'!K118/'Calculo General Hornilla'!K120</f>
        <v>9.0687232458482342E-2</v>
      </c>
      <c r="M148" s="130">
        <f>'Calculo General Hornilla'!K119/'Calculo General Hornilla'!K120</f>
        <v>0.63428127460949835</v>
      </c>
      <c r="N148" s="14"/>
      <c r="O148" s="236" t="s">
        <v>416</v>
      </c>
      <c r="P148" s="236"/>
      <c r="Q148" s="236">
        <f>-(D148*3600)/'Calculo General Hornilla'!K120</f>
        <v>-1425.8455630529713</v>
      </c>
      <c r="R148" s="14"/>
      <c r="S148" s="29"/>
      <c r="T148" s="29"/>
      <c r="V148" s="295"/>
      <c r="W148" s="52"/>
      <c r="X148" s="52"/>
      <c r="Y148" s="29"/>
      <c r="Z148" s="29"/>
      <c r="AA148" s="29"/>
      <c r="AB148" s="29"/>
      <c r="AC148" s="29"/>
      <c r="AD148" s="29"/>
      <c r="AF148" s="295"/>
      <c r="AG148" s="52"/>
      <c r="AH148" s="52"/>
      <c r="AI148" s="29"/>
      <c r="AJ148" s="29"/>
      <c r="AK148" s="29"/>
      <c r="AL148" s="29"/>
      <c r="AM148" s="29"/>
      <c r="AN148" s="29"/>
      <c r="AP148" s="295"/>
      <c r="AQ148" s="52"/>
      <c r="AR148" s="52"/>
      <c r="AS148" s="29"/>
      <c r="AT148" s="29"/>
      <c r="AU148" s="29"/>
      <c r="AV148" s="29"/>
      <c r="AW148" s="29"/>
      <c r="AX148" s="29"/>
      <c r="AZ148" s="295"/>
      <c r="BA148" s="52"/>
      <c r="BB148" s="52"/>
      <c r="BC148" s="29"/>
      <c r="BD148" s="29"/>
      <c r="BE148" s="29"/>
      <c r="BF148" s="29"/>
      <c r="BG148" s="29"/>
      <c r="BH148" s="29"/>
      <c r="BJ148" s="295"/>
      <c r="BK148" s="52"/>
      <c r="BL148" s="52"/>
      <c r="BM148" s="29"/>
      <c r="BN148" s="29"/>
      <c r="BO148" s="29"/>
      <c r="BP148" s="29"/>
      <c r="BQ148" s="29"/>
      <c r="BR148" s="29"/>
      <c r="BT148" s="295"/>
      <c r="BU148" s="52"/>
      <c r="BV148" s="52"/>
      <c r="BW148" s="29"/>
      <c r="BX148" s="29"/>
      <c r="BY148" s="29"/>
      <c r="BZ148" s="29"/>
      <c r="CA148" s="29"/>
      <c r="CB148" s="29"/>
    </row>
    <row r="149" spans="2:80" x14ac:dyDescent="0.25">
      <c r="B149" s="295"/>
      <c r="C149" s="233" t="s">
        <v>411</v>
      </c>
      <c r="D149" s="130">
        <f>Q149</f>
        <v>1071.8208320357146</v>
      </c>
      <c r="E149" s="130" t="s">
        <v>20</v>
      </c>
      <c r="F149" s="14"/>
      <c r="G149" s="14"/>
      <c r="H149" s="14"/>
      <c r="I149" s="130">
        <f>I146*I148</f>
        <v>0.10394782842949217</v>
      </c>
      <c r="J149" s="130">
        <f>J146*J148</f>
        <v>9.0826154031244007E-3</v>
      </c>
      <c r="K149" s="130">
        <f>K146*K148</f>
        <v>0.27630254562358253</v>
      </c>
      <c r="L149" s="130">
        <f>L146*L148</f>
        <v>8.1165073050341693E-2</v>
      </c>
      <c r="M149" s="130">
        <f>M146*M148</f>
        <v>0.65204115029856435</v>
      </c>
      <c r="N149" s="14"/>
      <c r="O149" s="236" t="s">
        <v>20</v>
      </c>
      <c r="P149" s="236" t="s">
        <v>352</v>
      </c>
      <c r="Q149" s="236">
        <f>(-Q146+SQRT(Q146^2-4*Q147*Q148))/(2*Q147)</f>
        <v>1071.8208320357146</v>
      </c>
      <c r="R149" s="14"/>
      <c r="S149" s="29"/>
      <c r="T149" s="29"/>
      <c r="V149" s="295"/>
      <c r="W149" s="52"/>
      <c r="X149" s="52"/>
      <c r="Y149" s="29"/>
      <c r="Z149" s="29"/>
      <c r="AA149" s="29"/>
      <c r="AB149" s="29"/>
      <c r="AC149" s="29"/>
      <c r="AD149" s="29"/>
      <c r="AF149" s="295"/>
      <c r="AG149" s="52"/>
      <c r="AH149" s="52"/>
      <c r="AI149" s="29"/>
      <c r="AJ149" s="29"/>
      <c r="AK149" s="29"/>
      <c r="AL149" s="29"/>
      <c r="AM149" s="29"/>
      <c r="AN149" s="29"/>
      <c r="AP149" s="295"/>
      <c r="AQ149" s="52"/>
      <c r="AR149" s="52"/>
      <c r="AS149" s="29"/>
      <c r="AT149" s="29"/>
      <c r="AU149" s="29"/>
      <c r="AV149" s="29"/>
      <c r="AW149" s="29"/>
      <c r="AX149" s="29"/>
      <c r="AZ149" s="295"/>
      <c r="BA149" s="52"/>
      <c r="BB149" s="52"/>
      <c r="BC149" s="29"/>
      <c r="BD149" s="29"/>
      <c r="BE149" s="29"/>
      <c r="BF149" s="29"/>
      <c r="BG149" s="29"/>
      <c r="BH149" s="29"/>
      <c r="BJ149" s="295"/>
      <c r="BK149" s="52"/>
      <c r="BL149" s="52"/>
      <c r="BM149" s="29"/>
      <c r="BN149" s="29"/>
      <c r="BO149" s="29"/>
      <c r="BP149" s="29"/>
      <c r="BQ149" s="29"/>
      <c r="BR149" s="29"/>
      <c r="BT149" s="295"/>
      <c r="BU149" s="52"/>
      <c r="BV149" s="52"/>
      <c r="BW149" s="29"/>
      <c r="BX149" s="29"/>
      <c r="BY149" s="29"/>
      <c r="BZ149" s="29"/>
      <c r="CA149" s="29"/>
      <c r="CB149" s="29"/>
    </row>
    <row r="150" spans="2:80" x14ac:dyDescent="0.25">
      <c r="B150" s="266"/>
      <c r="C150" s="207"/>
      <c r="D150" s="14"/>
      <c r="E150" s="14"/>
      <c r="F150" s="14"/>
      <c r="G150" s="14"/>
      <c r="H150" s="14"/>
      <c r="I150" s="130">
        <f>I148*I147</f>
        <v>4.2828504309651342E-5</v>
      </c>
      <c r="J150" s="130">
        <f>J148*J147</f>
        <v>7.2360525439288749E-7</v>
      </c>
      <c r="K150" s="130">
        <f>K148*K147</f>
        <v>9.152168676355784E-5</v>
      </c>
      <c r="L150" s="130">
        <f>L148*L147</f>
        <v>6.8196798808778717E-6</v>
      </c>
      <c r="M150" s="130">
        <f>M148*M147</f>
        <v>5.1947636390517915E-5</v>
      </c>
      <c r="N150" s="14"/>
      <c r="O150" s="14"/>
      <c r="P150" s="14"/>
      <c r="Q150" s="14"/>
      <c r="R150" s="14"/>
      <c r="S150" s="29"/>
      <c r="T150" s="29"/>
      <c r="V150" s="266"/>
      <c r="W150" s="52"/>
      <c r="X150" s="52"/>
      <c r="Y150" s="29"/>
      <c r="Z150" s="29"/>
      <c r="AA150" s="29"/>
      <c r="AB150" s="29"/>
      <c r="AC150" s="29"/>
      <c r="AD150" s="29"/>
      <c r="AF150" s="266"/>
      <c r="AG150" s="52"/>
      <c r="AH150" s="52"/>
      <c r="AI150" s="29"/>
      <c r="AJ150" s="29"/>
      <c r="AK150" s="29"/>
      <c r="AL150" s="29"/>
      <c r="AM150" s="29"/>
      <c r="AN150" s="29"/>
      <c r="AP150" s="266"/>
      <c r="AQ150" s="52"/>
      <c r="AR150" s="52"/>
      <c r="AS150" s="29"/>
      <c r="AT150" s="29"/>
      <c r="AU150" s="29"/>
      <c r="AV150" s="29"/>
      <c r="AW150" s="29"/>
      <c r="AX150" s="29"/>
      <c r="AZ150" s="266"/>
      <c r="BA150" s="52"/>
      <c r="BB150" s="52"/>
      <c r="BC150" s="29"/>
      <c r="BD150" s="29"/>
      <c r="BE150" s="29"/>
      <c r="BF150" s="29"/>
      <c r="BG150" s="29"/>
      <c r="BH150" s="29"/>
      <c r="BJ150" s="266"/>
      <c r="BK150" s="52"/>
      <c r="BL150" s="52"/>
      <c r="BM150" s="29"/>
      <c r="BN150" s="29"/>
      <c r="BO150" s="29"/>
      <c r="BP150" s="29"/>
      <c r="BQ150" s="29"/>
      <c r="BR150" s="29"/>
      <c r="BT150" s="266"/>
      <c r="BU150" s="52"/>
      <c r="BV150" s="52"/>
      <c r="BW150" s="29"/>
      <c r="BX150" s="29"/>
      <c r="BY150" s="29"/>
      <c r="BZ150" s="29"/>
      <c r="CA150" s="29"/>
      <c r="CB150" s="29"/>
    </row>
    <row r="151" spans="2:80" x14ac:dyDescent="0.25">
      <c r="C151" s="207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29"/>
      <c r="T151" s="29"/>
      <c r="V151" s="266"/>
      <c r="W151" s="52"/>
      <c r="X151" s="52"/>
      <c r="Y151" s="29"/>
      <c r="Z151" s="29"/>
      <c r="AA151" s="29"/>
      <c r="AB151" s="29"/>
      <c r="AC151" s="29"/>
      <c r="AD151" s="29"/>
      <c r="AF151" s="266"/>
      <c r="AG151" s="52"/>
      <c r="AH151" s="52"/>
      <c r="AI151" s="29"/>
      <c r="AJ151" s="29"/>
      <c r="AK151" s="29"/>
      <c r="AL151" s="29"/>
      <c r="AM151" s="29"/>
      <c r="AN151" s="29"/>
      <c r="AP151" s="266"/>
      <c r="AQ151" s="52"/>
      <c r="AR151" s="52"/>
      <c r="AS151" s="29"/>
      <c r="AT151" s="29"/>
      <c r="AU151" s="29"/>
      <c r="AV151" s="29"/>
      <c r="AW151" s="29"/>
      <c r="AX151" s="29"/>
      <c r="AZ151" s="266"/>
      <c r="BA151" s="52"/>
      <c r="BB151" s="52"/>
      <c r="BC151" s="29"/>
      <c r="BD151" s="29"/>
      <c r="BE151" s="29"/>
      <c r="BF151" s="29"/>
      <c r="BG151" s="29"/>
      <c r="BH151" s="29"/>
      <c r="BJ151" s="266"/>
      <c r="BK151" s="52"/>
      <c r="BL151" s="52"/>
      <c r="BM151" s="29"/>
      <c r="BN151" s="29"/>
      <c r="BO151" s="29"/>
      <c r="BP151" s="29"/>
      <c r="BQ151" s="29"/>
      <c r="BR151" s="29"/>
      <c r="BT151" s="266"/>
      <c r="BU151" s="52"/>
      <c r="BV151" s="52"/>
      <c r="BW151" s="29"/>
      <c r="BX151" s="29"/>
      <c r="BY151" s="29"/>
      <c r="BZ151" s="29"/>
      <c r="CA151" s="29"/>
      <c r="CB151" s="29"/>
    </row>
    <row r="152" spans="2:80" x14ac:dyDescent="0.25">
      <c r="C152" s="130"/>
      <c r="D152" s="130" t="s">
        <v>414</v>
      </c>
      <c r="E152" s="130" t="s">
        <v>415</v>
      </c>
      <c r="F152" s="130" t="s">
        <v>416</v>
      </c>
      <c r="G152" s="130" t="s">
        <v>187</v>
      </c>
      <c r="H152" s="130" t="s">
        <v>419</v>
      </c>
      <c r="I152" s="130" t="s">
        <v>39</v>
      </c>
      <c r="J152" s="130" t="s">
        <v>174</v>
      </c>
      <c r="K152" s="130" t="s">
        <v>16</v>
      </c>
      <c r="L152" s="130" t="s">
        <v>420</v>
      </c>
      <c r="M152" s="130" t="s">
        <v>421</v>
      </c>
      <c r="N152" s="14"/>
      <c r="O152" s="234" t="s">
        <v>426</v>
      </c>
      <c r="P152" s="234">
        <v>8.2057459999999999E-2</v>
      </c>
      <c r="Q152" s="234" t="s">
        <v>427</v>
      </c>
      <c r="R152" s="14"/>
      <c r="S152" s="29"/>
      <c r="T152" s="29"/>
      <c r="V152" s="266"/>
      <c r="W152" s="52"/>
      <c r="X152" s="52"/>
      <c r="Y152" s="29"/>
      <c r="Z152" s="29"/>
      <c r="AA152" s="29"/>
      <c r="AB152" s="29"/>
      <c r="AC152" s="29"/>
      <c r="AD152" s="29"/>
      <c r="AF152" s="266"/>
      <c r="AG152" s="52"/>
      <c r="AH152" s="52"/>
      <c r="AI152" s="29"/>
      <c r="AJ152" s="29"/>
      <c r="AK152" s="29"/>
      <c r="AL152" s="29"/>
      <c r="AM152" s="29"/>
      <c r="AN152" s="29"/>
      <c r="AP152" s="266"/>
      <c r="AQ152" s="52"/>
      <c r="AR152" s="52"/>
      <c r="AS152" s="29"/>
      <c r="AT152" s="29"/>
      <c r="AU152" s="29"/>
      <c r="AV152" s="29"/>
      <c r="AW152" s="29"/>
      <c r="AX152" s="29"/>
      <c r="AZ152" s="266"/>
      <c r="BA152" s="52"/>
      <c r="BB152" s="52"/>
      <c r="BC152" s="29"/>
      <c r="BD152" s="29"/>
      <c r="BE152" s="29"/>
      <c r="BF152" s="29"/>
      <c r="BG152" s="29"/>
      <c r="BH152" s="29"/>
      <c r="BJ152" s="266"/>
      <c r="BK152" s="52"/>
      <c r="BL152" s="52"/>
      <c r="BM152" s="29"/>
      <c r="BN152" s="29"/>
      <c r="BO152" s="29"/>
      <c r="BP152" s="29"/>
      <c r="BQ152" s="29"/>
      <c r="BR152" s="29"/>
      <c r="BT152" s="266"/>
      <c r="BU152" s="52"/>
      <c r="BV152" s="52"/>
      <c r="BW152" s="29"/>
      <c r="BX152" s="29"/>
      <c r="BY152" s="29"/>
      <c r="BZ152" s="29"/>
      <c r="CA152" s="29"/>
      <c r="CB152" s="29"/>
    </row>
    <row r="153" spans="2:80" x14ac:dyDescent="0.25">
      <c r="C153" s="130" t="s">
        <v>418</v>
      </c>
      <c r="D153" s="130">
        <f>D148</f>
        <v>206.3695731890665</v>
      </c>
      <c r="E153" s="130">
        <f t="shared" ref="E153:M153" si="5">D153-E154</f>
        <v>177.80804212014675</v>
      </c>
      <c r="F153" s="130">
        <f t="shared" si="5"/>
        <v>146.60565730324478</v>
      </c>
      <c r="G153" s="130">
        <f t="shared" si="5"/>
        <v>141.70097142220337</v>
      </c>
      <c r="H153" s="130">
        <f t="shared" si="5"/>
        <v>136.11994846532647</v>
      </c>
      <c r="I153" s="130">
        <f t="shared" si="5"/>
        <v>127.99258568403604</v>
      </c>
      <c r="J153" s="130">
        <f t="shared" si="5"/>
        <v>114.98712034802575</v>
      </c>
      <c r="K153" s="130">
        <f t="shared" si="5"/>
        <v>90.732093902206771</v>
      </c>
      <c r="L153" s="130">
        <f t="shared" si="5"/>
        <v>55.028998040333285</v>
      </c>
      <c r="M153" s="130">
        <f t="shared" si="5"/>
        <v>5.0289980403332848</v>
      </c>
      <c r="N153" s="14"/>
      <c r="O153" s="14"/>
      <c r="P153" s="14"/>
      <c r="Q153" s="14"/>
      <c r="R153" s="14"/>
      <c r="S153" s="29"/>
      <c r="T153" s="29"/>
      <c r="V153" s="266"/>
      <c r="W153" s="52"/>
      <c r="X153" s="52"/>
      <c r="Y153" s="29"/>
      <c r="Z153" s="29"/>
      <c r="AA153" s="29"/>
      <c r="AB153" s="29"/>
      <c r="AC153" s="29"/>
      <c r="AD153" s="29"/>
      <c r="AF153" s="266"/>
      <c r="AG153" s="52"/>
      <c r="AH153" s="52"/>
      <c r="AI153" s="29"/>
      <c r="AJ153" s="29"/>
      <c r="AK153" s="29"/>
      <c r="AL153" s="29"/>
      <c r="AM153" s="29"/>
      <c r="AN153" s="29"/>
      <c r="AP153" s="266"/>
      <c r="AQ153" s="52"/>
      <c r="AR153" s="52"/>
      <c r="AS153" s="29"/>
      <c r="AT153" s="29"/>
      <c r="AU153" s="29"/>
      <c r="AV153" s="29"/>
      <c r="AW153" s="29"/>
      <c r="AX153" s="29"/>
      <c r="AZ153" s="266"/>
      <c r="BA153" s="52"/>
      <c r="BB153" s="52"/>
      <c r="BC153" s="29"/>
      <c r="BD153" s="29"/>
      <c r="BE153" s="29"/>
      <c r="BF153" s="29"/>
      <c r="BG153" s="29"/>
      <c r="BH153" s="29"/>
      <c r="BJ153" s="266"/>
      <c r="BK153" s="52"/>
      <c r="BL153" s="52"/>
      <c r="BM153" s="29"/>
      <c r="BN153" s="29"/>
      <c r="BO153" s="29"/>
      <c r="BP153" s="29"/>
      <c r="BQ153" s="29"/>
      <c r="BR153" s="29"/>
      <c r="BT153" s="266"/>
      <c r="BU153" s="52"/>
      <c r="BV153" s="52"/>
      <c r="BW153" s="29"/>
      <c r="BX153" s="29"/>
      <c r="BY153" s="29"/>
      <c r="BZ153" s="29"/>
      <c r="CA153" s="29"/>
      <c r="CB153" s="29"/>
    </row>
    <row r="154" spans="2:80" x14ac:dyDescent="0.25">
      <c r="C154" s="130" t="s">
        <v>423</v>
      </c>
      <c r="D154" s="130" t="s">
        <v>397</v>
      </c>
      <c r="E154" s="148">
        <f>'Calculo General Hornilla'!E181</f>
        <v>28.561531068919749</v>
      </c>
      <c r="F154" s="148">
        <f>'Calculo General Hornilla'!F181</f>
        <v>31.202384816901976</v>
      </c>
      <c r="G154" s="148">
        <f>'Calculo General Hornilla'!I194</f>
        <v>4.9046858810414031</v>
      </c>
      <c r="H154" s="148">
        <f>'Calculo General Hornilla'!H194</f>
        <v>5.5810229568768968</v>
      </c>
      <c r="I154" s="148">
        <f>'Calculo General Hornilla'!G194</f>
        <v>8.1273627812904348</v>
      </c>
      <c r="J154" s="148">
        <f>'Calculo General Hornilla'!F194</f>
        <v>13.005465336010285</v>
      </c>
      <c r="K154" s="148">
        <f>'Calculo General Hornilla'!E194</f>
        <v>24.255026445818977</v>
      </c>
      <c r="L154" s="148">
        <f>'Calculo General Hornilla'!D194</f>
        <v>35.703095861873486</v>
      </c>
      <c r="M154" s="130">
        <v>50</v>
      </c>
      <c r="N154" s="14"/>
      <c r="O154" s="14">
        <f>SUM(E154:M154)</f>
        <v>201.34057514873322</v>
      </c>
      <c r="P154" s="14"/>
      <c r="Q154" s="14"/>
      <c r="R154" s="14"/>
      <c r="S154" s="29"/>
      <c r="T154" s="29"/>
      <c r="V154" s="266"/>
      <c r="W154" s="52"/>
      <c r="X154" s="52"/>
      <c r="Y154" s="29"/>
      <c r="Z154" s="29"/>
      <c r="AA154" s="29"/>
      <c r="AB154" s="29"/>
      <c r="AC154" s="29"/>
      <c r="AD154" s="29"/>
      <c r="AF154" s="266"/>
      <c r="AG154" s="52"/>
      <c r="AH154" s="52"/>
      <c r="AI154" s="29"/>
      <c r="AJ154" s="29"/>
      <c r="AK154" s="29"/>
      <c r="AL154" s="29"/>
      <c r="AM154" s="29"/>
      <c r="AN154" s="29"/>
      <c r="AP154" s="266"/>
      <c r="AQ154" s="52"/>
      <c r="AR154" s="52"/>
      <c r="AS154" s="29"/>
      <c r="AT154" s="29"/>
      <c r="AU154" s="29"/>
      <c r="AV154" s="29"/>
      <c r="AW154" s="29"/>
      <c r="AX154" s="29"/>
      <c r="AZ154" s="266"/>
      <c r="BA154" s="52"/>
      <c r="BB154" s="52"/>
      <c r="BC154" s="29"/>
      <c r="BD154" s="29"/>
      <c r="BE154" s="29"/>
      <c r="BF154" s="29"/>
      <c r="BG154" s="29"/>
      <c r="BH154" s="29"/>
      <c r="BJ154" s="266"/>
      <c r="BK154" s="52"/>
      <c r="BL154" s="52"/>
      <c r="BM154" s="29"/>
      <c r="BN154" s="29"/>
      <c r="BO154" s="29"/>
      <c r="BP154" s="29"/>
      <c r="BQ154" s="29"/>
      <c r="BR154" s="29"/>
      <c r="BT154" s="266"/>
      <c r="BU154" s="52"/>
      <c r="BV154" s="52"/>
      <c r="BW154" s="29"/>
      <c r="BX154" s="29"/>
      <c r="BY154" s="29"/>
      <c r="BZ154" s="29"/>
      <c r="CA154" s="29"/>
      <c r="CB154" s="29"/>
    </row>
    <row r="155" spans="2:80" x14ac:dyDescent="0.25">
      <c r="C155" s="130" t="s">
        <v>422</v>
      </c>
      <c r="D155" s="130">
        <f>-D153*3600/'Calculo General Hornilla'!$K$120</f>
        <v>-1425.8455630529713</v>
      </c>
      <c r="E155" s="130">
        <f>-E153*3600/'Calculo General Hornilla'!$K$120</f>
        <v>-1228.5086605275733</v>
      </c>
      <c r="F155" s="130">
        <f>-F153*3600/'Calculo General Hornilla'!$K$120</f>
        <v>-1012.9256108543951</v>
      </c>
      <c r="G155" s="130">
        <f>-G153*3600/'Calculo General Hornilla'!$K$120</f>
        <v>-979.03822865176562</v>
      </c>
      <c r="H155" s="130">
        <f>-H153*3600/'Calculo General Hornilla'!$K$120</f>
        <v>-940.47790845829775</v>
      </c>
      <c r="I155" s="130">
        <f>-I153*3600/'Calculo General Hornilla'!$K$120</f>
        <v>-884.32445530167331</v>
      </c>
      <c r="J155" s="130">
        <f>-J153*3600/'Calculo General Hornilla'!$K$120</f>
        <v>-794.46728906234353</v>
      </c>
      <c r="K155" s="130">
        <f>-K153*3600/'Calculo General Hornilla'!$K$120</f>
        <v>-626.88482375473131</v>
      </c>
      <c r="L155" s="130">
        <f>-L153*3600/'Calculo General Hornilla'!$K$120</f>
        <v>-380.20552876356311</v>
      </c>
      <c r="M155" s="130">
        <f>-M153*3600/'Calculo General Hornilla'!$K$120</f>
        <v>-34.746277911046242</v>
      </c>
      <c r="N155" s="14"/>
      <c r="O155" s="14"/>
      <c r="P155" s="14"/>
      <c r="Q155" s="14"/>
      <c r="R155" s="14"/>
      <c r="S155" s="29"/>
      <c r="T155" s="29"/>
      <c r="V155" s="266"/>
      <c r="W155" s="52"/>
      <c r="X155" s="52"/>
      <c r="Y155" s="29"/>
      <c r="Z155" s="29"/>
      <c r="AA155" s="29"/>
      <c r="AB155" s="29"/>
      <c r="AC155" s="29"/>
      <c r="AD155" s="29"/>
      <c r="AF155" s="266"/>
      <c r="AG155" s="52"/>
      <c r="AH155" s="52"/>
      <c r="AI155" s="29"/>
      <c r="AJ155" s="29"/>
      <c r="AK155" s="29"/>
      <c r="AL155" s="29"/>
      <c r="AM155" s="29"/>
      <c r="AN155" s="29"/>
      <c r="AP155" s="266"/>
      <c r="AQ155" s="52"/>
      <c r="AR155" s="52"/>
      <c r="AS155" s="29"/>
      <c r="AT155" s="29"/>
      <c r="AU155" s="29"/>
      <c r="AV155" s="29"/>
      <c r="AW155" s="29"/>
      <c r="AX155" s="29"/>
      <c r="AZ155" s="266"/>
      <c r="BA155" s="52"/>
      <c r="BB155" s="52"/>
      <c r="BC155" s="29"/>
      <c r="BD155" s="29"/>
      <c r="BE155" s="29"/>
      <c r="BF155" s="29"/>
      <c r="BG155" s="29"/>
      <c r="BH155" s="29"/>
      <c r="BJ155" s="266"/>
      <c r="BK155" s="52"/>
      <c r="BL155" s="52"/>
      <c r="BM155" s="29"/>
      <c r="BN155" s="29"/>
      <c r="BO155" s="29"/>
      <c r="BP155" s="29"/>
      <c r="BQ155" s="29"/>
      <c r="BR155" s="29"/>
      <c r="BT155" s="266"/>
      <c r="BU155" s="52"/>
      <c r="BV155" s="52"/>
      <c r="BW155" s="29"/>
      <c r="BX155" s="29"/>
      <c r="BY155" s="29"/>
      <c r="BZ155" s="29"/>
      <c r="CA155" s="29"/>
      <c r="CB155" s="29"/>
    </row>
    <row r="156" spans="2:80" x14ac:dyDescent="0.25">
      <c r="C156" s="130" t="s">
        <v>351</v>
      </c>
      <c r="D156" s="130">
        <f t="shared" ref="D156:M156" si="6">(-$Q$146+SQRT($Q$146^2-4*$Q$147*D155))/(2*$Q$147)</f>
        <v>1071.8208320357146</v>
      </c>
      <c r="E156" s="130">
        <f t="shared" si="6"/>
        <v>941.37423107140216</v>
      </c>
      <c r="F156" s="130">
        <f t="shared" si="6"/>
        <v>793.59802319728306</v>
      </c>
      <c r="G156" s="130">
        <f t="shared" si="6"/>
        <v>769.82733481184334</v>
      </c>
      <c r="H156" s="130">
        <f t="shared" si="6"/>
        <v>742.58985047360125</v>
      </c>
      <c r="I156" s="130">
        <f t="shared" si="6"/>
        <v>702.55653301658469</v>
      </c>
      <c r="J156" s="130">
        <f t="shared" si="6"/>
        <v>637.55132613522164</v>
      </c>
      <c r="K156" s="130">
        <f t="shared" si="6"/>
        <v>513.00698930946942</v>
      </c>
      <c r="L156" s="130">
        <f t="shared" si="6"/>
        <v>320.91728694473937</v>
      </c>
      <c r="M156" s="130">
        <f t="shared" si="6"/>
        <v>30.789585273207926</v>
      </c>
      <c r="N156" s="14"/>
      <c r="O156" s="14" t="s">
        <v>424</v>
      </c>
      <c r="P156" s="14">
        <f>M156</f>
        <v>30.789585273207926</v>
      </c>
      <c r="Q156" s="14"/>
      <c r="R156" s="14"/>
      <c r="S156" s="29"/>
      <c r="T156" s="29"/>
      <c r="V156" s="266"/>
      <c r="W156" s="52"/>
      <c r="X156" s="52"/>
      <c r="Y156" s="29"/>
      <c r="Z156" s="29"/>
      <c r="AA156" s="29"/>
      <c r="AB156" s="29"/>
      <c r="AC156" s="29"/>
      <c r="AD156" s="29"/>
      <c r="AF156" s="266"/>
      <c r="AG156" s="52"/>
      <c r="AH156" s="52"/>
      <c r="AI156" s="29"/>
      <c r="AJ156" s="29"/>
      <c r="AK156" s="29"/>
      <c r="AL156" s="29"/>
      <c r="AM156" s="29"/>
      <c r="AN156" s="29"/>
      <c r="AP156" s="266"/>
      <c r="AQ156" s="52"/>
      <c r="AR156" s="52"/>
      <c r="AS156" s="29"/>
      <c r="AT156" s="29"/>
      <c r="AU156" s="29"/>
      <c r="AV156" s="29"/>
      <c r="AW156" s="29"/>
      <c r="AX156" s="29"/>
      <c r="AZ156" s="266"/>
      <c r="BA156" s="52"/>
      <c r="BB156" s="52"/>
      <c r="BC156" s="29"/>
      <c r="BD156" s="29"/>
      <c r="BE156" s="29"/>
      <c r="BF156" s="29"/>
      <c r="BG156" s="29"/>
      <c r="BH156" s="29"/>
      <c r="BJ156" s="266"/>
      <c r="BK156" s="52"/>
      <c r="BL156" s="52"/>
      <c r="BM156" s="29"/>
      <c r="BN156" s="29"/>
      <c r="BO156" s="29"/>
      <c r="BP156" s="29"/>
      <c r="BQ156" s="29"/>
      <c r="BR156" s="29"/>
      <c r="BT156" s="266"/>
      <c r="BU156" s="52"/>
      <c r="BV156" s="52"/>
      <c r="BW156" s="29"/>
      <c r="BX156" s="29"/>
      <c r="BY156" s="29"/>
      <c r="BZ156" s="29"/>
      <c r="CA156" s="29"/>
      <c r="CB156" s="29"/>
    </row>
    <row r="157" spans="2:80" ht="15.75" thickBot="1" x14ac:dyDescent="0.3">
      <c r="O157" s="29"/>
      <c r="P157" s="29"/>
      <c r="Q157" s="29"/>
      <c r="R157" s="29"/>
      <c r="S157" s="29"/>
      <c r="T157" s="29"/>
      <c r="V157" s="266"/>
      <c r="W157" s="52"/>
      <c r="X157" s="52"/>
      <c r="Y157" s="29"/>
      <c r="Z157" s="29"/>
      <c r="AA157" s="29"/>
      <c r="AB157" s="29"/>
      <c r="AC157" s="29"/>
      <c r="AD157" s="29"/>
      <c r="AF157" s="266"/>
      <c r="AG157" s="52"/>
      <c r="AH157" s="52"/>
      <c r="AI157" s="29"/>
      <c r="AJ157" s="29"/>
      <c r="AK157" s="29"/>
      <c r="AL157" s="29"/>
      <c r="AM157" s="29"/>
      <c r="AN157" s="29"/>
      <c r="AP157" s="266"/>
      <c r="AQ157" s="52"/>
      <c r="AR157" s="52"/>
      <c r="AS157" s="29"/>
      <c r="AT157" s="29"/>
      <c r="AU157" s="29"/>
      <c r="AV157" s="29"/>
      <c r="AW157" s="29"/>
      <c r="AX157" s="29"/>
      <c r="AZ157" s="266"/>
      <c r="BA157" s="52"/>
      <c r="BB157" s="52"/>
      <c r="BC157" s="29"/>
      <c r="BD157" s="29"/>
      <c r="BE157" s="29"/>
      <c r="BF157" s="29"/>
      <c r="BG157" s="29"/>
      <c r="BH157" s="29"/>
      <c r="BJ157" s="266"/>
      <c r="BK157" s="52"/>
      <c r="BL157" s="52"/>
      <c r="BM157" s="29"/>
      <c r="BN157" s="29"/>
      <c r="BO157" s="29"/>
      <c r="BP157" s="29"/>
      <c r="BQ157" s="29"/>
      <c r="BR157" s="29"/>
      <c r="BT157" s="266"/>
      <c r="BU157" s="52"/>
      <c r="BV157" s="52"/>
      <c r="BW157" s="29"/>
      <c r="BX157" s="29"/>
      <c r="BY157" s="29"/>
      <c r="BZ157" s="29"/>
      <c r="CA157" s="29"/>
      <c r="CB157" s="29"/>
    </row>
    <row r="158" spans="2:80" x14ac:dyDescent="0.25">
      <c r="B158" s="266"/>
      <c r="C158" s="426" t="s">
        <v>494</v>
      </c>
      <c r="D158" s="427"/>
      <c r="E158" s="427"/>
      <c r="F158" s="305" t="str">
        <f>'Mod Program'!E22</f>
        <v>SEMIESFERICA</v>
      </c>
      <c r="G158" s="305" t="str">
        <f>'Mod Program'!F22</f>
        <v>SEMICILINDRICA</v>
      </c>
      <c r="H158" s="305" t="str">
        <f>'Mod Program'!G22</f>
        <v>SEMICILINDRICA</v>
      </c>
      <c r="I158" s="305" t="str">
        <f>'Mod Program'!H22</f>
        <v>PIROTUBULAR</v>
      </c>
      <c r="J158" s="305" t="str">
        <f>'Mod Program'!I22</f>
        <v>PIROTUBULAR</v>
      </c>
      <c r="K158" s="305" t="str">
        <f>'Mod Program'!J22</f>
        <v>ACANALADA</v>
      </c>
      <c r="L158" s="305" t="str">
        <f>'Mod Program'!K22</f>
        <v>ACANALADA</v>
      </c>
      <c r="M158" s="305" t="str">
        <f>'Mod Program'!L22</f>
        <v>PLANA</v>
      </c>
      <c r="N158" s="306">
        <f>'Mod Program'!M22</f>
        <v>0</v>
      </c>
      <c r="O158" s="29"/>
      <c r="P158" s="29"/>
      <c r="Q158" s="29"/>
      <c r="R158" s="29"/>
      <c r="S158" s="29"/>
      <c r="T158" s="29"/>
      <c r="V158" s="266"/>
      <c r="W158" s="52"/>
      <c r="X158" s="52"/>
      <c r="Y158" s="29"/>
      <c r="Z158" s="29"/>
      <c r="AA158" s="29"/>
      <c r="AB158" s="29"/>
      <c r="AC158" s="29"/>
      <c r="AD158" s="29"/>
      <c r="AF158" s="266"/>
      <c r="AG158" s="52"/>
      <c r="AH158" s="52"/>
      <c r="AI158" s="29"/>
      <c r="AJ158" s="29"/>
      <c r="AK158" s="29"/>
      <c r="AL158" s="29"/>
      <c r="AM158" s="29"/>
      <c r="AN158" s="29"/>
      <c r="AP158" s="266"/>
      <c r="AQ158" s="52"/>
      <c r="AR158" s="52"/>
      <c r="AS158" s="29"/>
      <c r="AT158" s="29"/>
      <c r="AU158" s="29"/>
      <c r="AV158" s="29"/>
      <c r="AW158" s="29"/>
      <c r="AX158" s="29"/>
      <c r="AZ158" s="266"/>
      <c r="BA158" s="52"/>
      <c r="BB158" s="52"/>
      <c r="BC158" s="29"/>
      <c r="BD158" s="29"/>
      <c r="BE158" s="29"/>
      <c r="BF158" s="29"/>
      <c r="BG158" s="29"/>
      <c r="BH158" s="29"/>
      <c r="BJ158" s="266"/>
      <c r="BK158" s="52"/>
      <c r="BL158" s="52"/>
      <c r="BM158" s="29"/>
      <c r="BN158" s="29"/>
      <c r="BO158" s="29"/>
      <c r="BP158" s="29"/>
      <c r="BQ158" s="29"/>
      <c r="BR158" s="29"/>
      <c r="BT158" s="266"/>
      <c r="BU158" s="52"/>
      <c r="BV158" s="52"/>
      <c r="BW158" s="29"/>
      <c r="BX158" s="29"/>
      <c r="BY158" s="29"/>
      <c r="BZ158" s="29"/>
      <c r="CA158" s="29"/>
      <c r="CB158" s="29"/>
    </row>
    <row r="159" spans="2:80" x14ac:dyDescent="0.25">
      <c r="B159" s="266"/>
      <c r="C159" s="428"/>
      <c r="D159" s="429"/>
      <c r="E159" s="429"/>
      <c r="F159" s="239">
        <f>IF(F158="SEMIESFERICA",F163,IF(F158="PIROTUBULAR",F164,IF('Calculo General Hornilla'!E142&lt;100000,F160,IF('Calculo General Hornilla'!E142&gt;500000,F161,F162))))</f>
        <v>42.252913898409531</v>
      </c>
      <c r="G159" s="239">
        <f>IF(G158="SEMIESFERICA",G163,IF(G158="PIROTUBULAR",G164,IF('Calculo General Hornilla'!F142&lt;100000,G160,IF('Calculo General Hornilla'!F142&gt;500000,G161,G162))))</f>
        <v>36.801727171469686</v>
      </c>
      <c r="H159" s="239">
        <f>IF(H158="SEMIESFERICA",H163,IF(H158="PIROTUBULAR",H164,IF('Calculo General Hornilla'!G142&lt;100000,H160,IF('Calculo General Hornilla'!G142&gt;500000,H161,H162))))</f>
        <v>38.013862760623908</v>
      </c>
      <c r="I159" s="239">
        <f>IF(I158="SEMIESFERICA",I163,IF(I158="PIROTUBULAR",I164,IF('Calculo General Hornilla'!H142&lt;100000,I160,IF('Calculo General Hornilla'!H142&gt;500000,I161,I162))))</f>
        <v>41.753461135367694</v>
      </c>
      <c r="J159" s="239">
        <f>IF(J158="SEMIESFERICA",J163,IF(J158="PIROTUBULAR",J164,IF('Calculo General Hornilla'!I142&lt;100000,J160,IF('Calculo General Hornilla'!I142&gt;500000,J161,J162))))</f>
        <v>44.473963915267291</v>
      </c>
      <c r="K159" s="239">
        <f>IF(K158="SEMIESFERICA",K163,IF(K158="PIROTUBULAR",K164,IF('Calculo General Hornilla'!J142&lt;100000,K160,IF('Calculo General Hornilla'!J142&gt;500000,K161,K162))))</f>
        <v>42.979549784234443</v>
      </c>
      <c r="L159" s="239">
        <f>IF(L158="SEMIESFERICA",L163,IF(L158="PIROTUBULAR",L164,IF('Calculo General Hornilla'!K142&lt;100000,L160,IF('Calculo General Hornilla'!K142&gt;500000,L161,L162))))</f>
        <v>45.52923981693646</v>
      </c>
      <c r="M159" s="239">
        <f>IF(M158="SEMIESFERICA",M163,IF(M158="PIROTUBULAR",M164,IF('Calculo General Hornilla'!L142&lt;100000,M160,IF('Calculo General Hornilla'!L142&gt;500000,M161,M162))))</f>
        <v>47.448860017907634</v>
      </c>
      <c r="N159" s="308">
        <f>IF(N158="SEMIESFERICA",N163,IF(N158="PIROTUBULAR",N164,IF('Calculo General Hornilla'!M142&lt;100000,N160,IF('Calculo General Hornilla'!M142&gt;500000,N161,N162))))</f>
        <v>52.067261945819425</v>
      </c>
      <c r="O159" s="29"/>
      <c r="P159" s="29"/>
      <c r="Q159" s="29"/>
      <c r="R159" s="29"/>
      <c r="S159" s="29"/>
      <c r="T159" s="29"/>
      <c r="V159" s="266"/>
      <c r="W159" s="52"/>
      <c r="X159" s="52"/>
      <c r="Y159" s="29"/>
      <c r="Z159" s="29"/>
      <c r="AA159" s="29"/>
      <c r="AB159" s="29"/>
      <c r="AC159" s="29"/>
      <c r="AD159" s="29"/>
      <c r="AF159" s="266"/>
      <c r="AG159" s="52"/>
      <c r="AH159" s="52"/>
      <c r="AI159" s="29"/>
      <c r="AJ159" s="29"/>
      <c r="AK159" s="29"/>
      <c r="AL159" s="29"/>
      <c r="AM159" s="29"/>
      <c r="AN159" s="29"/>
      <c r="AP159" s="266"/>
      <c r="AQ159" s="52"/>
      <c r="AR159" s="52"/>
      <c r="AS159" s="29"/>
      <c r="AT159" s="29"/>
      <c r="AU159" s="29"/>
      <c r="AV159" s="29"/>
      <c r="AW159" s="29"/>
      <c r="AX159" s="29"/>
      <c r="AZ159" s="266"/>
      <c r="BA159" s="52"/>
      <c r="BB159" s="52"/>
      <c r="BC159" s="29"/>
      <c r="BD159" s="29"/>
      <c r="BE159" s="29"/>
      <c r="BF159" s="29"/>
      <c r="BG159" s="29"/>
      <c r="BH159" s="29"/>
      <c r="BJ159" s="266"/>
      <c r="BK159" s="52"/>
      <c r="BL159" s="52"/>
      <c r="BM159" s="29"/>
      <c r="BN159" s="29"/>
      <c r="BO159" s="29"/>
      <c r="BP159" s="29"/>
      <c r="BQ159" s="29"/>
      <c r="BR159" s="29"/>
      <c r="BT159" s="266"/>
      <c r="BU159" s="52"/>
      <c r="BV159" s="52"/>
      <c r="BW159" s="29"/>
      <c r="BX159" s="29"/>
      <c r="BY159" s="29"/>
      <c r="BZ159" s="29"/>
      <c r="CA159" s="29"/>
      <c r="CB159" s="29"/>
    </row>
    <row r="160" spans="2:80" x14ac:dyDescent="0.25">
      <c r="B160" s="266"/>
      <c r="C160" s="279" t="s">
        <v>385</v>
      </c>
      <c r="D160" s="237" t="s">
        <v>384</v>
      </c>
      <c r="E160" s="74" t="s">
        <v>378</v>
      </c>
      <c r="F160" s="296">
        <f>0.664*'Calculo General Hornilla'!E142^(1/2)*'Calculo General Hornilla'!E140^(1/3)</f>
        <v>35.472527438789072</v>
      </c>
      <c r="G160" s="296">
        <f>0.664*'Calculo General Hornilla'!F142^(1/2)*'Calculo General Hornilla'!F140^(1/3)</f>
        <v>36.801727171469686</v>
      </c>
      <c r="H160" s="296">
        <f>0.664*'Calculo General Hornilla'!G142^(1/2)*'Calculo General Hornilla'!G140^(1/3)</f>
        <v>38.013862760623908</v>
      </c>
      <c r="I160" s="296">
        <f>0.664*'Calculo General Hornilla'!H142^(1/2)*'Calculo General Hornilla'!H140^(1/3)</f>
        <v>39.31567642712217</v>
      </c>
      <c r="J160" s="296">
        <f>0.664*'Calculo General Hornilla'!I142^(1/2)*'Calculo General Hornilla'!I140^(1/3)</f>
        <v>40.717658845275736</v>
      </c>
      <c r="K160" s="296">
        <f>0.664*'Calculo General Hornilla'!J142^(1/2)*'Calculo General Hornilla'!J140^(1/3)</f>
        <v>42.979549784234443</v>
      </c>
      <c r="L160" s="296">
        <f>0.664*'Calculo General Hornilla'!K142^(1/2)*'Calculo General Hornilla'!K140^(1/3)</f>
        <v>45.52923981693646</v>
      </c>
      <c r="M160" s="296">
        <f>0.664*'Calculo General Hornilla'!L142^(1/2)*'Calculo General Hornilla'!L140^(1/3)</f>
        <v>47.448860017907634</v>
      </c>
      <c r="N160" s="309">
        <f>0.664*'Calculo General Hornilla'!M142^(1/2)*'Calculo General Hornilla'!M140^(1/3)</f>
        <v>52.067261945819425</v>
      </c>
      <c r="O160" s="29"/>
      <c r="P160" s="29"/>
      <c r="Q160" s="29"/>
      <c r="R160" s="29"/>
      <c r="S160" s="29"/>
      <c r="T160" s="29"/>
      <c r="V160" s="266"/>
      <c r="W160" s="52"/>
      <c r="X160" s="52"/>
      <c r="Y160" s="29"/>
      <c r="Z160" s="29"/>
      <c r="AA160" s="29"/>
      <c r="AB160" s="29"/>
      <c r="AC160" s="29"/>
      <c r="AD160" s="29"/>
      <c r="AF160" s="266"/>
      <c r="AG160" s="52"/>
      <c r="AH160" s="52"/>
      <c r="AI160" s="29"/>
      <c r="AJ160" s="29"/>
      <c r="AK160" s="29"/>
      <c r="AL160" s="29"/>
      <c r="AM160" s="29"/>
      <c r="AN160" s="29"/>
      <c r="AP160" s="266"/>
      <c r="AQ160" s="52"/>
      <c r="AR160" s="52"/>
      <c r="AS160" s="29"/>
      <c r="AT160" s="29"/>
      <c r="AU160" s="29"/>
      <c r="AV160" s="29"/>
      <c r="AW160" s="29"/>
      <c r="AX160" s="29"/>
      <c r="AZ160" s="266"/>
      <c r="BA160" s="52"/>
      <c r="BB160" s="52"/>
      <c r="BC160" s="29"/>
      <c r="BD160" s="29"/>
      <c r="BE160" s="29"/>
      <c r="BF160" s="29"/>
      <c r="BG160" s="29"/>
      <c r="BH160" s="29"/>
      <c r="BJ160" s="266"/>
      <c r="BK160" s="52"/>
      <c r="BL160" s="52"/>
      <c r="BM160" s="29"/>
      <c r="BN160" s="29"/>
      <c r="BO160" s="29"/>
      <c r="BP160" s="29"/>
      <c r="BQ160" s="29"/>
      <c r="BR160" s="29"/>
      <c r="BT160" s="266"/>
      <c r="BU160" s="52"/>
      <c r="BV160" s="52"/>
      <c r="BW160" s="29"/>
      <c r="BX160" s="29"/>
      <c r="BY160" s="29"/>
      <c r="BZ160" s="29"/>
      <c r="CA160" s="29"/>
      <c r="CB160" s="29"/>
    </row>
    <row r="161" spans="2:80" x14ac:dyDescent="0.25">
      <c r="B161" s="266"/>
      <c r="C161" s="279" t="s">
        <v>386</v>
      </c>
      <c r="D161" s="237" t="s">
        <v>384</v>
      </c>
      <c r="E161" s="74" t="s">
        <v>378</v>
      </c>
      <c r="F161" s="296">
        <f>(0.037*'Calculo General Hornilla'!E142^(0.8)*'Calculo General Hornilla'!E140)/(1+2.443*'Calculo General Hornilla'!E142^(-0.1)*('Calculo General Hornilla'!E140^0.67-1))</f>
        <v>23.091748443845283</v>
      </c>
      <c r="G161" s="296">
        <f>(0.037*'Calculo General Hornilla'!F142^(0.8)*'Calculo General Hornilla'!F140)/(1+2.443*'Calculo General Hornilla'!F142^(-0.1)*('Calculo General Hornilla'!F140^0.67-1))</f>
        <v>24.470565269411072</v>
      </c>
      <c r="H161" s="296">
        <f>(0.037*'Calculo General Hornilla'!G142^(0.8)*'Calculo General Hornilla'!G140)/(1+2.443*'Calculo General Hornilla'!G142^(-0.1)*('Calculo General Hornilla'!G140^0.67-1))</f>
        <v>25.753055368220959</v>
      </c>
      <c r="I161" s="296">
        <f>(0.037*'Calculo General Hornilla'!H142^(0.8)*'Calculo General Hornilla'!H140)/(1+2.443*'Calculo General Hornilla'!H142^(-0.1)*('Calculo General Hornilla'!H140^0.67-1))</f>
        <v>27.153511035657818</v>
      </c>
      <c r="J161" s="296">
        <f>(0.037*'Calculo General Hornilla'!I142^(0.8)*'Calculo General Hornilla'!I140)/(1+2.443*'Calculo General Hornilla'!I142^(-0.1)*('Calculo General Hornilla'!I140^0.67-1))</f>
        <v>28.688038307389771</v>
      </c>
      <c r="K161" s="296">
        <f>(0.037*'Calculo General Hornilla'!J142^(0.8)*'Calculo General Hornilla'!J140)/(1+2.443*'Calculo General Hornilla'!J142^(-0.1)*('Calculo General Hornilla'!J140^0.67-1))</f>
        <v>31.216762434645418</v>
      </c>
      <c r="L161" s="296">
        <f>(0.037*'Calculo General Hornilla'!K142^(0.8)*'Calculo General Hornilla'!K140)/(1+2.443*'Calculo General Hornilla'!K142^(-0.1)*('Calculo General Hornilla'!K140^0.67-1))</f>
        <v>34.153989390965876</v>
      </c>
      <c r="M161" s="296">
        <f>(0.037*'Calculo General Hornilla'!L142^(0.8)*'Calculo General Hornilla'!L140)/(1+2.443*'Calculo General Hornilla'!L142^(-0.1)*('Calculo General Hornilla'!L140^0.67-1))</f>
        <v>36.425122739695695</v>
      </c>
      <c r="N161" s="309">
        <f>(0.037*'Calculo General Hornilla'!M142^(0.8)*'Calculo General Hornilla'!M140)/(1+2.443*'Calculo General Hornilla'!M142^(-0.1)*('Calculo General Hornilla'!M140^0.67-1))</f>
        <v>41.7351563165575</v>
      </c>
      <c r="O161" s="29"/>
      <c r="P161" s="29"/>
      <c r="Q161" s="29"/>
      <c r="R161" s="29"/>
      <c r="S161" s="29"/>
      <c r="T161" s="29"/>
      <c r="V161" s="266"/>
      <c r="W161" s="52"/>
      <c r="X161" s="52"/>
      <c r="Y161" s="29"/>
      <c r="Z161" s="29"/>
      <c r="AA161" s="29"/>
      <c r="AB161" s="29"/>
      <c r="AC161" s="29"/>
      <c r="AD161" s="29"/>
      <c r="AF161" s="266"/>
      <c r="AG161" s="52"/>
      <c r="AH161" s="52"/>
      <c r="AI161" s="29"/>
      <c r="AJ161" s="29"/>
      <c r="AK161" s="29"/>
      <c r="AL161" s="29"/>
      <c r="AM161" s="29"/>
      <c r="AN161" s="29"/>
      <c r="AP161" s="266"/>
      <c r="AQ161" s="52"/>
      <c r="AR161" s="52"/>
      <c r="AS161" s="29"/>
      <c r="AT161" s="29"/>
      <c r="AU161" s="29"/>
      <c r="AV161" s="29"/>
      <c r="AW161" s="29"/>
      <c r="AX161" s="29"/>
      <c r="AZ161" s="266"/>
      <c r="BA161" s="52"/>
      <c r="BB161" s="52"/>
      <c r="BC161" s="29"/>
      <c r="BD161" s="29"/>
      <c r="BE161" s="29"/>
      <c r="BF161" s="29"/>
      <c r="BG161" s="29"/>
      <c r="BH161" s="29"/>
      <c r="BJ161" s="266"/>
      <c r="BK161" s="52"/>
      <c r="BL161" s="52"/>
      <c r="BM161" s="29"/>
      <c r="BN161" s="29"/>
      <c r="BO161" s="29"/>
      <c r="BP161" s="29"/>
      <c r="BQ161" s="29"/>
      <c r="BR161" s="29"/>
      <c r="BT161" s="266"/>
      <c r="BU161" s="52"/>
      <c r="BV161" s="52"/>
      <c r="BW161" s="29"/>
      <c r="BX161" s="29"/>
      <c r="BY161" s="29"/>
      <c r="BZ161" s="29"/>
      <c r="CA161" s="29"/>
      <c r="CB161" s="29"/>
    </row>
    <row r="162" spans="2:80" x14ac:dyDescent="0.25">
      <c r="B162" s="266"/>
      <c r="C162" s="279" t="s">
        <v>387</v>
      </c>
      <c r="D162" s="237" t="s">
        <v>384</v>
      </c>
      <c r="E162" s="74" t="s">
        <v>378</v>
      </c>
      <c r="F162" s="296">
        <f t="shared" ref="F162:N162" si="7">SQRT(F160^2+F161^2)</f>
        <v>42.326458026741086</v>
      </c>
      <c r="G162" s="296">
        <f t="shared" si="7"/>
        <v>44.194747282995039</v>
      </c>
      <c r="H162" s="296">
        <f t="shared" si="7"/>
        <v>45.915940835206712</v>
      </c>
      <c r="I162" s="296">
        <f t="shared" si="7"/>
        <v>47.781121528128246</v>
      </c>
      <c r="J162" s="296">
        <f t="shared" si="7"/>
        <v>49.808947828342291</v>
      </c>
      <c r="K162" s="296">
        <f t="shared" si="7"/>
        <v>53.119939350083754</v>
      </c>
      <c r="L162" s="296">
        <f t="shared" si="7"/>
        <v>56.915785768328995</v>
      </c>
      <c r="M162" s="296">
        <f t="shared" si="7"/>
        <v>59.817922762336792</v>
      </c>
      <c r="N162" s="309">
        <f t="shared" si="7"/>
        <v>66.729476539997407</v>
      </c>
      <c r="O162" s="29"/>
      <c r="P162" s="29"/>
      <c r="Q162" s="29"/>
      <c r="R162" s="29"/>
      <c r="S162" s="29"/>
      <c r="T162" s="29"/>
      <c r="V162" s="266"/>
      <c r="W162" s="52"/>
      <c r="X162" s="52"/>
      <c r="Y162" s="29"/>
      <c r="Z162" s="29"/>
      <c r="AA162" s="29"/>
      <c r="AB162" s="29"/>
      <c r="AC162" s="29"/>
      <c r="AD162" s="29"/>
      <c r="AF162" s="266"/>
      <c r="AG162" s="52"/>
      <c r="AH162" s="52"/>
      <c r="AI162" s="29"/>
      <c r="AJ162" s="29"/>
      <c r="AK162" s="29"/>
      <c r="AL162" s="29"/>
      <c r="AM162" s="29"/>
      <c r="AN162" s="29"/>
      <c r="AP162" s="266"/>
      <c r="AQ162" s="52"/>
      <c r="AR162" s="52"/>
      <c r="AS162" s="29"/>
      <c r="AT162" s="29"/>
      <c r="AU162" s="29"/>
      <c r="AV162" s="29"/>
      <c r="AW162" s="29"/>
      <c r="AX162" s="29"/>
      <c r="AZ162" s="266"/>
      <c r="BA162" s="52"/>
      <c r="BB162" s="52"/>
      <c r="BC162" s="29"/>
      <c r="BD162" s="29"/>
      <c r="BE162" s="29"/>
      <c r="BF162" s="29"/>
      <c r="BG162" s="29"/>
      <c r="BH162" s="29"/>
      <c r="BJ162" s="266"/>
      <c r="BK162" s="52"/>
      <c r="BL162" s="52"/>
      <c r="BM162" s="29"/>
      <c r="BN162" s="29"/>
      <c r="BO162" s="29"/>
      <c r="BP162" s="29"/>
      <c r="BQ162" s="29"/>
      <c r="BR162" s="29"/>
      <c r="BT162" s="266"/>
      <c r="BU162" s="52"/>
      <c r="BV162" s="52"/>
      <c r="BW162" s="29"/>
      <c r="BX162" s="29"/>
      <c r="BY162" s="29"/>
      <c r="BZ162" s="29"/>
      <c r="CA162" s="29"/>
      <c r="CB162" s="29"/>
    </row>
    <row r="163" spans="2:80" x14ac:dyDescent="0.25">
      <c r="B163" s="266"/>
      <c r="C163" s="279" t="s">
        <v>383</v>
      </c>
      <c r="D163" s="237" t="s">
        <v>384</v>
      </c>
      <c r="E163" s="74" t="s">
        <v>378</v>
      </c>
      <c r="F163" s="307">
        <f>2+ (0.4*'Calculo General Hornilla'!E142^0.5+0.06*'Calculo General Hornilla'!E142^(2/3))*'Calculo General Hornilla'!E140^(0.4)*('Calculo General Hornilla'!E132/'Calculo General Hornilla'!E138)^(1/4)</f>
        <v>42.252913898409531</v>
      </c>
      <c r="G163" s="307">
        <f>2+ (0.4*'Calculo General Hornilla'!F142^0.5+0.06*'Calculo General Hornilla'!F142^(2/3))*'Calculo General Hornilla'!F140^(0.4)*('Calculo General Hornilla'!F132/'Calculo General Hornilla'!F138)^(1/4)</f>
        <v>43.922158021910185</v>
      </c>
      <c r="H163" s="307">
        <f>2+ (0.4*'Calculo General Hornilla'!G142^0.5+0.06*'Calculo General Hornilla'!G142^(2/3))*'Calculo General Hornilla'!G140^(0.4)*('Calculo General Hornilla'!G132/'Calculo General Hornilla'!G138)^(1/4)</f>
        <v>45.333753768197731</v>
      </c>
      <c r="I163" s="307">
        <f>2+ (0.4*'Calculo General Hornilla'!H142^0.5+0.06*'Calculo General Hornilla'!H142^(2/3))*'Calculo General Hornilla'!H140^(0.4)*('Calculo General Hornilla'!H132/'Calculo General Hornilla'!H138)^(1/4)</f>
        <v>46.705847686371051</v>
      </c>
      <c r="J163" s="307">
        <f>2+ (0.4*'Calculo General Hornilla'!I142^0.5+0.06*'Calculo General Hornilla'!I142^(2/3))*'Calculo General Hornilla'!I140^(0.4)*('Calculo General Hornilla'!I132/'Calculo General Hornilla'!I138)^(1/4)</f>
        <v>48.110706922060132</v>
      </c>
      <c r="K163" s="307">
        <f>2+ (0.4*'Calculo General Hornilla'!J142^0.5+0.06*'Calculo General Hornilla'!J142^(2/3))*'Calculo General Hornilla'!J140^(0.4)*('Calculo General Hornilla'!J132/'Calculo General Hornilla'!J138)^(1/4)</f>
        <v>50.550804809327346</v>
      </c>
      <c r="L163" s="307">
        <f>2+ (0.4*'Calculo General Hornilla'!K142^0.5+0.06*'Calculo General Hornilla'!K142^(2/3))*'Calculo General Hornilla'!K140^(0.4)*('Calculo General Hornilla'!K132/'Calculo General Hornilla'!K138)^(1/4)</f>
        <v>53.294926753987156</v>
      </c>
      <c r="M163" s="307">
        <f>2+ (0.4*'Calculo General Hornilla'!L142^0.5+0.06*'Calculo General Hornilla'!L142^(2/3))*'Calculo General Hornilla'!L140^(0.4)*('Calculo General Hornilla'!L132/'Calculo General Hornilla'!L138)^(1/4)</f>
        <v>55.162165619597538</v>
      </c>
      <c r="N163" s="310">
        <f>2+ (0.4*'Calculo General Hornilla'!M142^0.5+0.06*'Calculo General Hornilla'!M142^(2/3))*'Calculo General Hornilla'!M140^(0.4)*('Calculo General Hornilla'!M132/'Calculo General Hornilla'!M138)^(1/4)</f>
        <v>54.614558493510273</v>
      </c>
      <c r="O163" s="29"/>
      <c r="P163" s="29"/>
      <c r="Q163" s="29"/>
      <c r="R163" s="29"/>
      <c r="S163" s="29"/>
      <c r="T163" s="29"/>
      <c r="V163" s="266"/>
      <c r="W163" s="52"/>
      <c r="X163" s="52"/>
      <c r="Y163" s="29"/>
      <c r="Z163" s="29"/>
      <c r="AA163" s="29"/>
      <c r="AB163" s="29"/>
      <c r="AC163" s="29"/>
      <c r="AD163" s="29"/>
      <c r="AF163" s="266"/>
      <c r="AG163" s="52"/>
      <c r="AH163" s="52"/>
      <c r="AI163" s="29"/>
      <c r="AJ163" s="29"/>
      <c r="AK163" s="29"/>
      <c r="AL163" s="29"/>
      <c r="AM163" s="29"/>
      <c r="AN163" s="29"/>
      <c r="AP163" s="266"/>
      <c r="AQ163" s="52"/>
      <c r="AR163" s="52"/>
      <c r="AS163" s="29"/>
      <c r="AT163" s="29"/>
      <c r="AU163" s="29"/>
      <c r="AV163" s="29"/>
      <c r="AW163" s="29"/>
      <c r="AX163" s="29"/>
      <c r="AZ163" s="266"/>
      <c r="BA163" s="52"/>
      <c r="BB163" s="52"/>
      <c r="BC163" s="29"/>
      <c r="BD163" s="29"/>
      <c r="BE163" s="29"/>
      <c r="BF163" s="29"/>
      <c r="BG163" s="29"/>
      <c r="BH163" s="29"/>
      <c r="BJ163" s="266"/>
      <c r="BK163" s="52"/>
      <c r="BL163" s="52"/>
      <c r="BM163" s="29"/>
      <c r="BN163" s="29"/>
      <c r="BO163" s="29"/>
      <c r="BP163" s="29"/>
      <c r="BQ163" s="29"/>
      <c r="BR163" s="29"/>
      <c r="BT163" s="266"/>
      <c r="BU163" s="52"/>
      <c r="BV163" s="52"/>
      <c r="BW163" s="29"/>
      <c r="BX163" s="29"/>
      <c r="BY163" s="29"/>
      <c r="BZ163" s="29"/>
      <c r="CA163" s="29"/>
      <c r="CB163" s="29"/>
    </row>
    <row r="164" spans="2:80" ht="15.75" thickBot="1" x14ac:dyDescent="0.3">
      <c r="B164" s="266"/>
      <c r="C164" s="285" t="s">
        <v>496</v>
      </c>
      <c r="D164" s="311" t="s">
        <v>384</v>
      </c>
      <c r="E164" s="286" t="s">
        <v>378</v>
      </c>
      <c r="F164" s="312">
        <f>2.36*(0.027*'Calculo General Hornilla'!E142^0.8*'Calculo General Hornilla'!E140^(1/3)*('Calculo General Hornilla'!E132/'Calculo General Hornilla'!E138)^(1/4))-13.6</f>
        <v>33.775013298561639</v>
      </c>
      <c r="G164" s="312">
        <f>2.36*(0.027*'Calculo General Hornilla'!F142^0.8*'Calculo General Hornilla'!F140^(1/3)*('Calculo General Hornilla'!F132/'Calculo General Hornilla'!F138)^(1/4))-13.6</f>
        <v>36.645810852863534</v>
      </c>
      <c r="H164" s="312">
        <f>2.36*(0.027*'Calculo General Hornilla'!G142^0.8*'Calculo General Hornilla'!G140^(1/3)*('Calculo General Hornilla'!G132/'Calculo General Hornilla'!G138)^(1/4))-13.6</f>
        <v>39.176069027160779</v>
      </c>
      <c r="I164" s="312">
        <f>2.36*(0.027*'Calculo General Hornilla'!H142^0.8*'Calculo General Hornilla'!H140^(1/3)*('Calculo General Hornilla'!H132/'Calculo General Hornilla'!H138)^(1/4))-13.6</f>
        <v>41.753461135367694</v>
      </c>
      <c r="J164" s="312">
        <f>2.36*(0.027*'Calculo General Hornilla'!I142^0.8*'Calculo General Hornilla'!I140^(1/3)*('Calculo General Hornilla'!I132/'Calculo General Hornilla'!I138)^(1/4))-13.6</f>
        <v>44.473963915267291</v>
      </c>
      <c r="K164" s="312">
        <f>2.36*(0.027*'Calculo General Hornilla'!J142^0.8*'Calculo General Hornilla'!J140^(1/3)*('Calculo General Hornilla'!J132/'Calculo General Hornilla'!J138)^(1/4))-13.6</f>
        <v>49.151061230271594</v>
      </c>
      <c r="L164" s="312">
        <f>2.36*(0.027*'Calculo General Hornilla'!K142^0.8*'Calculo General Hornilla'!K140^(1/3)*('Calculo General Hornilla'!K132/'Calculo General Hornilla'!K138)^(1/4))-13.6</f>
        <v>54.53796363028966</v>
      </c>
      <c r="M164" s="312">
        <f>2.36*(0.027*'Calculo General Hornilla'!L142^0.8*'Calculo General Hornilla'!L140^(1/3)*('Calculo General Hornilla'!L132/'Calculo General Hornilla'!L138)^(1/4))-13.6</f>
        <v>58.408033868153105</v>
      </c>
      <c r="N164" s="313">
        <f>2.36*(0.027*'Calculo General Hornilla'!M142^0.8*'Calculo General Hornilla'!M140^(1/3)*('Calculo General Hornilla'!M132/'Calculo General Hornilla'!M138)^(1/4))-13.6</f>
        <v>60.100906511157952</v>
      </c>
      <c r="O164" s="29"/>
      <c r="P164" s="29"/>
      <c r="Q164" s="29"/>
      <c r="R164" s="29"/>
      <c r="S164" s="29"/>
      <c r="T164" s="29"/>
      <c r="V164" s="266"/>
      <c r="W164" s="52"/>
      <c r="X164" s="52"/>
      <c r="Y164" s="29"/>
      <c r="Z164" s="29"/>
      <c r="AA164" s="29"/>
      <c r="AB164" s="29"/>
      <c r="AC164" s="29"/>
      <c r="AD164" s="29"/>
      <c r="AF164" s="266"/>
      <c r="AG164" s="52"/>
      <c r="AH164" s="52"/>
      <c r="AI164" s="29"/>
      <c r="AJ164" s="29"/>
      <c r="AK164" s="29"/>
      <c r="AL164" s="29"/>
      <c r="AM164" s="29"/>
      <c r="AN164" s="29"/>
      <c r="AP164" s="266"/>
      <c r="AQ164" s="52"/>
      <c r="AR164" s="52"/>
      <c r="AS164" s="29"/>
      <c r="AT164" s="29"/>
      <c r="AU164" s="29"/>
      <c r="AV164" s="29"/>
      <c r="AW164" s="29"/>
      <c r="AX164" s="29"/>
      <c r="AZ164" s="266"/>
      <c r="BA164" s="52"/>
      <c r="BB164" s="52"/>
      <c r="BC164" s="29"/>
      <c r="BD164" s="29"/>
      <c r="BE164" s="29"/>
      <c r="BF164" s="29"/>
      <c r="BG164" s="29"/>
      <c r="BH164" s="29"/>
      <c r="BJ164" s="266"/>
      <c r="BK164" s="52"/>
      <c r="BL164" s="52"/>
      <c r="BM164" s="29"/>
      <c r="BN164" s="29"/>
      <c r="BO164" s="29"/>
      <c r="BP164" s="29"/>
      <c r="BQ164" s="29"/>
      <c r="BR164" s="29"/>
      <c r="BT164" s="266"/>
      <c r="BU164" s="52"/>
      <c r="BV164" s="52"/>
      <c r="BW164" s="29"/>
      <c r="BX164" s="29"/>
      <c r="BY164" s="29"/>
      <c r="BZ164" s="29"/>
      <c r="CA164" s="29"/>
      <c r="CB164" s="29"/>
    </row>
    <row r="171" spans="2:80" ht="15.75" thickBot="1" x14ac:dyDescent="0.3"/>
    <row r="172" spans="2:80" ht="15.75" thickBot="1" x14ac:dyDescent="0.3">
      <c r="B172" s="430" t="s">
        <v>464</v>
      </c>
      <c r="C172" s="431"/>
      <c r="D172" s="432"/>
    </row>
    <row r="173" spans="2:80" x14ac:dyDescent="0.25">
      <c r="B173" s="251" t="s">
        <v>461</v>
      </c>
      <c r="C173" s="252">
        <f>'Calculo General Hornilla'!D22/760</f>
        <v>0.82991001477720805</v>
      </c>
      <c r="D173" s="253" t="s">
        <v>396</v>
      </c>
      <c r="E173" s="254"/>
      <c r="F173" s="253"/>
      <c r="G173" s="253"/>
      <c r="H173" s="253"/>
      <c r="I173" s="253"/>
      <c r="J173" s="253"/>
      <c r="K173" s="253"/>
      <c r="L173" s="253"/>
      <c r="M173" s="253"/>
      <c r="N173" s="253"/>
      <c r="O173" s="253"/>
      <c r="P173" s="253"/>
      <c r="Q173" s="253"/>
      <c r="R173" s="253"/>
      <c r="S173" s="247"/>
    </row>
    <row r="174" spans="2:80" x14ac:dyDescent="0.25">
      <c r="B174" s="255" t="s">
        <v>469</v>
      </c>
      <c r="C174" s="244"/>
      <c r="D174" s="245"/>
      <c r="E174" s="256"/>
      <c r="F174" s="245"/>
      <c r="G174" s="245"/>
      <c r="H174" s="245"/>
      <c r="I174" s="245"/>
      <c r="J174" s="245"/>
      <c r="K174" s="245"/>
      <c r="L174" s="245" t="s">
        <v>470</v>
      </c>
      <c r="M174" s="245" t="s">
        <v>471</v>
      </c>
      <c r="N174" s="245" t="s">
        <v>472</v>
      </c>
      <c r="O174" s="245" t="s">
        <v>473</v>
      </c>
      <c r="P174" s="245" t="s">
        <v>474</v>
      </c>
      <c r="Q174" s="245" t="s">
        <v>475</v>
      </c>
      <c r="R174" s="245"/>
      <c r="S174" s="257"/>
    </row>
    <row r="175" spans="2:80" x14ac:dyDescent="0.25">
      <c r="B175" s="255" t="s">
        <v>462</v>
      </c>
      <c r="C175" s="244"/>
      <c r="D175" s="245"/>
      <c r="E175" s="245" t="s">
        <v>465</v>
      </c>
      <c r="F175" s="245" t="s">
        <v>466</v>
      </c>
      <c r="G175" s="245" t="s">
        <v>467</v>
      </c>
      <c r="H175" s="245">
        <v>6.5000000000000002E-2</v>
      </c>
      <c r="I175" s="245"/>
      <c r="J175" s="245"/>
      <c r="K175" s="245" t="s">
        <v>351</v>
      </c>
      <c r="L175" s="245" t="s">
        <v>464</v>
      </c>
      <c r="M175" s="245" t="s">
        <v>464</v>
      </c>
      <c r="N175" s="245" t="s">
        <v>466</v>
      </c>
      <c r="O175" s="245" t="s">
        <v>464</v>
      </c>
      <c r="P175" s="245" t="s">
        <v>464</v>
      </c>
      <c r="Q175" s="245" t="s">
        <v>464</v>
      </c>
      <c r="R175" s="245"/>
      <c r="S175" s="257"/>
    </row>
    <row r="176" spans="2:80" x14ac:dyDescent="0.25">
      <c r="B176" s="255" t="s">
        <v>125</v>
      </c>
      <c r="C176" s="244">
        <f>'Calculo General Hornilla'!C112/'Calculo General Hornilla'!C117</f>
        <v>0.200689579299274</v>
      </c>
      <c r="D176" s="245" t="s">
        <v>463</v>
      </c>
      <c r="E176" s="245">
        <f>C176*C173</f>
        <v>0.16655429172189215</v>
      </c>
      <c r="F176" s="245">
        <v>0.12</v>
      </c>
      <c r="G176" s="245">
        <v>0.06</v>
      </c>
      <c r="H176" s="245"/>
      <c r="I176" s="245"/>
      <c r="J176" s="245"/>
      <c r="K176" s="245">
        <v>1500</v>
      </c>
      <c r="L176" s="245">
        <f>F185+G185-H185</f>
        <v>0.11000000000000001</v>
      </c>
      <c r="M176" s="245">
        <f>F191+G191-H191</f>
        <v>0.12</v>
      </c>
      <c r="N176" s="245">
        <f>F197+G197-H197</f>
        <v>0.12999999999999998</v>
      </c>
      <c r="O176" s="245">
        <f>F203+G203-H203</f>
        <v>0.13999999999999999</v>
      </c>
      <c r="P176" s="245">
        <f>F209+G209-H209</f>
        <v>0.17</v>
      </c>
      <c r="Q176" s="245">
        <f>F215+G215-H215</f>
        <v>0.18000000000000002</v>
      </c>
      <c r="R176" s="245"/>
      <c r="S176" s="257"/>
    </row>
    <row r="177" spans="2:19" x14ac:dyDescent="0.25">
      <c r="B177" s="255" t="s">
        <v>123</v>
      </c>
      <c r="C177" s="244">
        <f>'Calculo General Hornilla'!C109/'Calculo General Hornilla'!C117</f>
        <v>7.2660011701615623E-2</v>
      </c>
      <c r="D177" s="245" t="s">
        <v>463</v>
      </c>
      <c r="E177" s="245">
        <f>C177*C173</f>
        <v>6.0301271384999931E-2</v>
      </c>
      <c r="F177" s="245">
        <v>0.1</v>
      </c>
      <c r="G177" s="245"/>
      <c r="H177" s="245"/>
      <c r="I177" s="245"/>
      <c r="J177" s="245"/>
      <c r="K177" s="245">
        <v>1200</v>
      </c>
      <c r="L177" s="245">
        <f>F186+G186-H186</f>
        <v>0.152</v>
      </c>
      <c r="M177" s="245">
        <f>F192+G192-H192</f>
        <v>0.156</v>
      </c>
      <c r="N177" s="245">
        <f>F198+G198-H198</f>
        <v>0.20200000000000001</v>
      </c>
      <c r="O177" s="245">
        <f>F204+G204-H204</f>
        <v>0.18099999999999999</v>
      </c>
      <c r="P177" s="245">
        <f>F210+G210-H210</f>
        <v>0.21099999999999999</v>
      </c>
      <c r="Q177" s="245">
        <f>F216+G216-H216</f>
        <v>0.221</v>
      </c>
      <c r="R177" s="245"/>
      <c r="S177" s="257"/>
    </row>
    <row r="178" spans="2:19" x14ac:dyDescent="0.25">
      <c r="B178" s="255"/>
      <c r="C178" s="256"/>
      <c r="D178" s="256"/>
      <c r="E178" s="245"/>
      <c r="F178" s="245"/>
      <c r="G178" s="245">
        <f>F176+F177-G176</f>
        <v>0.16</v>
      </c>
      <c r="H178" s="245"/>
      <c r="I178" s="245"/>
      <c r="J178" s="245"/>
      <c r="K178" s="245">
        <v>800</v>
      </c>
      <c r="L178" s="245">
        <f>F187+G187-H187</f>
        <v>0.23400000000000001</v>
      </c>
      <c r="M178" s="245">
        <f>F193+G193-H193</f>
        <v>0.24300000000000002</v>
      </c>
      <c r="N178" s="245">
        <f>F199+G199-H199</f>
        <v>0.25400000000000006</v>
      </c>
      <c r="O178" s="245">
        <f>F205+G205-H205</f>
        <v>0.25300000000000006</v>
      </c>
      <c r="P178" s="245">
        <f>F211+G211-H211</f>
        <v>0.26300000000000001</v>
      </c>
      <c r="Q178" s="245">
        <f>F217+G217-H217</f>
        <v>0.27300000000000002</v>
      </c>
      <c r="R178" s="245"/>
      <c r="S178" s="257"/>
    </row>
    <row r="179" spans="2:19" x14ac:dyDescent="0.25">
      <c r="B179" s="255"/>
      <c r="C179" s="256"/>
      <c r="D179" s="256"/>
      <c r="E179" s="245" t="s">
        <v>468</v>
      </c>
      <c r="F179" s="245"/>
      <c r="G179" s="245"/>
      <c r="H179" s="245"/>
      <c r="I179" s="245"/>
      <c r="J179" s="245"/>
      <c r="K179" s="256">
        <v>400</v>
      </c>
      <c r="L179" s="245">
        <f>F188+G188-H188</f>
        <v>0.24100000000000002</v>
      </c>
      <c r="M179" s="245">
        <f>F194+G194-H194</f>
        <v>0.25</v>
      </c>
      <c r="N179" s="245">
        <f>F200+G200-H200</f>
        <v>0.251</v>
      </c>
      <c r="O179" s="245">
        <f>F206+G206-H206</f>
        <v>0.25</v>
      </c>
      <c r="P179" s="245">
        <f>F212+G212-H212</f>
        <v>0.26</v>
      </c>
      <c r="Q179" s="245">
        <f>F218+G218-H218</f>
        <v>0.27</v>
      </c>
      <c r="R179" s="245"/>
      <c r="S179" s="257"/>
    </row>
    <row r="180" spans="2:19" x14ac:dyDescent="0.25">
      <c r="B180" s="255"/>
      <c r="C180" s="256"/>
      <c r="D180" s="256"/>
      <c r="E180" s="245">
        <f>E176/(E177+E176)</f>
        <v>0.73418649928991786</v>
      </c>
      <c r="F180" s="256"/>
      <c r="G180" s="245"/>
      <c r="H180" s="245"/>
      <c r="I180" s="245"/>
      <c r="J180" s="245"/>
      <c r="K180" s="245"/>
      <c r="L180" s="245"/>
      <c r="M180" s="245"/>
      <c r="N180" s="245"/>
      <c r="O180" s="245"/>
      <c r="P180" s="245"/>
      <c r="Q180" s="245"/>
      <c r="R180" s="245"/>
      <c r="S180" s="257"/>
    </row>
    <row r="181" spans="2:19" x14ac:dyDescent="0.25">
      <c r="B181" s="258"/>
      <c r="C181" s="256"/>
      <c r="D181" s="256"/>
      <c r="E181" s="245"/>
      <c r="F181" s="245"/>
      <c r="G181" s="245"/>
      <c r="H181" s="245"/>
      <c r="I181" s="245"/>
      <c r="J181" s="245"/>
      <c r="K181" s="245"/>
      <c r="L181" s="245"/>
      <c r="M181" s="245"/>
      <c r="N181" s="245"/>
      <c r="O181" s="245"/>
      <c r="P181" s="245"/>
      <c r="Q181" s="245"/>
      <c r="R181" s="245"/>
      <c r="S181" s="257"/>
    </row>
    <row r="182" spans="2:19" x14ac:dyDescent="0.25">
      <c r="B182" s="258"/>
      <c r="C182" s="256"/>
      <c r="D182" s="256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5"/>
      <c r="S182" s="257"/>
    </row>
    <row r="183" spans="2:19" x14ac:dyDescent="0.25">
      <c r="B183" s="258"/>
      <c r="C183" s="256"/>
      <c r="D183" s="256"/>
      <c r="E183" s="249">
        <v>0</v>
      </c>
      <c r="F183" s="239" t="s">
        <v>125</v>
      </c>
      <c r="G183" s="239" t="s">
        <v>123</v>
      </c>
      <c r="H183" s="423" t="s">
        <v>467</v>
      </c>
      <c r="I183" s="246"/>
      <c r="J183" s="245"/>
      <c r="K183" s="256"/>
      <c r="L183" s="245"/>
      <c r="M183" s="245"/>
      <c r="N183" s="245"/>
      <c r="O183" s="245"/>
      <c r="P183" s="245"/>
      <c r="Q183" s="245"/>
      <c r="R183" s="245"/>
      <c r="S183" s="257"/>
    </row>
    <row r="184" spans="2:19" x14ac:dyDescent="0.25">
      <c r="B184" s="258"/>
      <c r="C184" s="256"/>
      <c r="D184" s="256"/>
      <c r="E184" s="239" t="s">
        <v>476</v>
      </c>
      <c r="F184" s="239">
        <v>7.1583990021832938E-2</v>
      </c>
      <c r="G184" s="239">
        <v>0.09</v>
      </c>
      <c r="H184" s="423"/>
      <c r="I184" s="256"/>
      <c r="J184" s="256"/>
      <c r="K184" s="256"/>
      <c r="L184" s="256"/>
      <c r="M184" s="256"/>
      <c r="N184" s="256"/>
      <c r="O184" s="256"/>
      <c r="P184" s="256"/>
      <c r="Q184" s="256"/>
      <c r="R184" s="256"/>
      <c r="S184" s="259"/>
    </row>
    <row r="185" spans="2:19" x14ac:dyDescent="0.25">
      <c r="B185" s="258"/>
      <c r="C185" s="256"/>
      <c r="D185" s="256"/>
      <c r="E185" s="245">
        <v>1500</v>
      </c>
      <c r="F185" s="256">
        <v>7.0000000000000007E-2</v>
      </c>
      <c r="G185" s="256">
        <v>0.08</v>
      </c>
      <c r="H185" s="256">
        <v>0.04</v>
      </c>
      <c r="I185" s="256"/>
      <c r="J185" s="256"/>
      <c r="K185" s="256"/>
      <c r="L185" s="256"/>
      <c r="M185" s="256"/>
      <c r="N185" s="256"/>
      <c r="O185" s="256"/>
      <c r="P185" s="256"/>
      <c r="Q185" s="256"/>
      <c r="R185" s="256"/>
      <c r="S185" s="259"/>
    </row>
    <row r="186" spans="2:19" x14ac:dyDescent="0.25">
      <c r="B186" s="258"/>
      <c r="C186" s="256"/>
      <c r="D186" s="256"/>
      <c r="E186" s="245">
        <v>1200</v>
      </c>
      <c r="F186" s="256">
        <v>0.09</v>
      </c>
      <c r="G186" s="256">
        <v>0.1</v>
      </c>
      <c r="H186" s="256">
        <v>3.7999999999999999E-2</v>
      </c>
      <c r="I186" s="256"/>
      <c r="J186" s="256"/>
      <c r="K186" s="256"/>
      <c r="L186" s="256"/>
      <c r="M186" s="256"/>
      <c r="N186" s="256"/>
      <c r="O186" s="256"/>
      <c r="P186" s="256"/>
      <c r="Q186" s="256"/>
      <c r="R186" s="256"/>
      <c r="S186" s="259"/>
    </row>
    <row r="187" spans="2:19" x14ac:dyDescent="0.25">
      <c r="B187" s="258"/>
      <c r="C187" s="256"/>
      <c r="D187" s="256"/>
      <c r="E187" s="245">
        <v>800</v>
      </c>
      <c r="F187" s="256">
        <v>0.15</v>
      </c>
      <c r="G187" s="256">
        <v>0.12</v>
      </c>
      <c r="H187" s="256">
        <v>3.5999999999999997E-2</v>
      </c>
      <c r="I187" s="256"/>
      <c r="J187" s="256"/>
      <c r="K187" s="256"/>
      <c r="L187" s="256"/>
      <c r="M187" s="256"/>
      <c r="N187" s="256"/>
      <c r="O187" s="256"/>
      <c r="P187" s="256"/>
      <c r="Q187" s="256"/>
      <c r="R187" s="256"/>
      <c r="S187" s="259"/>
    </row>
    <row r="188" spans="2:19" x14ac:dyDescent="0.25">
      <c r="B188" s="258"/>
      <c r="C188" s="256"/>
      <c r="D188" s="256"/>
      <c r="E188" s="256">
        <v>400</v>
      </c>
      <c r="F188" s="256">
        <v>0.18</v>
      </c>
      <c r="G188" s="256">
        <v>9.5000000000000001E-2</v>
      </c>
      <c r="H188" s="256">
        <v>3.4000000000000002E-2</v>
      </c>
      <c r="I188" s="256"/>
      <c r="J188" s="256"/>
      <c r="K188" s="256"/>
      <c r="L188" s="256"/>
      <c r="M188" s="256"/>
      <c r="N188" s="256"/>
      <c r="O188" s="256"/>
      <c r="P188" s="256"/>
      <c r="Q188" s="256"/>
      <c r="R188" s="256"/>
      <c r="S188" s="259"/>
    </row>
    <row r="189" spans="2:19" x14ac:dyDescent="0.25">
      <c r="B189" s="258"/>
      <c r="C189" s="256"/>
      <c r="D189" s="256"/>
      <c r="E189" s="250">
        <v>0.1</v>
      </c>
      <c r="F189" s="239" t="s">
        <v>125</v>
      </c>
      <c r="G189" s="239" t="s">
        <v>123</v>
      </c>
      <c r="H189" s="423" t="s">
        <v>467</v>
      </c>
      <c r="I189" s="256"/>
      <c r="J189" s="256"/>
      <c r="K189" s="256"/>
      <c r="L189" s="256"/>
      <c r="M189" s="256"/>
      <c r="N189" s="256"/>
      <c r="O189" s="256"/>
      <c r="P189" s="256"/>
      <c r="Q189" s="256"/>
      <c r="R189" s="256"/>
      <c r="S189" s="259"/>
    </row>
    <row r="190" spans="2:19" x14ac:dyDescent="0.25">
      <c r="B190" s="258"/>
      <c r="C190" s="256"/>
      <c r="D190" s="256"/>
      <c r="E190" s="239" t="s">
        <v>476</v>
      </c>
      <c r="F190" s="239">
        <v>8.3705191414343336E-2</v>
      </c>
      <c r="G190" s="248">
        <v>0.09</v>
      </c>
      <c r="H190" s="423"/>
      <c r="I190" s="256"/>
      <c r="J190" s="256"/>
      <c r="K190" s="256"/>
      <c r="L190" s="256"/>
      <c r="M190" s="256"/>
      <c r="N190" s="256"/>
      <c r="O190" s="256"/>
      <c r="P190" s="256"/>
      <c r="Q190" s="256"/>
      <c r="R190" s="256"/>
      <c r="S190" s="259"/>
    </row>
    <row r="191" spans="2:19" x14ac:dyDescent="0.25">
      <c r="B191" s="258"/>
      <c r="C191" s="256"/>
      <c r="D191" s="256"/>
      <c r="E191" s="245">
        <v>1500</v>
      </c>
      <c r="F191" s="256">
        <v>0.08</v>
      </c>
      <c r="G191" s="256">
        <v>0.08</v>
      </c>
      <c r="H191" s="256">
        <v>0.04</v>
      </c>
      <c r="I191" s="256"/>
      <c r="J191" s="256"/>
      <c r="K191" s="256"/>
      <c r="L191" s="256"/>
      <c r="M191" s="256"/>
      <c r="N191" s="256"/>
      <c r="O191" s="256"/>
      <c r="P191" s="256"/>
      <c r="Q191" s="256"/>
      <c r="R191" s="256"/>
      <c r="S191" s="259"/>
    </row>
    <row r="192" spans="2:19" x14ac:dyDescent="0.25">
      <c r="B192" s="258"/>
      <c r="C192" s="256"/>
      <c r="D192" s="256"/>
      <c r="E192" s="245">
        <v>1200</v>
      </c>
      <c r="F192" s="256">
        <v>9.5000000000000001E-2</v>
      </c>
      <c r="G192" s="256">
        <v>0.1</v>
      </c>
      <c r="H192" s="256">
        <v>3.9E-2</v>
      </c>
      <c r="I192" s="256"/>
      <c r="J192" s="256"/>
      <c r="K192" s="256"/>
      <c r="L192" s="256"/>
      <c r="M192" s="256"/>
      <c r="N192" s="256"/>
      <c r="O192" s="256"/>
      <c r="P192" s="256"/>
      <c r="Q192" s="256"/>
      <c r="R192" s="256"/>
      <c r="S192" s="259"/>
    </row>
    <row r="193" spans="2:19" x14ac:dyDescent="0.25">
      <c r="B193" s="258"/>
      <c r="C193" s="256"/>
      <c r="D193" s="256"/>
      <c r="E193" s="245">
        <v>800</v>
      </c>
      <c r="F193" s="256">
        <v>0.16</v>
      </c>
      <c r="G193" s="256">
        <v>0.12</v>
      </c>
      <c r="H193" s="256">
        <v>3.6999999999999998E-2</v>
      </c>
      <c r="I193" s="256"/>
      <c r="J193" s="256"/>
      <c r="K193" s="256"/>
      <c r="L193" s="256"/>
      <c r="M193" s="256"/>
      <c r="N193" s="256"/>
      <c r="O193" s="256"/>
      <c r="P193" s="256"/>
      <c r="Q193" s="256"/>
      <c r="R193" s="256"/>
      <c r="S193" s="259"/>
    </row>
    <row r="194" spans="2:19" x14ac:dyDescent="0.25">
      <c r="B194" s="258"/>
      <c r="C194" s="256"/>
      <c r="D194" s="256"/>
      <c r="E194" s="256">
        <v>400</v>
      </c>
      <c r="F194" s="256">
        <v>0.19</v>
      </c>
      <c r="G194" s="256">
        <v>9.5000000000000001E-2</v>
      </c>
      <c r="H194" s="256">
        <v>3.5000000000000003E-2</v>
      </c>
      <c r="I194" s="256"/>
      <c r="J194" s="256"/>
      <c r="K194" s="256"/>
      <c r="L194" s="256"/>
      <c r="M194" s="256"/>
      <c r="N194" s="256"/>
      <c r="O194" s="256"/>
      <c r="P194" s="256"/>
      <c r="Q194" s="256"/>
      <c r="R194" s="256"/>
      <c r="S194" s="259"/>
    </row>
    <row r="195" spans="2:19" x14ac:dyDescent="0.25">
      <c r="B195" s="258"/>
      <c r="C195" s="256"/>
      <c r="D195" s="256"/>
      <c r="E195" s="250">
        <v>0.2</v>
      </c>
      <c r="F195" s="239" t="s">
        <v>125</v>
      </c>
      <c r="G195" s="239" t="s">
        <v>123</v>
      </c>
      <c r="H195" s="423" t="s">
        <v>467</v>
      </c>
      <c r="I195" s="256"/>
      <c r="J195" s="256"/>
      <c r="K195" s="256"/>
      <c r="L195" s="256"/>
      <c r="M195" s="256"/>
      <c r="N195" s="256"/>
      <c r="O195" s="256"/>
      <c r="P195" s="256"/>
      <c r="Q195" s="256"/>
      <c r="R195" s="256"/>
      <c r="S195" s="259"/>
    </row>
    <row r="196" spans="2:19" x14ac:dyDescent="0.25">
      <c r="B196" s="258"/>
      <c r="C196" s="256"/>
      <c r="D196" s="256"/>
      <c r="E196" s="239" t="s">
        <v>476</v>
      </c>
      <c r="F196" s="239">
        <v>9.8567463904009001E-2</v>
      </c>
      <c r="G196" s="248">
        <v>0.09</v>
      </c>
      <c r="H196" s="423"/>
      <c r="I196" s="256"/>
      <c r="J196" s="256"/>
      <c r="K196" s="256"/>
      <c r="L196" s="256"/>
      <c r="M196" s="256"/>
      <c r="N196" s="256"/>
      <c r="O196" s="256"/>
      <c r="P196" s="256"/>
      <c r="Q196" s="256"/>
      <c r="R196" s="256"/>
      <c r="S196" s="259"/>
    </row>
    <row r="197" spans="2:19" x14ac:dyDescent="0.25">
      <c r="B197" s="258"/>
      <c r="C197" s="256"/>
      <c r="D197" s="256"/>
      <c r="E197" s="245">
        <v>1500</v>
      </c>
      <c r="F197" s="256">
        <v>0.09</v>
      </c>
      <c r="G197" s="256">
        <v>0.08</v>
      </c>
      <c r="H197" s="256">
        <v>0.04</v>
      </c>
      <c r="I197" s="256"/>
      <c r="J197" s="256"/>
      <c r="K197" s="256"/>
      <c r="L197" s="256"/>
      <c r="M197" s="256"/>
      <c r="N197" s="256"/>
      <c r="O197" s="256"/>
      <c r="P197" s="256"/>
      <c r="Q197" s="256"/>
      <c r="R197" s="256"/>
      <c r="S197" s="259"/>
    </row>
    <row r="198" spans="2:19" x14ac:dyDescent="0.25">
      <c r="B198" s="258"/>
      <c r="C198" s="256"/>
      <c r="D198" s="256"/>
      <c r="E198" s="245">
        <v>1200</v>
      </c>
      <c r="F198" s="256">
        <v>0.14000000000000001</v>
      </c>
      <c r="G198" s="256">
        <v>0.1</v>
      </c>
      <c r="H198" s="256">
        <v>3.7999999999999999E-2</v>
      </c>
      <c r="I198" s="256"/>
      <c r="J198" s="256"/>
      <c r="K198" s="256"/>
      <c r="L198" s="256"/>
      <c r="M198" s="256"/>
      <c r="N198" s="256"/>
      <c r="O198" s="256"/>
      <c r="P198" s="256"/>
      <c r="Q198" s="256"/>
      <c r="R198" s="256"/>
      <c r="S198" s="259"/>
    </row>
    <row r="199" spans="2:19" x14ac:dyDescent="0.25">
      <c r="B199" s="258"/>
      <c r="C199" s="256"/>
      <c r="D199" s="256"/>
      <c r="E199" s="245">
        <v>800</v>
      </c>
      <c r="F199" s="256">
        <v>0.17</v>
      </c>
      <c r="G199" s="256">
        <v>0.12</v>
      </c>
      <c r="H199" s="256">
        <v>3.5999999999999997E-2</v>
      </c>
      <c r="I199" s="256"/>
      <c r="J199" s="256"/>
      <c r="K199" s="256"/>
      <c r="L199" s="256"/>
      <c r="M199" s="256"/>
      <c r="N199" s="256"/>
      <c r="O199" s="256"/>
      <c r="P199" s="256"/>
      <c r="Q199" s="256"/>
      <c r="R199" s="256"/>
      <c r="S199" s="259"/>
    </row>
    <row r="200" spans="2:19" x14ac:dyDescent="0.25">
      <c r="B200" s="258"/>
      <c r="C200" s="256"/>
      <c r="D200" s="256"/>
      <c r="E200" s="256">
        <v>400</v>
      </c>
      <c r="F200" s="256">
        <v>0.19</v>
      </c>
      <c r="G200" s="256">
        <v>9.5000000000000001E-2</v>
      </c>
      <c r="H200" s="256">
        <v>3.4000000000000002E-2</v>
      </c>
      <c r="I200" s="256"/>
      <c r="J200" s="256"/>
      <c r="K200" s="256"/>
      <c r="L200" s="256"/>
      <c r="M200" s="256"/>
      <c r="N200" s="256"/>
      <c r="O200" s="256"/>
      <c r="P200" s="256"/>
      <c r="Q200" s="256"/>
      <c r="R200" s="256"/>
      <c r="S200" s="259"/>
    </row>
    <row r="201" spans="2:19" x14ac:dyDescent="0.25">
      <c r="B201" s="258"/>
      <c r="C201" s="256"/>
      <c r="D201" s="256"/>
      <c r="E201" s="250">
        <v>0.3</v>
      </c>
      <c r="F201" s="239" t="s">
        <v>125</v>
      </c>
      <c r="G201" s="239" t="s">
        <v>123</v>
      </c>
      <c r="H201" s="423" t="s">
        <v>467</v>
      </c>
      <c r="I201" s="256"/>
      <c r="J201" s="256"/>
      <c r="K201" s="256"/>
      <c r="L201" s="256"/>
      <c r="M201" s="256"/>
      <c r="N201" s="256"/>
      <c r="O201" s="256"/>
      <c r="P201" s="256"/>
      <c r="Q201" s="256"/>
      <c r="R201" s="256"/>
      <c r="S201" s="259"/>
    </row>
    <row r="202" spans="2:19" x14ac:dyDescent="0.25">
      <c r="B202" s="258"/>
      <c r="C202" s="256"/>
      <c r="D202" s="256"/>
      <c r="E202" s="239" t="s">
        <v>476</v>
      </c>
      <c r="F202" s="239">
        <v>0.11657793532291288</v>
      </c>
      <c r="G202" s="248">
        <v>0.09</v>
      </c>
      <c r="H202" s="423"/>
      <c r="I202" s="256"/>
      <c r="J202" s="256"/>
      <c r="K202" s="256"/>
      <c r="L202" s="256"/>
      <c r="M202" s="256"/>
      <c r="N202" s="256"/>
      <c r="O202" s="256"/>
      <c r="P202" s="256"/>
      <c r="Q202" s="256"/>
      <c r="R202" s="256"/>
      <c r="S202" s="259"/>
    </row>
    <row r="203" spans="2:19" x14ac:dyDescent="0.25">
      <c r="B203" s="258"/>
      <c r="C203" s="256"/>
      <c r="D203" s="256"/>
      <c r="E203" s="245">
        <v>1500</v>
      </c>
      <c r="F203" s="256">
        <v>0.1</v>
      </c>
      <c r="G203" s="256">
        <v>0.08</v>
      </c>
      <c r="H203" s="256">
        <v>0.04</v>
      </c>
      <c r="I203" s="256"/>
      <c r="J203" s="256"/>
      <c r="K203" s="256"/>
      <c r="L203" s="256"/>
      <c r="M203" s="256"/>
      <c r="N203" s="256"/>
      <c r="O203" s="256"/>
      <c r="P203" s="256"/>
      <c r="Q203" s="256"/>
      <c r="R203" s="256"/>
      <c r="S203" s="259"/>
    </row>
    <row r="204" spans="2:19" x14ac:dyDescent="0.25">
      <c r="B204" s="258"/>
      <c r="C204" s="256"/>
      <c r="D204" s="256"/>
      <c r="E204" s="245">
        <v>1200</v>
      </c>
      <c r="F204" s="256">
        <v>0.12</v>
      </c>
      <c r="G204" s="256">
        <v>0.1</v>
      </c>
      <c r="H204" s="256">
        <v>3.9E-2</v>
      </c>
      <c r="I204" s="256"/>
      <c r="J204" s="256"/>
      <c r="K204" s="256"/>
      <c r="L204" s="256"/>
      <c r="M204" s="256"/>
      <c r="N204" s="256"/>
      <c r="O204" s="256"/>
      <c r="P204" s="256"/>
      <c r="Q204" s="256"/>
      <c r="R204" s="256"/>
      <c r="S204" s="259"/>
    </row>
    <row r="205" spans="2:19" x14ac:dyDescent="0.25">
      <c r="B205" s="258"/>
      <c r="C205" s="256"/>
      <c r="D205" s="256"/>
      <c r="E205" s="245">
        <v>800</v>
      </c>
      <c r="F205" s="256">
        <v>0.17</v>
      </c>
      <c r="G205" s="256">
        <v>0.12</v>
      </c>
      <c r="H205" s="256">
        <v>3.6999999999999998E-2</v>
      </c>
      <c r="I205" s="256"/>
      <c r="J205" s="256"/>
      <c r="K205" s="256"/>
      <c r="L205" s="256"/>
      <c r="M205" s="256"/>
      <c r="N205" s="256"/>
      <c r="O205" s="256"/>
      <c r="P205" s="256"/>
      <c r="Q205" s="256"/>
      <c r="R205" s="256"/>
      <c r="S205" s="259"/>
    </row>
    <row r="206" spans="2:19" x14ac:dyDescent="0.25">
      <c r="B206" s="258"/>
      <c r="C206" s="256"/>
      <c r="D206" s="256"/>
      <c r="E206" s="256">
        <v>400</v>
      </c>
      <c r="F206" s="256">
        <v>0.19</v>
      </c>
      <c r="G206" s="256">
        <v>9.5000000000000001E-2</v>
      </c>
      <c r="H206" s="256">
        <v>3.5000000000000003E-2</v>
      </c>
      <c r="I206" s="256"/>
      <c r="J206" s="256"/>
      <c r="K206" s="256"/>
      <c r="L206" s="256"/>
      <c r="M206" s="256"/>
      <c r="N206" s="256"/>
      <c r="O206" s="256"/>
      <c r="P206" s="256"/>
      <c r="Q206" s="256"/>
      <c r="R206" s="256"/>
      <c r="S206" s="259"/>
    </row>
    <row r="207" spans="2:19" x14ac:dyDescent="0.25">
      <c r="B207" s="258"/>
      <c r="C207" s="256"/>
      <c r="D207" s="256"/>
      <c r="E207" s="250">
        <v>0.4</v>
      </c>
      <c r="F207" s="239" t="s">
        <v>125</v>
      </c>
      <c r="G207" s="239" t="s">
        <v>123</v>
      </c>
      <c r="H207" s="423" t="s">
        <v>467</v>
      </c>
      <c r="I207" s="256"/>
      <c r="J207" s="256" t="s">
        <v>477</v>
      </c>
      <c r="K207" s="256">
        <v>1</v>
      </c>
      <c r="L207" s="256">
        <v>2</v>
      </c>
      <c r="M207" s="256">
        <v>3</v>
      </c>
      <c r="N207" s="256">
        <v>4</v>
      </c>
      <c r="O207" s="256">
        <v>5</v>
      </c>
      <c r="P207" s="256">
        <v>6</v>
      </c>
      <c r="Q207" s="256">
        <v>7</v>
      </c>
      <c r="R207" s="256">
        <v>8</v>
      </c>
      <c r="S207" s="259"/>
    </row>
    <row r="208" spans="2:19" x14ac:dyDescent="0.25">
      <c r="B208" s="258"/>
      <c r="C208" s="256"/>
      <c r="D208" s="256"/>
      <c r="E208" s="239" t="s">
        <v>476</v>
      </c>
      <c r="F208" s="239">
        <v>0.13925587492200231</v>
      </c>
      <c r="G208" s="248">
        <v>0.09</v>
      </c>
      <c r="H208" s="423"/>
      <c r="I208" s="256"/>
      <c r="J208" s="256" t="s">
        <v>478</v>
      </c>
      <c r="K208" s="256">
        <f>'Calculo General Hornilla'!E128+273.15</f>
        <v>1223.1500000000001</v>
      </c>
      <c r="L208" s="256">
        <f>'Calculo General Hornilla'!F128+273.15</f>
        <v>1173.1500000000001</v>
      </c>
      <c r="M208" s="256">
        <f>'Calculo General Hornilla'!G128+273.15</f>
        <v>1123.1500000000001</v>
      </c>
      <c r="N208" s="256">
        <f>'Calculo General Hornilla'!H128+273.15</f>
        <v>1073.1500000000001</v>
      </c>
      <c r="O208" s="256">
        <f>'Calculo General Hornilla'!I128+273.15</f>
        <v>1023.15</v>
      </c>
      <c r="P208" s="256">
        <f>'Calculo General Hornilla'!J128+273.15</f>
        <v>973.15</v>
      </c>
      <c r="Q208" s="256">
        <f>'Calculo General Hornilla'!K128+273.15</f>
        <v>923.15</v>
      </c>
      <c r="R208" s="256">
        <f>'Calculo General Hornilla'!L128+273.15</f>
        <v>873.15</v>
      </c>
      <c r="S208" s="259"/>
    </row>
    <row r="209" spans="2:19" x14ac:dyDescent="0.25">
      <c r="B209" s="258"/>
      <c r="C209" s="256"/>
      <c r="D209" s="256"/>
      <c r="E209" s="245">
        <v>1500</v>
      </c>
      <c r="F209" s="256">
        <v>0.13</v>
      </c>
      <c r="G209" s="256">
        <v>0.08</v>
      </c>
      <c r="H209" s="256">
        <v>0.04</v>
      </c>
      <c r="I209" s="256"/>
      <c r="J209" s="260">
        <v>0</v>
      </c>
      <c r="K209" s="261">
        <f t="shared" ref="K209:R209" si="8">0.0000000003*K208^3 - 0.0000009*K208^2 + 0.0008*K208 + 0.0588</f>
        <v>0.23981858803176251</v>
      </c>
      <c r="L209" s="261">
        <f t="shared" si="8"/>
        <v>0.24304235901926277</v>
      </c>
      <c r="M209" s="261">
        <f t="shared" si="8"/>
        <v>0.24704530500676261</v>
      </c>
      <c r="N209" s="261">
        <f t="shared" si="8"/>
        <v>0.25160242599426269</v>
      </c>
      <c r="O209" s="261">
        <f t="shared" si="8"/>
        <v>0.25648872198176259</v>
      </c>
      <c r="P209" s="261">
        <f t="shared" si="8"/>
        <v>0.26147919296926253</v>
      </c>
      <c r="Q209" s="261">
        <f t="shared" si="8"/>
        <v>0.26634883895676259</v>
      </c>
      <c r="R209" s="261">
        <f t="shared" si="8"/>
        <v>0.27087265994426263</v>
      </c>
      <c r="S209" s="259"/>
    </row>
    <row r="210" spans="2:19" x14ac:dyDescent="0.25">
      <c r="B210" s="258"/>
      <c r="C210" s="256"/>
      <c r="D210" s="256"/>
      <c r="E210" s="245">
        <v>1200</v>
      </c>
      <c r="F210" s="256">
        <v>0.15</v>
      </c>
      <c r="G210" s="256">
        <v>0.1</v>
      </c>
      <c r="H210" s="256">
        <v>3.9E-2</v>
      </c>
      <c r="I210" s="256"/>
      <c r="J210" s="260">
        <v>0.1</v>
      </c>
      <c r="K210" s="261">
        <f t="shared" ref="K210:R210" si="9" xml:space="preserve"> 0.0000000004*K208^3 - 0.000001*K208^2 + 0.0009*K208 + 0.0411</f>
        <v>0.37781896854234986</v>
      </c>
      <c r="L210" s="261">
        <f t="shared" si="9"/>
        <v>0.36648766319235015</v>
      </c>
      <c r="M210" s="261">
        <f t="shared" si="9"/>
        <v>0.35719525784235029</v>
      </c>
      <c r="N210" s="261">
        <f t="shared" si="9"/>
        <v>0.3496417524923503</v>
      </c>
      <c r="O210" s="261">
        <f t="shared" si="9"/>
        <v>0.34352714714235011</v>
      </c>
      <c r="P210" s="261">
        <f t="shared" si="9"/>
        <v>0.33855144179234997</v>
      </c>
      <c r="Q210" s="261">
        <f t="shared" si="9"/>
        <v>0.33441463644235003</v>
      </c>
      <c r="R210" s="261">
        <f t="shared" si="9"/>
        <v>0.33081673109234999</v>
      </c>
      <c r="S210" s="259"/>
    </row>
    <row r="211" spans="2:19" x14ac:dyDescent="0.25">
      <c r="B211" s="258"/>
      <c r="C211" s="256"/>
      <c r="D211" s="256"/>
      <c r="E211" s="245">
        <v>800</v>
      </c>
      <c r="F211" s="256">
        <v>0.18</v>
      </c>
      <c r="G211" s="256">
        <v>0.12</v>
      </c>
      <c r="H211" s="256">
        <v>3.6999999999999998E-2</v>
      </c>
      <c r="I211" s="256"/>
      <c r="J211" s="260">
        <v>0.2</v>
      </c>
      <c r="K211" s="261">
        <f t="shared" ref="K211:R211" si="10">0.00000000001*K208^3 - 0.0000002*K208^2 + 0.0002*K208 + 0.1879</f>
        <v>0.15161031277605871</v>
      </c>
      <c r="L211" s="261">
        <f t="shared" si="10"/>
        <v>0.1634196551423088</v>
      </c>
      <c r="M211" s="261">
        <f t="shared" si="10"/>
        <v>0.17440497000855879</v>
      </c>
      <c r="N211" s="261">
        <f t="shared" si="10"/>
        <v>0.18455875737480879</v>
      </c>
      <c r="O211" s="261">
        <f t="shared" si="10"/>
        <v>0.19387351724105878</v>
      </c>
      <c r="P211" s="261">
        <f t="shared" si="10"/>
        <v>0.20234174960730877</v>
      </c>
      <c r="Q211" s="261">
        <f t="shared" si="10"/>
        <v>0.2099559544735588</v>
      </c>
      <c r="R211" s="261">
        <f t="shared" si="10"/>
        <v>0.21670863183980876</v>
      </c>
      <c r="S211" s="259"/>
    </row>
    <row r="212" spans="2:19" x14ac:dyDescent="0.25">
      <c r="B212" s="258"/>
      <c r="C212" s="256"/>
      <c r="D212" s="256"/>
      <c r="E212" s="256">
        <v>400</v>
      </c>
      <c r="F212" s="256">
        <v>0.2</v>
      </c>
      <c r="G212" s="256">
        <v>9.5000000000000001E-2</v>
      </c>
      <c r="H212" s="256">
        <v>3.5000000000000003E-2</v>
      </c>
      <c r="I212" s="256"/>
      <c r="J212" s="260">
        <v>0.3</v>
      </c>
      <c r="K212" s="261">
        <f t="shared" ref="K212:R212" si="11">0.0000000003*K208^3 - 0.0000009*K208^2 + 0.0008*K208 + 0.0686</f>
        <v>0.24961858803176251</v>
      </c>
      <c r="L212" s="261">
        <f t="shared" si="11"/>
        <v>0.25284235901926277</v>
      </c>
      <c r="M212" s="261">
        <f t="shared" si="11"/>
        <v>0.25684530500676261</v>
      </c>
      <c r="N212" s="261">
        <f t="shared" si="11"/>
        <v>0.26140242599426267</v>
      </c>
      <c r="O212" s="261">
        <f t="shared" si="11"/>
        <v>0.26628872198176257</v>
      </c>
      <c r="P212" s="261">
        <f t="shared" si="11"/>
        <v>0.27127919296926251</v>
      </c>
      <c r="Q212" s="261">
        <f t="shared" si="11"/>
        <v>0.27614883895676257</v>
      </c>
      <c r="R212" s="261">
        <f t="shared" si="11"/>
        <v>0.2806726599442626</v>
      </c>
      <c r="S212" s="259"/>
    </row>
    <row r="213" spans="2:19" x14ac:dyDescent="0.25">
      <c r="B213" s="258"/>
      <c r="C213" s="256"/>
      <c r="D213" s="256"/>
      <c r="E213" s="250">
        <v>0.5</v>
      </c>
      <c r="F213" s="239" t="s">
        <v>125</v>
      </c>
      <c r="G213" s="239" t="s">
        <v>123</v>
      </c>
      <c r="H213" s="423" t="s">
        <v>467</v>
      </c>
      <c r="I213" s="256"/>
      <c r="J213" s="260">
        <v>0.4</v>
      </c>
      <c r="K213" s="256">
        <f t="shared" ref="K213:R213" si="12" xml:space="preserve"> 0.0000000001*K208^3 - 0.0000005*K208^2 + 0.0005*K208 + 0.1453</f>
        <v>0.19182201151058745</v>
      </c>
      <c r="L213" s="256">
        <f t="shared" si="12"/>
        <v>0.20519293517308759</v>
      </c>
      <c r="M213" s="256">
        <f t="shared" si="12"/>
        <v>0.21782358383558756</v>
      </c>
      <c r="N213" s="256">
        <f t="shared" si="12"/>
        <v>0.22963895749808758</v>
      </c>
      <c r="O213" s="256">
        <f t="shared" si="12"/>
        <v>0.24056405616058754</v>
      </c>
      <c r="P213" s="256">
        <f t="shared" si="12"/>
        <v>0.25052387982308755</v>
      </c>
      <c r="Q213" s="256">
        <f t="shared" si="12"/>
        <v>0.25944342848558755</v>
      </c>
      <c r="R213" s="256">
        <f t="shared" si="12"/>
        <v>0.26724770214808757</v>
      </c>
      <c r="S213" s="259"/>
    </row>
    <row r="214" spans="2:19" x14ac:dyDescent="0.25">
      <c r="B214" s="258"/>
      <c r="C214" s="256"/>
      <c r="D214" s="256"/>
      <c r="E214" s="239" t="s">
        <v>476</v>
      </c>
      <c r="F214" s="239">
        <v>0.16868576546922617</v>
      </c>
      <c r="G214" s="248">
        <v>0.09</v>
      </c>
      <c r="H214" s="423"/>
      <c r="I214" s="256"/>
      <c r="J214" s="260">
        <v>0.5</v>
      </c>
      <c r="K214" s="256">
        <f t="shared" ref="K214:R214" si="13">0.0000000001*K208^3 - 0.0000005*K208^2 + 0.0005*K208 + 0.1553</f>
        <v>0.20182201151058743</v>
      </c>
      <c r="L214" s="256">
        <f t="shared" si="13"/>
        <v>0.21519293517308757</v>
      </c>
      <c r="M214" s="256">
        <f t="shared" si="13"/>
        <v>0.22782358383558754</v>
      </c>
      <c r="N214" s="256">
        <f t="shared" si="13"/>
        <v>0.23963895749808756</v>
      </c>
      <c r="O214" s="256">
        <f t="shared" si="13"/>
        <v>0.25056405616058752</v>
      </c>
      <c r="P214" s="256">
        <f t="shared" si="13"/>
        <v>0.2605238798230875</v>
      </c>
      <c r="Q214" s="256">
        <f t="shared" si="13"/>
        <v>0.26944342848558755</v>
      </c>
      <c r="R214" s="256">
        <f t="shared" si="13"/>
        <v>0.27724770214808753</v>
      </c>
      <c r="S214" s="259"/>
    </row>
    <row r="215" spans="2:19" x14ac:dyDescent="0.25">
      <c r="B215" s="258"/>
      <c r="C215" s="256"/>
      <c r="D215" s="256"/>
      <c r="E215" s="245">
        <v>1500</v>
      </c>
      <c r="F215" s="256">
        <v>0.14000000000000001</v>
      </c>
      <c r="G215" s="256">
        <v>0.08</v>
      </c>
      <c r="H215" s="256">
        <v>0.04</v>
      </c>
      <c r="I215" s="256"/>
      <c r="J215" s="260"/>
      <c r="K215" s="256"/>
      <c r="L215" s="256"/>
      <c r="M215" s="256"/>
      <c r="N215" s="256"/>
      <c r="O215" s="256"/>
      <c r="P215" s="256"/>
      <c r="Q215" s="256"/>
      <c r="R215" s="256"/>
      <c r="S215" s="259"/>
    </row>
    <row r="216" spans="2:19" x14ac:dyDescent="0.25">
      <c r="B216" s="258"/>
      <c r="C216" s="256"/>
      <c r="D216" s="256"/>
      <c r="E216" s="245">
        <v>1200</v>
      </c>
      <c r="F216" s="256">
        <v>0.16</v>
      </c>
      <c r="G216" s="256">
        <v>0.1</v>
      </c>
      <c r="H216" s="256">
        <v>3.9E-2</v>
      </c>
      <c r="I216" s="256"/>
      <c r="J216" s="256" t="s">
        <v>479</v>
      </c>
      <c r="K216" s="256">
        <f t="shared" ref="K216:R216" si="14">AVERAGE(K209:K214)</f>
        <v>0.23541841340051808</v>
      </c>
      <c r="L216" s="256">
        <f t="shared" si="14"/>
        <v>0.24102965111989327</v>
      </c>
      <c r="M216" s="256">
        <f t="shared" si="14"/>
        <v>0.24685633425593489</v>
      </c>
      <c r="N216" s="256">
        <f t="shared" si="14"/>
        <v>0.25274721280864326</v>
      </c>
      <c r="O216" s="256">
        <f t="shared" si="14"/>
        <v>0.25855103677801822</v>
      </c>
      <c r="P216" s="256">
        <f t="shared" si="14"/>
        <v>0.26411655616405982</v>
      </c>
      <c r="Q216" s="256">
        <f t="shared" si="14"/>
        <v>0.2692925209667682</v>
      </c>
      <c r="R216" s="256">
        <f t="shared" si="14"/>
        <v>0.27392768118614319</v>
      </c>
      <c r="S216" s="259"/>
    </row>
    <row r="217" spans="2:19" x14ac:dyDescent="0.25">
      <c r="B217" s="258"/>
      <c r="C217" s="256"/>
      <c r="D217" s="256"/>
      <c r="E217" s="245">
        <v>800</v>
      </c>
      <c r="F217" s="256">
        <v>0.19</v>
      </c>
      <c r="G217" s="256">
        <v>0.12</v>
      </c>
      <c r="H217" s="256">
        <v>3.6999999999999998E-2</v>
      </c>
      <c r="I217" s="256"/>
      <c r="J217" s="256"/>
      <c r="K217" s="256"/>
      <c r="L217" s="256"/>
      <c r="M217" s="256"/>
      <c r="N217" s="256"/>
      <c r="O217" s="256"/>
      <c r="P217" s="256"/>
      <c r="Q217" s="256"/>
      <c r="R217" s="256"/>
      <c r="S217" s="259"/>
    </row>
    <row r="218" spans="2:19" x14ac:dyDescent="0.25">
      <c r="B218" s="258"/>
      <c r="C218" s="256"/>
      <c r="D218" s="256"/>
      <c r="E218" s="256">
        <v>400</v>
      </c>
      <c r="F218" s="256">
        <v>0.21000000000000002</v>
      </c>
      <c r="G218" s="256">
        <v>9.5000000000000001E-2</v>
      </c>
      <c r="H218" s="256">
        <v>3.5000000000000003E-2</v>
      </c>
      <c r="I218" s="256"/>
      <c r="J218" s="256"/>
      <c r="K218" s="256"/>
      <c r="L218" s="256"/>
      <c r="M218" s="256"/>
      <c r="N218" s="256"/>
      <c r="O218" s="256"/>
      <c r="P218" s="256"/>
      <c r="Q218" s="256"/>
      <c r="R218" s="256"/>
      <c r="S218" s="259"/>
    </row>
    <row r="219" spans="2:19" x14ac:dyDescent="0.25">
      <c r="B219" s="258"/>
      <c r="C219" s="256"/>
      <c r="D219" s="256"/>
      <c r="E219" s="256"/>
      <c r="F219" s="256"/>
      <c r="G219" s="256"/>
      <c r="H219" s="256"/>
      <c r="I219" s="256"/>
      <c r="J219" s="256"/>
      <c r="K219" s="256"/>
      <c r="L219" s="256"/>
      <c r="M219" s="256"/>
      <c r="N219" s="256"/>
      <c r="O219" s="256"/>
      <c r="P219" s="256"/>
      <c r="Q219" s="256"/>
      <c r="R219" s="256"/>
      <c r="S219" s="259"/>
    </row>
    <row r="220" spans="2:19" x14ac:dyDescent="0.25">
      <c r="B220" s="258"/>
      <c r="C220" s="256"/>
      <c r="D220" s="256"/>
      <c r="E220" s="256"/>
      <c r="F220" s="256"/>
      <c r="G220" s="256"/>
      <c r="H220" s="256"/>
      <c r="I220" s="256"/>
      <c r="J220" s="256"/>
      <c r="K220" s="256"/>
      <c r="L220" s="256"/>
      <c r="M220" s="256"/>
      <c r="N220" s="256"/>
      <c r="O220" s="256"/>
      <c r="P220" s="256"/>
      <c r="Q220" s="256"/>
      <c r="R220" s="256"/>
      <c r="S220" s="259"/>
    </row>
    <row r="221" spans="2:19" x14ac:dyDescent="0.25">
      <c r="B221" s="258"/>
      <c r="C221" s="256"/>
      <c r="D221" s="256"/>
      <c r="E221" s="256"/>
      <c r="F221" s="256"/>
      <c r="G221" s="256"/>
      <c r="H221" s="256"/>
      <c r="I221" s="256"/>
      <c r="J221" s="256"/>
      <c r="K221" s="256"/>
      <c r="L221" s="256"/>
      <c r="M221" s="256"/>
      <c r="N221" s="256"/>
      <c r="O221" s="256"/>
      <c r="P221" s="256"/>
      <c r="Q221" s="256"/>
      <c r="R221" s="256"/>
      <c r="S221" s="259"/>
    </row>
    <row r="222" spans="2:19" x14ac:dyDescent="0.25">
      <c r="B222" s="258"/>
      <c r="C222" s="256"/>
      <c r="D222" s="256"/>
      <c r="E222" s="256"/>
      <c r="F222" s="256"/>
      <c r="G222" s="256"/>
      <c r="H222" s="256"/>
      <c r="I222" s="256"/>
      <c r="J222" s="256"/>
      <c r="K222" s="256"/>
      <c r="L222" s="256"/>
      <c r="M222" s="256"/>
      <c r="N222" s="256"/>
      <c r="O222" s="256"/>
      <c r="P222" s="256"/>
      <c r="Q222" s="256"/>
      <c r="R222" s="256"/>
      <c r="S222" s="259"/>
    </row>
    <row r="223" spans="2:19" x14ac:dyDescent="0.25">
      <c r="B223" s="258"/>
      <c r="C223" s="256"/>
      <c r="D223" s="256"/>
      <c r="E223" s="256"/>
      <c r="F223" s="256"/>
      <c r="G223" s="256"/>
      <c r="H223" s="256"/>
      <c r="I223" s="256"/>
      <c r="J223" s="256"/>
      <c r="K223" s="256"/>
      <c r="L223" s="256"/>
      <c r="M223" s="256"/>
      <c r="N223" s="256"/>
      <c r="O223" s="256"/>
      <c r="P223" s="256"/>
      <c r="Q223" s="256"/>
      <c r="R223" s="256"/>
      <c r="S223" s="259"/>
    </row>
    <row r="224" spans="2:19" x14ac:dyDescent="0.25">
      <c r="B224" s="258"/>
      <c r="C224" s="256"/>
      <c r="D224" s="256"/>
      <c r="E224" s="256"/>
      <c r="F224" s="256"/>
      <c r="G224" s="256"/>
      <c r="H224" s="256"/>
      <c r="I224" s="256"/>
      <c r="J224" s="256"/>
      <c r="K224" s="256"/>
      <c r="L224" s="256"/>
      <c r="M224" s="256"/>
      <c r="N224" s="256"/>
      <c r="O224" s="256"/>
      <c r="P224" s="256"/>
      <c r="Q224" s="256"/>
      <c r="R224" s="256"/>
      <c r="S224" s="259"/>
    </row>
    <row r="225" spans="2:19" x14ac:dyDescent="0.25">
      <c r="B225" s="258"/>
      <c r="C225" s="256"/>
      <c r="D225" s="256"/>
      <c r="E225" s="256"/>
      <c r="F225" s="256"/>
      <c r="G225" s="256"/>
      <c r="H225" s="256"/>
      <c r="I225" s="256"/>
      <c r="J225" s="256"/>
      <c r="K225" s="256"/>
      <c r="L225" s="256"/>
      <c r="M225" s="256"/>
      <c r="N225" s="256"/>
      <c r="O225" s="256"/>
      <c r="P225" s="256"/>
      <c r="Q225" s="256"/>
      <c r="R225" s="256"/>
      <c r="S225" s="259"/>
    </row>
    <row r="226" spans="2:19" x14ac:dyDescent="0.25">
      <c r="B226" s="258"/>
      <c r="C226" s="256"/>
      <c r="D226" s="256"/>
      <c r="E226" s="256"/>
      <c r="F226" s="256"/>
      <c r="G226" s="256"/>
      <c r="H226" s="256"/>
      <c r="I226" s="256"/>
      <c r="J226" s="256"/>
      <c r="K226" s="256"/>
      <c r="L226" s="256"/>
      <c r="M226" s="256"/>
      <c r="N226" s="256"/>
      <c r="O226" s="256"/>
      <c r="P226" s="256"/>
      <c r="Q226" s="256"/>
      <c r="R226" s="256"/>
      <c r="S226" s="259"/>
    </row>
    <row r="227" spans="2:19" x14ac:dyDescent="0.25">
      <c r="B227" s="258"/>
      <c r="C227" s="256"/>
      <c r="D227" s="256"/>
      <c r="E227" s="256"/>
      <c r="F227" s="256"/>
      <c r="G227" s="256"/>
      <c r="H227" s="256"/>
      <c r="I227" s="256"/>
      <c r="J227" s="256"/>
      <c r="K227" s="256"/>
      <c r="L227" s="256"/>
      <c r="M227" s="256"/>
      <c r="N227" s="256"/>
      <c r="O227" s="256"/>
      <c r="P227" s="256"/>
      <c r="Q227" s="256"/>
      <c r="R227" s="256"/>
      <c r="S227" s="259"/>
    </row>
    <row r="228" spans="2:19" x14ac:dyDescent="0.25">
      <c r="B228" s="258"/>
      <c r="C228" s="256"/>
      <c r="D228" s="256"/>
      <c r="E228" s="256"/>
      <c r="F228" s="256"/>
      <c r="G228" s="256"/>
      <c r="H228" s="256"/>
      <c r="I228" s="256"/>
      <c r="J228" s="256"/>
      <c r="K228" s="256"/>
      <c r="L228" s="256"/>
      <c r="M228" s="256"/>
      <c r="N228" s="256"/>
      <c r="O228" s="256"/>
      <c r="P228" s="256"/>
      <c r="Q228" s="256"/>
      <c r="R228" s="256"/>
      <c r="S228" s="259"/>
    </row>
    <row r="229" spans="2:19" ht="15.75" thickBot="1" x14ac:dyDescent="0.3">
      <c r="B229" s="262"/>
      <c r="C229" s="263"/>
      <c r="D229" s="263"/>
      <c r="E229" s="263"/>
      <c r="F229" s="263"/>
      <c r="G229" s="263"/>
      <c r="H229" s="263"/>
      <c r="I229" s="263"/>
      <c r="J229" s="263"/>
      <c r="K229" s="263"/>
      <c r="L229" s="263"/>
      <c r="M229" s="263"/>
      <c r="N229" s="263"/>
      <c r="O229" s="263"/>
      <c r="P229" s="263"/>
      <c r="Q229" s="263"/>
      <c r="R229" s="263"/>
      <c r="S229" s="264"/>
    </row>
  </sheetData>
  <mergeCells count="49">
    <mergeCell ref="C34:D34"/>
    <mergeCell ref="BT128:CB128"/>
    <mergeCell ref="BJ64:BR64"/>
    <mergeCell ref="BJ80:BR80"/>
    <mergeCell ref="BJ96:BR96"/>
    <mergeCell ref="BJ112:BR112"/>
    <mergeCell ref="BJ128:BR128"/>
    <mergeCell ref="BT64:CB64"/>
    <mergeCell ref="BT80:CB80"/>
    <mergeCell ref="BT96:CB96"/>
    <mergeCell ref="BT112:CB112"/>
    <mergeCell ref="AZ128:BH128"/>
    <mergeCell ref="AF112:AN112"/>
    <mergeCell ref="AF128:AN128"/>
    <mergeCell ref="AZ64:BH64"/>
    <mergeCell ref="AZ80:BH80"/>
    <mergeCell ref="AZ96:BH96"/>
    <mergeCell ref="AZ112:BH112"/>
    <mergeCell ref="V128:AD128"/>
    <mergeCell ref="AF64:AN64"/>
    <mergeCell ref="AF80:AN80"/>
    <mergeCell ref="AF96:AN96"/>
    <mergeCell ref="V64:AD64"/>
    <mergeCell ref="V80:AD80"/>
    <mergeCell ref="AP64:AX64"/>
    <mergeCell ref="AP80:AX80"/>
    <mergeCell ref="AP96:AX96"/>
    <mergeCell ref="AP112:AX112"/>
    <mergeCell ref="AP128:AX128"/>
    <mergeCell ref="V96:AD96"/>
    <mergeCell ref="V112:AD112"/>
    <mergeCell ref="L64:T64"/>
    <mergeCell ref="L80:T80"/>
    <mergeCell ref="L96:T96"/>
    <mergeCell ref="L112:T112"/>
    <mergeCell ref="L128:T128"/>
    <mergeCell ref="H213:H214"/>
    <mergeCell ref="H189:H190"/>
    <mergeCell ref="H195:H196"/>
    <mergeCell ref="B96:J96"/>
    <mergeCell ref="B64:J64"/>
    <mergeCell ref="B80:J80"/>
    <mergeCell ref="B128:J128"/>
    <mergeCell ref="B112:J112"/>
    <mergeCell ref="C158:E159"/>
    <mergeCell ref="H183:H184"/>
    <mergeCell ref="B172:D172"/>
    <mergeCell ref="H201:H202"/>
    <mergeCell ref="H207:H20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29"/>
  <sheetViews>
    <sheetView tabSelected="1" workbookViewId="0">
      <selection activeCell="M22" sqref="M22"/>
    </sheetView>
  </sheetViews>
  <sheetFormatPr baseColWidth="10" defaultRowHeight="15" x14ac:dyDescent="0.25"/>
  <sheetData>
    <row r="3" spans="2:10" ht="15.75" thickBot="1" x14ac:dyDescent="0.3"/>
    <row r="4" spans="2:10" ht="15.75" thickBot="1" x14ac:dyDescent="0.3">
      <c r="B4" s="388" t="s">
        <v>179</v>
      </c>
      <c r="C4" s="389"/>
      <c r="D4" s="389"/>
      <c r="E4" s="389"/>
      <c r="F4" s="389"/>
      <c r="G4" s="389"/>
      <c r="H4" s="389"/>
      <c r="I4" s="389"/>
      <c r="J4" s="390"/>
    </row>
    <row r="5" spans="2:10" x14ac:dyDescent="0.25">
      <c r="B5" s="100" t="s">
        <v>184</v>
      </c>
      <c r="C5" s="101">
        <v>0.25</v>
      </c>
      <c r="D5" s="101" t="s">
        <v>17</v>
      </c>
      <c r="E5" s="52"/>
      <c r="F5" s="5" t="s">
        <v>195</v>
      </c>
      <c r="G5" s="5">
        <f>PI()*(C6/2)^2</f>
        <v>0.38484510006474959</v>
      </c>
      <c r="H5" s="52"/>
      <c r="I5" s="52"/>
      <c r="J5" s="102"/>
    </row>
    <row r="6" spans="2:10" x14ac:dyDescent="0.25">
      <c r="B6" s="103" t="s">
        <v>186</v>
      </c>
      <c r="C6" s="5">
        <v>0.7</v>
      </c>
      <c r="D6" s="5" t="s">
        <v>17</v>
      </c>
      <c r="E6" s="52"/>
      <c r="F6" s="5" t="s">
        <v>199</v>
      </c>
      <c r="G6" s="5">
        <f>C6+2*(C9/TAN(C10))</f>
        <v>1.0232209806681254</v>
      </c>
      <c r="H6" s="52"/>
      <c r="I6" s="52"/>
      <c r="J6" s="102"/>
    </row>
    <row r="7" spans="2:10" x14ac:dyDescent="0.25">
      <c r="B7" s="6" t="s">
        <v>163</v>
      </c>
      <c r="C7" s="5">
        <f>((C6/2)^2+C5^2)/(2*C5)</f>
        <v>0.37</v>
      </c>
      <c r="D7" s="5" t="s">
        <v>17</v>
      </c>
      <c r="E7" s="52"/>
      <c r="F7" s="5" t="s">
        <v>202</v>
      </c>
      <c r="G7" s="5">
        <f>G6^2</f>
        <v>1.0469811752794402</v>
      </c>
      <c r="H7" s="52"/>
      <c r="I7" s="52"/>
      <c r="J7" s="102"/>
    </row>
    <row r="8" spans="2:10" x14ac:dyDescent="0.25">
      <c r="B8" s="104"/>
      <c r="C8" s="29"/>
      <c r="D8" s="29"/>
      <c r="E8" s="52"/>
      <c r="F8" s="5" t="s">
        <v>207</v>
      </c>
      <c r="G8" s="5">
        <f>(C9*(G5+G7+SQRT(G5*G7)))/3</f>
        <v>0.27554539519647703</v>
      </c>
      <c r="H8" s="52"/>
      <c r="I8" s="52"/>
      <c r="J8" s="102"/>
    </row>
    <row r="9" spans="2:10" x14ac:dyDescent="0.25">
      <c r="B9" s="6" t="s">
        <v>198</v>
      </c>
      <c r="C9" s="5">
        <v>0.4</v>
      </c>
      <c r="D9" s="5" t="s">
        <v>17</v>
      </c>
      <c r="E9" s="52"/>
      <c r="F9" s="435" t="s">
        <v>330</v>
      </c>
      <c r="G9" s="435"/>
      <c r="H9" s="52"/>
      <c r="I9" s="52"/>
      <c r="J9" s="102"/>
    </row>
    <row r="10" spans="2:10" ht="15.75" x14ac:dyDescent="0.25">
      <c r="B10" s="6" t="s">
        <v>194</v>
      </c>
      <c r="C10" s="5">
        <f>68*PI()/180</f>
        <v>1.1868238913561442</v>
      </c>
      <c r="D10" s="5" t="s">
        <v>192</v>
      </c>
      <c r="E10" s="52"/>
      <c r="H10" s="52"/>
      <c r="I10" s="52"/>
      <c r="J10" s="102"/>
    </row>
    <row r="11" spans="2:10" x14ac:dyDescent="0.25">
      <c r="B11" s="104"/>
      <c r="C11" s="29"/>
      <c r="D11" s="29"/>
      <c r="E11" s="52"/>
      <c r="H11" s="52"/>
      <c r="I11" s="52"/>
      <c r="J11" s="102"/>
    </row>
    <row r="12" spans="2:10" x14ac:dyDescent="0.25">
      <c r="B12" s="6" t="s">
        <v>212</v>
      </c>
      <c r="C12" s="5">
        <f>(PI()*C5^2*(3*C7-C5))/3</f>
        <v>5.6286868376817123E-2</v>
      </c>
      <c r="D12" s="5" t="s">
        <v>204</v>
      </c>
      <c r="E12" s="52"/>
      <c r="G12" s="52"/>
      <c r="H12" s="52"/>
      <c r="I12" s="52"/>
      <c r="J12" s="102"/>
    </row>
    <row r="13" spans="2:10" x14ac:dyDescent="0.25">
      <c r="B13" s="104"/>
      <c r="C13" s="29"/>
      <c r="D13" s="29"/>
      <c r="E13" s="52"/>
      <c r="F13" s="52"/>
      <c r="G13" s="52"/>
      <c r="H13" s="52"/>
      <c r="I13" s="52"/>
      <c r="J13" s="102"/>
    </row>
    <row r="14" spans="2:10" x14ac:dyDescent="0.25">
      <c r="B14" s="6" t="s">
        <v>223</v>
      </c>
      <c r="C14" s="5">
        <f>G8</f>
        <v>0.27554539519647703</v>
      </c>
      <c r="D14" s="5" t="s">
        <v>204</v>
      </c>
      <c r="E14" s="52"/>
      <c r="F14" s="52"/>
      <c r="G14" s="52"/>
      <c r="H14" s="52"/>
      <c r="I14" s="52"/>
      <c r="J14" s="102"/>
    </row>
    <row r="15" spans="2:10" x14ac:dyDescent="0.25">
      <c r="B15" s="104"/>
      <c r="C15" s="29"/>
      <c r="D15" s="29"/>
      <c r="E15" s="52"/>
      <c r="F15" s="52"/>
      <c r="G15" s="52"/>
      <c r="H15" s="52"/>
      <c r="I15" s="52"/>
      <c r="J15" s="102"/>
    </row>
    <row r="16" spans="2:10" x14ac:dyDescent="0.25">
      <c r="B16" s="6" t="s">
        <v>227</v>
      </c>
      <c r="C16" s="5">
        <f>C14+C12</f>
        <v>0.33183226357329415</v>
      </c>
      <c r="D16" s="5" t="s">
        <v>204</v>
      </c>
      <c r="E16" s="52"/>
      <c r="F16" s="29"/>
      <c r="G16" s="29"/>
      <c r="H16" s="29"/>
      <c r="I16" s="52"/>
      <c r="J16" s="102"/>
    </row>
    <row r="17" spans="2:10" x14ac:dyDescent="0.25">
      <c r="B17" s="104"/>
      <c r="C17" s="29"/>
      <c r="D17" s="29"/>
      <c r="E17" s="52"/>
      <c r="F17" s="29"/>
      <c r="G17" s="29"/>
      <c r="H17" s="29"/>
      <c r="I17" s="52"/>
      <c r="J17" s="102"/>
    </row>
    <row r="18" spans="2:10" ht="15.75" thickBot="1" x14ac:dyDescent="0.3">
      <c r="B18" s="7" t="s">
        <v>218</v>
      </c>
      <c r="C18" s="105">
        <f>2*PI()*C7*C5</f>
        <v>0.58119464091411177</v>
      </c>
      <c r="D18" s="105" t="s">
        <v>201</v>
      </c>
      <c r="E18" s="106"/>
      <c r="F18" s="106"/>
      <c r="G18" s="106"/>
      <c r="H18" s="106"/>
      <c r="I18" s="106"/>
      <c r="J18" s="107"/>
    </row>
    <row r="20" spans="2:10" x14ac:dyDescent="0.25">
      <c r="B20" t="s">
        <v>329</v>
      </c>
      <c r="C20" s="124">
        <f>C6</f>
        <v>0.7</v>
      </c>
      <c r="D20" t="s">
        <v>17</v>
      </c>
      <c r="H20" t="s">
        <v>333</v>
      </c>
      <c r="I20">
        <f>G26*G25</f>
        <v>0.91796923925457574</v>
      </c>
    </row>
    <row r="21" spans="2:10" x14ac:dyDescent="0.25">
      <c r="B21" t="s">
        <v>326</v>
      </c>
      <c r="C21">
        <v>0.62</v>
      </c>
      <c r="D21" t="s">
        <v>17</v>
      </c>
      <c r="H21" t="s">
        <v>334</v>
      </c>
      <c r="I21">
        <f>C21</f>
        <v>0.62</v>
      </c>
    </row>
    <row r="22" spans="2:10" x14ac:dyDescent="0.25">
      <c r="B22" t="s">
        <v>327</v>
      </c>
      <c r="C22" s="124">
        <f>C20+0.2</f>
        <v>0.89999999999999991</v>
      </c>
      <c r="D22" t="s">
        <v>17</v>
      </c>
      <c r="F22" s="52" t="s">
        <v>332</v>
      </c>
      <c r="H22" t="s">
        <v>335</v>
      </c>
    </row>
    <row r="23" spans="2:10" x14ac:dyDescent="0.25">
      <c r="B23" t="s">
        <v>316</v>
      </c>
      <c r="C23">
        <v>0.6</v>
      </c>
      <c r="D23" t="s">
        <v>17</v>
      </c>
    </row>
    <row r="24" spans="2:10" x14ac:dyDescent="0.25">
      <c r="B24" t="s">
        <v>324</v>
      </c>
      <c r="D24" t="s">
        <v>91</v>
      </c>
    </row>
    <row r="25" spans="2:10" x14ac:dyDescent="0.25">
      <c r="B25" t="s">
        <v>325</v>
      </c>
      <c r="D25" t="s">
        <v>17</v>
      </c>
      <c r="F25" s="126" t="s">
        <v>337</v>
      </c>
      <c r="G25" s="124">
        <f>C7</f>
        <v>0.37</v>
      </c>
      <c r="I25" t="s">
        <v>331</v>
      </c>
    </row>
    <row r="26" spans="2:10" x14ac:dyDescent="0.25">
      <c r="B26" t="s">
        <v>328</v>
      </c>
      <c r="D26" t="s">
        <v>17</v>
      </c>
      <c r="F26" s="125" t="s">
        <v>336</v>
      </c>
      <c r="G26">
        <f>2*ACOS((G25-C5)/G25)</f>
        <v>2.4809979439312859</v>
      </c>
      <c r="I26" t="s">
        <v>113</v>
      </c>
      <c r="J26">
        <f>SQRT(C23^2+((C23-C21)/2)^2)</f>
        <v>0.60008332754709992</v>
      </c>
    </row>
    <row r="27" spans="2:10" x14ac:dyDescent="0.25">
      <c r="F27" s="127" t="s">
        <v>195</v>
      </c>
      <c r="G27">
        <f>(G25^2/2)*(G26-SIN(G26))</f>
        <v>0.12782430926209651</v>
      </c>
      <c r="I27" t="s">
        <v>16</v>
      </c>
    </row>
    <row r="28" spans="2:10" x14ac:dyDescent="0.25">
      <c r="F28" s="126" t="s">
        <v>202</v>
      </c>
      <c r="G28">
        <f>((C20+C21)/2)*C23</f>
        <v>0.39599999999999996</v>
      </c>
      <c r="I28" t="s">
        <v>187</v>
      </c>
    </row>
    <row r="29" spans="2:10" x14ac:dyDescent="0.25">
      <c r="I29" t="s">
        <v>163</v>
      </c>
    </row>
  </sheetData>
  <mergeCells count="2">
    <mergeCell ref="B4:J4"/>
    <mergeCell ref="F9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General Hornilla</vt:lpstr>
      <vt:lpstr>Mod Program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2019-08-12T16:46:04Z</dcterms:modified>
</cp:coreProperties>
</file>