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931A520C-5567-43AA-A2A7-2879E9309F50}" xr6:coauthVersionLast="4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cuperador" sheetId="5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5" l="1"/>
  <c r="D49" i="5"/>
  <c r="D48" i="5"/>
  <c r="D40" i="5"/>
  <c r="D44" i="5"/>
  <c r="D43" i="5"/>
  <c r="D42" i="5"/>
  <c r="D35" i="5"/>
  <c r="D34" i="5" s="1"/>
  <c r="AQ32" i="5"/>
  <c r="D31" i="5"/>
  <c r="D30" i="5"/>
  <c r="D18" i="5"/>
  <c r="D16" i="5" s="1"/>
  <c r="D17" i="5"/>
  <c r="D15" i="5" s="1"/>
  <c r="D13" i="5"/>
  <c r="D12" i="5"/>
  <c r="X22" i="5"/>
  <c r="X24" i="5" s="1"/>
  <c r="X26" i="5" s="1"/>
  <c r="D7" i="5"/>
  <c r="P30" i="5"/>
  <c r="P29" i="5"/>
  <c r="P31" i="5" s="1"/>
  <c r="P35" i="5" s="1"/>
  <c r="T18" i="5"/>
  <c r="T20" i="5" s="1"/>
  <c r="D10" i="5" l="1"/>
  <c r="X25" i="5"/>
  <c r="S28" i="5"/>
  <c r="T23" i="5"/>
  <c r="T25" i="5" s="1"/>
  <c r="T21" i="5"/>
  <c r="P38" i="5"/>
  <c r="P37" i="5"/>
  <c r="P39" i="5" s="1"/>
  <c r="P40" i="5" s="1"/>
  <c r="D11" i="5"/>
  <c r="X6" i="5"/>
  <c r="X8" i="5" s="1"/>
  <c r="T6" i="5"/>
  <c r="T8" i="5" s="1"/>
  <c r="P6" i="5"/>
  <c r="P8" i="5" s="1"/>
  <c r="P18" i="5"/>
  <c r="P20" i="5" s="1"/>
  <c r="D41" i="5"/>
  <c r="D45" i="5" s="1"/>
  <c r="D14" i="5"/>
  <c r="D20" i="5" s="1"/>
  <c r="T11" i="5" l="1"/>
  <c r="T13" i="5" s="1"/>
  <c r="U13" i="5" s="1"/>
  <c r="T9" i="5"/>
  <c r="P9" i="5"/>
  <c r="P11" i="5"/>
  <c r="P13" i="5" s="1"/>
  <c r="Q13" i="5" s="1"/>
  <c r="D23" i="5"/>
  <c r="D29" i="5" s="1"/>
  <c r="D28" i="5" s="1"/>
  <c r="D22" i="5"/>
  <c r="P23" i="5"/>
  <c r="P25" i="5" s="1"/>
  <c r="Q22" i="5"/>
  <c r="P21" i="5"/>
  <c r="X9" i="5"/>
  <c r="X11" i="5"/>
  <c r="X13" i="5" s="1"/>
  <c r="Y11" i="5" s="1"/>
</calcChain>
</file>

<file path=xl/sharedStrings.xml><?xml version="1.0" encoding="utf-8"?>
<sst xmlns="http://schemas.openxmlformats.org/spreadsheetml/2006/main" count="311" uniqueCount="154">
  <si>
    <t>Calor disponible</t>
  </si>
  <si>
    <t>m2</t>
  </si>
  <si>
    <t>m</t>
  </si>
  <si>
    <t>Mp</t>
  </si>
  <si>
    <t>KJ/Kg °C</t>
  </si>
  <si>
    <t>Cp</t>
  </si>
  <si>
    <t>C</t>
  </si>
  <si>
    <t>KJ/kg</t>
  </si>
  <si>
    <t>ΔHv</t>
  </si>
  <si>
    <t>B</t>
  </si>
  <si>
    <t>°C</t>
  </si>
  <si>
    <t>TSC</t>
  </si>
  <si>
    <t>A</t>
  </si>
  <si>
    <t>Ta</t>
  </si>
  <si>
    <t>Temperatura Ambiente</t>
  </si>
  <si>
    <t>Kw</t>
  </si>
  <si>
    <t>Qds</t>
  </si>
  <si>
    <t>U</t>
  </si>
  <si>
    <t>LMDT</t>
  </si>
  <si>
    <t>---</t>
  </si>
  <si>
    <t>Ts</t>
  </si>
  <si>
    <t>T2</t>
  </si>
  <si>
    <t>T1</t>
  </si>
  <si>
    <t>KW</t>
  </si>
  <si>
    <t>Q</t>
  </si>
  <si>
    <t>Kj/h</t>
  </si>
  <si>
    <t>BT</t>
  </si>
  <si>
    <t>AT</t>
  </si>
  <si>
    <t>mg</t>
  </si>
  <si>
    <t>kg/h</t>
  </si>
  <si>
    <t>Temperatura Gas Antes de Chimenea</t>
  </si>
  <si>
    <t>Temperatura Despues de Chimenea</t>
  </si>
  <si>
    <t>Masa de Gases</t>
  </si>
  <si>
    <t>Ayuda de Calculo</t>
  </si>
  <si>
    <t>Temperatura Gas Entrada Recuperador</t>
  </si>
  <si>
    <t>Temperatura Gas Salida Recuperador</t>
  </si>
  <si>
    <t xml:space="preserve">Temperatura Vapor saturado A 100 psi </t>
  </si>
  <si>
    <t>Media termica logaritmica</t>
  </si>
  <si>
    <t>Datos Escalamiento</t>
  </si>
  <si>
    <t>Coeficiente global de Tranferencia de calor</t>
  </si>
  <si>
    <t>Valor de Integracion</t>
  </si>
  <si>
    <t>Area Calculada del Recuperador</t>
  </si>
  <si>
    <t>Kg</t>
  </si>
  <si>
    <t>W/m2·K</t>
  </si>
  <si>
    <t>Teperatura Final de Concentración</t>
  </si>
  <si>
    <t xml:space="preserve">Entalpia de Vaporizacion </t>
  </si>
  <si>
    <t>Calor espesifico jugo Inicial</t>
  </si>
  <si>
    <t>Masa de Panela Producida</t>
  </si>
  <si>
    <t>Calor a Recuperar</t>
  </si>
  <si>
    <t>Numero tubos Intercambiador Interno</t>
  </si>
  <si>
    <r>
      <t>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</si>
  <si>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A</t>
    </r>
    <r>
      <rPr>
        <sz val="8"/>
        <color theme="1"/>
        <rFont val="Calibri"/>
        <family val="2"/>
        <scheme val="minor"/>
      </rPr>
      <t>tb</t>
    </r>
  </si>
  <si>
    <t>Recuperador</t>
  </si>
  <si>
    <t>Area total de Tubos</t>
  </si>
  <si>
    <r>
      <t>A</t>
    </r>
    <r>
      <rPr>
        <sz val="8"/>
        <color theme="1"/>
        <rFont val="Calibri"/>
        <family val="2"/>
        <scheme val="minor"/>
      </rPr>
      <t>tbs</t>
    </r>
  </si>
  <si>
    <r>
      <t>N</t>
    </r>
    <r>
      <rPr>
        <sz val="8"/>
        <color theme="1"/>
        <rFont val="Calibri"/>
        <family val="2"/>
        <scheme val="minor"/>
      </rPr>
      <t>tie</t>
    </r>
  </si>
  <si>
    <r>
      <t>N</t>
    </r>
    <r>
      <rPr>
        <sz val="8"/>
        <color theme="1"/>
        <rFont val="Calibri"/>
        <family val="2"/>
        <scheme val="minor"/>
      </rPr>
      <t>tii</t>
    </r>
  </si>
  <si>
    <t>Serpentines</t>
  </si>
  <si>
    <t>Area Serpentine Recibidora</t>
  </si>
  <si>
    <t>Area Serpentine Evaporadora 1</t>
  </si>
  <si>
    <t>Area Serpentine Evaporadora 3</t>
  </si>
  <si>
    <r>
      <t>A</t>
    </r>
    <r>
      <rPr>
        <sz val="8"/>
        <color theme="1"/>
        <rFont val="Calibri"/>
        <family val="2"/>
        <scheme val="minor"/>
      </rPr>
      <t>sr</t>
    </r>
  </si>
  <si>
    <r>
      <t>A</t>
    </r>
    <r>
      <rPr>
        <sz val="8"/>
        <color theme="1"/>
        <rFont val="Calibri"/>
        <family val="2"/>
        <scheme val="minor"/>
      </rPr>
      <t>ev1</t>
    </r>
  </si>
  <si>
    <r>
      <t>A</t>
    </r>
    <r>
      <rPr>
        <sz val="8"/>
        <color theme="1"/>
        <rFont val="Calibri"/>
        <family val="2"/>
        <scheme val="minor"/>
      </rPr>
      <t>ev3</t>
    </r>
  </si>
  <si>
    <t>Materiales</t>
  </si>
  <si>
    <t>Area Total recuperador</t>
  </si>
  <si>
    <t>Attr</t>
  </si>
  <si>
    <t>Numero tubos Intercambiador externo</t>
  </si>
  <si>
    <t>Cantidad</t>
  </si>
  <si>
    <t>Total</t>
  </si>
  <si>
    <t>Referencia</t>
  </si>
  <si>
    <t>Precio</t>
  </si>
  <si>
    <t>Tubo Acero AISI 304  de 1/2 "</t>
  </si>
  <si>
    <t>Tubo Acero AISI 304 de 1"</t>
  </si>
  <si>
    <t>Tubo Acero AISI 304 de 1 1/2"</t>
  </si>
  <si>
    <t>Tubo Acero AISI 304 de 2"</t>
  </si>
  <si>
    <t>Codo de 1/2 "</t>
  </si>
  <si>
    <t>Valvula de bola de 1/2 "</t>
  </si>
  <si>
    <t>Valvula check de 1/2 "</t>
  </si>
  <si>
    <t>Tee de 1/2 "</t>
  </si>
  <si>
    <t>Universal de 1/2 "</t>
  </si>
  <si>
    <t>Reduccion de 1/2"</t>
  </si>
  <si>
    <t>Codo de 1 "</t>
  </si>
  <si>
    <t>Valvula de bola de 1 "</t>
  </si>
  <si>
    <t>Valvula check de 1"</t>
  </si>
  <si>
    <t>Tee de 1 "</t>
  </si>
  <si>
    <t>Universal de 1 "</t>
  </si>
  <si>
    <t>Reduccion de 1"</t>
  </si>
  <si>
    <t>Codo de 1 1/2"</t>
  </si>
  <si>
    <t>Valvula de bola de 1 1/2"</t>
  </si>
  <si>
    <t>Valvula check de de 1 1/2"</t>
  </si>
  <si>
    <t>Tee de 1 1/2"</t>
  </si>
  <si>
    <t>Universal de 1 1/2"</t>
  </si>
  <si>
    <t>Reduccion de 1 1/2"</t>
  </si>
  <si>
    <t>Codo de 2 "</t>
  </si>
  <si>
    <t>Valvula de bola de 2 "</t>
  </si>
  <si>
    <t>Valvula check de 2"</t>
  </si>
  <si>
    <t>Tee de 2"</t>
  </si>
  <si>
    <t>Universal de 2"</t>
  </si>
  <si>
    <t>Reduccion de 2"</t>
  </si>
  <si>
    <t>Entalpia de vaporacion</t>
  </si>
  <si>
    <t>Flujo masico Vapor</t>
  </si>
  <si>
    <t>kJ/h</t>
  </si>
  <si>
    <t>kJ/kg</t>
  </si>
  <si>
    <t>Densidad Vapor</t>
  </si>
  <si>
    <t>kg/m3</t>
  </si>
  <si>
    <t>m3/h</t>
  </si>
  <si>
    <t>Potencia Caldera</t>
  </si>
  <si>
    <t>Bhp</t>
  </si>
  <si>
    <t>Velocidad limite</t>
  </si>
  <si>
    <t>m/s</t>
  </si>
  <si>
    <t>Diametro Calculado</t>
  </si>
  <si>
    <t>Caudal de Vapor</t>
  </si>
  <si>
    <t>Presion de Vapor 20 Psi</t>
  </si>
  <si>
    <t>Presion de Vapor 40 Psi</t>
  </si>
  <si>
    <t>Presion de Vapor 60 psi</t>
  </si>
  <si>
    <t>Diametro Seleccionado</t>
  </si>
  <si>
    <t>in</t>
  </si>
  <si>
    <t>KJ/h</t>
  </si>
  <si>
    <t>Densidad Agua</t>
  </si>
  <si>
    <t>Flujo Masico de Agua</t>
  </si>
  <si>
    <t>Presion de Vapor</t>
  </si>
  <si>
    <t>Psi</t>
  </si>
  <si>
    <t>Denisdadd de Vapor</t>
  </si>
  <si>
    <t>Flujo Volumetrico de Agua</t>
  </si>
  <si>
    <t>Calor Recuperado</t>
  </si>
  <si>
    <t>Presion de Vapor 130 psi</t>
  </si>
  <si>
    <t>BHP</t>
  </si>
  <si>
    <t>Potencia en Kw</t>
  </si>
  <si>
    <t>Eficiencia Caldera</t>
  </si>
  <si>
    <t>Flujo de Diseño de boma</t>
  </si>
  <si>
    <t>Tiempo Real de operación</t>
  </si>
  <si>
    <t>h</t>
  </si>
  <si>
    <t>Atbg</t>
  </si>
  <si>
    <t>Longitud Tubo de 2 1/2"</t>
  </si>
  <si>
    <t>A ttc</t>
  </si>
  <si>
    <t>Longitud Tubo de 8"</t>
  </si>
  <si>
    <t>Area  Total Tubo 8"</t>
  </si>
  <si>
    <t>Area total tubo Conexion 2 1/2"</t>
  </si>
  <si>
    <t>Ltbg</t>
  </si>
  <si>
    <t>Ltbc</t>
  </si>
  <si>
    <t>Ltb3</t>
  </si>
  <si>
    <t>Longitud Tubo de 3"</t>
  </si>
  <si>
    <r>
      <t>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</si>
  <si>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Area total tubo  3"</t>
  </si>
  <si>
    <t>Area de tubo 1 1/2"</t>
  </si>
  <si>
    <t>Esto viene de los datos de la Hornilla</t>
  </si>
  <si>
    <t>Este valor es un estimado de los gases a la Salida</t>
  </si>
  <si>
    <t>Diametro de tuberia de Alimentacion Según la presion y masa de vapor producida</t>
  </si>
  <si>
    <t>Esto se debe Variar Para superar el Area Calculada</t>
  </si>
  <si>
    <t>Longitud Tubo de 1 1/2"</t>
  </si>
  <si>
    <t>Estos son los Diametros de las tuberias quedebn ir hacia el recuperador</t>
  </si>
  <si>
    <t>Esto depende de las medidas de las pailas y de la cantidad de Vapor a Emplear en tuberia de  1 1/2 SH10</t>
  </si>
  <si>
    <t>Revisar de Aquí en esa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</si>
</sst>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3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2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/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1571625</xdr:colOff>
      <xdr:row>4</xdr:row>
      <xdr:rowOff>19050</xdr:rowOff>
    </xdr:from>
    <xdr:to>
      <xdr:col>5</xdr:col>
      <xdr:colOff>752475</xdr:colOff>
      <xdr:row>6</xdr:row>
      <xdr:rowOff>142876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AF2DA32-764D-43CC-86D4-F4FE2DD05CEF}"/>
            </a:ext>
          </a:extLst>
        </xdr:cNvPr>
        <xdr:cNvCxnSpPr/>
      </xdr:nvCxnSpPr>
      <xdr:spPr>
        <a:xfrm flipV="1">
          <a:off x="2333625" y="809625"/>
          <a:ext cx="4105275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4</xdr:row>
      <xdr:rowOff>9525</xdr:rowOff>
    </xdr:from>
    <xdr:to>
      <xdr:col>6</xdr:col>
      <xdr:colOff>0</xdr:colOff>
      <xdr:row>4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9C24C2C-3146-4540-8222-72BBD817C735}"/>
            </a:ext>
          </a:extLst>
        </xdr:cNvPr>
        <xdr:cNvCxnSpPr/>
      </xdr:nvCxnSpPr>
      <xdr:spPr>
        <a:xfrm flipV="1">
          <a:off x="3152775" y="800100"/>
          <a:ext cx="32956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2314575</xdr:colOff>
      <xdr:row>5</xdr:row>
      <xdr:rowOff>76200</xdr:rowOff>
    </xdr:from>
    <xdr:to>
      <xdr:col>5</xdr:col>
      <xdr:colOff>704850</xdr:colOff>
      <xdr:row>6</xdr:row>
      <xdr:rowOff>19050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CFEBCBC-B600-47FB-8637-7E3C068CF71E}"/>
            </a:ext>
          </a:extLst>
        </xdr:cNvPr>
        <xdr:cNvCxnSpPr/>
      </xdr:nvCxnSpPr>
      <xdr:spPr>
        <a:xfrm>
          <a:off x="3076575" y="1066800"/>
          <a:ext cx="33147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38098</xdr:colOff>
      <xdr:row>35</xdr:row>
      <xdr:rowOff>114298</xdr:rowOff>
    </xdr:from>
    <xdr:to>
      <xdr:col>7</xdr:col>
      <xdr:colOff>247650</xdr:colOff>
      <xdr:row>44</xdr:row>
      <xdr:rowOff>57150</xdr:rowOff>
    </xdr:to>
    <xdr:sp macro="" textlink="">
      <xdr:nvSpPr>
        <xdr:cNvPr id="14" name="Flecha: doblada 13">
          <a:extLst>
            <a:ext uri="{FF2B5EF4-FFF2-40B4-BE49-F238E27FC236}">
              <a16:creationId xmlns:a16="http://schemas.microsoft.com/office/drawing/2014/main" id="{518A76D6-C718-4A37-B87B-C6ABB6C01B85}"/>
            </a:ext>
          </a:extLst>
        </xdr:cNvPr>
        <xdr:cNvSpPr/>
      </xdr:nvSpPr>
      <xdr:spPr>
        <a:xfrm rot="10800000">
          <a:off x="5724523" y="7077073"/>
          <a:ext cx="1733552" cy="1885952"/>
        </a:xfrm>
        <a:prstGeom prst="bentArrow">
          <a:avLst>
            <a:gd name="adj1" fmla="val 9615"/>
            <a:gd name="adj2" fmla="val 9871"/>
            <a:gd name="adj3" fmla="val 17308"/>
            <a:gd name="adj4" fmla="val 39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171449</xdr:colOff>
      <xdr:row>20</xdr:row>
      <xdr:rowOff>133350</xdr:rowOff>
    </xdr:from>
    <xdr:to>
      <xdr:col>7</xdr:col>
      <xdr:colOff>200025</xdr:colOff>
      <xdr:row>32</xdr:row>
      <xdr:rowOff>142875</xdr:rowOff>
    </xdr:to>
    <xdr:sp macro="" textlink="">
      <xdr:nvSpPr>
        <xdr:cNvPr id="15" name="Flecha: doblada 14">
          <a:extLst>
            <a:ext uri="{FF2B5EF4-FFF2-40B4-BE49-F238E27FC236}">
              <a16:creationId xmlns:a16="http://schemas.microsoft.com/office/drawing/2014/main" id="{8E1333C2-8921-4776-A799-7A1F849DC8CC}"/>
            </a:ext>
          </a:extLst>
        </xdr:cNvPr>
        <xdr:cNvSpPr/>
      </xdr:nvSpPr>
      <xdr:spPr>
        <a:xfrm flipH="1">
          <a:off x="5857874" y="4067175"/>
          <a:ext cx="1552576" cy="2447925"/>
        </a:xfrm>
        <a:prstGeom prst="bentArrow">
          <a:avLst>
            <a:gd name="adj1" fmla="val 9325"/>
            <a:gd name="adj2" fmla="val 11486"/>
            <a:gd name="adj3" fmla="val 14730"/>
            <a:gd name="adj4" fmla="val 480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46</xdr:row>
      <xdr:rowOff>180975</xdr:rowOff>
    </xdr:from>
    <xdr:to>
      <xdr:col>6</xdr:col>
      <xdr:colOff>676275</xdr:colOff>
      <xdr:row>49</xdr:row>
      <xdr:rowOff>152400</xdr:rowOff>
    </xdr:to>
    <xdr:sp macro="" textlink="">
      <xdr:nvSpPr>
        <xdr:cNvPr id="17" name="Flecha: a la derecha 16">
          <a:extLst>
            <a:ext uri="{FF2B5EF4-FFF2-40B4-BE49-F238E27FC236}">
              <a16:creationId xmlns:a16="http://schemas.microsoft.com/office/drawing/2014/main" id="{7D6EFF73-5FD0-4DD9-8F61-D970635CCC12}"/>
            </a:ext>
          </a:extLst>
        </xdr:cNvPr>
        <xdr:cNvSpPr/>
      </xdr:nvSpPr>
      <xdr:spPr>
        <a:xfrm>
          <a:off x="5800725" y="9496425"/>
          <a:ext cx="1323975" cy="609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219075</xdr:colOff>
      <xdr:row>11</xdr:row>
      <xdr:rowOff>114300</xdr:rowOff>
    </xdr:from>
    <xdr:to>
      <xdr:col>9</xdr:col>
      <xdr:colOff>314325</xdr:colOff>
      <xdr:row>15</xdr:row>
      <xdr:rowOff>38100</xdr:rowOff>
    </xdr:to>
    <xdr:sp macro="" textlink="">
      <xdr:nvSpPr>
        <xdr:cNvPr id="18" name="Flecha: a la derecha 17">
          <a:extLst>
            <a:ext uri="{FF2B5EF4-FFF2-40B4-BE49-F238E27FC236}">
              <a16:creationId xmlns:a16="http://schemas.microsoft.com/office/drawing/2014/main" id="{08F1A292-768A-4873-96C6-5FED17421BDA}"/>
            </a:ext>
          </a:extLst>
        </xdr:cNvPr>
        <xdr:cNvSpPr/>
      </xdr:nvSpPr>
      <xdr:spPr>
        <a:xfrm>
          <a:off x="6667500" y="2324100"/>
          <a:ext cx="2381250" cy="695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jespitia\Desktop\Eficiencia%20Calde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4">
          <cell r="D14">
            <v>879.99545227795886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C3CB-0E77-41FE-B85A-29693029D6FA}">
  <dimension ref="B1:AQ121"/>
  <sheetViews>
    <sheetView tabSelected="1" topLeftCell="A19" workbookViewId="0">
      <selection activeCell="I23" sqref="I23"/>
    </sheetView>
  </sheetViews>
  <sheetFormatPr baseColWidth="10" defaultRowHeight="15.75" thickBottom="1" x14ac:dyDescent="0.3"/>
  <cols>
    <col min="2" max="2" width="39.5703125" bestFit="1" customWidth="1"/>
    <col min="12" max="12" width="11.42578125" style="112"/>
    <col min="14" max="14" width="40.28515625" bestFit="1" customWidth="1"/>
    <col min="15" max="15" width="8" bestFit="1" customWidth="1"/>
    <col min="16" max="16" width="12" bestFit="1" customWidth="1"/>
    <col min="18" max="18" width="22.85546875" bestFit="1" customWidth="1"/>
    <col min="19" max="20" width="12" bestFit="1" customWidth="1"/>
    <col min="22" max="22" width="24.7109375" bestFit="1" customWidth="1"/>
    <col min="23" max="23" width="10.42578125" bestFit="1" customWidth="1"/>
    <col min="24" max="24" width="12" bestFit="1" customWidth="1"/>
    <col min="27" max="27" width="11.42578125" style="113"/>
    <col min="29" max="29" width="27" bestFit="1" customWidth="1"/>
  </cols>
  <sheetData>
    <row r="1" spans="2:43" ht="15" x14ac:dyDescent="0.25">
      <c r="F1" s="81"/>
      <c r="G1" s="81"/>
      <c r="H1" s="81"/>
      <c r="I1" s="81"/>
      <c r="J1" s="81"/>
      <c r="K1" s="81"/>
    </row>
    <row r="2" spans="2:43" thickBot="1" x14ac:dyDescent="0.3">
      <c r="B2" s="34"/>
      <c r="C2" s="34"/>
      <c r="D2" s="34"/>
      <c r="E2" s="34"/>
      <c r="F2" s="81"/>
      <c r="G2" s="81"/>
      <c r="H2" s="81"/>
      <c r="I2" s="81"/>
      <c r="J2" s="81"/>
      <c r="K2" s="81"/>
      <c r="M2" s="34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11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</row>
    <row r="3" spans="2:43" thickBot="1" x14ac:dyDescent="0.3">
      <c r="B3" s="71" t="s">
        <v>38</v>
      </c>
      <c r="C3" s="72"/>
      <c r="D3" s="72"/>
      <c r="E3" s="73"/>
      <c r="F3" s="81"/>
      <c r="G3" s="81"/>
      <c r="H3" s="81"/>
      <c r="I3" s="81"/>
      <c r="J3" s="81"/>
      <c r="K3" s="81"/>
      <c r="M3" s="34"/>
      <c r="N3" s="85" t="s">
        <v>148</v>
      </c>
      <c r="O3" s="86"/>
      <c r="P3" s="86"/>
      <c r="Q3" s="86"/>
      <c r="R3" s="86"/>
      <c r="S3" s="86"/>
      <c r="T3" s="86"/>
      <c r="U3" s="86"/>
      <c r="V3" s="86"/>
      <c r="W3" s="86"/>
      <c r="X3" s="87"/>
      <c r="Y3" s="34"/>
      <c r="Z3" s="70"/>
      <c r="AA3" s="114"/>
      <c r="AC3" s="74" t="s">
        <v>64</v>
      </c>
      <c r="AD3" s="75"/>
      <c r="AE3" s="75"/>
      <c r="AF3" s="76"/>
    </row>
    <row r="4" spans="2:43" thickBot="1" x14ac:dyDescent="0.3">
      <c r="B4" s="34"/>
      <c r="C4" s="34"/>
      <c r="D4" s="34"/>
      <c r="E4" s="34"/>
      <c r="F4" s="81"/>
      <c r="G4" s="74" t="s">
        <v>146</v>
      </c>
      <c r="H4" s="75"/>
      <c r="I4" s="75"/>
      <c r="J4" s="76"/>
      <c r="K4" s="6"/>
      <c r="M4" s="34"/>
      <c r="Y4" s="34"/>
      <c r="Z4" s="70"/>
      <c r="AA4" s="114"/>
      <c r="AC4" s="47" t="s">
        <v>70</v>
      </c>
      <c r="AD4" s="46" t="s">
        <v>68</v>
      </c>
      <c r="AE4" s="42" t="s">
        <v>71</v>
      </c>
      <c r="AF4" s="43" t="s">
        <v>69</v>
      </c>
    </row>
    <row r="5" spans="2:43" thickBot="1" x14ac:dyDescent="0.3">
      <c r="B5" s="26" t="s">
        <v>30</v>
      </c>
      <c r="C5" s="1" t="s">
        <v>21</v>
      </c>
      <c r="D5" s="1">
        <v>650</v>
      </c>
      <c r="E5" s="2" t="s">
        <v>10</v>
      </c>
      <c r="F5" s="81"/>
      <c r="G5" s="82"/>
      <c r="H5" s="83"/>
      <c r="I5" s="83"/>
      <c r="J5" s="84"/>
      <c r="K5" s="6"/>
      <c r="M5" s="34"/>
      <c r="N5" s="74" t="s">
        <v>113</v>
      </c>
      <c r="O5" s="75"/>
      <c r="P5" s="76"/>
      <c r="Q5" s="34"/>
      <c r="R5" s="78" t="s">
        <v>114</v>
      </c>
      <c r="S5" s="79"/>
      <c r="T5" s="80"/>
      <c r="U5" s="34"/>
      <c r="V5" s="74" t="s">
        <v>115</v>
      </c>
      <c r="W5" s="75"/>
      <c r="X5" s="76"/>
      <c r="Y5" s="34"/>
      <c r="Z5" s="70"/>
      <c r="AA5" s="114"/>
      <c r="AC5" s="48" t="s">
        <v>72</v>
      </c>
      <c r="AD5" s="6"/>
      <c r="AE5" s="6"/>
      <c r="AF5" s="36"/>
    </row>
    <row r="6" spans="2:43" ht="15" x14ac:dyDescent="0.25">
      <c r="B6" s="27" t="s">
        <v>31</v>
      </c>
      <c r="C6" s="3" t="s">
        <v>22</v>
      </c>
      <c r="D6" s="3">
        <v>250</v>
      </c>
      <c r="E6" s="4" t="s">
        <v>10</v>
      </c>
      <c r="F6" s="81"/>
      <c r="G6" s="74" t="s">
        <v>147</v>
      </c>
      <c r="H6" s="75"/>
      <c r="I6" s="75"/>
      <c r="J6" s="76"/>
      <c r="K6" s="6"/>
      <c r="M6" s="34"/>
      <c r="N6" s="35" t="s">
        <v>48</v>
      </c>
      <c r="O6" s="6" t="s">
        <v>102</v>
      </c>
      <c r="P6" s="52">
        <f>D10</f>
        <v>1374891.6397009562</v>
      </c>
      <c r="Q6" s="15"/>
      <c r="R6" s="35" t="s">
        <v>48</v>
      </c>
      <c r="S6" s="6" t="s">
        <v>102</v>
      </c>
      <c r="T6" s="52">
        <f>D10</f>
        <v>1374891.6397009562</v>
      </c>
      <c r="U6" s="15"/>
      <c r="V6" s="35" t="s">
        <v>48</v>
      </c>
      <c r="W6" s="6" t="s">
        <v>102</v>
      </c>
      <c r="X6" s="52">
        <f>D10</f>
        <v>1374891.6397009562</v>
      </c>
      <c r="Y6" s="34"/>
      <c r="Z6" s="70"/>
      <c r="AA6" s="114"/>
      <c r="AC6" s="48" t="s">
        <v>76</v>
      </c>
      <c r="AD6" s="6"/>
      <c r="AE6" s="6"/>
      <c r="AF6" s="36"/>
    </row>
    <row r="7" spans="2:43" thickBot="1" x14ac:dyDescent="0.3">
      <c r="B7" s="27" t="s">
        <v>32</v>
      </c>
      <c r="C7" s="3" t="s">
        <v>28</v>
      </c>
      <c r="D7" s="51">
        <f>0.662741979997669*3600</f>
        <v>2385.8711279916083</v>
      </c>
      <c r="E7" s="4" t="s">
        <v>29</v>
      </c>
      <c r="F7" s="81"/>
      <c r="G7" s="82"/>
      <c r="H7" s="83"/>
      <c r="I7" s="83"/>
      <c r="J7" s="84"/>
      <c r="K7" s="6"/>
      <c r="M7" s="34"/>
      <c r="N7" s="35" t="s">
        <v>100</v>
      </c>
      <c r="O7" s="6" t="s">
        <v>103</v>
      </c>
      <c r="P7" s="52">
        <v>2185.4899999999998</v>
      </c>
      <c r="Q7" s="15"/>
      <c r="R7" s="35" t="s">
        <v>100</v>
      </c>
      <c r="S7" s="6" t="s">
        <v>103</v>
      </c>
      <c r="T7" s="52">
        <v>2139.9899999999998</v>
      </c>
      <c r="U7" s="15"/>
      <c r="V7" s="35" t="s">
        <v>100</v>
      </c>
      <c r="W7" s="6" t="s">
        <v>103</v>
      </c>
      <c r="X7" s="52">
        <v>2104.7199999999998</v>
      </c>
      <c r="Y7" s="34"/>
      <c r="Z7" s="70"/>
      <c r="AA7" s="114"/>
      <c r="AC7" s="48" t="s">
        <v>77</v>
      </c>
      <c r="AD7" s="6"/>
      <c r="AE7" s="6"/>
      <c r="AF7" s="36"/>
    </row>
    <row r="8" spans="2:43" ht="15" x14ac:dyDescent="0.25">
      <c r="B8" s="27" t="s">
        <v>40</v>
      </c>
      <c r="C8" s="3" t="s">
        <v>12</v>
      </c>
      <c r="D8" s="3">
        <v>3.5500000000000001E-4</v>
      </c>
      <c r="E8" s="16" t="s">
        <v>19</v>
      </c>
      <c r="F8" s="81"/>
      <c r="G8" s="81"/>
      <c r="H8" s="81"/>
      <c r="I8" s="81"/>
      <c r="J8" s="81"/>
      <c r="K8" s="81"/>
      <c r="M8" s="34"/>
      <c r="N8" s="35" t="s">
        <v>101</v>
      </c>
      <c r="O8" s="6" t="s">
        <v>29</v>
      </c>
      <c r="P8" s="52">
        <f>P6/P7</f>
        <v>629.09994541313677</v>
      </c>
      <c r="Q8" s="34"/>
      <c r="R8" s="35" t="s">
        <v>101</v>
      </c>
      <c r="S8" s="6" t="s">
        <v>29</v>
      </c>
      <c r="T8" s="52">
        <f>T6/T7</f>
        <v>642.47573105526487</v>
      </c>
      <c r="U8" s="15"/>
      <c r="V8" s="35" t="s">
        <v>101</v>
      </c>
      <c r="W8" s="6" t="s">
        <v>29</v>
      </c>
      <c r="X8" s="52">
        <f>X6/X7</f>
        <v>653.24206531080438</v>
      </c>
      <c r="Y8" s="34"/>
      <c r="Z8" s="70"/>
      <c r="AA8" s="114"/>
      <c r="AC8" s="48" t="s">
        <v>78</v>
      </c>
      <c r="AD8" s="6"/>
      <c r="AE8" s="6"/>
      <c r="AF8" s="36"/>
    </row>
    <row r="9" spans="2:43" thickBot="1" x14ac:dyDescent="0.3">
      <c r="B9" s="27" t="s">
        <v>40</v>
      </c>
      <c r="C9" s="3" t="s">
        <v>9</v>
      </c>
      <c r="D9" s="3">
        <v>1.1211599999999999</v>
      </c>
      <c r="E9" s="16" t="s">
        <v>19</v>
      </c>
      <c r="F9" s="81"/>
      <c r="G9" s="81"/>
      <c r="H9" s="81"/>
      <c r="I9" s="81"/>
      <c r="J9" s="81"/>
      <c r="K9" s="81"/>
      <c r="M9" s="34"/>
      <c r="N9" s="35" t="s">
        <v>107</v>
      </c>
      <c r="O9" s="6" t="s">
        <v>108</v>
      </c>
      <c r="P9" s="52">
        <f>P8/34.5</f>
        <v>18.234781026467733</v>
      </c>
      <c r="Q9" s="15"/>
      <c r="R9" s="35" t="s">
        <v>107</v>
      </c>
      <c r="S9" s="6" t="s">
        <v>108</v>
      </c>
      <c r="T9" s="52">
        <f>T8/34.5</f>
        <v>18.622484958123618</v>
      </c>
      <c r="U9" s="15"/>
      <c r="V9" s="35" t="s">
        <v>107</v>
      </c>
      <c r="W9" s="6" t="s">
        <v>108</v>
      </c>
      <c r="X9" s="52">
        <f>X8/34.5</f>
        <v>18.934552617704476</v>
      </c>
      <c r="Y9" s="34"/>
      <c r="Z9" s="70"/>
      <c r="AA9" s="114"/>
      <c r="AC9" s="48" t="s">
        <v>79</v>
      </c>
      <c r="AD9" s="6"/>
      <c r="AE9" s="6"/>
      <c r="AF9" s="36"/>
    </row>
    <row r="10" spans="2:43" ht="15" x14ac:dyDescent="0.25">
      <c r="B10" s="27" t="s">
        <v>48</v>
      </c>
      <c r="C10" s="3" t="s">
        <v>24</v>
      </c>
      <c r="D10" s="3">
        <f>D7*(D12+D13)</f>
        <v>1374891.6397009562</v>
      </c>
      <c r="E10" s="4" t="s">
        <v>25</v>
      </c>
      <c r="F10" s="81"/>
      <c r="G10" s="119" t="s">
        <v>153</v>
      </c>
      <c r="H10" s="120"/>
      <c r="I10" s="120"/>
      <c r="J10" s="121"/>
      <c r="K10" s="81"/>
      <c r="M10" s="34"/>
      <c r="N10" s="35" t="s">
        <v>104</v>
      </c>
      <c r="O10" s="6" t="s">
        <v>105</v>
      </c>
      <c r="P10" s="53">
        <v>1.3349500000000001</v>
      </c>
      <c r="Q10" s="15"/>
      <c r="R10" s="35" t="s">
        <v>104</v>
      </c>
      <c r="S10" s="6" t="s">
        <v>105</v>
      </c>
      <c r="T10" s="53">
        <v>2.0459000000000001</v>
      </c>
      <c r="U10" s="15"/>
      <c r="V10" s="35" t="s">
        <v>104</v>
      </c>
      <c r="W10" s="6" t="s">
        <v>105</v>
      </c>
      <c r="X10" s="53">
        <v>2.7430699999999999</v>
      </c>
      <c r="Y10" s="34"/>
      <c r="Z10" s="70"/>
      <c r="AA10" s="114"/>
      <c r="AC10" s="48" t="s">
        <v>80</v>
      </c>
      <c r="AD10" s="6"/>
      <c r="AE10" s="6"/>
      <c r="AF10" s="36"/>
    </row>
    <row r="11" spans="2:43" ht="19.5" thickBot="1" x14ac:dyDescent="0.3">
      <c r="B11" s="28" t="s">
        <v>48</v>
      </c>
      <c r="C11" s="17" t="s">
        <v>24</v>
      </c>
      <c r="D11" s="17">
        <f>D10/3600</f>
        <v>381.91434436137672</v>
      </c>
      <c r="E11" s="18" t="s">
        <v>23</v>
      </c>
      <c r="F11" s="81"/>
      <c r="G11" s="122"/>
      <c r="H11" s="123"/>
      <c r="I11" s="123"/>
      <c r="J11" s="124"/>
      <c r="K11" s="81"/>
      <c r="M11" s="34"/>
      <c r="N11" s="35" t="s">
        <v>112</v>
      </c>
      <c r="O11" s="6" t="s">
        <v>106</v>
      </c>
      <c r="P11" s="52">
        <f>P8/P10</f>
        <v>471.25356411336509</v>
      </c>
      <c r="Q11" s="15"/>
      <c r="R11" s="35" t="s">
        <v>112</v>
      </c>
      <c r="S11" s="6" t="s">
        <v>106</v>
      </c>
      <c r="T11" s="52">
        <f>T8/T10</f>
        <v>314.03085735141741</v>
      </c>
      <c r="U11" s="15"/>
      <c r="V11" s="35" t="s">
        <v>112</v>
      </c>
      <c r="W11" s="6" t="s">
        <v>106</v>
      </c>
      <c r="X11" s="52">
        <f>X8/X10</f>
        <v>238.14268877965361</v>
      </c>
      <c r="Y11" s="34">
        <f>X13*1000</f>
        <v>64.894432290260397</v>
      </c>
      <c r="Z11" s="70"/>
      <c r="AA11" s="114"/>
      <c r="AC11" s="49" t="s">
        <v>81</v>
      </c>
      <c r="AD11" s="7"/>
      <c r="AE11" s="7"/>
      <c r="AF11" s="44"/>
    </row>
    <row r="12" spans="2:43" ht="15" x14ac:dyDescent="0.25">
      <c r="B12" s="29" t="s">
        <v>33</v>
      </c>
      <c r="C12" s="5" t="s">
        <v>27</v>
      </c>
      <c r="D12" s="5">
        <f>D8*(D5^2-D6^2)</f>
        <v>127.8</v>
      </c>
      <c r="E12" s="19" t="s">
        <v>19</v>
      </c>
      <c r="F12" s="81"/>
      <c r="G12" s="81"/>
      <c r="H12" s="81"/>
      <c r="I12" s="81"/>
      <c r="J12" s="81"/>
      <c r="K12" s="81"/>
      <c r="M12" s="34"/>
      <c r="N12" s="54" t="s">
        <v>109</v>
      </c>
      <c r="O12" s="6" t="s">
        <v>110</v>
      </c>
      <c r="P12" s="52">
        <v>20</v>
      </c>
      <c r="Q12" s="15"/>
      <c r="R12" s="54" t="s">
        <v>109</v>
      </c>
      <c r="S12" s="6" t="s">
        <v>110</v>
      </c>
      <c r="T12" s="52">
        <v>20</v>
      </c>
      <c r="U12" s="15"/>
      <c r="V12" s="54" t="s">
        <v>109</v>
      </c>
      <c r="W12" s="6" t="s">
        <v>110</v>
      </c>
      <c r="X12" s="52">
        <v>20</v>
      </c>
      <c r="Y12" s="34"/>
      <c r="Z12" s="70"/>
      <c r="AA12" s="114"/>
      <c r="AC12" s="50" t="s">
        <v>73</v>
      </c>
      <c r="AD12" s="9"/>
      <c r="AE12" s="5"/>
      <c r="AF12" s="45"/>
    </row>
    <row r="13" spans="2:43" ht="15" x14ac:dyDescent="0.25">
      <c r="B13" s="30" t="s">
        <v>33</v>
      </c>
      <c r="C13" s="6" t="s">
        <v>26</v>
      </c>
      <c r="D13" s="6">
        <f>D9*(D5-D6)</f>
        <v>448.464</v>
      </c>
      <c r="E13" s="20" t="s">
        <v>19</v>
      </c>
      <c r="F13" s="81"/>
      <c r="G13" s="81"/>
      <c r="H13" s="81"/>
      <c r="I13" s="81"/>
      <c r="J13" s="81"/>
      <c r="K13" s="81"/>
      <c r="M13" s="34"/>
      <c r="N13" s="54" t="s">
        <v>111</v>
      </c>
      <c r="O13" s="6" t="s">
        <v>2</v>
      </c>
      <c r="P13" s="52">
        <f>SQRT((4*P11/3600)/(P12*PI()))</f>
        <v>9.1288513442160379E-2</v>
      </c>
      <c r="Q13" s="34">
        <f>P13*1000</f>
        <v>91.288513442160379</v>
      </c>
      <c r="R13" s="54" t="s">
        <v>111</v>
      </c>
      <c r="S13" s="6" t="s">
        <v>2</v>
      </c>
      <c r="T13" s="52">
        <f>SQRT((4*T11/3600)/(T12*PI()))</f>
        <v>7.4520365024799279E-2</v>
      </c>
      <c r="U13" s="34">
        <f>T13*1000</f>
        <v>74.520365024799275</v>
      </c>
      <c r="V13" s="54" t="s">
        <v>111</v>
      </c>
      <c r="W13" s="6" t="s">
        <v>2</v>
      </c>
      <c r="X13" s="52">
        <f>SQRT((4*X11/3600)/(X12*PI()))</f>
        <v>6.4894432290260401E-2</v>
      </c>
      <c r="Y13" s="34"/>
      <c r="Z13" s="70"/>
      <c r="AA13" s="114"/>
      <c r="AC13" s="48" t="s">
        <v>82</v>
      </c>
      <c r="AD13" s="8"/>
      <c r="AE13" s="6"/>
      <c r="AF13" s="36"/>
    </row>
    <row r="14" spans="2:43" thickBot="1" x14ac:dyDescent="0.3">
      <c r="B14" s="30" t="s">
        <v>33</v>
      </c>
      <c r="C14" s="6" t="s">
        <v>12</v>
      </c>
      <c r="D14" s="6">
        <f>D17-D18</f>
        <v>400</v>
      </c>
      <c r="E14" s="20" t="s">
        <v>19</v>
      </c>
      <c r="F14" s="81"/>
      <c r="G14" s="81"/>
      <c r="H14" s="81"/>
      <c r="I14" s="81"/>
      <c r="J14" s="81"/>
      <c r="K14" s="81"/>
      <c r="M14" s="34"/>
      <c r="N14" s="55" t="s">
        <v>116</v>
      </c>
      <c r="O14" s="56" t="s">
        <v>117</v>
      </c>
      <c r="P14" s="57">
        <v>3</v>
      </c>
      <c r="Q14" s="34">
        <v>88.9</v>
      </c>
      <c r="R14" s="55" t="s">
        <v>116</v>
      </c>
      <c r="S14" s="56" t="s">
        <v>117</v>
      </c>
      <c r="T14" s="58">
        <v>2.5</v>
      </c>
      <c r="U14" s="34">
        <v>73.3</v>
      </c>
      <c r="V14" s="55" t="s">
        <v>116</v>
      </c>
      <c r="W14" s="56" t="s">
        <v>117</v>
      </c>
      <c r="X14" s="44">
        <v>2</v>
      </c>
      <c r="Y14" s="34"/>
      <c r="Z14" s="70"/>
      <c r="AA14" s="114"/>
      <c r="AC14" s="48" t="s">
        <v>83</v>
      </c>
      <c r="AD14" s="8"/>
      <c r="AE14" s="6"/>
      <c r="AF14" s="36"/>
    </row>
    <row r="15" spans="2:43" ht="15" x14ac:dyDescent="0.25">
      <c r="B15" s="30" t="s">
        <v>33</v>
      </c>
      <c r="C15" s="6" t="s">
        <v>9</v>
      </c>
      <c r="D15" s="6">
        <f>D17-D19</f>
        <v>480</v>
      </c>
      <c r="E15" s="20" t="s">
        <v>19</v>
      </c>
      <c r="F15" s="81"/>
      <c r="G15" s="81"/>
      <c r="H15" s="81"/>
      <c r="I15" s="81"/>
      <c r="J15" s="81"/>
      <c r="K15" s="81"/>
      <c r="M15" s="34"/>
      <c r="N15" s="34"/>
      <c r="O15" s="15"/>
      <c r="P15" s="15"/>
      <c r="Q15" s="15"/>
      <c r="R15" s="15"/>
      <c r="S15" s="15"/>
      <c r="T15" s="15"/>
      <c r="U15" s="15"/>
      <c r="V15" s="15"/>
      <c r="W15" s="15"/>
      <c r="X15" s="34"/>
      <c r="AA15" s="114"/>
      <c r="AB15" s="34"/>
      <c r="AC15" s="48" t="s">
        <v>84</v>
      </c>
      <c r="AD15" s="8"/>
      <c r="AE15" s="6"/>
      <c r="AF15" s="36"/>
    </row>
    <row r="16" spans="2:43" thickBot="1" x14ac:dyDescent="0.3">
      <c r="B16" s="30" t="s">
        <v>33</v>
      </c>
      <c r="C16" s="6" t="s">
        <v>6</v>
      </c>
      <c r="D16" s="6">
        <f>D18-D19</f>
        <v>80</v>
      </c>
      <c r="E16" s="20" t="s">
        <v>19</v>
      </c>
      <c r="F16" s="81"/>
      <c r="G16" s="81"/>
      <c r="H16" s="81"/>
      <c r="I16" s="81"/>
      <c r="J16" s="81"/>
      <c r="K16" s="81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34"/>
      <c r="AA16" s="114"/>
      <c r="AB16" s="34"/>
      <c r="AC16" s="48" t="s">
        <v>85</v>
      </c>
      <c r="AD16" s="8"/>
      <c r="AE16" s="6"/>
      <c r="AF16" s="36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</row>
    <row r="17" spans="2:43" ht="15" x14ac:dyDescent="0.25">
      <c r="B17" s="26" t="s">
        <v>34</v>
      </c>
      <c r="C17" s="1" t="s">
        <v>22</v>
      </c>
      <c r="D17" s="1">
        <f>D5</f>
        <v>650</v>
      </c>
      <c r="E17" s="2" t="s">
        <v>10</v>
      </c>
      <c r="F17" s="81"/>
      <c r="G17" s="81"/>
      <c r="H17" s="81"/>
      <c r="I17" s="81"/>
      <c r="J17" s="81"/>
      <c r="K17" s="81"/>
      <c r="N17" s="74" t="s">
        <v>115</v>
      </c>
      <c r="O17" s="75"/>
      <c r="P17" s="76"/>
      <c r="Q17" s="34"/>
      <c r="R17" s="67" t="s">
        <v>126</v>
      </c>
      <c r="S17" s="68"/>
      <c r="T17" s="69"/>
      <c r="V17" s="67" t="s">
        <v>126</v>
      </c>
      <c r="W17" s="68"/>
      <c r="X17" s="69"/>
      <c r="AA17" s="114"/>
      <c r="AB17" s="34"/>
      <c r="AC17" s="48" t="s">
        <v>86</v>
      </c>
      <c r="AD17" s="6"/>
      <c r="AE17" s="6"/>
      <c r="AF17" s="36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</row>
    <row r="18" spans="2:43" thickBot="1" x14ac:dyDescent="0.3">
      <c r="B18" s="27" t="s">
        <v>35</v>
      </c>
      <c r="C18" s="3" t="s">
        <v>21</v>
      </c>
      <c r="D18" s="3">
        <f>+D6</f>
        <v>250</v>
      </c>
      <c r="E18" s="4" t="s">
        <v>10</v>
      </c>
      <c r="F18" s="81"/>
      <c r="G18" s="81"/>
      <c r="H18" s="81"/>
      <c r="I18" s="81"/>
      <c r="J18" s="81"/>
      <c r="K18" s="81"/>
      <c r="N18" s="35" t="s">
        <v>48</v>
      </c>
      <c r="O18" s="6" t="s">
        <v>102</v>
      </c>
      <c r="P18" s="52">
        <f>D10</f>
        <v>1374891.6397009562</v>
      </c>
      <c r="Q18" s="34"/>
      <c r="R18" s="35" t="s">
        <v>48</v>
      </c>
      <c r="S18" s="6" t="s">
        <v>102</v>
      </c>
      <c r="T18" s="52">
        <f>526*3600</f>
        <v>1893600</v>
      </c>
      <c r="V18" s="35" t="s">
        <v>124</v>
      </c>
      <c r="W18" s="6" t="s">
        <v>106</v>
      </c>
      <c r="X18" s="36">
        <v>1.4</v>
      </c>
      <c r="AA18" s="114"/>
      <c r="AB18" s="34"/>
      <c r="AC18" s="49" t="s">
        <v>87</v>
      </c>
      <c r="AD18" s="7"/>
      <c r="AE18" s="7"/>
      <c r="AF18" s="4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</row>
    <row r="19" spans="2:43" ht="15" x14ac:dyDescent="0.25">
      <c r="B19" s="31" t="s">
        <v>36</v>
      </c>
      <c r="C19" s="3" t="s">
        <v>20</v>
      </c>
      <c r="D19" s="3">
        <v>170</v>
      </c>
      <c r="E19" s="4" t="s">
        <v>10</v>
      </c>
      <c r="F19" s="81"/>
      <c r="G19" s="81"/>
      <c r="H19" s="81"/>
      <c r="I19" s="81"/>
      <c r="J19" s="81"/>
      <c r="K19" s="81"/>
      <c r="N19" s="35" t="s">
        <v>100</v>
      </c>
      <c r="O19" s="6" t="s">
        <v>103</v>
      </c>
      <c r="P19" s="52">
        <v>2104.7199999999998</v>
      </c>
      <c r="Q19" s="34"/>
      <c r="R19" s="35" t="s">
        <v>100</v>
      </c>
      <c r="S19" s="6" t="s">
        <v>103</v>
      </c>
      <c r="T19" s="52">
        <v>2015.19</v>
      </c>
      <c r="V19" s="35" t="s">
        <v>119</v>
      </c>
      <c r="W19" s="6" t="s">
        <v>105</v>
      </c>
      <c r="X19" s="36">
        <v>1000</v>
      </c>
      <c r="AA19" s="114"/>
      <c r="AB19" s="34"/>
      <c r="AC19" s="50" t="s">
        <v>74</v>
      </c>
      <c r="AD19" s="5"/>
      <c r="AE19" s="5"/>
      <c r="AF19" s="45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</row>
    <row r="20" spans="2:43" ht="15" x14ac:dyDescent="0.25">
      <c r="B20" s="31" t="s">
        <v>37</v>
      </c>
      <c r="C20" s="3" t="s">
        <v>18</v>
      </c>
      <c r="D20" s="3">
        <f>D14/LN(D15/D16)</f>
        <v>223.24425062049892</v>
      </c>
      <c r="E20" s="4" t="s">
        <v>10</v>
      </c>
      <c r="F20" s="81"/>
      <c r="G20" s="81"/>
      <c r="H20" s="81"/>
      <c r="I20" s="81"/>
      <c r="J20" s="81"/>
      <c r="K20" s="81"/>
      <c r="N20" s="35" t="s">
        <v>101</v>
      </c>
      <c r="O20" s="6" t="s">
        <v>29</v>
      </c>
      <c r="P20" s="52">
        <f>P18/P19</f>
        <v>653.24206531080438</v>
      </c>
      <c r="Q20" s="34"/>
      <c r="R20" s="35" t="s">
        <v>101</v>
      </c>
      <c r="S20" s="6" t="s">
        <v>29</v>
      </c>
      <c r="T20" s="52">
        <f>T18/T19</f>
        <v>939.66325755884054</v>
      </c>
      <c r="V20" s="35" t="s">
        <v>121</v>
      </c>
      <c r="W20" s="6" t="s">
        <v>122</v>
      </c>
      <c r="X20" s="36">
        <v>130</v>
      </c>
      <c r="AA20" s="114"/>
      <c r="AB20" s="34"/>
      <c r="AC20" s="48" t="s">
        <v>88</v>
      </c>
      <c r="AD20" s="6"/>
      <c r="AE20" s="6"/>
      <c r="AF20" s="36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</row>
    <row r="21" spans="2:43" ht="15" x14ac:dyDescent="0.25">
      <c r="B21" s="31" t="s">
        <v>39</v>
      </c>
      <c r="C21" s="3" t="s">
        <v>17</v>
      </c>
      <c r="D21" s="3">
        <v>25</v>
      </c>
      <c r="E21" s="21" t="s">
        <v>43</v>
      </c>
      <c r="F21" s="81"/>
      <c r="G21" s="81"/>
      <c r="H21" s="81"/>
      <c r="I21" s="81"/>
      <c r="J21" s="81"/>
      <c r="K21" s="81"/>
      <c r="N21" s="35" t="s">
        <v>107</v>
      </c>
      <c r="O21" s="6" t="s">
        <v>108</v>
      </c>
      <c r="P21" s="52">
        <f>P20/34.5</f>
        <v>18.934552617704476</v>
      </c>
      <c r="Q21" s="34"/>
      <c r="R21" s="35" t="s">
        <v>107</v>
      </c>
      <c r="S21" s="6" t="s">
        <v>108</v>
      </c>
      <c r="T21" s="52">
        <f>T20/34.5</f>
        <v>27.236616161125813</v>
      </c>
      <c r="V21" s="35" t="s">
        <v>123</v>
      </c>
      <c r="W21" s="6" t="s">
        <v>105</v>
      </c>
      <c r="X21" s="36">
        <v>5.1329099999999999</v>
      </c>
      <c r="AA21" s="114"/>
      <c r="AB21" s="34"/>
      <c r="AC21" s="48" t="s">
        <v>89</v>
      </c>
      <c r="AD21" s="6"/>
      <c r="AE21" s="6"/>
      <c r="AF21" s="36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</row>
    <row r="22" spans="2:43" ht="19.5" thickBot="1" x14ac:dyDescent="0.3">
      <c r="B22" s="28" t="s">
        <v>41</v>
      </c>
      <c r="C22" s="17" t="s">
        <v>12</v>
      </c>
      <c r="D22" s="17">
        <f>(D11*1000)/(D21*D20)</f>
        <v>68.429864294352086</v>
      </c>
      <c r="E22" s="18" t="s">
        <v>1</v>
      </c>
      <c r="F22" s="81"/>
      <c r="G22" s="81"/>
      <c r="H22" s="81"/>
      <c r="I22" s="81"/>
      <c r="J22" s="81"/>
      <c r="K22" s="81"/>
      <c r="N22" s="35" t="s">
        <v>104</v>
      </c>
      <c r="O22" s="6" t="s">
        <v>105</v>
      </c>
      <c r="P22" s="53">
        <v>2.7430699999999999</v>
      </c>
      <c r="Q22" s="34">
        <f>P20/P22</f>
        <v>238.14268877965361</v>
      </c>
      <c r="R22" s="35" t="s">
        <v>104</v>
      </c>
      <c r="S22" s="6" t="s">
        <v>105</v>
      </c>
      <c r="T22" s="53">
        <v>5.1329099999999999</v>
      </c>
      <c r="V22" s="35" t="s">
        <v>101</v>
      </c>
      <c r="W22" s="6" t="s">
        <v>29</v>
      </c>
      <c r="X22" s="36">
        <f>X18*X19</f>
        <v>1400</v>
      </c>
      <c r="AA22" s="114"/>
      <c r="AB22" s="34"/>
      <c r="AC22" s="48" t="s">
        <v>90</v>
      </c>
      <c r="AD22" s="6"/>
      <c r="AE22" s="25"/>
      <c r="AF22" s="23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</row>
    <row r="23" spans="2:43" ht="15" x14ac:dyDescent="0.25">
      <c r="B23" s="26" t="s">
        <v>0</v>
      </c>
      <c r="C23" s="1" t="s">
        <v>16</v>
      </c>
      <c r="D23" s="1">
        <f>D11</f>
        <v>381.91434436137672</v>
      </c>
      <c r="E23" s="2" t="s">
        <v>15</v>
      </c>
      <c r="F23" s="81"/>
      <c r="G23" s="81"/>
      <c r="H23" s="81"/>
      <c r="I23" s="81"/>
      <c r="J23" s="81"/>
      <c r="K23" s="81"/>
      <c r="N23" s="35" t="s">
        <v>112</v>
      </c>
      <c r="O23" s="6" t="s">
        <v>106</v>
      </c>
      <c r="P23" s="52">
        <f>P20/P22</f>
        <v>238.14268877965361</v>
      </c>
      <c r="Q23" s="34"/>
      <c r="R23" s="35" t="s">
        <v>112</v>
      </c>
      <c r="S23" s="6" t="s">
        <v>106</v>
      </c>
      <c r="T23" s="52">
        <f>T20/T22</f>
        <v>183.06638097275047</v>
      </c>
      <c r="V23" s="35" t="s">
        <v>100</v>
      </c>
      <c r="W23" s="6" t="s">
        <v>103</v>
      </c>
      <c r="X23" s="36">
        <v>2015.19</v>
      </c>
      <c r="AA23" s="114"/>
      <c r="AB23" s="34"/>
      <c r="AC23" s="48" t="s">
        <v>91</v>
      </c>
      <c r="AD23" s="6"/>
      <c r="AE23" s="25"/>
      <c r="AF23" s="23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</row>
    <row r="24" spans="2:43" ht="15" x14ac:dyDescent="0.25">
      <c r="B24" s="27" t="s">
        <v>14</v>
      </c>
      <c r="C24" s="3" t="s">
        <v>13</v>
      </c>
      <c r="D24" s="3">
        <v>22</v>
      </c>
      <c r="E24" s="4" t="s">
        <v>10</v>
      </c>
      <c r="F24" s="81"/>
      <c r="G24" s="81"/>
      <c r="H24" s="81"/>
      <c r="I24" s="81"/>
      <c r="J24" s="81"/>
      <c r="K24" s="81"/>
      <c r="N24" s="54" t="s">
        <v>109</v>
      </c>
      <c r="O24" s="6" t="s">
        <v>110</v>
      </c>
      <c r="P24" s="52">
        <v>20</v>
      </c>
      <c r="Q24" s="34"/>
      <c r="R24" s="54" t="s">
        <v>109</v>
      </c>
      <c r="S24" s="6" t="s">
        <v>110</v>
      </c>
      <c r="T24" s="52">
        <v>20</v>
      </c>
      <c r="V24" s="35" t="s">
        <v>125</v>
      </c>
      <c r="W24" s="6" t="s">
        <v>118</v>
      </c>
      <c r="X24" s="36">
        <f>X23*X22</f>
        <v>2821266</v>
      </c>
      <c r="AA24" s="114"/>
      <c r="AB24" s="34"/>
      <c r="AC24" s="48" t="s">
        <v>92</v>
      </c>
      <c r="AD24" s="6"/>
      <c r="AE24" s="6"/>
      <c r="AF24" s="23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</row>
    <row r="25" spans="2:43" thickBot="1" x14ac:dyDescent="0.3">
      <c r="B25" s="27" t="s">
        <v>44</v>
      </c>
      <c r="C25" s="3" t="s">
        <v>11</v>
      </c>
      <c r="D25" s="3">
        <v>138.72753150236844</v>
      </c>
      <c r="E25" s="4" t="s">
        <v>10</v>
      </c>
      <c r="F25" s="81"/>
      <c r="G25" s="81"/>
      <c r="H25" s="81"/>
      <c r="I25" s="81"/>
      <c r="J25" s="81"/>
      <c r="K25" s="81"/>
      <c r="N25" s="54" t="s">
        <v>111</v>
      </c>
      <c r="O25" s="6" t="s">
        <v>2</v>
      </c>
      <c r="P25" s="52">
        <f>SQRT((4*P23/3600)/(P24*PI()))</f>
        <v>6.4894432290260401E-2</v>
      </c>
      <c r="Q25" s="34"/>
      <c r="R25" s="54" t="s">
        <v>111</v>
      </c>
      <c r="S25" s="6" t="s">
        <v>2</v>
      </c>
      <c r="T25" s="52">
        <f>SQRT((4*T23/3600)/(T24*PI()))</f>
        <v>5.6897490127965446E-2</v>
      </c>
      <c r="V25" s="35" t="s">
        <v>107</v>
      </c>
      <c r="W25" s="6" t="s">
        <v>127</v>
      </c>
      <c r="X25" s="36">
        <f>X22/34.5</f>
        <v>40.579710144927539</v>
      </c>
      <c r="Y25" s="34"/>
      <c r="Z25" s="70"/>
      <c r="AA25" s="114"/>
      <c r="AB25" s="34"/>
      <c r="AC25" s="49" t="s">
        <v>93</v>
      </c>
      <c r="AD25" s="7"/>
      <c r="AE25" s="7"/>
      <c r="AF25" s="4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</row>
    <row r="26" spans="2:43" thickBot="1" x14ac:dyDescent="0.3">
      <c r="B26" s="27" t="s">
        <v>45</v>
      </c>
      <c r="C26" s="3" t="s">
        <v>8</v>
      </c>
      <c r="D26" s="3">
        <v>2269.4705605296467</v>
      </c>
      <c r="E26" s="4" t="s">
        <v>7</v>
      </c>
      <c r="F26" s="81"/>
      <c r="G26" s="81"/>
      <c r="H26" s="81"/>
      <c r="I26" s="81"/>
      <c r="J26" s="81"/>
      <c r="K26" s="81"/>
      <c r="N26" s="55" t="s">
        <v>116</v>
      </c>
      <c r="O26" s="56" t="s">
        <v>117</v>
      </c>
      <c r="P26" s="44">
        <v>2</v>
      </c>
      <c r="Q26" s="34"/>
      <c r="R26" s="55" t="s">
        <v>116</v>
      </c>
      <c r="S26" s="56" t="s">
        <v>117</v>
      </c>
      <c r="T26" s="44">
        <v>2</v>
      </c>
      <c r="V26" s="37" t="s">
        <v>128</v>
      </c>
      <c r="W26" s="7" t="s">
        <v>23</v>
      </c>
      <c r="X26" s="44">
        <f>X24/3600</f>
        <v>783.68499999999995</v>
      </c>
      <c r="Y26" s="34"/>
      <c r="Z26" s="70"/>
      <c r="AA26" s="114"/>
      <c r="AB26" s="34"/>
      <c r="AC26" s="50" t="s">
        <v>75</v>
      </c>
      <c r="AD26" s="5"/>
      <c r="AE26" s="5"/>
      <c r="AF26" s="45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</row>
    <row r="27" spans="2:43" thickBot="1" x14ac:dyDescent="0.3">
      <c r="B27" s="27" t="s">
        <v>46</v>
      </c>
      <c r="C27" s="3" t="s">
        <v>5</v>
      </c>
      <c r="D27" s="11">
        <v>3.7536399999999999</v>
      </c>
      <c r="E27" s="4" t="s">
        <v>4</v>
      </c>
      <c r="F27" s="81"/>
      <c r="G27" s="81"/>
      <c r="H27" s="81"/>
      <c r="I27" s="81"/>
      <c r="J27" s="81"/>
      <c r="K27" s="81"/>
      <c r="N27" s="34"/>
      <c r="O27" s="34"/>
      <c r="P27" s="34"/>
      <c r="Q27" s="34"/>
      <c r="R27" s="34" t="s">
        <v>119</v>
      </c>
      <c r="S27" s="34">
        <v>1000</v>
      </c>
      <c r="T27" s="6" t="s">
        <v>105</v>
      </c>
      <c r="V27" s="34"/>
      <c r="W27" s="34"/>
      <c r="X27" s="34"/>
      <c r="Y27" s="34"/>
      <c r="Z27" s="70"/>
      <c r="AA27" s="114"/>
      <c r="AB27" s="34"/>
      <c r="AC27" s="48" t="s">
        <v>94</v>
      </c>
      <c r="AD27" s="6"/>
      <c r="AE27" s="6"/>
      <c r="AF27" s="36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</row>
    <row r="28" spans="2:43" ht="19.5" thickBot="1" x14ac:dyDescent="0.3">
      <c r="B28" s="32" t="s">
        <v>47</v>
      </c>
      <c r="C28" s="12" t="s">
        <v>3</v>
      </c>
      <c r="D28" s="13">
        <f>(D29/(D30+D31))*0.75</f>
        <v>79.381724955923502</v>
      </c>
      <c r="E28" s="14" t="s">
        <v>42</v>
      </c>
      <c r="F28" s="81"/>
      <c r="G28" s="81"/>
      <c r="H28" s="81"/>
      <c r="I28" s="81"/>
      <c r="J28" s="81"/>
      <c r="K28" s="81"/>
      <c r="N28" s="74" t="s">
        <v>126</v>
      </c>
      <c r="O28" s="75"/>
      <c r="P28" s="76"/>
      <c r="Q28" s="34"/>
      <c r="R28" s="34" t="s">
        <v>120</v>
      </c>
      <c r="S28" s="34">
        <f>T20/S27</f>
        <v>0.9396632575588405</v>
      </c>
      <c r="T28" s="34" t="s">
        <v>106</v>
      </c>
      <c r="V28" s="34"/>
      <c r="W28" s="34"/>
      <c r="X28" s="34"/>
      <c r="AA28" s="114"/>
      <c r="AC28" s="48" t="s">
        <v>95</v>
      </c>
      <c r="AD28" s="6"/>
      <c r="AE28" s="6"/>
      <c r="AF28" s="36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</row>
    <row r="29" spans="2:43" thickBot="1" x14ac:dyDescent="0.3">
      <c r="B29" s="29" t="s">
        <v>33</v>
      </c>
      <c r="C29" s="5" t="s">
        <v>12</v>
      </c>
      <c r="D29" s="5">
        <f>D23*3600</f>
        <v>1374891.6397009562</v>
      </c>
      <c r="E29" s="19" t="s">
        <v>19</v>
      </c>
      <c r="F29" s="81"/>
      <c r="G29" s="81"/>
      <c r="H29" s="81"/>
      <c r="I29" s="81"/>
      <c r="J29" s="81"/>
      <c r="K29" s="81"/>
      <c r="N29" s="35" t="s">
        <v>130</v>
      </c>
      <c r="O29" s="6" t="s">
        <v>106</v>
      </c>
      <c r="P29" s="36">
        <f>4.25</f>
        <v>4.25</v>
      </c>
      <c r="Q29" s="34"/>
      <c r="R29" s="34"/>
      <c r="S29" s="34"/>
      <c r="T29" s="34"/>
      <c r="U29" s="34"/>
      <c r="V29" s="34"/>
      <c r="W29" s="34"/>
      <c r="X29" s="34"/>
      <c r="AA29" s="114"/>
      <c r="AC29" s="48" t="s">
        <v>96</v>
      </c>
      <c r="AD29" s="6"/>
      <c r="AE29" s="6"/>
      <c r="AF29" s="36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</row>
    <row r="30" spans="2:43" ht="15" x14ac:dyDescent="0.25">
      <c r="B30" s="30" t="s">
        <v>33</v>
      </c>
      <c r="C30" s="6" t="s">
        <v>9</v>
      </c>
      <c r="D30" s="6">
        <f>5.882*(D25-D24)*D27</f>
        <v>2577.2167185921721</v>
      </c>
      <c r="E30" s="20" t="s">
        <v>19</v>
      </c>
      <c r="F30" s="81"/>
      <c r="G30" s="81"/>
      <c r="H30" s="81"/>
      <c r="I30" s="81"/>
      <c r="J30" s="81"/>
      <c r="K30" s="81"/>
      <c r="N30" s="35" t="s">
        <v>131</v>
      </c>
      <c r="O30" s="6" t="s">
        <v>132</v>
      </c>
      <c r="P30" s="36">
        <f>14.3/60</f>
        <v>0.23833333333333334</v>
      </c>
      <c r="R30" s="94" t="s">
        <v>151</v>
      </c>
      <c r="S30" s="95"/>
      <c r="T30" s="95"/>
      <c r="U30" s="95"/>
      <c r="V30" s="96"/>
      <c r="AA30" s="114"/>
      <c r="AC30" s="48" t="s">
        <v>97</v>
      </c>
      <c r="AD30" s="6"/>
      <c r="AE30" s="6"/>
      <c r="AF30" s="36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</row>
    <row r="31" spans="2:43" thickBot="1" x14ac:dyDescent="0.3">
      <c r="B31" s="33" t="s">
        <v>33</v>
      </c>
      <c r="C31" s="7" t="s">
        <v>6</v>
      </c>
      <c r="D31" s="7">
        <f>4.5882*D26</f>
        <v>10412.784825822124</v>
      </c>
      <c r="E31" s="22" t="s">
        <v>19</v>
      </c>
      <c r="F31" s="81"/>
      <c r="G31" s="81"/>
      <c r="H31" s="81"/>
      <c r="I31" s="81"/>
      <c r="J31" s="81"/>
      <c r="K31" s="81"/>
      <c r="N31" s="35" t="s">
        <v>124</v>
      </c>
      <c r="O31" s="6" t="s">
        <v>106</v>
      </c>
      <c r="P31" s="36">
        <f>P29*P30</f>
        <v>1.0129166666666667</v>
      </c>
      <c r="R31" s="97"/>
      <c r="S31" s="98"/>
      <c r="T31" s="98"/>
      <c r="U31" s="98"/>
      <c r="V31" s="99"/>
      <c r="AA31" s="114"/>
      <c r="AC31" s="48" t="s">
        <v>98</v>
      </c>
      <c r="AD31" s="6"/>
      <c r="AE31" s="6"/>
      <c r="AF31" s="36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63">
        <v>526</v>
      </c>
    </row>
    <row r="32" spans="2:43" thickBot="1" x14ac:dyDescent="0.3">
      <c r="B32" s="34"/>
      <c r="C32" s="34"/>
      <c r="D32" s="34"/>
      <c r="E32" s="34"/>
      <c r="F32" s="81"/>
      <c r="G32" s="81"/>
      <c r="H32" s="81"/>
      <c r="I32" s="81"/>
      <c r="J32" s="81"/>
      <c r="K32" s="81"/>
      <c r="N32" s="35" t="s">
        <v>119</v>
      </c>
      <c r="O32" s="6" t="s">
        <v>105</v>
      </c>
      <c r="P32" s="36">
        <v>1000</v>
      </c>
      <c r="R32" s="97"/>
      <c r="S32" s="98"/>
      <c r="T32" s="98"/>
      <c r="U32" s="98"/>
      <c r="V32" s="99"/>
      <c r="AA32" s="114"/>
      <c r="AC32" s="49" t="s">
        <v>99</v>
      </c>
      <c r="AD32" s="7"/>
      <c r="AE32" s="7"/>
      <c r="AF32" s="4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>
        <f>AQ31/[1]Hoja1!D14</f>
        <v>0.59773036171765981</v>
      </c>
    </row>
    <row r="33" spans="2:43" thickBot="1" x14ac:dyDescent="0.3">
      <c r="B33" s="71" t="s">
        <v>52</v>
      </c>
      <c r="C33" s="72"/>
      <c r="D33" s="72"/>
      <c r="E33" s="73"/>
      <c r="F33" s="81"/>
      <c r="G33" s="81"/>
      <c r="H33" s="81"/>
      <c r="I33" s="81"/>
      <c r="J33" s="81"/>
      <c r="K33" s="81"/>
      <c r="N33" s="35" t="s">
        <v>121</v>
      </c>
      <c r="O33" s="6" t="s">
        <v>122</v>
      </c>
      <c r="P33" s="36">
        <v>130</v>
      </c>
      <c r="R33" s="97"/>
      <c r="S33" s="98"/>
      <c r="T33" s="98"/>
      <c r="U33" s="98"/>
      <c r="V33" s="99"/>
      <c r="AA33" s="11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</row>
    <row r="34" spans="2:43" ht="15" x14ac:dyDescent="0.25">
      <c r="B34" s="65" t="s">
        <v>49</v>
      </c>
      <c r="C34" s="9" t="s">
        <v>56</v>
      </c>
      <c r="D34" s="66">
        <f>136-D35</f>
        <v>78</v>
      </c>
      <c r="E34" s="19" t="s">
        <v>19</v>
      </c>
      <c r="F34" s="81"/>
      <c r="G34" s="88" t="s">
        <v>149</v>
      </c>
      <c r="H34" s="89"/>
      <c r="I34" s="90"/>
      <c r="J34" s="81"/>
      <c r="K34" s="81"/>
      <c r="N34" s="35" t="s">
        <v>123</v>
      </c>
      <c r="O34" s="6" t="s">
        <v>105</v>
      </c>
      <c r="P34" s="36">
        <v>5.1329099999999999</v>
      </c>
      <c r="R34" s="97"/>
      <c r="S34" s="98"/>
      <c r="T34" s="98"/>
      <c r="U34" s="98"/>
      <c r="V34" s="99"/>
      <c r="AA34" s="11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</row>
    <row r="35" spans="2:43" thickBot="1" x14ac:dyDescent="0.3">
      <c r="B35" s="35" t="s">
        <v>67</v>
      </c>
      <c r="C35" s="8" t="s">
        <v>55</v>
      </c>
      <c r="D35" s="6">
        <f>16+16+13+13</f>
        <v>58</v>
      </c>
      <c r="E35" s="20" t="s">
        <v>19</v>
      </c>
      <c r="F35" s="81"/>
      <c r="G35" s="91"/>
      <c r="H35" s="92"/>
      <c r="I35" s="93"/>
      <c r="J35" s="81"/>
      <c r="K35" s="81"/>
      <c r="N35" s="35" t="s">
        <v>101</v>
      </c>
      <c r="O35" s="6" t="s">
        <v>29</v>
      </c>
      <c r="P35" s="36">
        <f>P31*P32</f>
        <v>1012.9166666666667</v>
      </c>
      <c r="R35" s="97"/>
      <c r="S35" s="98"/>
      <c r="T35" s="98"/>
      <c r="U35" s="98"/>
      <c r="V35" s="99"/>
      <c r="AA35" s="11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</row>
    <row r="36" spans="2:43" thickBot="1" x14ac:dyDescent="0.3">
      <c r="B36" s="35" t="s">
        <v>136</v>
      </c>
      <c r="C36" s="6" t="s">
        <v>139</v>
      </c>
      <c r="D36" s="6">
        <v>8</v>
      </c>
      <c r="E36" s="36" t="s">
        <v>2</v>
      </c>
      <c r="F36" s="81"/>
      <c r="G36" s="81"/>
      <c r="H36" s="81"/>
      <c r="I36" s="81"/>
      <c r="J36" s="81"/>
      <c r="K36" s="81"/>
      <c r="N36" s="35" t="s">
        <v>100</v>
      </c>
      <c r="O36" s="6" t="s">
        <v>103</v>
      </c>
      <c r="P36" s="36">
        <v>2015.19</v>
      </c>
      <c r="R36" s="100"/>
      <c r="S36" s="101"/>
      <c r="T36" s="101"/>
      <c r="U36" s="101"/>
      <c r="V36" s="102"/>
      <c r="AA36" s="11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</row>
    <row r="37" spans="2:43" ht="15" x14ac:dyDescent="0.25">
      <c r="B37" s="35" t="s">
        <v>134</v>
      </c>
      <c r="C37" s="6" t="s">
        <v>140</v>
      </c>
      <c r="D37" s="6">
        <v>28.155999999999999</v>
      </c>
      <c r="E37" s="36" t="s">
        <v>2</v>
      </c>
      <c r="F37" s="81"/>
      <c r="G37" s="81"/>
      <c r="H37" s="81"/>
      <c r="I37" s="81"/>
      <c r="J37" s="81"/>
      <c r="K37" s="81"/>
      <c r="N37" s="35" t="s">
        <v>125</v>
      </c>
      <c r="O37" s="6" t="s">
        <v>118</v>
      </c>
      <c r="P37" s="36">
        <f>P36*P35</f>
        <v>2041219.5375000001</v>
      </c>
      <c r="AA37" s="11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</row>
    <row r="38" spans="2:43" ht="15" x14ac:dyDescent="0.25">
      <c r="B38" s="35" t="s">
        <v>142</v>
      </c>
      <c r="C38" s="6" t="s">
        <v>141</v>
      </c>
      <c r="D38" s="6">
        <v>2.4</v>
      </c>
      <c r="E38" s="36" t="s">
        <v>2</v>
      </c>
      <c r="F38" s="81"/>
      <c r="G38" s="81"/>
      <c r="H38" s="81"/>
      <c r="I38" s="81"/>
      <c r="J38" s="81"/>
      <c r="K38" s="81"/>
      <c r="N38" s="35" t="s">
        <v>107</v>
      </c>
      <c r="O38" s="6" t="s">
        <v>127</v>
      </c>
      <c r="P38" s="36">
        <f>P35/34.5</f>
        <v>29.359903381642514</v>
      </c>
      <c r="AA38" s="11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</row>
    <row r="39" spans="2:43" thickBot="1" x14ac:dyDescent="0.3">
      <c r="B39" s="35" t="s">
        <v>150</v>
      </c>
      <c r="C39" s="6" t="s">
        <v>141</v>
      </c>
      <c r="D39" s="6">
        <v>2</v>
      </c>
      <c r="E39" s="36" t="s">
        <v>2</v>
      </c>
      <c r="F39" s="81"/>
      <c r="G39" s="81"/>
      <c r="H39" s="81"/>
      <c r="I39" s="81"/>
      <c r="J39" s="81"/>
      <c r="K39" s="81"/>
      <c r="N39" s="37" t="s">
        <v>128</v>
      </c>
      <c r="O39" s="7" t="s">
        <v>23</v>
      </c>
      <c r="P39" s="44">
        <f>P37/3600</f>
        <v>567.00542708333342</v>
      </c>
      <c r="AA39" s="11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</row>
    <row r="40" spans="2:43" ht="18" thickBot="1" x14ac:dyDescent="0.3">
      <c r="B40" s="38" t="s">
        <v>145</v>
      </c>
      <c r="C40" s="6" t="s">
        <v>51</v>
      </c>
      <c r="D40" s="6">
        <f>+PI()*(48.26/1000)*D39</f>
        <v>0.30322652292448682</v>
      </c>
      <c r="E40" s="23" t="s">
        <v>50</v>
      </c>
      <c r="F40" s="81"/>
      <c r="G40" s="81"/>
      <c r="H40" s="81"/>
      <c r="I40" s="81"/>
      <c r="J40" s="81"/>
      <c r="K40" s="81"/>
      <c r="N40" s="60" t="s">
        <v>129</v>
      </c>
      <c r="O40" s="61"/>
      <c r="P40" s="62">
        <f>P39/[1]Hoja1!D14</f>
        <v>0.64432767875740893</v>
      </c>
      <c r="AA40" s="11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</row>
    <row r="41" spans="2:43" ht="17.25" x14ac:dyDescent="0.25">
      <c r="B41" s="38" t="s">
        <v>53</v>
      </c>
      <c r="C41" s="6" t="s">
        <v>54</v>
      </c>
      <c r="D41" s="6">
        <f>+D40*(D35+D34)</f>
        <v>41.238807117730204</v>
      </c>
      <c r="E41" s="23" t="s">
        <v>50</v>
      </c>
      <c r="F41" s="81"/>
      <c r="G41" s="81"/>
      <c r="H41" s="81"/>
      <c r="I41" s="81"/>
      <c r="J41" s="81"/>
      <c r="K41" s="81"/>
      <c r="AA41" s="11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</row>
    <row r="42" spans="2:43" ht="17.25" x14ac:dyDescent="0.25">
      <c r="B42" s="35" t="s">
        <v>137</v>
      </c>
      <c r="C42" s="6" t="s">
        <v>133</v>
      </c>
      <c r="D42" s="6">
        <f>+PI()*(219/1000)*D36</f>
        <v>5.5040703290893171</v>
      </c>
      <c r="E42" s="23" t="s">
        <v>50</v>
      </c>
      <c r="F42" s="81"/>
      <c r="G42" s="81"/>
      <c r="H42" s="81"/>
      <c r="I42" s="81"/>
      <c r="J42" s="81"/>
      <c r="K42" s="81"/>
      <c r="AA42" s="11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</row>
    <row r="43" spans="2:43" ht="17.25" x14ac:dyDescent="0.25">
      <c r="B43" s="35" t="s">
        <v>138</v>
      </c>
      <c r="C43" s="6" t="s">
        <v>135</v>
      </c>
      <c r="D43" s="6">
        <f>+PI()*(219/1000)*D37</f>
        <v>19.371575523229851</v>
      </c>
      <c r="E43" s="23" t="s">
        <v>50</v>
      </c>
      <c r="F43" s="81"/>
      <c r="G43" s="81"/>
      <c r="H43" s="81"/>
      <c r="I43" s="81"/>
      <c r="J43" s="81"/>
      <c r="K43" s="81"/>
      <c r="AA43" s="11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</row>
    <row r="44" spans="2:43" ht="18" thickBot="1" x14ac:dyDescent="0.3">
      <c r="B44" s="35" t="s">
        <v>144</v>
      </c>
      <c r="C44" s="6" t="s">
        <v>135</v>
      </c>
      <c r="D44" s="6">
        <f>+PI()*(88.9/1000)*D38</f>
        <v>0.67029020856991828</v>
      </c>
      <c r="E44" s="23" t="s">
        <v>143</v>
      </c>
      <c r="F44" s="81"/>
      <c r="G44" s="81"/>
      <c r="H44" s="81"/>
      <c r="I44" s="81"/>
      <c r="J44" s="81"/>
      <c r="K44" s="81"/>
      <c r="M44" s="81"/>
      <c r="N44" s="81"/>
      <c r="AA44" s="11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</row>
    <row r="45" spans="2:43" ht="19.5" thickBot="1" x14ac:dyDescent="0.3">
      <c r="B45" s="39" t="s">
        <v>65</v>
      </c>
      <c r="C45" s="40" t="s">
        <v>66</v>
      </c>
      <c r="D45" s="41">
        <f>+SUM(D41:D44)</f>
        <v>66.784743178619294</v>
      </c>
      <c r="E45" s="24" t="s">
        <v>50</v>
      </c>
      <c r="F45" s="81"/>
      <c r="G45" s="81"/>
      <c r="H45" s="81"/>
      <c r="I45" s="81"/>
      <c r="J45" s="81"/>
      <c r="K45" s="81"/>
      <c r="M45" s="81"/>
      <c r="N45" s="81"/>
      <c r="AA45" s="11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</row>
    <row r="46" spans="2:43" thickBot="1" x14ac:dyDescent="0.3">
      <c r="F46" s="81"/>
      <c r="G46" s="81"/>
      <c r="H46" s="81"/>
      <c r="I46" s="81"/>
      <c r="J46" s="81"/>
      <c r="K46" s="81"/>
      <c r="M46" s="81"/>
      <c r="N46" s="81"/>
      <c r="AA46" s="11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</row>
    <row r="47" spans="2:43" thickBot="1" x14ac:dyDescent="0.3">
      <c r="B47" s="71" t="s">
        <v>57</v>
      </c>
      <c r="C47" s="72"/>
      <c r="D47" s="72"/>
      <c r="E47" s="73"/>
      <c r="F47" s="81"/>
      <c r="G47" s="81"/>
      <c r="H47" s="81"/>
      <c r="I47" s="81"/>
      <c r="J47" s="81"/>
      <c r="K47" s="81"/>
      <c r="M47" s="81"/>
      <c r="N47" s="81"/>
      <c r="AA47" s="11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</row>
    <row r="48" spans="2:43" ht="17.25" customHeight="1" x14ac:dyDescent="0.25">
      <c r="B48" s="115" t="s">
        <v>58</v>
      </c>
      <c r="C48" s="68" t="s">
        <v>61</v>
      </c>
      <c r="D48" s="116">
        <f>+D39*D40*15</f>
        <v>9.0967956877346055</v>
      </c>
      <c r="E48" s="117" t="s">
        <v>50</v>
      </c>
      <c r="F48" s="81"/>
      <c r="G48" s="81"/>
      <c r="H48" s="103" t="s">
        <v>152</v>
      </c>
      <c r="I48" s="104"/>
      <c r="J48" s="104"/>
      <c r="K48" s="105"/>
      <c r="M48" s="81"/>
      <c r="N48" s="81"/>
      <c r="AA48" s="11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</row>
    <row r="49" spans="2:43" ht="17.25" x14ac:dyDescent="0.25">
      <c r="B49" s="38" t="s">
        <v>59</v>
      </c>
      <c r="C49" s="6" t="s">
        <v>62</v>
      </c>
      <c r="D49" s="25">
        <f>+D39*D40*12</f>
        <v>7.2774365501876837</v>
      </c>
      <c r="E49" s="23" t="s">
        <v>50</v>
      </c>
      <c r="F49" s="81"/>
      <c r="G49" s="81"/>
      <c r="H49" s="106"/>
      <c r="I49" s="107"/>
      <c r="J49" s="107"/>
      <c r="K49" s="108"/>
      <c r="M49" s="81"/>
      <c r="N49" s="81"/>
      <c r="AA49" s="11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</row>
    <row r="50" spans="2:43" ht="18" thickBot="1" x14ac:dyDescent="0.3">
      <c r="B50" s="39" t="s">
        <v>60</v>
      </c>
      <c r="C50" s="10" t="s">
        <v>63</v>
      </c>
      <c r="D50" s="118">
        <f>+D39*D40*10</f>
        <v>6.0645304584897364</v>
      </c>
      <c r="E50" s="24" t="s">
        <v>50</v>
      </c>
      <c r="F50" s="81"/>
      <c r="G50" s="81"/>
      <c r="H50" s="109"/>
      <c r="I50" s="110"/>
      <c r="J50" s="110"/>
      <c r="K50" s="111"/>
      <c r="M50" s="81"/>
      <c r="N50" s="81"/>
      <c r="AA50" s="11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</row>
    <row r="51" spans="2:43" ht="15" x14ac:dyDescent="0.25">
      <c r="F51" s="81"/>
      <c r="G51" s="81"/>
      <c r="H51" s="81"/>
      <c r="I51" s="81"/>
      <c r="J51" s="81"/>
      <c r="K51" s="81"/>
      <c r="M51" s="81"/>
      <c r="N51" s="81"/>
      <c r="AA51" s="11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</row>
    <row r="52" spans="2:43" ht="15" x14ac:dyDescent="0.25">
      <c r="F52" s="81"/>
      <c r="G52" s="81"/>
      <c r="H52" s="81"/>
      <c r="I52" s="81"/>
      <c r="J52" s="81"/>
      <c r="K52" s="81"/>
      <c r="M52" s="81"/>
      <c r="N52" s="81"/>
      <c r="AA52" s="11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</row>
    <row r="53" spans="2:43" ht="15" x14ac:dyDescent="0.25">
      <c r="F53" s="81"/>
      <c r="G53" s="81"/>
      <c r="H53" s="81"/>
      <c r="I53" s="81"/>
      <c r="J53" s="81"/>
      <c r="K53" s="81"/>
      <c r="M53" s="81"/>
      <c r="N53" s="81"/>
      <c r="AA53" s="11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</row>
    <row r="54" spans="2:43" ht="15" x14ac:dyDescent="0.25">
      <c r="F54" s="81"/>
      <c r="G54" s="81"/>
      <c r="H54" s="81"/>
      <c r="I54" s="81"/>
      <c r="J54" s="81"/>
      <c r="K54" s="81"/>
      <c r="M54" s="81"/>
      <c r="N54" s="81"/>
      <c r="AA54" s="11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</row>
    <row r="55" spans="2:43" ht="15" x14ac:dyDescent="0.25">
      <c r="F55" s="81"/>
      <c r="G55" s="81"/>
      <c r="H55" s="81"/>
      <c r="I55" s="81"/>
      <c r="J55" s="81"/>
      <c r="K55" s="81"/>
      <c r="M55" s="81"/>
      <c r="N55" s="81"/>
      <c r="AA55" s="11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</row>
    <row r="56" spans="2:43" ht="15" x14ac:dyDescent="0.25">
      <c r="F56" s="81"/>
      <c r="G56" s="81"/>
      <c r="H56" s="81"/>
      <c r="I56" s="81"/>
      <c r="J56" s="81"/>
      <c r="K56" s="81"/>
      <c r="M56" s="81"/>
      <c r="AA56" s="11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</row>
    <row r="57" spans="2:43" ht="15" x14ac:dyDescent="0.25">
      <c r="F57" s="81"/>
      <c r="G57" s="81"/>
      <c r="H57" s="81"/>
      <c r="I57" s="81"/>
      <c r="J57" s="81"/>
      <c r="K57" s="81"/>
      <c r="M57" s="81"/>
      <c r="AA57" s="11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</row>
    <row r="58" spans="2:43" ht="15" x14ac:dyDescent="0.25">
      <c r="F58" s="81"/>
      <c r="G58" s="81"/>
      <c r="H58" s="81"/>
      <c r="I58" s="81"/>
      <c r="J58" s="81"/>
      <c r="K58" s="81"/>
      <c r="M58" s="81"/>
      <c r="AA58" s="11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</row>
    <row r="59" spans="2:43" ht="15" x14ac:dyDescent="0.25">
      <c r="F59" s="81"/>
      <c r="G59" s="81"/>
      <c r="H59" s="81"/>
      <c r="I59" s="81"/>
      <c r="J59" s="81"/>
      <c r="K59" s="81"/>
      <c r="M59" s="81"/>
      <c r="AA59" s="11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</row>
    <row r="60" spans="2:43" ht="15" x14ac:dyDescent="0.25">
      <c r="F60" s="81"/>
      <c r="G60" s="81"/>
      <c r="H60" s="81"/>
      <c r="I60" s="81"/>
      <c r="J60" s="81"/>
      <c r="K60" s="81"/>
      <c r="M60" s="81"/>
      <c r="AA60" s="11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</row>
    <row r="61" spans="2:43" ht="15" x14ac:dyDescent="0.25">
      <c r="F61" s="81"/>
      <c r="G61" s="81"/>
      <c r="H61" s="81"/>
      <c r="I61" s="81"/>
      <c r="J61" s="81"/>
      <c r="K61" s="81"/>
      <c r="M61" s="81"/>
      <c r="AA61" s="11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</row>
    <row r="62" spans="2:43" ht="15" x14ac:dyDescent="0.25">
      <c r="F62" s="81"/>
      <c r="G62" s="81"/>
      <c r="H62" s="81"/>
      <c r="I62" s="81"/>
      <c r="J62" s="81"/>
      <c r="K62" s="81"/>
      <c r="M62" s="81"/>
      <c r="AA62" s="11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</row>
    <row r="63" spans="2:43" ht="15" x14ac:dyDescent="0.25">
      <c r="F63" s="81"/>
      <c r="G63" s="81"/>
      <c r="H63" s="81"/>
      <c r="I63" s="81"/>
      <c r="J63" s="81"/>
      <c r="K63" s="81"/>
      <c r="M63" s="81"/>
      <c r="AA63" s="11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</row>
    <row r="64" spans="2:43" ht="15" x14ac:dyDescent="0.25">
      <c r="F64" s="81"/>
      <c r="G64" s="81"/>
      <c r="H64" s="81"/>
      <c r="I64" s="81"/>
      <c r="J64" s="81"/>
      <c r="K64" s="81"/>
      <c r="M64" s="81"/>
      <c r="AA64" s="11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</row>
    <row r="65" spans="2:43" ht="15" x14ac:dyDescent="0.25">
      <c r="F65" s="81"/>
      <c r="G65" s="81"/>
      <c r="H65" s="81"/>
      <c r="I65" s="81"/>
      <c r="J65" s="81"/>
      <c r="K65" s="81"/>
      <c r="M65" s="81"/>
      <c r="Y65" s="34"/>
      <c r="Z65" s="70"/>
      <c r="AA65" s="11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</row>
    <row r="66" spans="2:43" ht="15" x14ac:dyDescent="0.25">
      <c r="F66" s="81"/>
      <c r="G66" s="81"/>
      <c r="H66" s="81"/>
      <c r="I66" s="81"/>
      <c r="J66" s="81"/>
      <c r="K66" s="81"/>
      <c r="M66" s="81"/>
      <c r="Y66" s="34"/>
      <c r="Z66" s="70"/>
      <c r="AA66" s="11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</row>
    <row r="67" spans="2:43" ht="15" x14ac:dyDescent="0.25">
      <c r="B67" s="34"/>
      <c r="C67" s="34"/>
      <c r="D67" s="34"/>
      <c r="E67" s="34"/>
      <c r="F67" s="81"/>
      <c r="G67" s="81"/>
      <c r="H67" s="81"/>
      <c r="I67" s="81"/>
      <c r="J67" s="81"/>
      <c r="K67" s="81"/>
      <c r="M67" s="81"/>
      <c r="Y67" s="34"/>
      <c r="Z67" s="70"/>
      <c r="AA67" s="11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</row>
    <row r="68" spans="2:43" ht="15" x14ac:dyDescent="0.25">
      <c r="B68" s="34"/>
      <c r="C68" s="34"/>
      <c r="D68" s="34"/>
      <c r="E68" s="34"/>
      <c r="F68" s="81"/>
      <c r="G68" s="81"/>
      <c r="H68" s="81"/>
      <c r="I68" s="81"/>
      <c r="J68" s="81"/>
      <c r="K68" s="81"/>
      <c r="M68" s="81"/>
      <c r="Y68" s="34"/>
      <c r="Z68" s="70"/>
      <c r="AA68" s="11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</row>
    <row r="69" spans="2:43" ht="15" x14ac:dyDescent="0.25">
      <c r="B69" s="34"/>
      <c r="C69" s="34"/>
      <c r="D69" s="34"/>
      <c r="E69" s="34"/>
      <c r="F69" s="81"/>
      <c r="G69" s="81"/>
      <c r="H69" s="81"/>
      <c r="I69" s="81"/>
      <c r="J69" s="81"/>
      <c r="K69" s="81"/>
      <c r="M69" s="81"/>
      <c r="Y69" s="34"/>
      <c r="Z69" s="70"/>
      <c r="AA69" s="11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</row>
    <row r="70" spans="2:43" ht="15" x14ac:dyDescent="0.25">
      <c r="B70" s="34"/>
      <c r="C70" s="34"/>
      <c r="D70" s="34"/>
      <c r="E70" s="34"/>
      <c r="F70" s="81"/>
      <c r="G70" s="81"/>
      <c r="H70" s="81"/>
      <c r="I70" s="81"/>
      <c r="J70" s="81"/>
      <c r="K70" s="81"/>
      <c r="M70" s="34"/>
      <c r="Y70" s="34"/>
      <c r="Z70" s="70"/>
      <c r="AA70" s="11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</row>
    <row r="71" spans="2:43" ht="15" x14ac:dyDescent="0.25">
      <c r="B71" s="34"/>
      <c r="C71" s="34"/>
      <c r="D71" s="34"/>
      <c r="E71" s="34"/>
      <c r="F71" s="81"/>
      <c r="G71" s="81"/>
      <c r="H71" s="81"/>
      <c r="I71" s="81"/>
      <c r="J71" s="81"/>
      <c r="K71" s="81"/>
      <c r="M71" s="34"/>
      <c r="Y71" s="34"/>
      <c r="Z71" s="70"/>
      <c r="AA71" s="11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</row>
    <row r="72" spans="2:43" ht="15" x14ac:dyDescent="0.25">
      <c r="AA72" s="114"/>
    </row>
    <row r="73" spans="2:43" ht="15" x14ac:dyDescent="0.25">
      <c r="M73" s="34"/>
      <c r="Y73" s="34"/>
      <c r="Z73" s="70"/>
      <c r="AA73" s="114"/>
      <c r="AB73" s="34"/>
      <c r="AC73" s="34"/>
      <c r="AD73" s="34"/>
      <c r="AE73" s="34"/>
    </row>
    <row r="74" spans="2:43" ht="15" x14ac:dyDescent="0.25">
      <c r="M74" s="34"/>
      <c r="Y74" s="34"/>
      <c r="Z74" s="70"/>
      <c r="AA74" s="114"/>
      <c r="AB74" s="34"/>
      <c r="AC74" s="34"/>
      <c r="AD74" s="34"/>
      <c r="AE74" s="34"/>
    </row>
    <row r="75" spans="2:43" ht="15" x14ac:dyDescent="0.25">
      <c r="M75" s="34"/>
      <c r="Y75" s="34"/>
      <c r="Z75" s="70"/>
      <c r="AA75" s="114"/>
      <c r="AB75" s="34"/>
      <c r="AC75" s="34"/>
      <c r="AD75" s="34"/>
      <c r="AE75" s="34"/>
    </row>
    <row r="76" spans="2:43" ht="15" x14ac:dyDescent="0.25">
      <c r="M76" s="34"/>
      <c r="Y76" s="34"/>
      <c r="Z76" s="70"/>
      <c r="AA76" s="114"/>
      <c r="AB76" s="34"/>
      <c r="AC76" s="34"/>
      <c r="AD76" s="34"/>
      <c r="AE76" s="34"/>
    </row>
    <row r="77" spans="2:43" ht="15" x14ac:dyDescent="0.25">
      <c r="M77" s="34"/>
      <c r="Y77" s="34"/>
      <c r="Z77" s="70"/>
      <c r="AA77" s="114"/>
      <c r="AB77" s="34"/>
      <c r="AC77" s="34"/>
      <c r="AD77" s="34"/>
      <c r="AE77" s="34"/>
    </row>
    <row r="78" spans="2:43" ht="15" x14ac:dyDescent="0.25">
      <c r="M78" s="34"/>
      <c r="N78" s="34"/>
      <c r="O78" s="34"/>
      <c r="P78" s="34"/>
      <c r="Q78" s="34"/>
      <c r="R78" s="34"/>
      <c r="S78" s="34"/>
      <c r="T78" s="15"/>
      <c r="U78" s="15"/>
      <c r="V78" s="15"/>
      <c r="W78" s="15"/>
      <c r="X78" s="34"/>
      <c r="Y78" s="34"/>
      <c r="Z78" s="70"/>
      <c r="AA78" s="114"/>
      <c r="AB78" s="34"/>
      <c r="AC78" s="34"/>
      <c r="AD78" s="34"/>
      <c r="AE78" s="34"/>
    </row>
    <row r="79" spans="2:43" ht="15" x14ac:dyDescent="0.25">
      <c r="M79" s="34"/>
      <c r="N79" s="34"/>
      <c r="O79" s="34"/>
      <c r="P79" s="34"/>
      <c r="Q79" s="34"/>
      <c r="R79" s="34"/>
      <c r="S79" s="34"/>
      <c r="T79" s="15"/>
      <c r="U79" s="15"/>
      <c r="V79" s="15"/>
      <c r="W79" s="15"/>
      <c r="X79" s="34"/>
      <c r="Y79" s="34"/>
      <c r="Z79" s="70"/>
      <c r="AA79" s="114"/>
      <c r="AB79" s="34"/>
      <c r="AC79" s="34"/>
      <c r="AD79" s="34"/>
      <c r="AE79" s="34"/>
    </row>
    <row r="80" spans="2:43" ht="15" x14ac:dyDescent="0.25">
      <c r="M80" s="34"/>
      <c r="N80" s="34"/>
      <c r="O80" s="34"/>
      <c r="P80" s="34"/>
      <c r="Q80" s="34"/>
      <c r="R80" s="34"/>
      <c r="S80" s="34"/>
      <c r="T80" s="15"/>
      <c r="U80" s="15"/>
      <c r="V80" s="15"/>
      <c r="W80" s="15"/>
      <c r="X80" s="34"/>
      <c r="Y80" s="34"/>
      <c r="Z80" s="70"/>
      <c r="AA80" s="114"/>
      <c r="AB80" s="34"/>
      <c r="AC80" s="34"/>
      <c r="AD80" s="34"/>
      <c r="AE80" s="34"/>
    </row>
    <row r="81" spans="13:31" ht="15" x14ac:dyDescent="0.25">
      <c r="M81" s="34"/>
      <c r="N81" s="34"/>
      <c r="O81" s="34"/>
      <c r="P81" s="34"/>
      <c r="Q81" s="34"/>
      <c r="R81" s="34"/>
      <c r="S81" s="34"/>
      <c r="T81" s="15"/>
      <c r="U81" s="15"/>
      <c r="V81" s="15"/>
      <c r="W81" s="15"/>
      <c r="X81" s="34"/>
      <c r="Y81" s="34"/>
      <c r="Z81" s="70"/>
      <c r="AA81" s="114"/>
      <c r="AB81" s="34"/>
      <c r="AC81" s="34"/>
      <c r="AD81" s="34"/>
      <c r="AE81" s="34"/>
    </row>
    <row r="82" spans="13:31" ht="15" x14ac:dyDescent="0.25">
      <c r="M82" s="34"/>
      <c r="N82" s="34"/>
      <c r="O82" s="34"/>
      <c r="P82" s="34"/>
      <c r="Q82" s="34"/>
      <c r="R82" s="34"/>
      <c r="S82" s="34"/>
      <c r="T82" s="15"/>
      <c r="U82" s="15"/>
      <c r="V82" s="15"/>
      <c r="W82" s="15"/>
      <c r="X82" s="34"/>
      <c r="Y82" s="34"/>
      <c r="Z82" s="70"/>
      <c r="AA82" s="114"/>
      <c r="AB82" s="34"/>
      <c r="AC82" s="34"/>
      <c r="AD82" s="34"/>
      <c r="AE82" s="34"/>
    </row>
    <row r="83" spans="13:31" ht="15" x14ac:dyDescent="0.25">
      <c r="M83" s="34"/>
      <c r="N83" s="34"/>
      <c r="O83" s="34"/>
      <c r="P83" s="34"/>
      <c r="Q83" s="34"/>
      <c r="R83" s="34"/>
      <c r="S83" s="34"/>
      <c r="T83" s="15"/>
      <c r="U83" s="15"/>
      <c r="V83" s="15"/>
      <c r="W83" s="15"/>
      <c r="X83" s="34"/>
      <c r="Y83" s="34"/>
      <c r="Z83" s="70"/>
      <c r="AA83" s="114"/>
      <c r="AB83" s="34"/>
      <c r="AC83" s="34"/>
      <c r="AD83" s="34"/>
      <c r="AE83" s="34"/>
    </row>
    <row r="84" spans="13:31" ht="15" x14ac:dyDescent="0.25">
      <c r="M84" s="34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34"/>
      <c r="Y84" s="34"/>
      <c r="Z84" s="70"/>
      <c r="AA84" s="114"/>
      <c r="AB84" s="34"/>
      <c r="AC84" s="34"/>
      <c r="AD84" s="34"/>
      <c r="AE84" s="34"/>
    </row>
    <row r="85" spans="13:31" ht="15" x14ac:dyDescent="0.25">
      <c r="M85" s="34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34"/>
      <c r="Y85" s="34"/>
      <c r="Z85" s="70"/>
      <c r="AA85" s="114"/>
      <c r="AB85" s="34"/>
      <c r="AC85" s="34"/>
      <c r="AD85" s="77"/>
      <c r="AE85" s="77"/>
    </row>
    <row r="86" spans="13:31" ht="15" x14ac:dyDescent="0.25">
      <c r="M86" s="34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34"/>
      <c r="Y86" s="34"/>
      <c r="Z86" s="70"/>
      <c r="AA86" s="114"/>
      <c r="AB86" s="34"/>
      <c r="AC86" s="34"/>
      <c r="AD86" s="77"/>
      <c r="AE86" s="77"/>
    </row>
    <row r="87" spans="13:31" ht="15" x14ac:dyDescent="0.25">
      <c r="M87" s="34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34"/>
      <c r="Y87" s="34"/>
      <c r="Z87" s="70"/>
      <c r="AA87" s="114"/>
      <c r="AB87" s="34"/>
      <c r="AC87" s="34"/>
      <c r="AD87" s="77"/>
      <c r="AE87" s="77"/>
    </row>
    <row r="88" spans="13:31" ht="15" x14ac:dyDescent="0.25">
      <c r="M88" s="34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34"/>
      <c r="Y88" s="34"/>
      <c r="Z88" s="70"/>
      <c r="AA88" s="114"/>
      <c r="AB88" s="34"/>
      <c r="AC88" s="34"/>
      <c r="AD88" s="77"/>
      <c r="AE88" s="77"/>
    </row>
    <row r="89" spans="13:31" ht="15" x14ac:dyDescent="0.25">
      <c r="M89" s="34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34"/>
      <c r="Y89" s="34"/>
      <c r="Z89" s="70"/>
      <c r="AA89" s="114"/>
      <c r="AB89" s="34"/>
      <c r="AC89" s="34"/>
      <c r="AD89" s="34"/>
      <c r="AE89" s="77"/>
    </row>
    <row r="90" spans="13:31" ht="15" x14ac:dyDescent="0.25">
      <c r="M90" s="34"/>
      <c r="N90" s="34"/>
      <c r="O90" s="34"/>
      <c r="P90" s="15"/>
      <c r="Q90" s="15"/>
      <c r="R90" s="15"/>
      <c r="S90" s="15"/>
      <c r="T90" s="15"/>
      <c r="U90" s="15"/>
      <c r="V90" s="15"/>
      <c r="W90" s="15"/>
      <c r="X90" s="34"/>
      <c r="Y90" s="34"/>
      <c r="Z90" s="70"/>
      <c r="AA90" s="114"/>
      <c r="AB90" s="34"/>
      <c r="AC90" s="34"/>
      <c r="AD90" s="34"/>
      <c r="AE90" s="77"/>
    </row>
    <row r="91" spans="13:31" ht="15" x14ac:dyDescent="0.25">
      <c r="M91" s="34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34"/>
      <c r="Y91" s="34"/>
      <c r="Z91" s="70"/>
      <c r="AA91" s="114"/>
      <c r="AB91" s="34"/>
      <c r="AC91" s="34"/>
      <c r="AD91" s="34"/>
      <c r="AE91" s="34"/>
    </row>
    <row r="92" spans="13:31" ht="15" x14ac:dyDescent="0.25">
      <c r="M92" s="3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34"/>
      <c r="Y92" s="34"/>
      <c r="Z92" s="70"/>
      <c r="AA92" s="114"/>
      <c r="AB92" s="34"/>
      <c r="AC92" s="34"/>
      <c r="AD92" s="34"/>
      <c r="AE92" s="34"/>
    </row>
    <row r="93" spans="13:31" ht="15" x14ac:dyDescent="0.25">
      <c r="M93" s="34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34"/>
      <c r="Y93" s="34"/>
      <c r="Z93" s="70"/>
      <c r="AA93" s="114"/>
      <c r="AB93" s="34"/>
      <c r="AC93" s="34"/>
      <c r="AD93" s="34"/>
      <c r="AE93" s="34"/>
    </row>
    <row r="94" spans="13:31" ht="15" x14ac:dyDescent="0.25">
      <c r="M94" s="34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34"/>
      <c r="Y94" s="34"/>
      <c r="Z94" s="70"/>
      <c r="AA94" s="114"/>
      <c r="AB94" s="34"/>
      <c r="AC94" s="34"/>
      <c r="AD94" s="34"/>
      <c r="AE94" s="34"/>
    </row>
    <row r="95" spans="13:31" ht="15" x14ac:dyDescent="0.25">
      <c r="M95" s="34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34"/>
      <c r="Y95" s="34"/>
      <c r="Z95" s="70"/>
      <c r="AA95" s="114"/>
      <c r="AB95" s="34"/>
      <c r="AC95" s="34"/>
      <c r="AD95" s="34"/>
      <c r="AE95" s="34"/>
    </row>
    <row r="96" spans="13:31" ht="15" x14ac:dyDescent="0.25">
      <c r="M96" s="34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34"/>
      <c r="Y96" s="34"/>
      <c r="Z96" s="70"/>
      <c r="AA96" s="114"/>
      <c r="AB96" s="34"/>
      <c r="AC96" s="34"/>
      <c r="AD96" s="34"/>
      <c r="AE96" s="34"/>
    </row>
    <row r="97" spans="13:31" ht="15" x14ac:dyDescent="0.25">
      <c r="M97" s="34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34"/>
      <c r="Y97" s="34"/>
      <c r="Z97" s="70"/>
      <c r="AA97" s="114"/>
      <c r="AB97" s="34"/>
      <c r="AC97" s="34"/>
      <c r="AD97" s="34"/>
      <c r="AE97" s="34"/>
    </row>
    <row r="98" spans="13:31" ht="15" x14ac:dyDescent="0.25">
      <c r="M98" s="34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34"/>
      <c r="Y98" s="34"/>
      <c r="Z98" s="70"/>
      <c r="AA98" s="114"/>
      <c r="AB98" s="34"/>
      <c r="AC98" s="34"/>
      <c r="AD98" s="34"/>
      <c r="AE98" s="34"/>
    </row>
    <row r="99" spans="13:31" ht="15" x14ac:dyDescent="0.25">
      <c r="M99" s="34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34"/>
      <c r="Y99" s="34"/>
      <c r="Z99" s="70"/>
      <c r="AA99" s="114"/>
      <c r="AB99" s="34"/>
      <c r="AC99" s="34"/>
      <c r="AD99" s="34"/>
      <c r="AE99" s="34"/>
    </row>
    <row r="100" spans="13:31" ht="15" x14ac:dyDescent="0.25"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70"/>
      <c r="AA100" s="114"/>
      <c r="AB100" s="34"/>
      <c r="AC100" s="34"/>
      <c r="AD100" s="34"/>
      <c r="AE100" s="34"/>
    </row>
    <row r="101" spans="13:31" ht="15" x14ac:dyDescent="0.25">
      <c r="M101" s="34"/>
      <c r="N101" s="6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70"/>
      <c r="AA101" s="114"/>
      <c r="AB101" s="34"/>
      <c r="AC101" s="34"/>
      <c r="AD101" s="34"/>
      <c r="AE101" s="34"/>
    </row>
    <row r="102" spans="13:31" ht="15" x14ac:dyDescent="0.25"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70"/>
      <c r="AA102" s="114"/>
      <c r="AB102" s="34"/>
      <c r="AC102" s="34"/>
      <c r="AD102" s="34"/>
      <c r="AE102" s="34"/>
    </row>
    <row r="103" spans="13:31" ht="15" x14ac:dyDescent="0.25"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70"/>
      <c r="AA103" s="114"/>
      <c r="AB103" s="34"/>
      <c r="AC103" s="34"/>
      <c r="AD103" s="34"/>
      <c r="AE103" s="34"/>
    </row>
    <row r="104" spans="13:31" ht="15" x14ac:dyDescent="0.25"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70"/>
      <c r="AA104" s="114"/>
      <c r="AB104" s="34"/>
      <c r="AC104" s="34"/>
      <c r="AD104" s="34"/>
      <c r="AE104" s="34"/>
    </row>
    <row r="105" spans="13:31" ht="15" x14ac:dyDescent="0.25"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70"/>
      <c r="AA105" s="114"/>
      <c r="AB105" s="34"/>
      <c r="AC105" s="34"/>
      <c r="AD105" s="34"/>
      <c r="AE105" s="34"/>
    </row>
    <row r="106" spans="13:31" ht="15" x14ac:dyDescent="0.25"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70"/>
      <c r="AA106" s="114"/>
      <c r="AB106" s="34"/>
      <c r="AC106" s="34"/>
      <c r="AD106" s="34"/>
      <c r="AE106" s="34"/>
    </row>
    <row r="107" spans="13:31" ht="15" x14ac:dyDescent="0.25"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70"/>
      <c r="AA107" s="114"/>
      <c r="AB107" s="34"/>
      <c r="AC107" s="34"/>
      <c r="AD107" s="34"/>
      <c r="AE107" s="34"/>
    </row>
    <row r="108" spans="13:31" ht="15" x14ac:dyDescent="0.25"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70"/>
      <c r="AA108" s="114"/>
      <c r="AB108" s="34"/>
      <c r="AC108" s="34"/>
      <c r="AD108" s="34"/>
      <c r="AE108" s="34"/>
    </row>
    <row r="109" spans="13:31" ht="15" x14ac:dyDescent="0.25"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70"/>
      <c r="AA109" s="114"/>
      <c r="AB109" s="34"/>
      <c r="AC109" s="34"/>
      <c r="AD109" s="34"/>
      <c r="AE109" s="34"/>
    </row>
    <row r="110" spans="13:31" ht="15" x14ac:dyDescent="0.25"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70"/>
      <c r="AA110" s="114"/>
      <c r="AB110" s="34"/>
      <c r="AC110" s="34"/>
      <c r="AD110" s="34"/>
      <c r="AE110" s="34"/>
    </row>
    <row r="111" spans="13:31" ht="15" x14ac:dyDescent="0.25"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70"/>
      <c r="AA111" s="114"/>
      <c r="AB111" s="34"/>
      <c r="AC111" s="34"/>
      <c r="AD111" s="34"/>
      <c r="AE111" s="34"/>
    </row>
    <row r="112" spans="13:31" ht="15" x14ac:dyDescent="0.25"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70"/>
      <c r="AA112" s="114"/>
      <c r="AB112" s="34"/>
      <c r="AC112" s="34"/>
      <c r="AD112" s="34"/>
      <c r="AE112" s="34"/>
    </row>
    <row r="113" spans="13:31" ht="15" x14ac:dyDescent="0.25"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70"/>
      <c r="AA113" s="114"/>
      <c r="AB113" s="34"/>
      <c r="AC113" s="34"/>
      <c r="AD113" s="34"/>
      <c r="AE113" s="34"/>
    </row>
    <row r="114" spans="13:31" ht="15" x14ac:dyDescent="0.25"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70"/>
      <c r="AA114" s="114"/>
      <c r="AB114" s="34"/>
      <c r="AC114" s="34"/>
      <c r="AD114" s="34"/>
      <c r="AE114" s="34"/>
    </row>
    <row r="115" spans="13:31" ht="15" x14ac:dyDescent="0.25"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70"/>
      <c r="AA115" s="114"/>
      <c r="AB115" s="34"/>
      <c r="AC115" s="34"/>
      <c r="AD115" s="34"/>
      <c r="AE115" s="34"/>
    </row>
    <row r="116" spans="13:31" ht="15" x14ac:dyDescent="0.25"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70"/>
      <c r="AA116" s="114"/>
      <c r="AB116" s="34"/>
      <c r="AC116" s="34"/>
      <c r="AD116" s="34"/>
      <c r="AE116" s="34"/>
    </row>
    <row r="117" spans="13:31" ht="15" x14ac:dyDescent="0.25"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70"/>
      <c r="AA117" s="114"/>
      <c r="AB117" s="34"/>
      <c r="AC117" s="34"/>
      <c r="AD117" s="34"/>
      <c r="AE117" s="34"/>
    </row>
    <row r="118" spans="13:31" ht="15" x14ac:dyDescent="0.25"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70"/>
      <c r="AA118" s="114"/>
      <c r="AB118" s="34"/>
      <c r="AC118" s="34"/>
      <c r="AD118" s="34"/>
      <c r="AE118" s="34"/>
    </row>
    <row r="119" spans="13:31" ht="15" x14ac:dyDescent="0.25"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70"/>
      <c r="AA119" s="114"/>
      <c r="AB119" s="34"/>
      <c r="AC119" s="34"/>
      <c r="AD119" s="34"/>
      <c r="AE119" s="34"/>
    </row>
    <row r="120" spans="13:31" ht="15" x14ac:dyDescent="0.25"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70"/>
      <c r="AA120" s="114"/>
      <c r="AB120" s="34"/>
      <c r="AC120" s="34"/>
      <c r="AD120" s="34"/>
      <c r="AE120" s="34"/>
    </row>
    <row r="121" spans="13:31" thickBot="1" x14ac:dyDescent="0.3"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70"/>
      <c r="AA121" s="114"/>
      <c r="AB121" s="34"/>
      <c r="AC121" s="34"/>
      <c r="AD121" s="34"/>
      <c r="AE121" s="34"/>
    </row>
  </sheetData>
  <mergeCells count="22">
    <mergeCell ref="H48:K50"/>
    <mergeCell ref="L1:L1048576"/>
    <mergeCell ref="G10:J11"/>
    <mergeCell ref="G4:J5"/>
    <mergeCell ref="G6:J7"/>
    <mergeCell ref="N3:X3"/>
    <mergeCell ref="G34:I35"/>
    <mergeCell ref="B47:E47"/>
    <mergeCell ref="R30:V36"/>
    <mergeCell ref="AC3:AF3"/>
    <mergeCell ref="AA1:AA1048576"/>
    <mergeCell ref="AE85:AE86"/>
    <mergeCell ref="AE87:AE88"/>
    <mergeCell ref="N17:P17"/>
    <mergeCell ref="AD85:AD86"/>
    <mergeCell ref="AD87:AD88"/>
    <mergeCell ref="N28:P28"/>
    <mergeCell ref="B3:E3"/>
    <mergeCell ref="B33:E33"/>
    <mergeCell ref="N5:P5"/>
    <mergeCell ref="V5:X5"/>
    <mergeCell ref="AE89:AE9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2022-04-25T17:29:31Z</dcterms:modified>
</cp:coreProperties>
</file>