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0000_{5D88ACD3-BFE7-4016-9B4F-E2266D87EC59}" xr6:coauthVersionLast="31" xr6:coauthVersionMax="31" xr10:uidLastSave="{00000000-0000-0000-0000-000000000000}"/>
  <bookViews>
    <workbookView xWindow="0" yWindow="0" windowWidth="22260" windowHeight="12650" activeTab="1" xr2:uid="{00000000-000D-0000-FFFF-FFFF00000000}"/>
  </bookViews>
  <sheets>
    <sheet name="Hoja1" sheetId="1" r:id="rId1"/>
    <sheet name="Hoja2" sheetId="2" r:id="rId2"/>
  </sheets>
  <calcPr calcId="179017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2" l="1"/>
  <c r="E8" i="2"/>
  <c r="E7" i="2"/>
  <c r="E6" i="2"/>
  <c r="F5" i="2"/>
  <c r="E5" i="2"/>
  <c r="F4" i="2"/>
  <c r="B11" i="2"/>
  <c r="C11" i="2"/>
  <c r="B10" i="2"/>
  <c r="B9" i="2" l="1"/>
  <c r="B8" i="2"/>
  <c r="B7" i="2"/>
  <c r="B6" i="2"/>
  <c r="L44" i="1" l="1"/>
  <c r="L43" i="1"/>
  <c r="L49" i="1" s="1"/>
  <c r="L38" i="1"/>
  <c r="L45" i="1" s="1"/>
  <c r="L47" i="1" l="1"/>
  <c r="L9" i="1" l="1"/>
  <c r="R6" i="1" s="1"/>
  <c r="R8" i="1"/>
  <c r="R9" i="1" s="1"/>
  <c r="R10" i="1" s="1"/>
  <c r="R11" i="1" s="1"/>
  <c r="R5" i="1"/>
  <c r="O4" i="1"/>
  <c r="O11" i="1" s="1"/>
  <c r="L28" i="1"/>
  <c r="L27" i="1"/>
  <c r="L33" i="1" s="1"/>
  <c r="C41" i="1"/>
  <c r="F41" i="1" s="1"/>
  <c r="F42" i="1" s="1"/>
  <c r="F43" i="1" s="1"/>
  <c r="C45" i="1" s="1"/>
  <c r="F40" i="1"/>
  <c r="C38" i="1"/>
  <c r="C49" i="1" s="1"/>
  <c r="L22" i="1"/>
  <c r="L29" i="1" s="1"/>
  <c r="C25" i="1"/>
  <c r="F25" i="1" s="1"/>
  <c r="F26" i="1" s="1"/>
  <c r="C9" i="1"/>
  <c r="I6" i="1" s="1"/>
  <c r="F24" i="1"/>
  <c r="I8" i="1"/>
  <c r="I9" i="1" s="1"/>
  <c r="C22" i="1"/>
  <c r="C33" i="1" s="1"/>
  <c r="F4" i="1"/>
  <c r="F11" i="1" s="1"/>
  <c r="F14" i="1" s="1"/>
  <c r="F15" i="1" s="1"/>
  <c r="C27" i="1" l="1"/>
  <c r="O12" i="1"/>
  <c r="O14" i="1"/>
  <c r="O15" i="1" s="1"/>
  <c r="C43" i="1"/>
  <c r="C47" i="1" s="1"/>
  <c r="L31" i="1"/>
  <c r="R7" i="1"/>
  <c r="R12" i="1" s="1"/>
  <c r="L14" i="1" s="1"/>
  <c r="F27" i="1"/>
  <c r="C29" i="1" s="1"/>
  <c r="C31" i="1" s="1"/>
  <c r="O13" i="1"/>
  <c r="I10" i="1"/>
  <c r="I11" i="1" s="1"/>
  <c r="F5" i="1"/>
  <c r="F6" i="1"/>
  <c r="F7" i="1" s="1"/>
  <c r="F10" i="1" s="1"/>
  <c r="C12" i="1" s="1"/>
  <c r="C17" i="1" s="1"/>
  <c r="I5" i="1"/>
  <c r="I7" i="1" s="1"/>
  <c r="I12" i="1" s="1"/>
  <c r="C14" i="1" s="1"/>
  <c r="F12" i="1"/>
  <c r="F13" i="1" s="1"/>
  <c r="O5" i="1"/>
  <c r="O6" i="1"/>
  <c r="F8" i="1" l="1"/>
  <c r="F9" i="1" s="1"/>
  <c r="C13" i="1" s="1"/>
  <c r="C15" i="1" s="1"/>
  <c r="O8" i="1"/>
  <c r="O9" i="1" s="1"/>
  <c r="L13" i="1" s="1"/>
  <c r="L15" i="1" s="1"/>
  <c r="O7" i="1"/>
  <c r="O10" i="1" s="1"/>
  <c r="L12" i="1" s="1"/>
  <c r="L17" i="1" s="1"/>
</calcChain>
</file>

<file path=xl/sharedStrings.xml><?xml version="1.0" encoding="utf-8"?>
<sst xmlns="http://schemas.openxmlformats.org/spreadsheetml/2006/main" count="216" uniqueCount="62">
  <si>
    <t>Semicilindrica Aleteada Evaporadora 2</t>
  </si>
  <si>
    <t>Semiesferica  Concentradora</t>
  </si>
  <si>
    <t>A</t>
  </si>
  <si>
    <t>m</t>
  </si>
  <si>
    <t>R</t>
  </si>
  <si>
    <r>
      <t xml:space="preserve">H </t>
    </r>
    <r>
      <rPr>
        <sz val="8"/>
        <color theme="1"/>
        <rFont val="Calibri"/>
        <family val="2"/>
        <scheme val="minor"/>
      </rPr>
      <t xml:space="preserve">fn </t>
    </r>
  </si>
  <si>
    <t>h</t>
  </si>
  <si>
    <t>d</t>
  </si>
  <si>
    <t>x1</t>
  </si>
  <si>
    <t xml:space="preserve">A </t>
  </si>
  <si>
    <r>
      <t>h</t>
    </r>
    <r>
      <rPr>
        <sz val="8"/>
        <color theme="1"/>
        <rFont val="Calibri"/>
        <family val="2"/>
        <scheme val="minor"/>
      </rPr>
      <t>c</t>
    </r>
  </si>
  <si>
    <t>ϴ</t>
  </si>
  <si>
    <t>rad</t>
  </si>
  <si>
    <t>x2</t>
  </si>
  <si>
    <t>L</t>
  </si>
  <si>
    <t>s</t>
  </si>
  <si>
    <t>A1</t>
  </si>
  <si>
    <t>h fa</t>
  </si>
  <si>
    <r>
      <t>A</t>
    </r>
    <r>
      <rPr>
        <sz val="8"/>
        <color theme="1"/>
        <rFont val="Calibri"/>
        <family val="2"/>
        <scheme val="minor"/>
      </rPr>
      <t>sccil</t>
    </r>
  </si>
  <si>
    <t>m2</t>
  </si>
  <si>
    <r>
      <t xml:space="preserve">Ang  </t>
    </r>
    <r>
      <rPr>
        <sz val="12"/>
        <color theme="1"/>
        <rFont val="Calibri"/>
        <family val="2"/>
      </rPr>
      <t>α</t>
    </r>
  </si>
  <si>
    <r>
      <t>V</t>
    </r>
    <r>
      <rPr>
        <sz val="8"/>
        <color theme="1"/>
        <rFont val="Calibri"/>
        <family val="2"/>
        <scheme val="minor"/>
      </rPr>
      <t>cil</t>
    </r>
  </si>
  <si>
    <t>m3</t>
  </si>
  <si>
    <t>x</t>
  </si>
  <si>
    <t>N Aletas</t>
  </si>
  <si>
    <t>Ad</t>
  </si>
  <si>
    <r>
      <t>A</t>
    </r>
    <r>
      <rPr>
        <sz val="8"/>
        <color theme="1"/>
        <rFont val="Calibri"/>
        <family val="2"/>
        <scheme val="minor"/>
      </rPr>
      <t>cil</t>
    </r>
  </si>
  <si>
    <t>Ax</t>
  </si>
  <si>
    <t>A2</t>
  </si>
  <si>
    <t>h Al</t>
  </si>
  <si>
    <r>
      <t>R</t>
    </r>
    <r>
      <rPr>
        <sz val="8"/>
        <color theme="1"/>
        <rFont val="Calibri"/>
        <family val="2"/>
        <scheme val="minor"/>
      </rPr>
      <t>ca</t>
    </r>
  </si>
  <si>
    <r>
      <t>V</t>
    </r>
    <r>
      <rPr>
        <sz val="6"/>
        <color theme="1"/>
        <rFont val="Calibri"/>
        <family val="2"/>
        <scheme val="minor"/>
      </rPr>
      <t>TJ</t>
    </r>
  </si>
  <si>
    <t>V</t>
  </si>
  <si>
    <r>
      <t>A</t>
    </r>
    <r>
      <rPr>
        <sz val="6"/>
        <color theme="1"/>
        <rFont val="Calibri"/>
        <family val="2"/>
        <scheme val="minor"/>
      </rPr>
      <t>TC</t>
    </r>
  </si>
  <si>
    <r>
      <t>V</t>
    </r>
    <r>
      <rPr>
        <sz val="8"/>
        <color theme="1"/>
        <rFont val="Calibri"/>
        <family val="2"/>
        <scheme val="minor"/>
      </rPr>
      <t>sc</t>
    </r>
  </si>
  <si>
    <r>
      <t>V</t>
    </r>
    <r>
      <rPr>
        <sz val="8"/>
        <color theme="1"/>
        <rFont val="Calibri"/>
        <family val="2"/>
        <scheme val="minor"/>
      </rPr>
      <t>ca</t>
    </r>
  </si>
  <si>
    <r>
      <t>V</t>
    </r>
    <r>
      <rPr>
        <sz val="6"/>
        <color theme="1"/>
        <rFont val="Calibri"/>
        <family val="2"/>
        <scheme val="minor"/>
      </rPr>
      <t>FA</t>
    </r>
  </si>
  <si>
    <r>
      <t>A</t>
    </r>
    <r>
      <rPr>
        <sz val="8"/>
        <color theme="1"/>
        <rFont val="Calibri"/>
        <family val="2"/>
        <scheme val="minor"/>
      </rPr>
      <t>sc</t>
    </r>
  </si>
  <si>
    <r>
      <t>V</t>
    </r>
    <r>
      <rPr>
        <sz val="6"/>
        <color theme="1"/>
        <rFont val="Calibri"/>
        <family val="2"/>
        <scheme val="minor"/>
      </rPr>
      <t>TPA</t>
    </r>
  </si>
  <si>
    <r>
      <t>A</t>
    </r>
    <r>
      <rPr>
        <sz val="8"/>
        <color theme="1"/>
        <rFont val="Calibri"/>
        <family val="2"/>
        <scheme val="minor"/>
      </rPr>
      <t>ca</t>
    </r>
  </si>
  <si>
    <t>Area TTC</t>
  </si>
  <si>
    <t>Plana Aleteada Clarificadora</t>
  </si>
  <si>
    <r>
      <t xml:space="preserve">H </t>
    </r>
    <r>
      <rPr>
        <sz val="8"/>
        <color theme="1"/>
        <rFont val="Calibri"/>
        <family val="2"/>
        <scheme val="minor"/>
      </rPr>
      <t>fl</t>
    </r>
  </si>
  <si>
    <r>
      <t xml:space="preserve">H </t>
    </r>
    <r>
      <rPr>
        <sz val="8"/>
        <color theme="1"/>
        <rFont val="Calibri"/>
        <family val="2"/>
        <scheme val="minor"/>
      </rPr>
      <t>fn</t>
    </r>
  </si>
  <si>
    <t>h Aletas</t>
  </si>
  <si>
    <t>Area</t>
  </si>
  <si>
    <r>
      <t>Volumen</t>
    </r>
    <r>
      <rPr>
        <sz val="8"/>
        <color theme="1"/>
        <rFont val="Calibri"/>
        <family val="2"/>
        <scheme val="minor"/>
      </rPr>
      <t xml:space="preserve"> Fon</t>
    </r>
  </si>
  <si>
    <t>Volumen total</t>
  </si>
  <si>
    <t>% de Llenado</t>
  </si>
  <si>
    <t>%</t>
  </si>
  <si>
    <t>Semicilindrica Aleteada Evaporadora 1</t>
  </si>
  <si>
    <r>
      <t>A</t>
    </r>
    <r>
      <rPr>
        <sz val="8"/>
        <color theme="0"/>
        <rFont val="Calibri"/>
        <family val="2"/>
        <scheme val="minor"/>
      </rPr>
      <t>sccil</t>
    </r>
  </si>
  <si>
    <r>
      <t>V</t>
    </r>
    <r>
      <rPr>
        <sz val="8"/>
        <color theme="0"/>
        <rFont val="Calibri"/>
        <family val="2"/>
        <scheme val="minor"/>
      </rPr>
      <t>cil</t>
    </r>
  </si>
  <si>
    <r>
      <t>A</t>
    </r>
    <r>
      <rPr>
        <sz val="8"/>
        <color theme="0"/>
        <rFont val="Calibri"/>
        <family val="2"/>
        <scheme val="minor"/>
      </rPr>
      <t>cil</t>
    </r>
  </si>
  <si>
    <r>
      <t>R</t>
    </r>
    <r>
      <rPr>
        <sz val="8"/>
        <color theme="0"/>
        <rFont val="Calibri"/>
        <family val="2"/>
        <scheme val="minor"/>
      </rPr>
      <t>ca</t>
    </r>
  </si>
  <si>
    <r>
      <t>V</t>
    </r>
    <r>
      <rPr>
        <sz val="8"/>
        <color theme="0"/>
        <rFont val="Calibri"/>
        <family val="2"/>
        <scheme val="minor"/>
      </rPr>
      <t>sc</t>
    </r>
  </si>
  <si>
    <r>
      <t>V</t>
    </r>
    <r>
      <rPr>
        <sz val="8"/>
        <color theme="0"/>
        <rFont val="Calibri"/>
        <family val="2"/>
        <scheme val="minor"/>
      </rPr>
      <t>ca</t>
    </r>
  </si>
  <si>
    <r>
      <t>A</t>
    </r>
    <r>
      <rPr>
        <sz val="8"/>
        <color theme="0"/>
        <rFont val="Calibri"/>
        <family val="2"/>
        <scheme val="minor"/>
      </rPr>
      <t>sc</t>
    </r>
  </si>
  <si>
    <r>
      <t>A</t>
    </r>
    <r>
      <rPr>
        <sz val="8"/>
        <color theme="0"/>
        <rFont val="Calibri"/>
        <family val="2"/>
        <scheme val="minor"/>
      </rPr>
      <t>ca</t>
    </r>
  </si>
  <si>
    <t>Plana Aleteada Melotera</t>
  </si>
  <si>
    <t>Efectivo</t>
  </si>
  <si>
    <t>Deudas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</si>
</sst>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€&quot;_-;\-* #,##0.00\ &quot;€&quot;_-;_-* &quot;-&quot;??\ &quot;€&quot;_-;_-@_-"/>
    <numFmt numFmtId="164" formatCode="#,##0.000"/>
    <numFmt numFmtId="165" formatCode="[$$-240A]\ #,##0.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12"/>
      <color theme="1"/>
      <name val="Calibri"/>
      <family val="2"/>
    </font>
    <font>
      <sz val="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8">
    <xf numFmtId="0" fontId="0" fillId="0" borderId="0" xfId="0"/>
    <xf numFmtId="0" fontId="0" fillId="0" borderId="0" xfId="0" applyFont="1"/>
    <xf numFmtId="0" fontId="0" fillId="0" borderId="0" xfId="0" applyFont="1" applyFill="1" applyBorder="1" applyAlignment="1">
      <alignment vertical="center"/>
    </xf>
    <xf numFmtId="164" fontId="0" fillId="2" borderId="4" xfId="0" applyNumberFormat="1" applyFont="1" applyFill="1" applyBorder="1" applyAlignment="1">
      <alignment horizontal="center" vertical="center"/>
    </xf>
    <xf numFmtId="164" fontId="0" fillId="2" borderId="5" xfId="0" applyNumberFormat="1" applyFont="1" applyFill="1" applyBorder="1" applyAlignment="1">
      <alignment horizontal="center" vertical="center"/>
    </xf>
    <xf numFmtId="164" fontId="0" fillId="2" borderId="0" xfId="0" applyNumberFormat="1" applyFont="1" applyFill="1" applyBorder="1" applyAlignment="1">
      <alignment horizontal="center" vertical="center"/>
    </xf>
    <xf numFmtId="164" fontId="0" fillId="2" borderId="6" xfId="0" applyNumberFormat="1" applyFont="1" applyFill="1" applyBorder="1" applyAlignment="1">
      <alignment horizontal="center" vertical="center"/>
    </xf>
    <xf numFmtId="164" fontId="0" fillId="2" borderId="7" xfId="0" applyNumberFormat="1" applyFont="1" applyFill="1" applyBorder="1" applyAlignment="1">
      <alignment horizontal="center" vertical="center"/>
    </xf>
    <xf numFmtId="164" fontId="0" fillId="2" borderId="8" xfId="0" applyNumberFormat="1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0" borderId="0" xfId="0" applyBorder="1"/>
    <xf numFmtId="0" fontId="0" fillId="0" borderId="6" xfId="0" applyBorder="1"/>
    <xf numFmtId="164" fontId="0" fillId="3" borderId="7" xfId="0" applyNumberFormat="1" applyFont="1" applyFill="1" applyBorder="1" applyAlignment="1">
      <alignment horizontal="center" vertical="center"/>
    </xf>
    <xf numFmtId="164" fontId="0" fillId="3" borderId="8" xfId="0" applyNumberFormat="1" applyFont="1" applyFill="1" applyBorder="1" applyAlignment="1">
      <alignment horizontal="center" vertical="center"/>
    </xf>
    <xf numFmtId="0" fontId="0" fillId="2" borderId="6" xfId="0" applyFont="1" applyFill="1" applyBorder="1" applyAlignment="1">
      <alignment horizontal="center" vertical="center"/>
    </xf>
    <xf numFmtId="164" fontId="6" fillId="4" borderId="10" xfId="0" applyNumberFormat="1" applyFont="1" applyFill="1" applyBorder="1" applyAlignment="1">
      <alignment horizontal="center" vertical="center"/>
    </xf>
    <xf numFmtId="164" fontId="0" fillId="4" borderId="11" xfId="0" applyNumberFormat="1" applyFont="1" applyFill="1" applyBorder="1" applyAlignment="1">
      <alignment horizontal="center" vertical="center"/>
    </xf>
    <xf numFmtId="164" fontId="0" fillId="2" borderId="12" xfId="0" applyNumberFormat="1" applyFont="1" applyFill="1" applyBorder="1" applyAlignment="1">
      <alignment horizontal="center" vertical="center"/>
    </xf>
    <xf numFmtId="164" fontId="0" fillId="2" borderId="13" xfId="0" applyNumberFormat="1" applyFont="1" applyFill="1" applyBorder="1" applyAlignment="1">
      <alignment horizontal="center" vertical="center"/>
    </xf>
    <xf numFmtId="164" fontId="0" fillId="4" borderId="10" xfId="0" applyNumberFormat="1" applyFont="1" applyFill="1" applyBorder="1" applyAlignment="1">
      <alignment horizontal="center" vertical="center"/>
    </xf>
    <xf numFmtId="164" fontId="0" fillId="2" borderId="17" xfId="0" applyNumberFormat="1" applyFont="1" applyFill="1" applyBorder="1" applyAlignment="1">
      <alignment horizontal="center" vertical="center"/>
    </xf>
    <xf numFmtId="164" fontId="0" fillId="2" borderId="18" xfId="0" applyNumberFormat="1" applyFont="1" applyFill="1" applyBorder="1" applyAlignment="1">
      <alignment horizontal="center" vertical="center"/>
    </xf>
    <xf numFmtId="9" fontId="0" fillId="2" borderId="8" xfId="1" applyFont="1" applyFill="1" applyBorder="1" applyAlignment="1">
      <alignment horizontal="center" vertical="center"/>
    </xf>
    <xf numFmtId="0" fontId="0" fillId="2" borderId="12" xfId="0" applyFont="1" applyFill="1" applyBorder="1" applyAlignment="1">
      <alignment horizontal="center" vertical="center"/>
    </xf>
    <xf numFmtId="0" fontId="0" fillId="2" borderId="13" xfId="0" applyFont="1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 vertical="center"/>
    </xf>
    <xf numFmtId="164" fontId="2" fillId="2" borderId="12" xfId="0" applyNumberFormat="1" applyFont="1" applyFill="1" applyBorder="1" applyAlignment="1">
      <alignment horizontal="center" vertical="center"/>
    </xf>
    <xf numFmtId="164" fontId="0" fillId="2" borderId="20" xfId="0" applyNumberFormat="1" applyFont="1" applyFill="1" applyBorder="1" applyAlignment="1">
      <alignment horizontal="center" vertical="center"/>
    </xf>
    <xf numFmtId="164" fontId="0" fillId="2" borderId="21" xfId="0" applyNumberFormat="1" applyFont="1" applyFill="1" applyBorder="1" applyAlignment="1">
      <alignment horizontal="center" vertical="center"/>
    </xf>
    <xf numFmtId="164" fontId="0" fillId="3" borderId="21" xfId="0" applyNumberFormat="1" applyFont="1" applyFill="1" applyBorder="1" applyAlignment="1">
      <alignment horizontal="center" vertical="center"/>
    </xf>
    <xf numFmtId="164" fontId="0" fillId="4" borderId="22" xfId="0" applyNumberFormat="1" applyFont="1" applyFill="1" applyBorder="1" applyAlignment="1">
      <alignment horizontal="center" vertical="center"/>
    </xf>
    <xf numFmtId="164" fontId="2" fillId="2" borderId="14" xfId="0" applyNumberFormat="1" applyFont="1" applyFill="1" applyBorder="1" applyAlignment="1">
      <alignment horizontal="center" vertical="center"/>
    </xf>
    <xf numFmtId="164" fontId="2" fillId="2" borderId="15" xfId="0" applyNumberFormat="1" applyFont="1" applyFill="1" applyBorder="1" applyAlignment="1">
      <alignment horizontal="center" vertical="center"/>
    </xf>
    <xf numFmtId="164" fontId="2" fillId="2" borderId="16" xfId="0" applyNumberFormat="1" applyFont="1" applyFill="1" applyBorder="1" applyAlignment="1">
      <alignment horizontal="center" vertical="center"/>
    </xf>
    <xf numFmtId="164" fontId="2" fillId="2" borderId="9" xfId="0" applyNumberFormat="1" applyFont="1" applyFill="1" applyBorder="1" applyAlignment="1">
      <alignment horizontal="center" vertical="center"/>
    </xf>
    <xf numFmtId="164" fontId="2" fillId="2" borderId="6" xfId="0" applyNumberFormat="1" applyFont="1" applyFill="1" applyBorder="1" applyAlignment="1">
      <alignment horizontal="center" vertical="center"/>
    </xf>
    <xf numFmtId="164" fontId="2" fillId="2" borderId="19" xfId="0" applyNumberFormat="1" applyFont="1" applyFill="1" applyBorder="1" applyAlignment="1">
      <alignment horizontal="center" vertical="center"/>
    </xf>
    <xf numFmtId="164" fontId="2" fillId="2" borderId="13" xfId="0" applyNumberFormat="1" applyFont="1" applyFill="1" applyBorder="1" applyAlignment="1">
      <alignment horizontal="center" vertical="center"/>
    </xf>
    <xf numFmtId="44" fontId="0" fillId="0" borderId="0" xfId="2" applyFont="1"/>
    <xf numFmtId="0" fontId="0" fillId="2" borderId="1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0" fontId="0" fillId="2" borderId="14" xfId="0" applyFont="1" applyFill="1" applyBorder="1" applyAlignment="1">
      <alignment horizontal="center" vertical="center"/>
    </xf>
    <xf numFmtId="0" fontId="0" fillId="2" borderId="15" xfId="0" applyFont="1" applyFill="1" applyBorder="1" applyAlignment="1">
      <alignment horizontal="center" vertical="center"/>
    </xf>
    <xf numFmtId="0" fontId="0" fillId="2" borderId="16" xfId="0" applyFont="1" applyFill="1" applyBorder="1" applyAlignment="1">
      <alignment horizontal="center" vertical="center"/>
    </xf>
    <xf numFmtId="44" fontId="0" fillId="0" borderId="0" xfId="0" applyNumberFormat="1"/>
    <xf numFmtId="165" fontId="0" fillId="0" borderId="0" xfId="0" applyNumberFormat="1"/>
  </cellXfs>
  <cellStyles count="3">
    <cellStyle name="Moneda" xfId="2" builtinId="4"/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8733</xdr:colOff>
      <xdr:row>21</xdr:row>
      <xdr:rowOff>81759</xdr:rowOff>
    </xdr:from>
    <xdr:to>
      <xdr:col>8</xdr:col>
      <xdr:colOff>571597</xdr:colOff>
      <xdr:row>28</xdr:row>
      <xdr:rowOff>158750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8E880ED-F6D6-4F4F-A870-97ED66466B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64066" y="3934092"/>
          <a:ext cx="2679531" cy="1378741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9109</xdr:colOff>
      <xdr:row>4</xdr:row>
      <xdr:rowOff>52125</xdr:rowOff>
    </xdr:from>
    <xdr:to>
      <xdr:col>9</xdr:col>
      <xdr:colOff>6129</xdr:colOff>
      <xdr:row>14</xdr:row>
      <xdr:rowOff>158750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9C399169-E102-41FF-9499-BE8344D60D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64442" y="792958"/>
          <a:ext cx="2727520" cy="1926959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30469</xdr:colOff>
      <xdr:row>19</xdr:row>
      <xdr:rowOff>92983</xdr:rowOff>
    </xdr:from>
    <xdr:to>
      <xdr:col>17</xdr:col>
      <xdr:colOff>560917</xdr:colOff>
      <xdr:row>32</xdr:row>
      <xdr:rowOff>15207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82F21ABD-B433-4B2D-9AE3-EA0948D67E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69052" y="3585483"/>
          <a:ext cx="2985781" cy="2303474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13</xdr:col>
      <xdr:colOff>19691</xdr:colOff>
      <xdr:row>3</xdr:row>
      <xdr:rowOff>52126</xdr:rowOff>
    </xdr:from>
    <xdr:ext cx="3017725" cy="2321365"/>
    <xdr:pic>
      <xdr:nvPicPr>
        <xdr:cNvPr id="6" name="Imagen 5">
          <a:extLst>
            <a:ext uri="{FF2B5EF4-FFF2-40B4-BE49-F238E27FC236}">
              <a16:creationId xmlns:a16="http://schemas.microsoft.com/office/drawing/2014/main" id="{9DDAF9F7-E2EF-40E1-8F6F-77B701AFC9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58274" y="6497376"/>
          <a:ext cx="3017725" cy="23213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601399</xdr:colOff>
      <xdr:row>36</xdr:row>
      <xdr:rowOff>166425</xdr:rowOff>
    </xdr:from>
    <xdr:ext cx="2607065" cy="1394617"/>
    <xdr:pic>
      <xdr:nvPicPr>
        <xdr:cNvPr id="7" name="Imagen 6">
          <a:extLst>
            <a:ext uri="{FF2B5EF4-FFF2-40B4-BE49-F238E27FC236}">
              <a16:creationId xmlns:a16="http://schemas.microsoft.com/office/drawing/2014/main" id="{35CF8EBE-6FC9-4E13-A24A-2AAB8ACD1B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42899" y="6791592"/>
          <a:ext cx="2607065" cy="1394617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30469</xdr:colOff>
      <xdr:row>35</xdr:row>
      <xdr:rowOff>92983</xdr:rowOff>
    </xdr:from>
    <xdr:ext cx="2985781" cy="2303474"/>
    <xdr:pic>
      <xdr:nvPicPr>
        <xdr:cNvPr id="8" name="Imagen 7">
          <a:extLst>
            <a:ext uri="{FF2B5EF4-FFF2-40B4-BE49-F238E27FC236}">
              <a16:creationId xmlns:a16="http://schemas.microsoft.com/office/drawing/2014/main" id="{8743BA1E-75BB-4D4D-8445-E003E2E67F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71636" y="3585483"/>
          <a:ext cx="2985781" cy="2303474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18</xdr:col>
      <xdr:colOff>486834</xdr:colOff>
      <xdr:row>13</xdr:row>
      <xdr:rowOff>95250</xdr:rowOff>
    </xdr:from>
    <xdr:to>
      <xdr:col>30</xdr:col>
      <xdr:colOff>61384</xdr:colOff>
      <xdr:row>39</xdr:row>
      <xdr:rowOff>31750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AAD11ED7-6CD6-458C-ACA8-A60A2EE9B4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97167" y="2476500"/>
          <a:ext cx="6940550" cy="4741333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R51"/>
  <sheetViews>
    <sheetView topLeftCell="A19" zoomScale="60" zoomScaleNormal="60" workbookViewId="0">
      <selection activeCell="AF24" sqref="AF24"/>
    </sheetView>
  </sheetViews>
  <sheetFormatPr baseColWidth="10" defaultColWidth="8.7265625" defaultRowHeight="14.5" x14ac:dyDescent="0.35"/>
  <cols>
    <col min="7" max="7" width="3.90625" bestFit="1" customWidth="1"/>
    <col min="10" max="10" width="8.7265625" style="11"/>
  </cols>
  <sheetData>
    <row r="2" spans="2:18" ht="15" thickBot="1" x14ac:dyDescent="0.4"/>
    <row r="3" spans="2:18" ht="15" thickBot="1" x14ac:dyDescent="0.4">
      <c r="B3" s="40" t="s">
        <v>0</v>
      </c>
      <c r="C3" s="41"/>
      <c r="D3" s="41"/>
      <c r="E3" s="41"/>
      <c r="F3" s="41"/>
      <c r="G3" s="41"/>
      <c r="H3" s="41"/>
      <c r="I3" s="42"/>
      <c r="J3" s="10"/>
      <c r="K3" s="40" t="s">
        <v>50</v>
      </c>
      <c r="L3" s="41"/>
      <c r="M3" s="41"/>
      <c r="N3" s="41"/>
      <c r="O3" s="41"/>
      <c r="P3" s="41"/>
      <c r="Q3" s="41"/>
      <c r="R3" s="42"/>
    </row>
    <row r="4" spans="2:18" x14ac:dyDescent="0.35">
      <c r="B4" s="3" t="s">
        <v>2</v>
      </c>
      <c r="C4" s="4">
        <v>0.9</v>
      </c>
      <c r="D4" s="28" t="s">
        <v>3</v>
      </c>
      <c r="E4" s="32" t="s">
        <v>4</v>
      </c>
      <c r="F4" s="33">
        <f>((C4/2)^2+C5^2)/(2*C5)</f>
        <v>0.48749999999999999</v>
      </c>
      <c r="G4" s="33" t="s">
        <v>3</v>
      </c>
      <c r="H4" s="33"/>
      <c r="I4" s="34"/>
      <c r="J4" s="5"/>
      <c r="K4" s="3" t="s">
        <v>2</v>
      </c>
      <c r="L4" s="4">
        <v>1</v>
      </c>
      <c r="M4" s="4" t="s">
        <v>3</v>
      </c>
      <c r="N4" s="5" t="s">
        <v>4</v>
      </c>
      <c r="O4" s="5">
        <f>((L4/2)^2+L5^2)/(2*L5)</f>
        <v>0.51249999999999996</v>
      </c>
      <c r="P4" s="5" t="s">
        <v>3</v>
      </c>
      <c r="Q4" s="5"/>
      <c r="R4" s="6"/>
    </row>
    <row r="5" spans="2:18" x14ac:dyDescent="0.35">
      <c r="B5" s="7" t="s">
        <v>6</v>
      </c>
      <c r="C5" s="8">
        <v>0.3</v>
      </c>
      <c r="D5" s="29" t="s">
        <v>3</v>
      </c>
      <c r="E5" s="35" t="s">
        <v>7</v>
      </c>
      <c r="F5" s="26">
        <f>F4-C5</f>
        <v>0.1875</v>
      </c>
      <c r="G5" s="26" t="s">
        <v>3</v>
      </c>
      <c r="H5" s="26" t="s">
        <v>8</v>
      </c>
      <c r="I5" s="36">
        <f>C4+2*(C8/TAN(C9))</f>
        <v>1.7080524516703135</v>
      </c>
      <c r="J5" s="5"/>
      <c r="K5" s="7" t="s">
        <v>6</v>
      </c>
      <c r="L5" s="8">
        <v>0.4</v>
      </c>
      <c r="M5" s="8" t="s">
        <v>3</v>
      </c>
      <c r="N5" s="5" t="s">
        <v>7</v>
      </c>
      <c r="O5" s="5">
        <f>O4-L5</f>
        <v>0.11249999999999993</v>
      </c>
      <c r="P5" s="5" t="s">
        <v>3</v>
      </c>
      <c r="Q5" s="5" t="s">
        <v>8</v>
      </c>
      <c r="R5" s="6">
        <f>L4+2*(L8/TAN(L9))</f>
        <v>1.8080524516703136</v>
      </c>
    </row>
    <row r="6" spans="2:18" x14ac:dyDescent="0.35">
      <c r="B6" s="7" t="s">
        <v>10</v>
      </c>
      <c r="C6" s="8">
        <v>0.16</v>
      </c>
      <c r="D6" s="29" t="s">
        <v>3</v>
      </c>
      <c r="E6" s="35" t="s">
        <v>11</v>
      </c>
      <c r="F6" s="26">
        <f>2*ASIN((C4/2)/F4)</f>
        <v>2.3520104141902705</v>
      </c>
      <c r="G6" s="26" t="s">
        <v>12</v>
      </c>
      <c r="H6" s="26" t="s">
        <v>13</v>
      </c>
      <c r="I6" s="36">
        <f>(C7+2*C6)+2*(C8/TAN(C9))</f>
        <v>2.3280524516703136</v>
      </c>
      <c r="J6" s="5"/>
      <c r="K6" s="7" t="s">
        <v>10</v>
      </c>
      <c r="L6" s="8">
        <v>0.18</v>
      </c>
      <c r="M6" s="8" t="s">
        <v>3</v>
      </c>
      <c r="N6" s="5" t="s">
        <v>11</v>
      </c>
      <c r="O6" s="5">
        <f>2*ASIN((L4/2)/O4)</f>
        <v>2.6989637688942114</v>
      </c>
      <c r="P6" s="5" t="s">
        <v>12</v>
      </c>
      <c r="Q6" s="5" t="s">
        <v>13</v>
      </c>
      <c r="R6" s="6">
        <f>(L7+2*L6)+2*(L8/TAN(L9))</f>
        <v>2.7680524516703136</v>
      </c>
    </row>
    <row r="7" spans="2:18" x14ac:dyDescent="0.35">
      <c r="B7" s="7" t="s">
        <v>14</v>
      </c>
      <c r="C7" s="8">
        <v>1.2</v>
      </c>
      <c r="D7" s="29" t="s">
        <v>3</v>
      </c>
      <c r="E7" s="35" t="s">
        <v>15</v>
      </c>
      <c r="F7" s="26">
        <f>F4*F6</f>
        <v>1.1466050769177569</v>
      </c>
      <c r="G7" s="26" t="s">
        <v>3</v>
      </c>
      <c r="H7" s="26" t="s">
        <v>16</v>
      </c>
      <c r="I7" s="36">
        <f>I6*I5</f>
        <v>3.9764356976925632</v>
      </c>
      <c r="J7" s="5"/>
      <c r="K7" s="7" t="s">
        <v>14</v>
      </c>
      <c r="L7" s="8">
        <v>1.6</v>
      </c>
      <c r="M7" s="8" t="s">
        <v>3</v>
      </c>
      <c r="N7" s="5" t="s">
        <v>15</v>
      </c>
      <c r="O7" s="5">
        <f>O4*O6</f>
        <v>1.3832189315582832</v>
      </c>
      <c r="P7" s="5" t="s">
        <v>3</v>
      </c>
      <c r="Q7" s="5" t="s">
        <v>16</v>
      </c>
      <c r="R7" s="6">
        <f>R6*R5</f>
        <v>5.0047840215945323</v>
      </c>
    </row>
    <row r="8" spans="2:18" x14ac:dyDescent="0.35">
      <c r="B8" s="7" t="s">
        <v>17</v>
      </c>
      <c r="C8" s="8">
        <v>1</v>
      </c>
      <c r="D8" s="29" t="s">
        <v>3</v>
      </c>
      <c r="E8" s="35" t="s">
        <v>51</v>
      </c>
      <c r="F8" s="26">
        <f>F4^2*(F6)/2-(F4^2*SIN(F6)/2)</f>
        <v>0.19510998749870323</v>
      </c>
      <c r="G8" s="26" t="s">
        <v>19</v>
      </c>
      <c r="H8" s="26" t="s">
        <v>4</v>
      </c>
      <c r="I8" s="36">
        <f>((C4/2)^2+C6^2)/(2*C6)</f>
        <v>0.71281250000000007</v>
      </c>
      <c r="J8" s="5"/>
      <c r="K8" s="7" t="s">
        <v>17</v>
      </c>
      <c r="L8" s="8">
        <v>1</v>
      </c>
      <c r="M8" s="8" t="s">
        <v>3</v>
      </c>
      <c r="N8" s="5" t="s">
        <v>18</v>
      </c>
      <c r="O8" s="5">
        <f>O4^2*(O6)/2-(O4^2*SIN(O6)/2)</f>
        <v>0.2981998512118102</v>
      </c>
      <c r="P8" s="5" t="s">
        <v>19</v>
      </c>
      <c r="Q8" s="5" t="s">
        <v>4</v>
      </c>
      <c r="R8" s="6">
        <f>((L4/2)^2+L6^2)/(2*L6)</f>
        <v>0.78444444444444439</v>
      </c>
    </row>
    <row r="9" spans="2:18" ht="15.5" x14ac:dyDescent="0.35">
      <c r="B9" s="7" t="s">
        <v>20</v>
      </c>
      <c r="C9" s="8">
        <f>68*PI()/180</f>
        <v>1.1868238913561442</v>
      </c>
      <c r="D9" s="29" t="s">
        <v>12</v>
      </c>
      <c r="E9" s="35" t="s">
        <v>52</v>
      </c>
      <c r="F9" s="26">
        <f>F8*C7</f>
        <v>0.23413198499844387</v>
      </c>
      <c r="G9" s="26" t="s">
        <v>22</v>
      </c>
      <c r="H9" s="26" t="s">
        <v>11</v>
      </c>
      <c r="I9" s="36">
        <f>2*ASIN((C4/2)/I8)</f>
        <v>1.3664619625912287</v>
      </c>
      <c r="J9" s="5"/>
      <c r="K9" s="7" t="s">
        <v>20</v>
      </c>
      <c r="L9" s="8">
        <f>68*PI()/180</f>
        <v>1.1868238913561442</v>
      </c>
      <c r="M9" s="8" t="s">
        <v>12</v>
      </c>
      <c r="N9" s="5" t="s">
        <v>21</v>
      </c>
      <c r="O9" s="5">
        <f>O8*L7</f>
        <v>0.47711976193889633</v>
      </c>
      <c r="P9" s="5" t="s">
        <v>22</v>
      </c>
      <c r="Q9" s="5" t="s">
        <v>11</v>
      </c>
      <c r="R9" s="6">
        <f>2*ASIN((L4/2)/R8)</f>
        <v>1.3822223223268486</v>
      </c>
    </row>
    <row r="10" spans="2:18" x14ac:dyDescent="0.35">
      <c r="B10" s="7" t="s">
        <v>24</v>
      </c>
      <c r="C10" s="8">
        <v>7</v>
      </c>
      <c r="D10" s="29" t="s">
        <v>25</v>
      </c>
      <c r="E10" s="35" t="s">
        <v>53</v>
      </c>
      <c r="F10" s="26">
        <f>F7*C7</f>
        <v>1.3759260923013084</v>
      </c>
      <c r="G10" s="26" t="s">
        <v>22</v>
      </c>
      <c r="H10" s="26" t="s">
        <v>27</v>
      </c>
      <c r="I10" s="36">
        <f>(I8^2*I9/2)-(I8^2*SIN(I9)/2)</f>
        <v>9.8385170866485433E-2</v>
      </c>
      <c r="J10" s="5"/>
      <c r="K10" s="7" t="s">
        <v>24</v>
      </c>
      <c r="L10" s="8">
        <v>12</v>
      </c>
      <c r="M10" s="8" t="s">
        <v>25</v>
      </c>
      <c r="N10" s="5" t="s">
        <v>26</v>
      </c>
      <c r="O10" s="5">
        <f>O7*L7</f>
        <v>2.2131502904932532</v>
      </c>
      <c r="P10" s="5" t="s">
        <v>22</v>
      </c>
      <c r="Q10" s="5" t="s">
        <v>27</v>
      </c>
      <c r="R10" s="6">
        <f>(R8^2*R9/2)-(R8^2*SIN(R9)/2)</f>
        <v>0.12305516385883025</v>
      </c>
    </row>
    <row r="11" spans="2:18" x14ac:dyDescent="0.35">
      <c r="B11" s="7" t="s">
        <v>29</v>
      </c>
      <c r="C11" s="8">
        <v>0.1</v>
      </c>
      <c r="D11" s="29" t="s">
        <v>3</v>
      </c>
      <c r="E11" s="35" t="s">
        <v>54</v>
      </c>
      <c r="F11" s="26">
        <f>((F4)^2+C6^2)/(2*C6)</f>
        <v>0.82267578124999985</v>
      </c>
      <c r="G11" s="26" t="s">
        <v>3</v>
      </c>
      <c r="H11" s="26" t="s">
        <v>28</v>
      </c>
      <c r="I11" s="36">
        <f>C4*C7+2*I10</f>
        <v>1.276770341732971</v>
      </c>
      <c r="J11" s="5"/>
      <c r="K11" s="7" t="s">
        <v>29</v>
      </c>
      <c r="L11" s="8">
        <v>0.1</v>
      </c>
      <c r="M11" s="8" t="s">
        <v>3</v>
      </c>
      <c r="N11" s="5" t="s">
        <v>30</v>
      </c>
      <c r="O11" s="5">
        <f>((O4)^2+L6^2)/(2*L6)</f>
        <v>0.81960069444444439</v>
      </c>
      <c r="P11" s="5" t="s">
        <v>3</v>
      </c>
      <c r="Q11" s="5" t="s">
        <v>28</v>
      </c>
      <c r="R11" s="6">
        <f>L4*L7+2*R10</f>
        <v>1.8461103277176605</v>
      </c>
    </row>
    <row r="12" spans="2:18" x14ac:dyDescent="0.35">
      <c r="B12" s="7" t="s">
        <v>33</v>
      </c>
      <c r="C12" s="8">
        <f>F10+2*F15</f>
        <v>1.8848761852315223</v>
      </c>
      <c r="D12" s="29" t="s">
        <v>19</v>
      </c>
      <c r="E12" s="35" t="s">
        <v>55</v>
      </c>
      <c r="F12" s="26">
        <f>(PI()*C6^2*(3*F11-C6)/3)</f>
        <v>6.1874190911226555E-2</v>
      </c>
      <c r="G12" s="26" t="s">
        <v>22</v>
      </c>
      <c r="H12" s="26" t="s">
        <v>32</v>
      </c>
      <c r="I12" s="36">
        <f>(C8*(I7+I11+SQRT(I7*I11)))/3</f>
        <v>2.502141628227573</v>
      </c>
      <c r="J12" s="5"/>
      <c r="K12" s="7" t="s">
        <v>33</v>
      </c>
      <c r="L12" s="8">
        <f>O10+2*O15</f>
        <v>2.936620766509451</v>
      </c>
      <c r="M12" s="8" t="s">
        <v>19</v>
      </c>
      <c r="N12" s="5" t="s">
        <v>34</v>
      </c>
      <c r="O12" s="5">
        <f>(PI()*L6^2*(3*O11-L6)/3)</f>
        <v>7.7317933147039233E-2</v>
      </c>
      <c r="P12" s="5" t="s">
        <v>22</v>
      </c>
      <c r="Q12" s="5" t="s">
        <v>32</v>
      </c>
      <c r="R12" s="6">
        <f>(L8*(R7+R11+SQRT(R7*R11)))/3</f>
        <v>3.296843255546031</v>
      </c>
    </row>
    <row r="13" spans="2:18" x14ac:dyDescent="0.35">
      <c r="B13" s="13" t="s">
        <v>31</v>
      </c>
      <c r="C13" s="14">
        <f>F9+2*F13</f>
        <v>0.2722084101745833</v>
      </c>
      <c r="D13" s="30" t="s">
        <v>22</v>
      </c>
      <c r="E13" s="35" t="s">
        <v>56</v>
      </c>
      <c r="F13" s="26">
        <f>(C5/(F4*2))*F12</f>
        <v>1.903821258806971E-2</v>
      </c>
      <c r="G13" s="26" t="s">
        <v>22</v>
      </c>
      <c r="H13" s="26"/>
      <c r="I13" s="36"/>
      <c r="J13" s="5"/>
      <c r="K13" s="13" t="s">
        <v>31</v>
      </c>
      <c r="L13" s="14">
        <f>O9+2*O13</f>
        <v>0.53746546585853672</v>
      </c>
      <c r="M13" s="14" t="s">
        <v>22</v>
      </c>
      <c r="N13" s="5" t="s">
        <v>35</v>
      </c>
      <c r="O13" s="5">
        <f>(L5/(O4*2))*O12</f>
        <v>3.0172851959820193E-2</v>
      </c>
      <c r="P13" s="5" t="s">
        <v>22</v>
      </c>
      <c r="Q13" s="5"/>
      <c r="R13" s="6"/>
    </row>
    <row r="14" spans="2:18" x14ac:dyDescent="0.35">
      <c r="B14" s="7" t="s">
        <v>36</v>
      </c>
      <c r="C14" s="8">
        <f>I12</f>
        <v>2.502141628227573</v>
      </c>
      <c r="D14" s="29" t="s">
        <v>22</v>
      </c>
      <c r="E14" s="35" t="s">
        <v>57</v>
      </c>
      <c r="F14" s="26">
        <f>2*PI()*F11*C6</f>
        <v>0.82704390101159786</v>
      </c>
      <c r="G14" s="26" t="s">
        <v>19</v>
      </c>
      <c r="H14" s="26"/>
      <c r="I14" s="36"/>
      <c r="J14" s="5"/>
      <c r="K14" s="7" t="s">
        <v>36</v>
      </c>
      <c r="L14" s="8">
        <f>R12</f>
        <v>3.296843255546031</v>
      </c>
      <c r="M14" s="8" t="s">
        <v>22</v>
      </c>
      <c r="N14" s="5" t="s">
        <v>37</v>
      </c>
      <c r="O14" s="5">
        <f>2*PI()*O11*L6</f>
        <v>0.92694654739575333</v>
      </c>
      <c r="P14" s="5" t="s">
        <v>19</v>
      </c>
      <c r="Q14" s="5"/>
      <c r="R14" s="6"/>
    </row>
    <row r="15" spans="2:18" x14ac:dyDescent="0.35">
      <c r="B15" s="7" t="s">
        <v>38</v>
      </c>
      <c r="C15" s="8">
        <f>C14+C13</f>
        <v>2.7743500384021562</v>
      </c>
      <c r="D15" s="29" t="s">
        <v>22</v>
      </c>
      <c r="E15" s="35" t="s">
        <v>58</v>
      </c>
      <c r="F15" s="26">
        <f>F14*(C5/(F4*2))</f>
        <v>0.25447504646510705</v>
      </c>
      <c r="G15" s="26" t="s">
        <v>19</v>
      </c>
      <c r="H15" s="26"/>
      <c r="I15" s="36"/>
      <c r="J15" s="5"/>
      <c r="K15" s="7" t="s">
        <v>38</v>
      </c>
      <c r="L15" s="8">
        <f>L14+L13</f>
        <v>3.8343087214045677</v>
      </c>
      <c r="M15" s="8" t="s">
        <v>22</v>
      </c>
      <c r="N15" s="5" t="s">
        <v>39</v>
      </c>
      <c r="O15" s="5">
        <f>O14*(L5/(O4*2))</f>
        <v>0.36173523800809892</v>
      </c>
      <c r="P15" s="5" t="s">
        <v>19</v>
      </c>
      <c r="Q15" s="5"/>
      <c r="R15" s="6"/>
    </row>
    <row r="16" spans="2:18" x14ac:dyDescent="0.35">
      <c r="B16" s="9"/>
      <c r="C16" s="10"/>
      <c r="D16" s="10"/>
      <c r="E16" s="35"/>
      <c r="F16" s="26"/>
      <c r="G16" s="26"/>
      <c r="H16" s="26"/>
      <c r="I16" s="36"/>
      <c r="J16" s="5"/>
      <c r="K16" s="9"/>
      <c r="L16" s="10"/>
      <c r="M16" s="10"/>
      <c r="N16" s="5"/>
      <c r="O16" s="5"/>
      <c r="P16" s="5"/>
      <c r="Q16" s="5"/>
      <c r="R16" s="6"/>
    </row>
    <row r="17" spans="2:18" ht="15" thickBot="1" x14ac:dyDescent="0.4">
      <c r="B17" s="16" t="s">
        <v>40</v>
      </c>
      <c r="C17" s="17">
        <f>C7*C11*2*C10+C12</f>
        <v>3.5648761852315225</v>
      </c>
      <c r="D17" s="31" t="s">
        <v>19</v>
      </c>
      <c r="E17" s="37"/>
      <c r="F17" s="27"/>
      <c r="G17" s="27"/>
      <c r="H17" s="27"/>
      <c r="I17" s="38"/>
      <c r="J17" s="5"/>
      <c r="K17" s="16" t="s">
        <v>40</v>
      </c>
      <c r="L17" s="17">
        <f>L7*L11*2*L10+L12</f>
        <v>6.7766207665094518</v>
      </c>
      <c r="M17" s="17" t="s">
        <v>19</v>
      </c>
      <c r="N17" s="18"/>
      <c r="O17" s="18"/>
      <c r="P17" s="18"/>
      <c r="Q17" s="18"/>
      <c r="R17" s="19"/>
    </row>
    <row r="18" spans="2:18" ht="15" thickBot="1" x14ac:dyDescent="0.4">
      <c r="H18" s="2"/>
      <c r="I18" s="2"/>
      <c r="J18" s="2"/>
      <c r="K18" s="1"/>
      <c r="L18" s="1"/>
      <c r="M18" s="1"/>
      <c r="N18" s="1"/>
      <c r="O18" s="1"/>
      <c r="P18" s="1"/>
      <c r="Q18" s="1"/>
      <c r="R18" s="1"/>
    </row>
    <row r="19" spans="2:18" ht="15" thickBot="1" x14ac:dyDescent="0.4">
      <c r="B19" s="40" t="s">
        <v>1</v>
      </c>
      <c r="C19" s="41"/>
      <c r="D19" s="41"/>
      <c r="E19" s="41"/>
      <c r="F19" s="41"/>
      <c r="G19" s="42"/>
      <c r="H19" s="2"/>
      <c r="I19" s="2"/>
      <c r="J19" s="2"/>
      <c r="K19" s="43" t="s">
        <v>41</v>
      </c>
      <c r="L19" s="44"/>
      <c r="M19" s="44"/>
      <c r="N19" s="44"/>
      <c r="O19" s="44"/>
      <c r="P19" s="44"/>
      <c r="Q19" s="44"/>
      <c r="R19" s="45"/>
    </row>
    <row r="20" spans="2:18" x14ac:dyDescent="0.35">
      <c r="B20" s="3" t="s">
        <v>5</v>
      </c>
      <c r="C20" s="4">
        <v>0.3</v>
      </c>
      <c r="D20" s="4" t="s">
        <v>3</v>
      </c>
      <c r="E20" s="5"/>
      <c r="F20" s="5"/>
      <c r="G20" s="6"/>
      <c r="H20" s="2"/>
      <c r="I20" s="2"/>
      <c r="J20" s="2"/>
      <c r="K20" s="7" t="s">
        <v>42</v>
      </c>
      <c r="L20" s="8">
        <v>1</v>
      </c>
      <c r="M20" s="8" t="s">
        <v>3</v>
      </c>
      <c r="N20" s="10"/>
      <c r="O20" s="10"/>
      <c r="P20" s="10"/>
      <c r="Q20" s="10"/>
      <c r="R20" s="15"/>
    </row>
    <row r="21" spans="2:18" x14ac:dyDescent="0.35">
      <c r="B21" s="7" t="s">
        <v>9</v>
      </c>
      <c r="C21" s="8">
        <v>0.7</v>
      </c>
      <c r="D21" s="8" t="s">
        <v>3</v>
      </c>
      <c r="E21" s="5"/>
      <c r="F21" s="5"/>
      <c r="G21" s="6"/>
      <c r="H21" s="2"/>
      <c r="I21" s="2"/>
      <c r="J21" s="2"/>
      <c r="K21" s="7" t="s">
        <v>43</v>
      </c>
      <c r="L21" s="8">
        <v>0.1</v>
      </c>
      <c r="M21" s="8" t="s">
        <v>3</v>
      </c>
      <c r="N21" s="10"/>
      <c r="O21" s="10"/>
      <c r="P21" s="10"/>
      <c r="Q21" s="10"/>
      <c r="R21" s="15"/>
    </row>
    <row r="22" spans="2:18" ht="15.5" x14ac:dyDescent="0.35">
      <c r="B22" s="7" t="s">
        <v>4</v>
      </c>
      <c r="C22" s="8">
        <f>((C21/2)^2+C20^2)/(2*C20)</f>
        <v>0.35416666666666663</v>
      </c>
      <c r="D22" s="8" t="s">
        <v>3</v>
      </c>
      <c r="E22" s="5"/>
      <c r="F22" s="5"/>
      <c r="G22" s="6"/>
      <c r="H22" s="2"/>
      <c r="I22" s="2"/>
      <c r="J22" s="2"/>
      <c r="K22" s="7" t="s">
        <v>20</v>
      </c>
      <c r="L22" s="8">
        <f>68*PI()/180</f>
        <v>1.1868238913561442</v>
      </c>
      <c r="M22" s="8" t="s">
        <v>12</v>
      </c>
      <c r="N22" s="10"/>
      <c r="O22" s="10"/>
      <c r="P22" s="10"/>
      <c r="Q22" s="10"/>
      <c r="R22" s="15"/>
    </row>
    <row r="23" spans="2:18" x14ac:dyDescent="0.35">
      <c r="B23" s="9"/>
      <c r="C23" s="10"/>
      <c r="D23" s="10"/>
      <c r="E23" s="5"/>
      <c r="F23" s="11"/>
      <c r="G23" s="12"/>
      <c r="H23" s="2"/>
      <c r="I23" s="2"/>
      <c r="J23" s="2"/>
      <c r="K23" s="7" t="s">
        <v>2</v>
      </c>
      <c r="L23" s="8">
        <v>1.2</v>
      </c>
      <c r="M23" s="8" t="s">
        <v>3</v>
      </c>
      <c r="N23" s="10"/>
      <c r="O23" s="10"/>
      <c r="P23" s="10"/>
      <c r="Q23" s="10"/>
      <c r="R23" s="15"/>
    </row>
    <row r="24" spans="2:18" x14ac:dyDescent="0.35">
      <c r="B24" s="7" t="s">
        <v>17</v>
      </c>
      <c r="C24" s="8">
        <v>0.65</v>
      </c>
      <c r="D24" s="8" t="s">
        <v>3</v>
      </c>
      <c r="E24" s="8" t="s">
        <v>16</v>
      </c>
      <c r="F24" s="8">
        <f>PI()*(C21/2)^2</f>
        <v>0.38484510006474959</v>
      </c>
      <c r="G24" s="12"/>
      <c r="H24" s="2"/>
      <c r="I24" s="2"/>
      <c r="J24" s="2"/>
      <c r="K24" s="7" t="s">
        <v>14</v>
      </c>
      <c r="L24" s="8">
        <v>2.2000000000000002</v>
      </c>
      <c r="M24" s="8" t="s">
        <v>3</v>
      </c>
      <c r="N24" s="10"/>
      <c r="O24" s="10"/>
      <c r="P24" s="10"/>
      <c r="Q24" s="10"/>
      <c r="R24" s="15"/>
    </row>
    <row r="25" spans="2:18" ht="15.5" x14ac:dyDescent="0.35">
      <c r="B25" s="7" t="s">
        <v>20</v>
      </c>
      <c r="C25" s="8">
        <f>68*PI()/180</f>
        <v>1.1868238913561442</v>
      </c>
      <c r="D25" s="8" t="s">
        <v>12</v>
      </c>
      <c r="E25" s="8" t="s">
        <v>23</v>
      </c>
      <c r="F25" s="8">
        <f>C21+2*(C24/TAN(C25))</f>
        <v>1.2252340935857036</v>
      </c>
      <c r="G25" s="12"/>
      <c r="H25" s="2"/>
      <c r="I25" s="2"/>
      <c r="J25" s="2"/>
      <c r="K25" s="7" t="s">
        <v>24</v>
      </c>
      <c r="L25" s="8">
        <v>20</v>
      </c>
      <c r="M25" s="8" t="s">
        <v>25</v>
      </c>
      <c r="N25" s="10"/>
      <c r="O25" s="10"/>
      <c r="P25" s="10"/>
      <c r="Q25" s="10"/>
      <c r="R25" s="15"/>
    </row>
    <row r="26" spans="2:18" x14ac:dyDescent="0.35">
      <c r="B26" s="9"/>
      <c r="C26" s="10"/>
      <c r="D26" s="10"/>
      <c r="E26" s="8" t="s">
        <v>28</v>
      </c>
      <c r="F26" s="8">
        <f>F25^2</f>
        <v>1.5011985840847806</v>
      </c>
      <c r="G26" s="12"/>
      <c r="H26" s="2"/>
      <c r="I26" s="2"/>
      <c r="J26" s="2"/>
      <c r="K26" s="7" t="s">
        <v>44</v>
      </c>
      <c r="L26" s="8">
        <v>0.1</v>
      </c>
      <c r="M26" s="8" t="s">
        <v>3</v>
      </c>
      <c r="N26" s="10"/>
      <c r="O26" s="10"/>
      <c r="P26" s="10"/>
      <c r="Q26" s="10"/>
      <c r="R26" s="15"/>
    </row>
    <row r="27" spans="2:18" x14ac:dyDescent="0.35">
      <c r="B27" s="13" t="s">
        <v>31</v>
      </c>
      <c r="C27" s="14">
        <f>(PI()*C20^2*(3*C22-C20))/3</f>
        <v>7.1863931950866516E-2</v>
      </c>
      <c r="D27" s="14" t="s">
        <v>22</v>
      </c>
      <c r="E27" s="8" t="s">
        <v>32</v>
      </c>
      <c r="F27" s="8">
        <f>(C24*(F24+F26+SQRT(F24*F26)))/3</f>
        <v>0.57332784052968211</v>
      </c>
      <c r="G27" s="6"/>
      <c r="H27" s="2"/>
      <c r="I27" s="2"/>
      <c r="J27" s="2"/>
      <c r="K27" s="7" t="s">
        <v>45</v>
      </c>
      <c r="L27" s="8">
        <f>(L23*L24+2*L23*L21+2*L21*L24)</f>
        <v>3.32</v>
      </c>
      <c r="M27" s="8" t="s">
        <v>19</v>
      </c>
      <c r="N27" s="10"/>
      <c r="O27" s="10"/>
      <c r="P27" s="10"/>
      <c r="Q27" s="10"/>
      <c r="R27" s="15"/>
    </row>
    <row r="28" spans="2:18" x14ac:dyDescent="0.35">
      <c r="B28" s="9"/>
      <c r="C28" s="10"/>
      <c r="D28" s="10"/>
      <c r="E28" s="5"/>
      <c r="F28" s="5"/>
      <c r="G28" s="6"/>
      <c r="H28" s="2"/>
      <c r="I28" s="2"/>
      <c r="J28" s="2"/>
      <c r="K28" s="13" t="s">
        <v>46</v>
      </c>
      <c r="L28" s="14">
        <f>L21*L23*L24</f>
        <v>0.26400000000000001</v>
      </c>
      <c r="M28" s="14" t="s">
        <v>22</v>
      </c>
      <c r="N28" s="10"/>
      <c r="O28" s="10"/>
      <c r="P28" s="10"/>
      <c r="Q28" s="10"/>
      <c r="R28" s="15"/>
    </row>
    <row r="29" spans="2:18" x14ac:dyDescent="0.35">
      <c r="B29" s="7" t="s">
        <v>36</v>
      </c>
      <c r="C29" s="8">
        <f>F27</f>
        <v>0.57332784052968211</v>
      </c>
      <c r="D29" s="8" t="s">
        <v>22</v>
      </c>
      <c r="E29" s="5"/>
      <c r="F29" s="5"/>
      <c r="G29" s="6"/>
      <c r="H29" s="2"/>
      <c r="I29" s="2"/>
      <c r="J29" s="2"/>
      <c r="K29" s="7" t="s">
        <v>47</v>
      </c>
      <c r="L29" s="8">
        <f>(L23*L21*L24)+(L23+L20/TAN(L22))*L20*L24</f>
        <v>3.7928576968373449</v>
      </c>
      <c r="M29" s="8" t="s">
        <v>22</v>
      </c>
      <c r="N29" s="10"/>
      <c r="O29" s="10"/>
      <c r="P29" s="10"/>
      <c r="Q29" s="10"/>
      <c r="R29" s="15"/>
    </row>
    <row r="30" spans="2:18" x14ac:dyDescent="0.35">
      <c r="B30" s="9"/>
      <c r="C30" s="10"/>
      <c r="D30" s="10"/>
      <c r="E30" s="5"/>
      <c r="F30" s="5"/>
      <c r="G30" s="6"/>
      <c r="H30" s="2"/>
      <c r="I30" s="2"/>
      <c r="J30" s="2"/>
      <c r="K30" s="21"/>
      <c r="L30" s="22"/>
      <c r="M30" s="22"/>
      <c r="N30" s="10"/>
      <c r="O30" s="10"/>
      <c r="P30" s="10"/>
      <c r="Q30" s="10"/>
      <c r="R30" s="15"/>
    </row>
    <row r="31" spans="2:18" x14ac:dyDescent="0.35">
      <c r="B31" s="7" t="s">
        <v>38</v>
      </c>
      <c r="C31" s="8">
        <f>C29+C27</f>
        <v>0.6451917724805486</v>
      </c>
      <c r="D31" s="8" t="s">
        <v>22</v>
      </c>
      <c r="E31" s="5"/>
      <c r="F31" s="10"/>
      <c r="G31" s="15"/>
      <c r="H31" s="2"/>
      <c r="I31" s="2"/>
      <c r="J31" s="2"/>
      <c r="K31" s="7" t="s">
        <v>48</v>
      </c>
      <c r="L31" s="23">
        <f>L28/L29</f>
        <v>6.9604509607659432E-2</v>
      </c>
      <c r="M31" s="8" t="s">
        <v>49</v>
      </c>
      <c r="N31" s="10"/>
      <c r="O31" s="10"/>
      <c r="P31" s="10"/>
      <c r="Q31" s="10"/>
      <c r="R31" s="15"/>
    </row>
    <row r="32" spans="2:18" x14ac:dyDescent="0.35">
      <c r="B32" s="9"/>
      <c r="C32" s="10"/>
      <c r="D32" s="10"/>
      <c r="E32" s="5"/>
      <c r="F32" s="10"/>
      <c r="G32" s="15"/>
      <c r="H32" s="2"/>
      <c r="I32" s="2"/>
      <c r="J32" s="2"/>
      <c r="K32" s="21"/>
      <c r="L32" s="22"/>
      <c r="M32" s="22"/>
      <c r="N32" s="10"/>
      <c r="O32" s="10"/>
      <c r="P32" s="10"/>
      <c r="Q32" s="10"/>
      <c r="R32" s="15"/>
    </row>
    <row r="33" spans="2:18" ht="15" thickBot="1" x14ac:dyDescent="0.4">
      <c r="B33" s="20" t="s">
        <v>33</v>
      </c>
      <c r="C33" s="17">
        <f>2*PI()*C22*C20</f>
        <v>0.66758843888783093</v>
      </c>
      <c r="D33" s="17" t="s">
        <v>19</v>
      </c>
      <c r="E33" s="18"/>
      <c r="F33" s="18"/>
      <c r="G33" s="19"/>
      <c r="H33" s="2"/>
      <c r="I33" s="2"/>
      <c r="J33" s="2"/>
      <c r="K33" s="16" t="s">
        <v>40</v>
      </c>
      <c r="L33" s="17">
        <f>L26*L24*L25*2+L27</f>
        <v>12.120000000000001</v>
      </c>
      <c r="M33" s="17" t="s">
        <v>19</v>
      </c>
      <c r="N33" s="24"/>
      <c r="O33" s="24"/>
      <c r="P33" s="24"/>
      <c r="Q33" s="24"/>
      <c r="R33" s="25"/>
    </row>
    <row r="34" spans="2:18" ht="15" thickBot="1" x14ac:dyDescent="0.4">
      <c r="B34" s="1"/>
      <c r="C34" s="1"/>
      <c r="D34" s="1"/>
      <c r="E34" s="1"/>
      <c r="F34" s="1"/>
      <c r="G34" s="1"/>
      <c r="H34" s="2"/>
      <c r="I34" s="2"/>
      <c r="J34" s="2"/>
      <c r="K34" s="2"/>
      <c r="L34" s="2"/>
    </row>
    <row r="35" spans="2:18" ht="15" thickBot="1" x14ac:dyDescent="0.4">
      <c r="B35" s="40" t="s">
        <v>1</v>
      </c>
      <c r="C35" s="41"/>
      <c r="D35" s="41"/>
      <c r="E35" s="41"/>
      <c r="F35" s="41"/>
      <c r="G35" s="42"/>
      <c r="H35" s="2"/>
      <c r="I35" s="2"/>
      <c r="J35" s="2"/>
      <c r="K35" s="43" t="s">
        <v>59</v>
      </c>
      <c r="L35" s="44"/>
      <c r="M35" s="44"/>
      <c r="N35" s="44"/>
      <c r="O35" s="44"/>
      <c r="P35" s="44"/>
      <c r="Q35" s="44"/>
      <c r="R35" s="45"/>
    </row>
    <row r="36" spans="2:18" x14ac:dyDescent="0.35">
      <c r="B36" s="3" t="s">
        <v>5</v>
      </c>
      <c r="C36" s="4">
        <v>0.3</v>
      </c>
      <c r="D36" s="4" t="s">
        <v>3</v>
      </c>
      <c r="E36" s="5"/>
      <c r="F36" s="5"/>
      <c r="G36" s="6"/>
      <c r="H36" s="2"/>
      <c r="I36" s="2"/>
      <c r="J36" s="2"/>
      <c r="K36" s="7" t="s">
        <v>42</v>
      </c>
      <c r="L36" s="8">
        <v>0.5</v>
      </c>
      <c r="M36" s="8" t="s">
        <v>3</v>
      </c>
      <c r="N36" s="10"/>
      <c r="O36" s="10"/>
      <c r="P36" s="10"/>
      <c r="Q36" s="10"/>
      <c r="R36" s="15"/>
    </row>
    <row r="37" spans="2:18" x14ac:dyDescent="0.35">
      <c r="B37" s="7" t="s">
        <v>9</v>
      </c>
      <c r="C37" s="8">
        <v>0.7</v>
      </c>
      <c r="D37" s="8" t="s">
        <v>3</v>
      </c>
      <c r="E37" s="5"/>
      <c r="F37" s="5"/>
      <c r="G37" s="6"/>
      <c r="H37" s="2"/>
      <c r="I37" s="2"/>
      <c r="J37" s="2"/>
      <c r="K37" s="7" t="s">
        <v>43</v>
      </c>
      <c r="L37" s="8">
        <v>0.1</v>
      </c>
      <c r="M37" s="8" t="s">
        <v>3</v>
      </c>
      <c r="N37" s="10"/>
      <c r="O37" s="10"/>
      <c r="P37" s="10"/>
      <c r="Q37" s="10"/>
      <c r="R37" s="15"/>
    </row>
    <row r="38" spans="2:18" ht="15.5" x14ac:dyDescent="0.35">
      <c r="B38" s="7" t="s">
        <v>4</v>
      </c>
      <c r="C38" s="8">
        <f>((C37/2)^2+C36^2)/(2*C36)</f>
        <v>0.35416666666666663</v>
      </c>
      <c r="D38" s="8" t="s">
        <v>3</v>
      </c>
      <c r="E38" s="5"/>
      <c r="F38" s="5"/>
      <c r="G38" s="6"/>
      <c r="H38" s="2"/>
      <c r="I38" s="2"/>
      <c r="J38" s="2"/>
      <c r="K38" s="7" t="s">
        <v>20</v>
      </c>
      <c r="L38" s="8">
        <f>68*PI()/180</f>
        <v>1.1868238913561442</v>
      </c>
      <c r="M38" s="8" t="s">
        <v>12</v>
      </c>
      <c r="N38" s="10"/>
      <c r="O38" s="10"/>
      <c r="P38" s="10"/>
      <c r="Q38" s="10"/>
      <c r="R38" s="15"/>
    </row>
    <row r="39" spans="2:18" x14ac:dyDescent="0.35">
      <c r="B39" s="9"/>
      <c r="C39" s="10"/>
      <c r="D39" s="10"/>
      <c r="E39" s="5"/>
      <c r="F39" s="11"/>
      <c r="G39" s="12"/>
      <c r="H39" s="2"/>
      <c r="I39" s="2"/>
      <c r="J39" s="2"/>
      <c r="K39" s="7" t="s">
        <v>2</v>
      </c>
      <c r="L39" s="8">
        <v>1.2</v>
      </c>
      <c r="M39" s="8" t="s">
        <v>3</v>
      </c>
      <c r="N39" s="10"/>
      <c r="O39" s="10"/>
      <c r="P39" s="10"/>
      <c r="Q39" s="10"/>
      <c r="R39" s="15"/>
    </row>
    <row r="40" spans="2:18" x14ac:dyDescent="0.35">
      <c r="B40" s="7" t="s">
        <v>17</v>
      </c>
      <c r="C40" s="8">
        <v>0.65</v>
      </c>
      <c r="D40" s="8" t="s">
        <v>3</v>
      </c>
      <c r="E40" s="8" t="s">
        <v>16</v>
      </c>
      <c r="F40" s="8">
        <f>PI()*(C37/2)^2</f>
        <v>0.38484510006474959</v>
      </c>
      <c r="G40" s="12"/>
      <c r="H40" s="2"/>
      <c r="I40" s="2"/>
      <c r="J40" s="2"/>
      <c r="K40" s="7" t="s">
        <v>14</v>
      </c>
      <c r="L40" s="8">
        <v>1.2</v>
      </c>
      <c r="M40" s="8" t="s">
        <v>3</v>
      </c>
      <c r="N40" s="10"/>
      <c r="O40" s="10"/>
      <c r="P40" s="10"/>
      <c r="Q40" s="10"/>
      <c r="R40" s="15"/>
    </row>
    <row r="41" spans="2:18" ht="15.5" x14ac:dyDescent="0.35">
      <c r="B41" s="7" t="s">
        <v>20</v>
      </c>
      <c r="C41" s="8">
        <f>68*PI()/180</f>
        <v>1.1868238913561442</v>
      </c>
      <c r="D41" s="8" t="s">
        <v>12</v>
      </c>
      <c r="E41" s="8" t="s">
        <v>23</v>
      </c>
      <c r="F41" s="8">
        <f>C37+2*(C40/TAN(C41))</f>
        <v>1.2252340935857036</v>
      </c>
      <c r="G41" s="12"/>
      <c r="H41" s="2"/>
      <c r="I41" s="2"/>
      <c r="J41" s="2"/>
      <c r="K41" s="7" t="s">
        <v>24</v>
      </c>
      <c r="L41" s="8">
        <v>10</v>
      </c>
      <c r="M41" s="8" t="s">
        <v>25</v>
      </c>
      <c r="N41" s="10"/>
      <c r="O41" s="10"/>
      <c r="P41" s="10"/>
      <c r="Q41" s="10"/>
      <c r="R41" s="15"/>
    </row>
    <row r="42" spans="2:18" x14ac:dyDescent="0.35">
      <c r="B42" s="9"/>
      <c r="C42" s="10"/>
      <c r="D42" s="10"/>
      <c r="E42" s="8" t="s">
        <v>28</v>
      </c>
      <c r="F42" s="8">
        <f>F41^2</f>
        <v>1.5011985840847806</v>
      </c>
      <c r="G42" s="12"/>
      <c r="H42" s="2"/>
      <c r="I42" s="2"/>
      <c r="J42" s="2"/>
      <c r="K42" s="7" t="s">
        <v>44</v>
      </c>
      <c r="L42" s="8">
        <v>0.1</v>
      </c>
      <c r="M42" s="8" t="s">
        <v>3</v>
      </c>
      <c r="N42" s="10"/>
      <c r="O42" s="10"/>
      <c r="P42" s="10"/>
      <c r="Q42" s="10"/>
      <c r="R42" s="15"/>
    </row>
    <row r="43" spans="2:18" x14ac:dyDescent="0.35">
      <c r="B43" s="13" t="s">
        <v>31</v>
      </c>
      <c r="C43" s="14">
        <f>(PI()*C36^2*(3*C38-C36))/3</f>
        <v>7.1863931950866516E-2</v>
      </c>
      <c r="D43" s="14" t="s">
        <v>22</v>
      </c>
      <c r="E43" s="8" t="s">
        <v>32</v>
      </c>
      <c r="F43" s="8">
        <f>(C40*(F40+F42+SQRT(F40*F42)))/3</f>
        <v>0.57332784052968211</v>
      </c>
      <c r="G43" s="6"/>
      <c r="H43" s="2"/>
      <c r="I43" s="2"/>
      <c r="J43" s="2"/>
      <c r="K43" s="7" t="s">
        <v>45</v>
      </c>
      <c r="L43" s="8">
        <f>(L39*L40+2*L39*L37+2*L37*L40)</f>
        <v>1.92</v>
      </c>
      <c r="M43" s="8" t="s">
        <v>19</v>
      </c>
      <c r="N43" s="10"/>
      <c r="O43" s="10"/>
      <c r="P43" s="10"/>
      <c r="Q43" s="10"/>
      <c r="R43" s="15"/>
    </row>
    <row r="44" spans="2:18" x14ac:dyDescent="0.35">
      <c r="B44" s="9"/>
      <c r="C44" s="10"/>
      <c r="D44" s="10"/>
      <c r="E44" s="5"/>
      <c r="F44" s="5"/>
      <c r="G44" s="6"/>
      <c r="H44" s="2"/>
      <c r="I44" s="2"/>
      <c r="J44" s="2"/>
      <c r="K44" s="13" t="s">
        <v>46</v>
      </c>
      <c r="L44" s="14">
        <f>L37*L39*L40</f>
        <v>0.14399999999999999</v>
      </c>
      <c r="M44" s="14" t="s">
        <v>22</v>
      </c>
      <c r="N44" s="10"/>
      <c r="O44" s="10"/>
      <c r="P44" s="10"/>
      <c r="Q44" s="10"/>
      <c r="R44" s="15"/>
    </row>
    <row r="45" spans="2:18" x14ac:dyDescent="0.35">
      <c r="B45" s="7" t="s">
        <v>36</v>
      </c>
      <c r="C45" s="8">
        <f>F43</f>
        <v>0.57332784052968211</v>
      </c>
      <c r="D45" s="8" t="s">
        <v>22</v>
      </c>
      <c r="E45" s="5"/>
      <c r="F45" s="5"/>
      <c r="G45" s="6"/>
      <c r="H45" s="2"/>
      <c r="I45" s="2"/>
      <c r="J45" s="2"/>
      <c r="K45" s="7" t="s">
        <v>47</v>
      </c>
      <c r="L45" s="8">
        <f>(L39*L37*L40)+(L39+L36/TAN(L38))*L36*L40</f>
        <v>0.98520786775054703</v>
      </c>
      <c r="M45" s="8" t="s">
        <v>22</v>
      </c>
      <c r="N45" s="10"/>
      <c r="O45" s="10"/>
      <c r="P45" s="10"/>
      <c r="Q45" s="10"/>
      <c r="R45" s="15"/>
    </row>
    <row r="46" spans="2:18" x14ac:dyDescent="0.35">
      <c r="B46" s="9"/>
      <c r="C46" s="10"/>
      <c r="D46" s="10"/>
      <c r="E46" s="5"/>
      <c r="F46" s="5"/>
      <c r="G46" s="6"/>
      <c r="H46" s="2"/>
      <c r="I46" s="2"/>
      <c r="J46" s="2"/>
      <c r="K46" s="21"/>
      <c r="L46" s="22"/>
      <c r="M46" s="22"/>
      <c r="N46" s="10"/>
      <c r="O46" s="10"/>
      <c r="P46" s="10"/>
      <c r="Q46" s="10"/>
      <c r="R46" s="15"/>
    </row>
    <row r="47" spans="2:18" x14ac:dyDescent="0.35">
      <c r="B47" s="7" t="s">
        <v>38</v>
      </c>
      <c r="C47" s="8">
        <f>C45+C43</f>
        <v>0.6451917724805486</v>
      </c>
      <c r="D47" s="8" t="s">
        <v>22</v>
      </c>
      <c r="E47" s="5"/>
      <c r="F47" s="10"/>
      <c r="G47" s="15"/>
      <c r="H47" s="2"/>
      <c r="I47" s="2"/>
      <c r="J47" s="2"/>
      <c r="K47" s="7" t="s">
        <v>48</v>
      </c>
      <c r="L47" s="23">
        <f>L44/L45</f>
        <v>0.14616204834902977</v>
      </c>
      <c r="M47" s="8" t="s">
        <v>49</v>
      </c>
      <c r="N47" s="10"/>
      <c r="O47" s="10"/>
      <c r="P47" s="10"/>
      <c r="Q47" s="10"/>
      <c r="R47" s="15"/>
    </row>
    <row r="48" spans="2:18" x14ac:dyDescent="0.35">
      <c r="B48" s="9"/>
      <c r="C48" s="10"/>
      <c r="D48" s="10"/>
      <c r="E48" s="5"/>
      <c r="F48" s="10"/>
      <c r="G48" s="15"/>
      <c r="H48" s="2"/>
      <c r="I48" s="2"/>
      <c r="J48" s="2"/>
      <c r="K48" s="21"/>
      <c r="L48" s="22"/>
      <c r="M48" s="22"/>
      <c r="N48" s="10"/>
      <c r="O48" s="10"/>
      <c r="P48" s="10"/>
      <c r="Q48" s="10"/>
      <c r="R48" s="15"/>
    </row>
    <row r="49" spans="2:18" ht="15" thickBot="1" x14ac:dyDescent="0.4">
      <c r="B49" s="20" t="s">
        <v>33</v>
      </c>
      <c r="C49" s="17">
        <f>2*PI()*C38*C36</f>
        <v>0.66758843888783093</v>
      </c>
      <c r="D49" s="17" t="s">
        <v>19</v>
      </c>
      <c r="E49" s="18"/>
      <c r="F49" s="18"/>
      <c r="G49" s="19"/>
      <c r="H49" s="2"/>
      <c r="I49" s="2"/>
      <c r="J49" s="2"/>
      <c r="K49" s="16" t="s">
        <v>40</v>
      </c>
      <c r="L49" s="17">
        <f>L42*L40*L41*2+L43</f>
        <v>4.32</v>
      </c>
      <c r="M49" s="17" t="s">
        <v>19</v>
      </c>
      <c r="N49" s="24"/>
      <c r="O49" s="24"/>
      <c r="P49" s="24"/>
      <c r="Q49" s="24"/>
      <c r="R49" s="25"/>
    </row>
    <row r="50" spans="2:18" x14ac:dyDescent="0.35"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</row>
    <row r="51" spans="2:18" x14ac:dyDescent="0.35">
      <c r="H51" s="2"/>
      <c r="I51" s="2"/>
      <c r="J51" s="2"/>
      <c r="K51" s="2"/>
      <c r="L51" s="2"/>
      <c r="M51" s="2"/>
    </row>
  </sheetData>
  <mergeCells count="6">
    <mergeCell ref="B19:G19"/>
    <mergeCell ref="B35:G35"/>
    <mergeCell ref="K35:R35"/>
    <mergeCell ref="B3:I3"/>
    <mergeCell ref="K19:R19"/>
    <mergeCell ref="K3:R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104CD-AD8D-4F37-899E-CD0D3391E471}">
  <dimension ref="B2:H12"/>
  <sheetViews>
    <sheetView tabSelected="1" workbookViewId="0">
      <selection activeCell="H5" sqref="H5"/>
    </sheetView>
  </sheetViews>
  <sheetFormatPr baseColWidth="10" defaultRowHeight="14.5" x14ac:dyDescent="0.35"/>
  <cols>
    <col min="2" max="2" width="15.08984375" bestFit="1" customWidth="1"/>
    <col min="5" max="5" width="13.81640625" style="47" bestFit="1" customWidth="1"/>
    <col min="6" max="6" width="12.81640625" style="47" bestFit="1" customWidth="1"/>
    <col min="8" max="8" width="12.81640625" bestFit="1" customWidth="1"/>
  </cols>
  <sheetData>
    <row r="2" spans="2:8" x14ac:dyDescent="0.35">
      <c r="E2" s="47" t="s">
        <v>60</v>
      </c>
      <c r="F2" s="47" t="s">
        <v>61</v>
      </c>
    </row>
    <row r="3" spans="2:8" x14ac:dyDescent="0.35">
      <c r="B3" s="39">
        <v>11000000</v>
      </c>
      <c r="E3" s="47">
        <v>9000000</v>
      </c>
      <c r="F3" s="47">
        <v>4850091</v>
      </c>
    </row>
    <row r="4" spans="2:8" x14ac:dyDescent="0.35">
      <c r="B4" s="39">
        <v>10763504</v>
      </c>
      <c r="E4" s="47">
        <v>2500000</v>
      </c>
      <c r="F4" s="47">
        <f>236496+650000+60000</f>
        <v>946496</v>
      </c>
      <c r="H4" s="47">
        <f>+E8-100000+F6</f>
        <v>5303413</v>
      </c>
    </row>
    <row r="5" spans="2:8" x14ac:dyDescent="0.35">
      <c r="B5" s="39">
        <v>4850091</v>
      </c>
      <c r="E5" s="47">
        <f>+E3+E4</f>
        <v>11500000</v>
      </c>
      <c r="F5" s="47">
        <f>+F3+F4</f>
        <v>5796587</v>
      </c>
    </row>
    <row r="6" spans="2:8" x14ac:dyDescent="0.35">
      <c r="B6" s="39">
        <f>+B3-B4+B5</f>
        <v>5086587</v>
      </c>
      <c r="E6" s="47">
        <f>+E5-F6</f>
        <v>6700000</v>
      </c>
      <c r="F6" s="47">
        <v>4800000</v>
      </c>
    </row>
    <row r="7" spans="2:8" x14ac:dyDescent="0.35">
      <c r="B7" s="39">
        <f>9000000-B6</f>
        <v>3913413</v>
      </c>
      <c r="E7" s="47">
        <f>+E6-F5</f>
        <v>903413</v>
      </c>
      <c r="F7" s="47">
        <v>200000</v>
      </c>
    </row>
    <row r="8" spans="2:8" x14ac:dyDescent="0.35">
      <c r="B8" s="39">
        <f>+B7+2500000</f>
        <v>6413413</v>
      </c>
      <c r="E8" s="47">
        <f>+E7-(F7+F8+F9)</f>
        <v>603413</v>
      </c>
      <c r="F8" s="47">
        <v>50000</v>
      </c>
    </row>
    <row r="9" spans="2:8" x14ac:dyDescent="0.35">
      <c r="B9" s="39">
        <f>+B8-4780000</f>
        <v>1633413</v>
      </c>
      <c r="F9" s="47">
        <v>50000</v>
      </c>
    </row>
    <row r="10" spans="2:8" x14ac:dyDescent="0.35">
      <c r="B10" s="46">
        <f>+B9-710000</f>
        <v>923413</v>
      </c>
    </row>
    <row r="11" spans="2:8" x14ac:dyDescent="0.35">
      <c r="B11" s="46">
        <f>+B10-C11</f>
        <v>763413</v>
      </c>
      <c r="C11">
        <f>8000*5*4</f>
        <v>160000</v>
      </c>
    </row>
    <row r="12" spans="2:8" x14ac:dyDescent="0.35">
      <c r="C12">
        <v>60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2018-08-27T18:51:44Z</dcterms:modified>
</cp:coreProperties>
</file>