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A5FD6C-FE1D-4BF2-9743-EFD43610444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ometria de Camara" sheetId="3" r:id="rId1"/>
    <sheet name="Geometria  Pailas" sheetId="1" r:id="rId2"/>
    <sheet name="Geometria Ducto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2" i="4" l="1"/>
  <c r="O44" i="4"/>
  <c r="C52" i="4"/>
  <c r="C42" i="4"/>
  <c r="O31" i="4"/>
  <c r="O29" i="4"/>
  <c r="O30" i="4" s="1"/>
  <c r="O32" i="4" s="1"/>
  <c r="C32" i="4"/>
  <c r="C31" i="4"/>
  <c r="C30" i="4"/>
  <c r="C29" i="4"/>
  <c r="O14" i="4"/>
  <c r="O12" i="4"/>
  <c r="O9" i="4" s="1"/>
  <c r="O11" i="4"/>
  <c r="C14" i="4"/>
  <c r="C16" i="4" s="1"/>
  <c r="C20" i="4" s="1"/>
  <c r="C12" i="4"/>
  <c r="C11" i="4"/>
  <c r="O10" i="4" l="1"/>
  <c r="O13" i="4"/>
  <c r="O17" i="4" s="1"/>
  <c r="O16" i="4"/>
  <c r="O20" i="4" s="1"/>
  <c r="C9" i="4"/>
  <c r="C13" i="4" s="1"/>
  <c r="C10" i="4"/>
  <c r="Q37" i="3"/>
  <c r="Q38" i="3" s="1"/>
  <c r="AC36" i="3"/>
  <c r="AC37" i="3" s="1"/>
  <c r="AC38" i="3" s="1"/>
  <c r="K5" i="3" s="1"/>
  <c r="Z3" i="3" s="1"/>
  <c r="Q4" i="3" s="1"/>
  <c r="S4" i="3" s="1"/>
  <c r="AC34" i="3"/>
  <c r="AC33" i="3"/>
  <c r="AC32" i="3"/>
  <c r="Q29" i="3"/>
  <c r="AC22" i="3"/>
  <c r="AC21" i="3"/>
  <c r="AC20" i="3"/>
  <c r="Z15" i="3"/>
  <c r="X14" i="3"/>
  <c r="S14" i="3"/>
  <c r="Q5" i="3"/>
  <c r="S5" i="3" s="1"/>
  <c r="S9" i="3" s="1"/>
  <c r="AB4" i="3"/>
  <c r="Q6" i="3" s="1"/>
  <c r="O23" i="4" l="1"/>
  <c r="O21" i="4"/>
  <c r="O15" i="4"/>
  <c r="O19" i="4" s="1"/>
  <c r="C15" i="4"/>
  <c r="C23" i="4"/>
  <c r="C19" i="4"/>
  <c r="C17" i="4"/>
  <c r="C21" i="4" s="1"/>
  <c r="K4" i="3"/>
  <c r="Q12" i="3" s="1"/>
  <c r="S12" i="3" s="1"/>
  <c r="AC25" i="3"/>
  <c r="AC26" i="3"/>
  <c r="AC24" i="3"/>
  <c r="W29" i="3"/>
  <c r="S23" i="3"/>
  <c r="W24" i="3"/>
  <c r="Y5" i="3"/>
  <c r="AC5" i="3"/>
  <c r="AC6" i="3" s="1"/>
  <c r="AC9" i="3" s="1"/>
  <c r="AB9" i="3" s="1"/>
  <c r="Q9" i="3" s="1"/>
  <c r="Q13" i="3" s="1"/>
  <c r="X5" i="3"/>
  <c r="Z5" i="3"/>
  <c r="AA5" i="3"/>
  <c r="S13" i="3"/>
  <c r="S10" i="3"/>
  <c r="O24" i="4" l="1"/>
  <c r="C24" i="4"/>
  <c r="AC29" i="3"/>
  <c r="AC30" i="3"/>
  <c r="W27" i="3"/>
  <c r="W22" i="3"/>
  <c r="AC28" i="3"/>
  <c r="AB6" i="3"/>
  <c r="S15" i="3"/>
  <c r="Y6" i="3"/>
  <c r="Y7" i="3" s="1"/>
  <c r="Y8" i="3" s="1"/>
  <c r="X6" i="3"/>
  <c r="X7" i="3" s="1"/>
  <c r="X8" i="3" s="1"/>
  <c r="AB5" i="3"/>
  <c r="Q7" i="3" s="1"/>
  <c r="AC7" i="3"/>
  <c r="AC10" i="3" s="1"/>
  <c r="AB10" i="3" s="1"/>
  <c r="Q10" i="3" s="1"/>
  <c r="Z6" i="3"/>
  <c r="Z7" i="3" s="1"/>
  <c r="AA6" i="3"/>
  <c r="AA7" i="3" s="1"/>
  <c r="X9" i="3" l="1"/>
  <c r="AC8" i="3"/>
  <c r="AB8" i="3" s="1"/>
  <c r="AB7" i="3"/>
  <c r="Q8" i="3" s="1"/>
  <c r="Y9" i="3"/>
  <c r="Y10" i="3" s="1"/>
  <c r="W20" i="3"/>
  <c r="W26" i="3"/>
  <c r="W34" i="3" s="1"/>
  <c r="W25" i="3"/>
  <c r="W38" i="3" s="1"/>
  <c r="W23" i="3"/>
  <c r="W28" i="3"/>
  <c r="W36" i="3" s="1"/>
  <c r="Q14" i="3"/>
  <c r="Q15" i="3" s="1"/>
  <c r="X12" i="3" s="1"/>
  <c r="X16" i="3" s="1"/>
  <c r="X10" i="3"/>
  <c r="AA9" i="3"/>
  <c r="AA10" i="3" s="1"/>
  <c r="AA8" i="3"/>
  <c r="Z8" i="3"/>
  <c r="Z9" i="3"/>
  <c r="Z10" i="3" s="1"/>
  <c r="W35" i="3" l="1"/>
  <c r="W37" i="3"/>
  <c r="Q22" i="3" s="1"/>
  <c r="W19" i="3"/>
  <c r="W30" i="3" s="1"/>
  <c r="Q36" i="3"/>
  <c r="W21" i="3"/>
  <c r="W31" i="3" l="1"/>
  <c r="S20" i="3" s="1"/>
  <c r="S22" i="3" s="1"/>
  <c r="S24" i="3" s="1"/>
  <c r="S25" i="3" s="1"/>
  <c r="Y11" i="1" l="1"/>
  <c r="Y5" i="1"/>
  <c r="O10" i="1"/>
  <c r="O11" i="1" s="1"/>
  <c r="O5" i="1"/>
  <c r="O39" i="1"/>
  <c r="D44" i="1"/>
  <c r="D43" i="1"/>
  <c r="D42" i="1"/>
  <c r="J39" i="1" s="1"/>
  <c r="D8" i="1"/>
  <c r="H7" i="1"/>
  <c r="H8" i="1" s="1"/>
  <c r="O45" i="1"/>
  <c r="J38" i="1"/>
  <c r="AA11" i="1" l="1"/>
  <c r="Y12" i="1"/>
  <c r="Y16" i="1" s="1"/>
  <c r="Y13" i="1"/>
  <c r="O12" i="1"/>
  <c r="O16" i="1" s="1"/>
  <c r="O13" i="1"/>
  <c r="O46" i="1"/>
  <c r="O48" i="1" s="1"/>
  <c r="J40" i="1"/>
  <c r="D5" i="1"/>
  <c r="H6" i="1"/>
  <c r="H9" i="1" s="1"/>
  <c r="D12" i="1" s="1"/>
  <c r="J41" i="1"/>
  <c r="O44" i="1"/>
  <c r="O50" i="1" s="1"/>
  <c r="G37" i="1"/>
  <c r="Y14" i="1" l="1"/>
  <c r="Y15" i="1" s="1"/>
  <c r="O14" i="1"/>
  <c r="O15" i="1" s="1"/>
  <c r="G39" i="1"/>
  <c r="G40" i="1" s="1"/>
  <c r="G43" i="1" s="1"/>
  <c r="G38" i="1"/>
  <c r="G44" i="1"/>
  <c r="D16" i="1"/>
  <c r="D10" i="1"/>
  <c r="D14" i="1" s="1"/>
  <c r="J42" i="1"/>
  <c r="J43" i="1" s="1"/>
  <c r="J44" i="1" s="1"/>
  <c r="J45" i="1" s="1"/>
  <c r="D47" i="1" s="1"/>
  <c r="G41" i="1" l="1"/>
  <c r="G42" i="1" s="1"/>
  <c r="G45" i="1"/>
  <c r="G46" i="1" s="1"/>
  <c r="G47" i="1"/>
  <c r="G48" i="1" s="1"/>
  <c r="D45" i="1" s="1"/>
  <c r="D50" i="1" s="1"/>
  <c r="D46" i="1" l="1"/>
  <c r="D48" i="1" s="1"/>
</calcChain>
</file>

<file path=xl/sharedStrings.xml><?xml version="1.0" encoding="utf-8"?>
<sst xmlns="http://schemas.openxmlformats.org/spreadsheetml/2006/main" count="533" uniqueCount="253">
  <si>
    <t>Semiesferica  Concentradora</t>
  </si>
  <si>
    <r>
      <t xml:space="preserve">H </t>
    </r>
    <r>
      <rPr>
        <sz val="8"/>
        <rFont val="Calibri"/>
        <family val="2"/>
        <scheme val="minor"/>
      </rPr>
      <t xml:space="preserve">fn </t>
    </r>
  </si>
  <si>
    <t>m</t>
  </si>
  <si>
    <t xml:space="preserve">A </t>
  </si>
  <si>
    <t>R</t>
  </si>
  <si>
    <t>A1</t>
  </si>
  <si>
    <t>h fa</t>
  </si>
  <si>
    <t>x</t>
  </si>
  <si>
    <r>
      <t xml:space="preserve">Ang  </t>
    </r>
    <r>
      <rPr>
        <sz val="12"/>
        <color theme="1"/>
        <rFont val="Calibri"/>
        <family val="2"/>
      </rPr>
      <t>α</t>
    </r>
  </si>
  <si>
    <t>rad</t>
  </si>
  <si>
    <t>A2</t>
  </si>
  <si>
    <t>V</t>
  </si>
  <si>
    <r>
      <t>V</t>
    </r>
    <r>
      <rPr>
        <sz val="6"/>
        <color theme="1"/>
        <rFont val="Calibri"/>
        <family val="2"/>
        <scheme val="minor"/>
      </rPr>
      <t>TJ</t>
    </r>
  </si>
  <si>
    <t>m3</t>
  </si>
  <si>
    <r>
      <t>V</t>
    </r>
    <r>
      <rPr>
        <sz val="6"/>
        <color theme="1"/>
        <rFont val="Calibri"/>
        <family val="2"/>
        <scheme val="minor"/>
      </rPr>
      <t>FA</t>
    </r>
  </si>
  <si>
    <r>
      <t>V</t>
    </r>
    <r>
      <rPr>
        <sz val="6"/>
        <color theme="1"/>
        <rFont val="Calibri"/>
        <family val="2"/>
        <scheme val="minor"/>
      </rPr>
      <t>TPA</t>
    </r>
  </si>
  <si>
    <r>
      <t>A</t>
    </r>
    <r>
      <rPr>
        <sz val="6"/>
        <color theme="1"/>
        <rFont val="Calibri"/>
        <family val="2"/>
        <scheme val="minor"/>
      </rPr>
      <t>TC</t>
    </r>
  </si>
  <si>
    <t>m2</t>
  </si>
  <si>
    <t>Semicilindrica Aleteada Concentradora</t>
  </si>
  <si>
    <t>A</t>
  </si>
  <si>
    <t>h</t>
  </si>
  <si>
    <t>d</t>
  </si>
  <si>
    <t>x1</t>
  </si>
  <si>
    <r>
      <t>h</t>
    </r>
    <r>
      <rPr>
        <sz val="8"/>
        <color theme="1"/>
        <rFont val="Calibri"/>
        <family val="2"/>
        <scheme val="minor"/>
      </rPr>
      <t>c</t>
    </r>
  </si>
  <si>
    <t>ϴ</t>
  </si>
  <si>
    <t>x2</t>
  </si>
  <si>
    <t>L</t>
  </si>
  <si>
    <t>s</t>
  </si>
  <si>
    <r>
      <t>A</t>
    </r>
    <r>
      <rPr>
        <sz val="8"/>
        <color theme="1"/>
        <rFont val="Calibri"/>
        <family val="2"/>
        <scheme val="minor"/>
      </rPr>
      <t>sccil</t>
    </r>
  </si>
  <si>
    <r>
      <t>V</t>
    </r>
    <r>
      <rPr>
        <sz val="8"/>
        <color theme="1"/>
        <rFont val="Calibri"/>
        <family val="2"/>
        <scheme val="minor"/>
      </rPr>
      <t>cil</t>
    </r>
  </si>
  <si>
    <t>N Aletas</t>
  </si>
  <si>
    <t>Ad</t>
  </si>
  <si>
    <r>
      <t>A</t>
    </r>
    <r>
      <rPr>
        <sz val="8"/>
        <color theme="1"/>
        <rFont val="Calibri"/>
        <family val="2"/>
        <scheme val="minor"/>
      </rPr>
      <t>cil</t>
    </r>
  </si>
  <si>
    <t>Ax</t>
  </si>
  <si>
    <t>h Al</t>
  </si>
  <si>
    <r>
      <t>R</t>
    </r>
    <r>
      <rPr>
        <sz val="8"/>
        <color theme="1"/>
        <rFont val="Calibri"/>
        <family val="2"/>
        <scheme val="minor"/>
      </rPr>
      <t>ca</t>
    </r>
  </si>
  <si>
    <r>
      <t>V</t>
    </r>
    <r>
      <rPr>
        <sz val="8"/>
        <color theme="1"/>
        <rFont val="Calibri"/>
        <family val="2"/>
        <scheme val="minor"/>
      </rPr>
      <t>sc</t>
    </r>
  </si>
  <si>
    <r>
      <t>V</t>
    </r>
    <r>
      <rPr>
        <sz val="8"/>
        <color theme="1"/>
        <rFont val="Calibri"/>
        <family val="2"/>
        <scheme val="minor"/>
      </rPr>
      <t>ca</t>
    </r>
  </si>
  <si>
    <r>
      <t>A</t>
    </r>
    <r>
      <rPr>
        <sz val="8"/>
        <color theme="1"/>
        <rFont val="Calibri"/>
        <family val="2"/>
        <scheme val="minor"/>
      </rPr>
      <t>sc</t>
    </r>
  </si>
  <si>
    <r>
      <t>A</t>
    </r>
    <r>
      <rPr>
        <sz val="8"/>
        <color theme="1"/>
        <rFont val="Calibri"/>
        <family val="2"/>
        <scheme val="minor"/>
      </rPr>
      <t>ca</t>
    </r>
  </si>
  <si>
    <t>Area TTC</t>
  </si>
  <si>
    <t>Plana Aleteada Concentradora</t>
  </si>
  <si>
    <r>
      <t xml:space="preserve">H </t>
    </r>
    <r>
      <rPr>
        <sz val="8"/>
        <color theme="1"/>
        <rFont val="Calibri"/>
        <family val="2"/>
        <scheme val="minor"/>
      </rPr>
      <t>fl</t>
    </r>
  </si>
  <si>
    <r>
      <t xml:space="preserve">H </t>
    </r>
    <r>
      <rPr>
        <sz val="8"/>
        <color theme="1"/>
        <rFont val="Calibri"/>
        <family val="2"/>
        <scheme val="minor"/>
      </rPr>
      <t>fn</t>
    </r>
  </si>
  <si>
    <t>h Aletas</t>
  </si>
  <si>
    <t>Area</t>
  </si>
  <si>
    <r>
      <t>Volumen</t>
    </r>
    <r>
      <rPr>
        <sz val="8"/>
        <color theme="1"/>
        <rFont val="Calibri"/>
        <family val="2"/>
        <scheme val="minor"/>
      </rPr>
      <t xml:space="preserve"> Fon</t>
    </r>
  </si>
  <si>
    <t>Volumen</t>
  </si>
  <si>
    <t>% de Llenado</t>
  </si>
  <si>
    <t>%</t>
  </si>
  <si>
    <t>Pirotubular Cuadrada Aleteada Concentradora</t>
  </si>
  <si>
    <t>H Aleas</t>
  </si>
  <si>
    <t>Lado Tubo</t>
  </si>
  <si>
    <t>N Tubos</t>
  </si>
  <si>
    <t>Volumen T</t>
  </si>
  <si>
    <t>Acanalada Aleteada Concentradora</t>
  </si>
  <si>
    <t>N Alets X Can</t>
  </si>
  <si>
    <t>Lado canal</t>
  </si>
  <si>
    <t>N Canales</t>
  </si>
  <si>
    <t>Geometria de Ducto</t>
  </si>
  <si>
    <t>Parrilla</t>
  </si>
  <si>
    <t>Calculada</t>
  </si>
  <si>
    <t>Manual</t>
  </si>
  <si>
    <t>Ancho Seccion</t>
  </si>
  <si>
    <t>Area Calculada</t>
  </si>
  <si>
    <t>Especial &gt; 40 Kg</t>
  </si>
  <si>
    <t>Area Necesaria</t>
  </si>
  <si>
    <t>Arp</t>
  </si>
  <si>
    <t>m^2</t>
  </si>
  <si>
    <t>Longitud Seccion</t>
  </si>
  <si>
    <t>Ancho de Seccion</t>
  </si>
  <si>
    <t>Ansp</t>
  </si>
  <si>
    <t>N° Secciones An</t>
  </si>
  <si>
    <t>Lonsp</t>
  </si>
  <si>
    <t>N° Secciones An cl</t>
  </si>
  <si>
    <t>Numero de Secciones</t>
  </si>
  <si>
    <t>N°sp</t>
  </si>
  <si>
    <t>AD</t>
  </si>
  <si>
    <t>N° Secciones Lon</t>
  </si>
  <si>
    <t>Numero de Hileras</t>
  </si>
  <si>
    <t>N°hPrr</t>
  </si>
  <si>
    <t>Secciones Totales</t>
  </si>
  <si>
    <t>Ancho de Parrilla</t>
  </si>
  <si>
    <t>AnPrr</t>
  </si>
  <si>
    <t>ArpC</t>
  </si>
  <si>
    <t>Geometria camara</t>
  </si>
  <si>
    <t>Volumen Calculado</t>
  </si>
  <si>
    <t>Vcam</t>
  </si>
  <si>
    <t>m^3</t>
  </si>
  <si>
    <t>Ancho de camara</t>
  </si>
  <si>
    <t>AnCam</t>
  </si>
  <si>
    <t>Longitud Camara</t>
  </si>
  <si>
    <t>LonCam</t>
  </si>
  <si>
    <t xml:space="preserve">Altura camara </t>
  </si>
  <si>
    <t>Hcam</t>
  </si>
  <si>
    <t>Area TTL Cam</t>
  </si>
  <si>
    <t>Refractario</t>
  </si>
  <si>
    <t>Tipo de ladrillo</t>
  </si>
  <si>
    <t>-----</t>
  </si>
  <si>
    <t>Semirefractario</t>
  </si>
  <si>
    <t>Coef Conduct Termica</t>
  </si>
  <si>
    <t>W/m°C</t>
  </si>
  <si>
    <t>Comun</t>
  </si>
  <si>
    <t>Esp Camara</t>
  </si>
  <si>
    <t>Q Perd Camara</t>
  </si>
  <si>
    <t>W</t>
  </si>
  <si>
    <t>Ojo Datos</t>
  </si>
  <si>
    <t>Potencia</t>
  </si>
  <si>
    <t>Ara de Parrilla</t>
  </si>
  <si>
    <t>KW</t>
  </si>
  <si>
    <t>Tadb</t>
  </si>
  <si>
    <t>Datos de Entrada</t>
  </si>
  <si>
    <t>Masas</t>
  </si>
  <si>
    <t>Propiedades de los Jugos</t>
  </si>
  <si>
    <t>Capacidad de la hornilla</t>
  </si>
  <si>
    <r>
      <t>m</t>
    </r>
    <r>
      <rPr>
        <sz val="8"/>
        <color theme="1"/>
        <rFont val="Calibri"/>
        <family val="2"/>
        <scheme val="minor"/>
      </rPr>
      <t>p</t>
    </r>
  </si>
  <si>
    <t>Kg/h</t>
  </si>
  <si>
    <t>MAX</t>
  </si>
  <si>
    <t>Caña</t>
  </si>
  <si>
    <r>
      <t>m</t>
    </r>
    <r>
      <rPr>
        <sz val="6"/>
        <color theme="1"/>
        <rFont val="Calibri"/>
        <family val="2"/>
        <scheme val="minor"/>
      </rPr>
      <t>c</t>
    </r>
  </si>
  <si>
    <t>Densidad</t>
  </si>
  <si>
    <t>Factor Consumo Bagazo</t>
  </si>
  <si>
    <t>Fcb</t>
  </si>
  <si>
    <t>Kg/Kg</t>
  </si>
  <si>
    <t>Jugo</t>
  </si>
  <si>
    <r>
      <t>m</t>
    </r>
    <r>
      <rPr>
        <sz val="6"/>
        <color theme="1"/>
        <rFont val="Calibri"/>
        <family val="2"/>
        <scheme val="minor"/>
      </rPr>
      <t>j</t>
    </r>
  </si>
  <si>
    <t>Inicial P. Clf</t>
  </si>
  <si>
    <r>
      <rPr>
        <sz val="11"/>
        <color theme="1"/>
        <rFont val="Calibri"/>
        <family val="2"/>
      </rPr>
      <t>ρ</t>
    </r>
    <r>
      <rPr>
        <sz val="8"/>
        <color theme="1"/>
        <rFont val="Calibri"/>
        <family val="2"/>
      </rPr>
      <t>Clf</t>
    </r>
  </si>
  <si>
    <t>kg/m3</t>
  </si>
  <si>
    <t>Numero de Pailas</t>
  </si>
  <si>
    <t>Tpcam</t>
  </si>
  <si>
    <t>Bagazillo</t>
  </si>
  <si>
    <r>
      <t>m</t>
    </r>
    <r>
      <rPr>
        <sz val="6"/>
        <color theme="1"/>
        <rFont val="Calibri"/>
        <family val="2"/>
        <scheme val="minor"/>
      </rPr>
      <t>bzll</t>
    </r>
  </si>
  <si>
    <t>Inicial P. Eva 1</t>
  </si>
  <si>
    <r>
      <t>ρ</t>
    </r>
    <r>
      <rPr>
        <sz val="8"/>
        <color theme="1"/>
        <rFont val="Calibri"/>
        <family val="2"/>
      </rPr>
      <t>Eva1</t>
    </r>
  </si>
  <si>
    <t>Eficiencia Calculada</t>
  </si>
  <si>
    <r>
      <t>E</t>
    </r>
    <r>
      <rPr>
        <sz val="8"/>
        <color theme="1"/>
        <rFont val="Calibri"/>
        <family val="2"/>
        <scheme val="minor"/>
      </rPr>
      <t>ff</t>
    </r>
  </si>
  <si>
    <t>Jugo Pre Limp</t>
  </si>
  <si>
    <r>
      <t>m</t>
    </r>
    <r>
      <rPr>
        <sz val="6"/>
        <color theme="1"/>
        <rFont val="Calibri"/>
        <family val="2"/>
        <scheme val="minor"/>
      </rPr>
      <t>Cl</t>
    </r>
  </si>
  <si>
    <t>Inicial P. Con</t>
  </si>
  <si>
    <r>
      <t>ρ</t>
    </r>
    <r>
      <rPr>
        <sz val="8"/>
        <color theme="1"/>
        <rFont val="Calibri"/>
        <family val="2"/>
      </rPr>
      <t>Con</t>
    </r>
  </si>
  <si>
    <t>Bagazillo en Prelimpiador</t>
  </si>
  <si>
    <t>Bgz</t>
  </si>
  <si>
    <t>Cachaza</t>
  </si>
  <si>
    <r>
      <t>m</t>
    </r>
    <r>
      <rPr>
        <sz val="6"/>
        <color theme="1"/>
        <rFont val="Calibri"/>
        <family val="2"/>
        <scheme val="minor"/>
      </rPr>
      <t>chz</t>
    </r>
  </si>
  <si>
    <t>Temperatura Ebullicion</t>
  </si>
  <si>
    <t>Chz</t>
  </si>
  <si>
    <t>Jugo Clarificado</t>
  </si>
  <si>
    <r>
      <t>m</t>
    </r>
    <r>
      <rPr>
        <sz val="6"/>
        <color theme="1"/>
        <rFont val="Calibri"/>
        <family val="2"/>
        <scheme val="minor"/>
      </rPr>
      <t>EV</t>
    </r>
  </si>
  <si>
    <t>Clarificacón</t>
  </si>
  <si>
    <r>
      <t>T</t>
    </r>
    <r>
      <rPr>
        <sz val="8"/>
        <color theme="1"/>
        <rFont val="Calibri"/>
        <family val="2"/>
        <scheme val="minor"/>
      </rPr>
      <t>Sclf</t>
    </r>
  </si>
  <si>
    <t>°C</t>
  </si>
  <si>
    <t>CSS del Jugo De Caña</t>
  </si>
  <si>
    <r>
      <t>Css</t>
    </r>
    <r>
      <rPr>
        <sz val="8"/>
        <color theme="1"/>
        <rFont val="Calibri"/>
        <family val="2"/>
        <scheme val="minor"/>
      </rPr>
      <t>i</t>
    </r>
  </si>
  <si>
    <t>°Bx</t>
  </si>
  <si>
    <t>Agua a Evaporar</t>
  </si>
  <si>
    <r>
      <t>m</t>
    </r>
    <r>
      <rPr>
        <sz val="6"/>
        <color theme="1"/>
        <rFont val="Calibri"/>
        <family val="2"/>
        <scheme val="minor"/>
      </rPr>
      <t>H2O</t>
    </r>
  </si>
  <si>
    <t>Evaporación</t>
  </si>
  <si>
    <r>
      <t>T</t>
    </r>
    <r>
      <rPr>
        <sz val="8"/>
        <color theme="1"/>
        <rFont val="Calibri"/>
        <family val="2"/>
        <scheme val="minor"/>
      </rPr>
      <t>SEva</t>
    </r>
  </si>
  <si>
    <t>CSS  del Jugo Calrificado</t>
  </si>
  <si>
    <r>
      <t>Css</t>
    </r>
    <r>
      <rPr>
        <sz val="8"/>
        <color theme="1"/>
        <rFont val="Calibri"/>
        <family val="2"/>
        <scheme val="minor"/>
      </rPr>
      <t>Cl</t>
    </r>
  </si>
  <si>
    <t>A Clarificacion</t>
  </si>
  <si>
    <t>Concentración</t>
  </si>
  <si>
    <r>
      <t>T</t>
    </r>
    <r>
      <rPr>
        <sz val="8"/>
        <color theme="1"/>
        <rFont val="Calibri"/>
        <family val="2"/>
        <scheme val="minor"/>
      </rPr>
      <t>SCon</t>
    </r>
  </si>
  <si>
    <t>CSS  del Jugo Posevaporacion</t>
  </si>
  <si>
    <r>
      <t>Css</t>
    </r>
    <r>
      <rPr>
        <sz val="8"/>
        <color theme="1"/>
        <rFont val="Calibri"/>
        <family val="2"/>
        <scheme val="minor"/>
      </rPr>
      <t>TE</t>
    </r>
  </si>
  <si>
    <t>A Evaporacion</t>
  </si>
  <si>
    <r>
      <t>m</t>
    </r>
    <r>
      <rPr>
        <sz val="8"/>
        <color theme="1"/>
        <rFont val="Calibri"/>
        <family val="2"/>
        <scheme val="minor"/>
      </rPr>
      <t>EV</t>
    </r>
  </si>
  <si>
    <t>Entalpia de Evaporizacion</t>
  </si>
  <si>
    <t>CSS Jugo Concentrado</t>
  </si>
  <si>
    <r>
      <t>B</t>
    </r>
    <r>
      <rPr>
        <sz val="8"/>
        <color theme="1"/>
        <rFont val="Calibri"/>
        <family val="2"/>
        <scheme val="minor"/>
      </rPr>
      <t>p</t>
    </r>
  </si>
  <si>
    <t>A Concentracion</t>
  </si>
  <si>
    <r>
      <t>m</t>
    </r>
    <r>
      <rPr>
        <sz val="8"/>
        <color theme="1"/>
        <rFont val="Calibri"/>
        <family val="2"/>
        <scheme val="minor"/>
      </rPr>
      <t>Cn</t>
    </r>
  </si>
  <si>
    <r>
      <rPr>
        <sz val="11"/>
        <color theme="1"/>
        <rFont val="Calibri"/>
        <family val="2"/>
      </rPr>
      <t>ΔH</t>
    </r>
    <r>
      <rPr>
        <sz val="8"/>
        <color theme="1"/>
        <rFont val="Calibri"/>
        <family val="2"/>
      </rPr>
      <t>v</t>
    </r>
  </si>
  <si>
    <t>KJ/kg</t>
  </si>
  <si>
    <t>CSS Panela</t>
  </si>
  <si>
    <t>Bag. Suministrado</t>
  </si>
  <si>
    <r>
      <rPr>
        <sz val="11"/>
        <color theme="1"/>
        <rFont val="Calibri"/>
        <family val="2"/>
        <scheme val="minor"/>
      </rPr>
      <t>m</t>
    </r>
    <r>
      <rPr>
        <sz val="8"/>
        <color theme="1"/>
        <rFont val="Calibri"/>
        <family val="2"/>
        <scheme val="minor"/>
      </rPr>
      <t>bsum</t>
    </r>
  </si>
  <si>
    <t>Humedad del bagazo</t>
  </si>
  <si>
    <r>
      <t>H</t>
    </r>
    <r>
      <rPr>
        <sz val="8"/>
        <color theme="1"/>
        <rFont val="Calibri"/>
        <family val="2"/>
        <scheme val="minor"/>
      </rPr>
      <t>b</t>
    </r>
  </si>
  <si>
    <t>Bag. humedo</t>
  </si>
  <si>
    <r>
      <t>m</t>
    </r>
    <r>
      <rPr>
        <sz val="8"/>
        <color theme="1"/>
        <rFont val="Calibri"/>
        <family val="2"/>
        <scheme val="minor"/>
      </rPr>
      <t>ev</t>
    </r>
  </si>
  <si>
    <t>Exceso de Aire</t>
  </si>
  <si>
    <t>λ</t>
  </si>
  <si>
    <t>Bag. seco</t>
  </si>
  <si>
    <r>
      <t>m</t>
    </r>
    <r>
      <rPr>
        <sz val="8"/>
        <color theme="1"/>
        <rFont val="Calibri"/>
        <family val="2"/>
        <scheme val="minor"/>
      </rPr>
      <t>bs</t>
    </r>
  </si>
  <si>
    <t>Calor espesifico jugo</t>
  </si>
  <si>
    <t>Extraccion</t>
  </si>
  <si>
    <t>Extr</t>
  </si>
  <si>
    <t xml:space="preserve"> Inicial</t>
  </si>
  <si>
    <r>
      <t>C</t>
    </r>
    <r>
      <rPr>
        <sz val="8"/>
        <color theme="1"/>
        <rFont val="Calibri"/>
        <family val="2"/>
        <scheme val="minor"/>
      </rPr>
      <t>p</t>
    </r>
  </si>
  <si>
    <t>KJ/Kg °C</t>
  </si>
  <si>
    <t>Porcentaje de Fibra</t>
  </si>
  <si>
    <t>f</t>
  </si>
  <si>
    <t>Calor Requerido por Etapa</t>
  </si>
  <si>
    <t>Clarificado</t>
  </si>
  <si>
    <t>Altura del Sitio</t>
  </si>
  <si>
    <t xml:space="preserve"> Clarificacion</t>
  </si>
  <si>
    <t>Qcl</t>
  </si>
  <si>
    <t>Eva</t>
  </si>
  <si>
    <t>Temperatura Ambiente</t>
  </si>
  <si>
    <r>
      <t>T</t>
    </r>
    <r>
      <rPr>
        <sz val="8"/>
        <color theme="1"/>
        <rFont val="Calibri"/>
        <family val="2"/>
        <scheme val="minor"/>
      </rPr>
      <t>a</t>
    </r>
  </si>
  <si>
    <t>Evaporacion</t>
  </si>
  <si>
    <t>Qev1</t>
  </si>
  <si>
    <t>Humedad inicial bagazo</t>
  </si>
  <si>
    <t>Hibv</t>
  </si>
  <si>
    <t>Concentracion</t>
  </si>
  <si>
    <t>Qcn</t>
  </si>
  <si>
    <t>Poder Calorifico Vagazo</t>
  </si>
  <si>
    <t>VCN</t>
  </si>
  <si>
    <t>MJ/kg</t>
  </si>
  <si>
    <t>Presion Atmosferica</t>
  </si>
  <si>
    <r>
      <t>P</t>
    </r>
    <r>
      <rPr>
        <sz val="8"/>
        <color theme="1"/>
        <rFont val="Calibri"/>
        <family val="2"/>
        <scheme val="minor"/>
      </rPr>
      <t>a</t>
    </r>
  </si>
  <si>
    <t>mmHG</t>
  </si>
  <si>
    <t>Total</t>
  </si>
  <si>
    <t>Qt</t>
  </si>
  <si>
    <t>Calor Suministrado</t>
  </si>
  <si>
    <r>
      <t>Q</t>
    </r>
    <r>
      <rPr>
        <sz val="8"/>
        <color theme="1"/>
        <rFont val="Calibri"/>
        <family val="2"/>
        <scheme val="minor"/>
      </rPr>
      <t>sum</t>
    </r>
  </si>
  <si>
    <t>Temperatura Ebullición Agua</t>
  </si>
  <si>
    <r>
      <t>T</t>
    </r>
    <r>
      <rPr>
        <sz val="8"/>
        <color theme="1"/>
        <rFont val="Calibri"/>
        <family val="2"/>
        <scheme val="minor"/>
      </rPr>
      <t>e</t>
    </r>
  </si>
  <si>
    <t>Total (F.L.)</t>
  </si>
  <si>
    <t>Area de Parrilla</t>
  </si>
  <si>
    <t>Apar</t>
  </si>
  <si>
    <t>An_p  | D_p</t>
  </si>
  <si>
    <t>H_p</t>
  </si>
  <si>
    <t>H_D</t>
  </si>
  <si>
    <t>AN_D</t>
  </si>
  <si>
    <t>B</t>
  </si>
  <si>
    <t>C</t>
  </si>
  <si>
    <t>D</t>
  </si>
  <si>
    <t>q1</t>
  </si>
  <si>
    <t>Rd</t>
  </si>
  <si>
    <t>Rp</t>
  </si>
  <si>
    <t>q2</t>
  </si>
  <si>
    <t>q3</t>
  </si>
  <si>
    <t>Rad</t>
  </si>
  <si>
    <t>A3</t>
  </si>
  <si>
    <t>A t</t>
  </si>
  <si>
    <t>Ar_Fl</t>
  </si>
  <si>
    <t>Area de Flujo Paila Semiesferica</t>
  </si>
  <si>
    <t>Area de Flujo Paila Semicilindrica</t>
  </si>
  <si>
    <t>Perimetro de Flujo Paila Semiesferica</t>
  </si>
  <si>
    <t>D_p</t>
  </si>
  <si>
    <t>y</t>
  </si>
  <si>
    <t>S</t>
  </si>
  <si>
    <t>P</t>
  </si>
  <si>
    <t>Sp</t>
  </si>
  <si>
    <t>Perimetro</t>
  </si>
  <si>
    <t xml:space="preserve">An_p </t>
  </si>
  <si>
    <t>H_fn</t>
  </si>
  <si>
    <t>Area  y Perimetro de Flujo Paila Plana</t>
  </si>
  <si>
    <t>Perimetro de Flujo Paila Semicilindrica</t>
  </si>
  <si>
    <t>Area  y Perimetro de Flujo Paila Pirotubular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</si>
</sst>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6" xfId="0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3" borderId="18" xfId="0" applyFill="1" applyBorder="1"/>
    <xf numFmtId="0" fontId="0" fillId="3" borderId="19" xfId="0" applyFill="1" applyBorder="1"/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8" xfId="0" applyFill="1" applyBorder="1"/>
    <xf numFmtId="0" fontId="0" fillId="3" borderId="20" xfId="0" applyFill="1" applyBorder="1"/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1" xfId="0" applyFill="1" applyBorder="1"/>
    <xf numFmtId="0" fontId="0" fillId="3" borderId="25" xfId="0" applyFill="1" applyBorder="1"/>
    <xf numFmtId="0" fontId="0" fillId="3" borderId="12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8" fillId="3" borderId="0" xfId="0" applyFont="1" applyFill="1" applyAlignment="1"/>
    <xf numFmtId="0" fontId="0" fillId="2" borderId="1" xfId="0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/>
    <xf numFmtId="0" fontId="0" fillId="2" borderId="18" xfId="0" applyFill="1" applyBorder="1" applyAlignment="1">
      <alignment horizontal="center" vertical="center"/>
    </xf>
    <xf numFmtId="0" fontId="0" fillId="2" borderId="27" xfId="0" applyFont="1" applyFill="1" applyBorder="1" applyAlignment="1">
      <alignment shrinkToFit="1"/>
    </xf>
    <xf numFmtId="0" fontId="0" fillId="4" borderId="8" xfId="0" applyFill="1" applyBorder="1" applyAlignment="1">
      <alignment horizontal="center" vertical="center"/>
    </xf>
    <xf numFmtId="0" fontId="0" fillId="4" borderId="8" xfId="0" quotePrefix="1" applyFill="1" applyBorder="1" applyAlignment="1">
      <alignment horizontal="center" vertical="center"/>
    </xf>
    <xf numFmtId="0" fontId="0" fillId="2" borderId="6" xfId="0" applyFont="1" applyFill="1" applyBorder="1" applyAlignment="1">
      <alignment shrinkToFit="1"/>
    </xf>
    <xf numFmtId="0" fontId="0" fillId="2" borderId="8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shrinkToFit="1"/>
    </xf>
    <xf numFmtId="0" fontId="0" fillId="3" borderId="0" xfId="0" applyFill="1" applyBorder="1" applyAlignment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shrinkToFit="1"/>
    </xf>
    <xf numFmtId="0" fontId="0" fillId="3" borderId="0" xfId="0" applyFill="1" applyAlignment="1">
      <alignment horizontal="center" vertical="center" shrinkToFit="1"/>
    </xf>
    <xf numFmtId="164" fontId="0" fillId="4" borderId="8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 shrinkToFit="1"/>
    </xf>
    <xf numFmtId="165" fontId="0" fillId="2" borderId="15" xfId="0" applyNumberFormat="1" applyFill="1" applyBorder="1" applyAlignment="1">
      <alignment horizontal="center" vertical="center" shrinkToFit="1"/>
    </xf>
    <xf numFmtId="164" fontId="0" fillId="2" borderId="27" xfId="0" applyNumberFormat="1" applyFill="1" applyBorder="1" applyAlignment="1">
      <alignment horizontal="center" vertical="center" shrinkToFit="1"/>
    </xf>
    <xf numFmtId="165" fontId="0" fillId="3" borderId="0" xfId="0" applyNumberFormat="1" applyFill="1" applyAlignment="1">
      <alignment horizontal="center" vertical="center" shrinkToFit="1"/>
    </xf>
    <xf numFmtId="164" fontId="0" fillId="2" borderId="0" xfId="0" applyNumberFormat="1" applyFill="1" applyBorder="1" applyAlignment="1">
      <alignment horizontal="center" vertical="center" shrinkToFit="1"/>
    </xf>
    <xf numFmtId="165" fontId="0" fillId="2" borderId="0" xfId="0" applyNumberFormat="1" applyFill="1" applyBorder="1" applyAlignment="1">
      <alignment horizontal="center" vertical="center" shrinkToFit="1"/>
    </xf>
    <xf numFmtId="164" fontId="0" fillId="2" borderId="6" xfId="0" applyNumberFormat="1" applyFill="1" applyBorder="1" applyAlignment="1">
      <alignment horizontal="center" vertical="center" shrinkToFit="1"/>
    </xf>
    <xf numFmtId="164" fontId="9" fillId="2" borderId="15" xfId="0" applyNumberFormat="1" applyFont="1" applyFill="1" applyBorder="1" applyAlignment="1">
      <alignment horizontal="center" vertical="center" shrinkToFit="1"/>
    </xf>
    <xf numFmtId="164" fontId="0" fillId="4" borderId="29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164" fontId="0" fillId="4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 vertical="center" shrinkToFit="1"/>
    </xf>
    <xf numFmtId="0" fontId="0" fillId="5" borderId="8" xfId="0" applyFill="1" applyBorder="1" applyAlignment="1">
      <alignment horizontal="center" vertical="center"/>
    </xf>
    <xf numFmtId="10" fontId="0" fillId="5" borderId="8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 shrinkToFit="1"/>
    </xf>
    <xf numFmtId="164" fontId="0" fillId="2" borderId="12" xfId="0" applyNumberFormat="1" applyFill="1" applyBorder="1" applyAlignment="1">
      <alignment horizontal="center" vertical="center" shrinkToFit="1"/>
    </xf>
    <xf numFmtId="164" fontId="0" fillId="2" borderId="13" xfId="0" applyNumberFormat="1" applyFill="1" applyBorder="1" applyAlignment="1">
      <alignment horizontal="center" vertical="center" shrinkToFit="1"/>
    </xf>
    <xf numFmtId="9" fontId="0" fillId="4" borderId="8" xfId="0" applyNumberForma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shrinkToFit="1"/>
    </xf>
    <xf numFmtId="165" fontId="0" fillId="2" borderId="12" xfId="0" applyNumberFormat="1" applyFill="1" applyBorder="1" applyAlignment="1">
      <alignment horizontal="center" vertical="center" shrinkToFit="1"/>
    </xf>
    <xf numFmtId="9" fontId="0" fillId="4" borderId="8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shrinkToFit="1"/>
    </xf>
    <xf numFmtId="164" fontId="0" fillId="4" borderId="11" xfId="0" applyNumberFormat="1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vertical="center"/>
    </xf>
    <xf numFmtId="9" fontId="0" fillId="2" borderId="8" xfId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vertical="center"/>
    </xf>
    <xf numFmtId="0" fontId="0" fillId="2" borderId="15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164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164" fontId="0" fillId="2" borderId="11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shrinkToFit="1"/>
    </xf>
    <xf numFmtId="164" fontId="0" fillId="4" borderId="5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0" fontId="8" fillId="3" borderId="0" xfId="0" applyFont="1" applyFill="1"/>
    <xf numFmtId="164" fontId="0" fillId="3" borderId="15" xfId="0" applyNumberFormat="1" applyFill="1" applyBorder="1" applyAlignment="1">
      <alignment vertical="center"/>
    </xf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6" borderId="8" xfId="0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shrinkToFit="1"/>
    </xf>
    <xf numFmtId="164" fontId="0" fillId="2" borderId="2" xfId="0" applyNumberFormat="1" applyFill="1" applyBorder="1" applyAlignment="1">
      <alignment horizontal="center" vertical="center" shrinkToFit="1"/>
    </xf>
    <xf numFmtId="164" fontId="0" fillId="2" borderId="3" xfId="0" applyNumberForma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164" fontId="0" fillId="2" borderId="14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164" fontId="0" fillId="2" borderId="9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 shrinkToFit="1"/>
    </xf>
    <xf numFmtId="164" fontId="0" fillId="2" borderId="15" xfId="0" applyNumberFormat="1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 shrinkToFit="1"/>
    </xf>
    <xf numFmtId="164" fontId="0" fillId="2" borderId="0" xfId="0" applyNumberFormat="1" applyFill="1" applyBorder="1" applyAlignment="1">
      <alignment horizontal="center" vertical="center" shrinkToFit="1"/>
    </xf>
    <xf numFmtId="164" fontId="0" fillId="2" borderId="23" xfId="0" applyNumberFormat="1" applyFill="1" applyBorder="1" applyAlignment="1">
      <alignment horizontal="center" vertical="center" shrinkToFit="1"/>
    </xf>
    <xf numFmtId="164" fontId="0" fillId="2" borderId="12" xfId="0" applyNumberForma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2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6" borderId="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27" xfId="0" applyFill="1" applyBorder="1"/>
    <xf numFmtId="0" fontId="0" fillId="3" borderId="9" xfId="0" applyFill="1" applyBorder="1"/>
    <xf numFmtId="0" fontId="0" fillId="3" borderId="6" xfId="0" applyFill="1" applyBorder="1"/>
    <xf numFmtId="0" fontId="11" fillId="3" borderId="9" xfId="0" applyFont="1" applyFill="1" applyBorder="1"/>
    <xf numFmtId="0" fontId="0" fillId="3" borderId="23" xfId="0" applyFill="1" applyBorder="1"/>
    <xf numFmtId="0" fontId="0" fillId="3" borderId="12" xfId="0" applyFill="1" applyBorder="1"/>
    <xf numFmtId="0" fontId="0" fillId="3" borderId="13" xfId="0" applyFill="1" applyBorder="1"/>
    <xf numFmtId="0" fontId="11" fillId="3" borderId="9" xfId="0" applyFon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12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96950</xdr:colOff>
      <xdr:row>36</xdr:row>
      <xdr:rowOff>78584</xdr:rowOff>
    </xdr:from>
    <xdr:to>
      <xdr:col>10</xdr:col>
      <xdr:colOff>342900</xdr:colOff>
      <xdr:row>49</xdr:row>
      <xdr:rowOff>144268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A3A2CA-A114-4FEA-8245-C17AD06B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3075" y="6803234"/>
          <a:ext cx="3293950" cy="256123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132558</xdr:colOff>
      <xdr:row>3</xdr:row>
      <xdr:rowOff>88108</xdr:rowOff>
    </xdr:from>
    <xdr:to>
      <xdr:col>10</xdr:col>
      <xdr:colOff>523875</xdr:colOff>
      <xdr:row>13</xdr:row>
      <xdr:rowOff>42967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A2A2DA-196C-4016-AC20-F9BE7A27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8683" y="478633"/>
          <a:ext cx="3439317" cy="187890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153236</xdr:colOff>
      <xdr:row>36</xdr:row>
      <xdr:rowOff>29482</xdr:rowOff>
    </xdr:from>
    <xdr:to>
      <xdr:col>21</xdr:col>
      <xdr:colOff>272072</xdr:colOff>
      <xdr:row>49</xdr:row>
      <xdr:rowOff>180841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024C36-1798-477E-828F-81A0E252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961" y="6754132"/>
          <a:ext cx="3166836" cy="264690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381918</xdr:colOff>
      <xdr:row>2</xdr:row>
      <xdr:rowOff>83342</xdr:rowOff>
    </xdr:from>
    <xdr:ext cx="2972398" cy="2478883"/>
    <xdr:pic>
      <xdr:nvPicPr>
        <xdr:cNvPr id="8" name="Imagen 7">
          <a:extLst>
            <a:ext uri="{FF2B5EF4-FFF2-40B4-BE49-F238E27FC236}">
              <a16:creationId xmlns:a16="http://schemas.microsoft.com/office/drawing/2014/main" id="{2B53B971-C33F-4FB6-ACEB-4C5B4C6D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3643" y="283367"/>
          <a:ext cx="2972398" cy="247888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7686</xdr:colOff>
      <xdr:row>1</xdr:row>
      <xdr:rowOff>198438</xdr:rowOff>
    </xdr:from>
    <xdr:ext cx="3736547" cy="2673053"/>
    <xdr:pic>
      <xdr:nvPicPr>
        <xdr:cNvPr id="9" name="Imagen 8">
          <a:extLst>
            <a:ext uri="{FF2B5EF4-FFF2-40B4-BE49-F238E27FC236}">
              <a16:creationId xmlns:a16="http://schemas.microsoft.com/office/drawing/2014/main" id="{05822D1B-4147-400D-8182-108300A28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811" y="12523788"/>
          <a:ext cx="3736547" cy="267305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161924</xdr:colOff>
      <xdr:row>3</xdr:row>
      <xdr:rowOff>18255</xdr:rowOff>
    </xdr:from>
    <xdr:to>
      <xdr:col>11</xdr:col>
      <xdr:colOff>228600</xdr:colOff>
      <xdr:row>24</xdr:row>
      <xdr:rowOff>151994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D16C59-59C2-4569-8F8B-8D49F417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4" y="608805"/>
          <a:ext cx="5400676" cy="4134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561710</xdr:colOff>
      <xdr:row>36</xdr:row>
      <xdr:rowOff>19050</xdr:rowOff>
    </xdr:from>
    <xdr:to>
      <xdr:col>11</xdr:col>
      <xdr:colOff>619125</xdr:colOff>
      <xdr:row>54</xdr:row>
      <xdr:rowOff>145292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F9886F-2395-43DB-8123-BB495067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710" y="6934200"/>
          <a:ext cx="5391415" cy="3555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561710</xdr:colOff>
      <xdr:row>36</xdr:row>
      <xdr:rowOff>19050</xdr:rowOff>
    </xdr:from>
    <xdr:ext cx="5391415" cy="3555242"/>
    <xdr:pic>
      <xdr:nvPicPr>
        <xdr:cNvPr id="9" name="Imagen 8">
          <a:extLst>
            <a:ext uri="{FF2B5EF4-FFF2-40B4-BE49-F238E27FC236}">
              <a16:creationId xmlns:a16="http://schemas.microsoft.com/office/drawing/2014/main" id="{F740DE8F-43D4-460D-9EF1-29CD12A4C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710" y="6934200"/>
          <a:ext cx="5391415" cy="3555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561975</xdr:colOff>
      <xdr:row>3</xdr:row>
      <xdr:rowOff>133350</xdr:rowOff>
    </xdr:from>
    <xdr:to>
      <xdr:col>1</xdr:col>
      <xdr:colOff>485775</xdr:colOff>
      <xdr:row>5</xdr:row>
      <xdr:rowOff>76200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D54077-0588-4BD8-B472-C1050FA6C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584792">
          <a:off x="561975" y="723900"/>
          <a:ext cx="685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424943</xdr:colOff>
      <xdr:row>2</xdr:row>
      <xdr:rowOff>200024</xdr:rowOff>
    </xdr:from>
    <xdr:to>
      <xdr:col>22</xdr:col>
      <xdr:colOff>581025</xdr:colOff>
      <xdr:row>24</xdr:row>
      <xdr:rowOff>153984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5B8A7C9-9316-4620-B060-30E4306EF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6943" y="590549"/>
          <a:ext cx="4728082" cy="4154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1428-3B4C-4F2E-B13E-9F48248F67EF}">
  <dimension ref="I1:AE54"/>
  <sheetViews>
    <sheetView tabSelected="1" topLeftCell="K1" workbookViewId="0">
      <selection activeCell="M42" sqref="M42"/>
    </sheetView>
  </sheetViews>
  <sheetFormatPr baseColWidth="10" defaultRowHeight="15" x14ac:dyDescent="0.25"/>
  <cols>
    <col min="14" max="14" width="16.5703125" bestFit="1" customWidth="1"/>
    <col min="16" max="16" width="10.7109375" bestFit="1" customWidth="1"/>
    <col min="24" max="24" width="17.140625" bestFit="1" customWidth="1"/>
  </cols>
  <sheetData>
    <row r="1" spans="9:31" x14ac:dyDescent="0.25"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9:31" ht="15.75" thickBot="1" x14ac:dyDescent="0.3"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9:31" ht="15.75" thickBot="1" x14ac:dyDescent="0.3">
      <c r="I3" s="29"/>
      <c r="J3" s="121" t="s">
        <v>106</v>
      </c>
      <c r="K3" s="121"/>
      <c r="L3" s="121"/>
      <c r="M3" s="29"/>
      <c r="N3" s="56" t="s">
        <v>60</v>
      </c>
      <c r="O3" s="69"/>
      <c r="P3" s="46"/>
      <c r="Q3" s="56" t="s">
        <v>61</v>
      </c>
      <c r="R3" s="69"/>
      <c r="S3" s="56" t="s">
        <v>62</v>
      </c>
      <c r="T3" s="46"/>
      <c r="U3" s="29"/>
      <c r="V3" s="207" t="s">
        <v>63</v>
      </c>
      <c r="W3" s="208"/>
      <c r="X3" s="123">
        <v>0.155</v>
      </c>
      <c r="Y3" s="30" t="s">
        <v>64</v>
      </c>
      <c r="Z3" s="30">
        <f>+K5</f>
        <v>1.5904687500000003</v>
      </c>
      <c r="AA3" s="31"/>
      <c r="AB3" s="70" t="s">
        <v>65</v>
      </c>
      <c r="AC3" s="71"/>
      <c r="AD3" s="29"/>
      <c r="AE3" s="55"/>
    </row>
    <row r="4" spans="9:31" x14ac:dyDescent="0.25">
      <c r="I4" s="29"/>
      <c r="J4" s="121" t="s">
        <v>107</v>
      </c>
      <c r="K4" s="121">
        <f>+AC37</f>
        <v>1590.4687500000002</v>
      </c>
      <c r="L4" s="121" t="s">
        <v>109</v>
      </c>
      <c r="M4" s="29"/>
      <c r="N4" s="33" t="s">
        <v>66</v>
      </c>
      <c r="O4" s="32"/>
      <c r="P4" s="32" t="s">
        <v>67</v>
      </c>
      <c r="Q4" s="33">
        <f>+Z3</f>
        <v>1.5904687500000003</v>
      </c>
      <c r="R4" s="32" t="s">
        <v>68</v>
      </c>
      <c r="S4" s="33">
        <f>Q4</f>
        <v>1.5904687500000003</v>
      </c>
      <c r="T4" s="34" t="s">
        <v>68</v>
      </c>
      <c r="U4" s="29"/>
      <c r="V4" s="209" t="s">
        <v>69</v>
      </c>
      <c r="W4" s="210"/>
      <c r="X4" s="124">
        <v>0.75</v>
      </c>
      <c r="Y4" s="35">
        <v>1</v>
      </c>
      <c r="Z4" s="35">
        <v>1.25</v>
      </c>
      <c r="AA4" s="36">
        <v>1.5</v>
      </c>
      <c r="AB4" s="37">
        <f>IF($D$3&lt;40,AC4,IF($AB$10=$X$10,X4,IF($AB$10=$Y$10,Y4,IF($AB$10=$Z$10,Z4,AA4))))</f>
        <v>0.5</v>
      </c>
      <c r="AC4" s="38">
        <v>0.5</v>
      </c>
      <c r="AD4" s="29"/>
      <c r="AE4" s="55"/>
    </row>
    <row r="5" spans="9:31" x14ac:dyDescent="0.25">
      <c r="I5" s="29"/>
      <c r="J5" s="121" t="s">
        <v>108</v>
      </c>
      <c r="K5" s="121">
        <f>+AC38</f>
        <v>1.5904687500000003</v>
      </c>
      <c r="L5" s="121" t="s">
        <v>68</v>
      </c>
      <c r="M5" s="29"/>
      <c r="N5" s="33" t="s">
        <v>70</v>
      </c>
      <c r="O5" s="32"/>
      <c r="P5" s="32" t="s">
        <v>71</v>
      </c>
      <c r="Q5" s="33">
        <f>X3</f>
        <v>0.155</v>
      </c>
      <c r="R5" s="32" t="s">
        <v>2</v>
      </c>
      <c r="S5" s="33">
        <f>Q5</f>
        <v>0.155</v>
      </c>
      <c r="T5" s="34" t="s">
        <v>2</v>
      </c>
      <c r="U5" s="29"/>
      <c r="V5" s="209" t="s">
        <v>72</v>
      </c>
      <c r="W5" s="210"/>
      <c r="X5" s="124">
        <f>ROUNDUP(($Z$3/($X$3*X4)),0.001)</f>
        <v>14</v>
      </c>
      <c r="Y5" s="35">
        <f>ROUNDUP(($Z$3/($X$3*Y4)),0.001)</f>
        <v>11</v>
      </c>
      <c r="Z5" s="35">
        <f>ROUNDUP(($Z$3/($X$3*Z4)),0.001)</f>
        <v>9</v>
      </c>
      <c r="AA5" s="36">
        <f>ROUNDUP(($Z$3/($X$3*AA4)),0.001)</f>
        <v>7</v>
      </c>
      <c r="AB5" s="37">
        <f>IF($D$3&lt;40,AC5,IF($AB$10=$X$10,X5,IF($AB$10=$Y$10,Y5,IF($AB$10=$Z$10,Z5,AA5))))</f>
        <v>21</v>
      </c>
      <c r="AC5" s="39">
        <f>ROUNDUP(($Z$3/($X$3*AC4)),0.001)</f>
        <v>21</v>
      </c>
      <c r="AD5" s="29"/>
      <c r="AE5" s="55"/>
    </row>
    <row r="6" spans="9:31" x14ac:dyDescent="0.25">
      <c r="I6" s="121"/>
      <c r="J6" s="121" t="s">
        <v>110</v>
      </c>
      <c r="K6" s="121"/>
      <c r="L6" s="121"/>
      <c r="M6" s="29"/>
      <c r="N6" s="33" t="s">
        <v>69</v>
      </c>
      <c r="O6" s="32"/>
      <c r="P6" s="32" t="s">
        <v>73</v>
      </c>
      <c r="Q6" s="33">
        <f>AB4</f>
        <v>0.5</v>
      </c>
      <c r="R6" s="32" t="s">
        <v>2</v>
      </c>
      <c r="S6" s="40">
        <v>0.75</v>
      </c>
      <c r="T6" s="41" t="s">
        <v>2</v>
      </c>
      <c r="U6" s="29"/>
      <c r="V6" s="209" t="s">
        <v>74</v>
      </c>
      <c r="W6" s="210"/>
      <c r="X6" s="124">
        <f>IF(X5&gt;7,ROUNDUP(X5/2,0.1),X5)</f>
        <v>7</v>
      </c>
      <c r="Y6" s="35">
        <f>IF(Y5&gt;7,ROUNDUP(Y5/2,0.1),Y5)</f>
        <v>6</v>
      </c>
      <c r="Z6" s="35">
        <f>IF(Z5&gt;7,ROUNDUP(Z5/2,0.1),Z5)</f>
        <v>5</v>
      </c>
      <c r="AA6" s="36">
        <f>IF(AA5&gt;7,ROUNDUP(AA5/2,0.1),AA5)</f>
        <v>7</v>
      </c>
      <c r="AB6" s="37">
        <f>IF($D$3&lt;40,AC6,IF($AB$10=$X$10,X6,IF($AB$10=$Y$10,Y6,IF($AB$10=$Z$10,Z6,AA6))))</f>
        <v>11</v>
      </c>
      <c r="AC6" s="39">
        <f>IF(AC5&gt;7,ROUNDUP(AC5/2,0.1),AC5)</f>
        <v>11</v>
      </c>
      <c r="AD6" s="29"/>
      <c r="AE6" s="55"/>
    </row>
    <row r="7" spans="9:31" x14ac:dyDescent="0.25">
      <c r="I7" s="29"/>
      <c r="J7" s="29"/>
      <c r="K7" s="29"/>
      <c r="L7" s="29"/>
      <c r="M7" s="29"/>
      <c r="N7" s="147" t="s">
        <v>75</v>
      </c>
      <c r="O7" s="148"/>
      <c r="P7" s="32" t="s">
        <v>76</v>
      </c>
      <c r="Q7" s="33">
        <f>AB5</f>
        <v>21</v>
      </c>
      <c r="R7" s="32" t="s">
        <v>77</v>
      </c>
      <c r="S7" s="40">
        <v>4</v>
      </c>
      <c r="T7" s="41" t="s">
        <v>31</v>
      </c>
      <c r="U7" s="29"/>
      <c r="V7" s="209" t="s">
        <v>78</v>
      </c>
      <c r="W7" s="210"/>
      <c r="X7" s="124">
        <f>IF(X5&lt;7,1,ROUNDUP(X5/X6,0.1))</f>
        <v>2</v>
      </c>
      <c r="Y7" s="35">
        <f>IF(Y5&lt;7,1,ROUNDUP(Y5/Y6,0.1))</f>
        <v>2</v>
      </c>
      <c r="Z7" s="35">
        <f>IF(Z5&lt;7,1,ROUNDUP(Z5/Z6,0.1))</f>
        <v>2</v>
      </c>
      <c r="AA7" s="36">
        <f>IF(AA5&lt;7,1,ROUNDUP(AA5/AA6,0.1))</f>
        <v>1</v>
      </c>
      <c r="AB7" s="37">
        <f>IF($D$3&lt;40,AC7,IF($AB$10=$X$10,X7,IF($AB$10=$Y$10,Y7,IF($AB$10=$Z$10,Z7,AA7))))</f>
        <v>2</v>
      </c>
      <c r="AC7" s="39">
        <f>IF(AC5&lt;7,1,ROUNDUP(AC5/AC6,0.1))</f>
        <v>2</v>
      </c>
      <c r="AD7" s="29"/>
      <c r="AE7" s="55"/>
    </row>
    <row r="8" spans="9:31" x14ac:dyDescent="0.25">
      <c r="I8" s="29"/>
      <c r="J8" s="29"/>
      <c r="K8" s="29"/>
      <c r="L8" s="29"/>
      <c r="M8" s="29"/>
      <c r="N8" s="147" t="s">
        <v>79</v>
      </c>
      <c r="O8" s="148"/>
      <c r="P8" s="32" t="s">
        <v>80</v>
      </c>
      <c r="Q8" s="33">
        <f>AB7</f>
        <v>2</v>
      </c>
      <c r="R8" s="32" t="s">
        <v>77</v>
      </c>
      <c r="S8" s="40">
        <v>1</v>
      </c>
      <c r="T8" s="41" t="s">
        <v>31</v>
      </c>
      <c r="U8" s="29"/>
      <c r="V8" s="209" t="s">
        <v>81</v>
      </c>
      <c r="W8" s="210"/>
      <c r="X8" s="124">
        <f>X6*X7</f>
        <v>14</v>
      </c>
      <c r="Y8" s="35">
        <f>Y6*Y7</f>
        <v>12</v>
      </c>
      <c r="Z8" s="35">
        <f>Z6*Z7</f>
        <v>10</v>
      </c>
      <c r="AA8" s="36">
        <f>AA6*AA7</f>
        <v>7</v>
      </c>
      <c r="AB8" s="37">
        <f>IF($D$3&lt;40,AC8,IF($AB$10=$X$10,X8,IF($AB$10=$Y$10,Y8,IF($AB$10=$Z$10,Z8,AA8))))</f>
        <v>22</v>
      </c>
      <c r="AC8" s="39">
        <f>AC6*AC7</f>
        <v>22</v>
      </c>
      <c r="AD8" s="29"/>
      <c r="AE8" s="55"/>
    </row>
    <row r="9" spans="9:31" ht="15.75" thickBot="1" x14ac:dyDescent="0.3">
      <c r="I9" s="29"/>
      <c r="J9" s="29"/>
      <c r="K9" s="29"/>
      <c r="L9" s="29"/>
      <c r="M9" s="29"/>
      <c r="N9" s="147" t="s">
        <v>82</v>
      </c>
      <c r="O9" s="148"/>
      <c r="P9" s="32" t="s">
        <v>83</v>
      </c>
      <c r="Q9" s="33">
        <f>AB9</f>
        <v>1.7050000000000001</v>
      </c>
      <c r="R9" s="32" t="s">
        <v>2</v>
      </c>
      <c r="S9" s="42">
        <f>S7*S5/S8</f>
        <v>0.62</v>
      </c>
      <c r="T9" s="43" t="s">
        <v>2</v>
      </c>
      <c r="U9" s="29"/>
      <c r="V9" s="209" t="s">
        <v>82</v>
      </c>
      <c r="W9" s="210"/>
      <c r="X9" s="124">
        <f>IF($X$3*X6&lt;0.62,5,$X$3*X6)</f>
        <v>1.085</v>
      </c>
      <c r="Y9" s="35">
        <f>IF($X$3*Y6&lt;0.62,5,$X$3*Y6)</f>
        <v>0.92999999999999994</v>
      </c>
      <c r="Z9" s="35">
        <f>IF($X$3*Z6&lt;0.62,5,$X$3*Z6)</f>
        <v>0.77500000000000002</v>
      </c>
      <c r="AA9" s="36">
        <f>IF($X$3*AA6&lt;0.62,5,$X$3*AA6)</f>
        <v>1.085</v>
      </c>
      <c r="AB9" s="37">
        <f>IF($D$3&lt;40,AC9,IF($AB$10=$X$10,X9,IF($AB$10=Y10,Y9,IF($AB$10=$Z$10,Z9,AA9))))</f>
        <v>1.7050000000000001</v>
      </c>
      <c r="AC9" s="39">
        <f>$X$3*AC6</f>
        <v>1.7050000000000001</v>
      </c>
      <c r="AD9" s="29"/>
      <c r="AE9" s="55"/>
    </row>
    <row r="10" spans="9:31" ht="15.75" thickBot="1" x14ac:dyDescent="0.3">
      <c r="I10" s="29"/>
      <c r="J10" s="29"/>
      <c r="K10" s="29"/>
      <c r="L10" s="29"/>
      <c r="M10" s="29"/>
      <c r="N10" s="149" t="s">
        <v>64</v>
      </c>
      <c r="O10" s="150"/>
      <c r="P10" s="44" t="s">
        <v>84</v>
      </c>
      <c r="Q10" s="45">
        <f>AB10</f>
        <v>1.7050000000000001</v>
      </c>
      <c r="R10" s="46" t="s">
        <v>68</v>
      </c>
      <c r="S10" s="45">
        <f>+S6*S8*S9</f>
        <v>0.46499999999999997</v>
      </c>
      <c r="T10" s="46" t="s">
        <v>68</v>
      </c>
      <c r="U10" s="29"/>
      <c r="V10" s="200" t="s">
        <v>64</v>
      </c>
      <c r="W10" s="201"/>
      <c r="X10" s="125">
        <f>X4*X7*X9</f>
        <v>1.6274999999999999</v>
      </c>
      <c r="Y10" s="47">
        <f>Y4*Y7*Y9</f>
        <v>1.8599999999999999</v>
      </c>
      <c r="Z10" s="47">
        <f>Z4*Z7*Z9</f>
        <v>1.9375</v>
      </c>
      <c r="AA10" s="48">
        <f>AA4*AA7*AA9</f>
        <v>1.6274999999999999</v>
      </c>
      <c r="AB10" s="49">
        <f>IF(D3&lt;40,AC10,MIN(X10:AA10))</f>
        <v>1.7050000000000001</v>
      </c>
      <c r="AC10" s="50">
        <f>(AC4*AC7)*($X$3*AC6)</f>
        <v>1.7050000000000001</v>
      </c>
      <c r="AD10" s="29"/>
      <c r="AE10" s="55"/>
    </row>
    <row r="11" spans="9:31" ht="15.75" thickBot="1" x14ac:dyDescent="0.3">
      <c r="I11" s="29"/>
      <c r="J11" s="29"/>
      <c r="K11" s="29"/>
      <c r="L11" s="29"/>
      <c r="M11" s="29"/>
      <c r="N11" s="145" t="s">
        <v>85</v>
      </c>
      <c r="O11" s="146"/>
      <c r="P11" s="151"/>
      <c r="Q11" s="145" t="s">
        <v>61</v>
      </c>
      <c r="R11" s="151"/>
      <c r="S11" s="152" t="s">
        <v>62</v>
      </c>
      <c r="T11" s="153"/>
      <c r="U11" s="29"/>
      <c r="V11" s="104"/>
      <c r="W11" s="104"/>
      <c r="X11" s="104"/>
      <c r="Y11" s="104"/>
      <c r="Z11" s="104"/>
      <c r="AA11" s="104"/>
      <c r="AB11" s="104"/>
      <c r="AC11" s="104"/>
      <c r="AD11" s="29"/>
      <c r="AE11" s="55"/>
    </row>
    <row r="12" spans="9:31" ht="15.75" thickBot="1" x14ac:dyDescent="0.3">
      <c r="I12" s="29"/>
      <c r="J12" s="29"/>
      <c r="K12" s="29"/>
      <c r="L12" s="29"/>
      <c r="M12" s="29"/>
      <c r="N12" s="154" t="s">
        <v>86</v>
      </c>
      <c r="O12" s="155"/>
      <c r="P12" s="51" t="s">
        <v>87</v>
      </c>
      <c r="Q12" s="52">
        <f>K4/300</f>
        <v>5.3015625000000011</v>
      </c>
      <c r="R12" s="53" t="s">
        <v>88</v>
      </c>
      <c r="S12" s="32">
        <f>Q12</f>
        <v>5.3015625000000011</v>
      </c>
      <c r="T12" s="34" t="s">
        <v>88</v>
      </c>
      <c r="U12" s="29"/>
      <c r="V12" s="156" t="s">
        <v>95</v>
      </c>
      <c r="W12" s="157"/>
      <c r="X12" s="59">
        <f>2*(Q13*Q14+Q13*Q15+Q14*Q15)</f>
        <v>18.616052024746907</v>
      </c>
      <c r="Y12" s="59" t="s">
        <v>68</v>
      </c>
      <c r="Z12" s="60" t="s">
        <v>96</v>
      </c>
      <c r="AA12" s="68"/>
      <c r="AB12" s="68"/>
      <c r="AC12" s="68"/>
      <c r="AD12" s="68"/>
      <c r="AE12" s="55"/>
    </row>
    <row r="13" spans="9:31" ht="15.75" thickBot="1" x14ac:dyDescent="0.3">
      <c r="I13" s="29"/>
      <c r="J13" s="29"/>
      <c r="K13" s="29"/>
      <c r="L13" s="29"/>
      <c r="M13" s="29"/>
      <c r="N13" s="147" t="s">
        <v>89</v>
      </c>
      <c r="O13" s="148"/>
      <c r="P13" s="32" t="s">
        <v>90</v>
      </c>
      <c r="Q13" s="33">
        <f>Q9+0.2</f>
        <v>1.905</v>
      </c>
      <c r="R13" s="34" t="s">
        <v>2</v>
      </c>
      <c r="S13" s="54">
        <f>+S9+0.24</f>
        <v>0.86</v>
      </c>
      <c r="T13" s="34" t="s">
        <v>2</v>
      </c>
      <c r="U13" s="29"/>
      <c r="V13" s="158" t="s">
        <v>97</v>
      </c>
      <c r="W13" s="159"/>
      <c r="X13" s="61" t="s">
        <v>96</v>
      </c>
      <c r="Y13" s="62" t="s">
        <v>98</v>
      </c>
      <c r="Z13" s="63" t="s">
        <v>99</v>
      </c>
      <c r="AA13" s="68"/>
      <c r="AB13" s="68"/>
      <c r="AC13" s="68"/>
      <c r="AD13" s="68"/>
      <c r="AE13" s="55"/>
    </row>
    <row r="14" spans="9:31" ht="15.75" thickBot="1" x14ac:dyDescent="0.3">
      <c r="I14" s="29"/>
      <c r="J14" s="29"/>
      <c r="K14" s="29"/>
      <c r="L14" s="29"/>
      <c r="M14" s="29"/>
      <c r="N14" s="147" t="s">
        <v>91</v>
      </c>
      <c r="O14" s="148"/>
      <c r="P14" s="32" t="s">
        <v>92</v>
      </c>
      <c r="Q14" s="33">
        <f>Q6*Q8+0.1+1</f>
        <v>2.1</v>
      </c>
      <c r="R14" s="34" t="s">
        <v>2</v>
      </c>
      <c r="S14" s="54">
        <f>2*S6+0.12</f>
        <v>1.62</v>
      </c>
      <c r="T14" s="34" t="s">
        <v>2</v>
      </c>
      <c r="U14" s="29"/>
      <c r="V14" s="160" t="s">
        <v>100</v>
      </c>
      <c r="W14" s="161"/>
      <c r="X14" s="64">
        <f>IF(X13="Refractario",0.29,IF(X13="Semirefractario",0.45,0.9))</f>
        <v>0.28999999999999998</v>
      </c>
      <c r="Y14" s="64" t="s">
        <v>101</v>
      </c>
      <c r="Z14" s="63" t="s">
        <v>102</v>
      </c>
      <c r="AA14" s="68"/>
      <c r="AB14" s="68"/>
      <c r="AC14" s="68"/>
      <c r="AD14" s="68"/>
      <c r="AE14" s="55"/>
    </row>
    <row r="15" spans="9:31" ht="15.75" thickBot="1" x14ac:dyDescent="0.3">
      <c r="I15" s="29"/>
      <c r="J15" s="29"/>
      <c r="K15" s="29"/>
      <c r="L15" s="29"/>
      <c r="M15" s="29"/>
      <c r="N15" s="145" t="s">
        <v>93</v>
      </c>
      <c r="O15" s="146"/>
      <c r="P15" s="46" t="s">
        <v>94</v>
      </c>
      <c r="Q15" s="56">
        <f>Q12/(Q13*Q14)</f>
        <v>1.3252249718785152</v>
      </c>
      <c r="R15" s="46" t="s">
        <v>2</v>
      </c>
      <c r="S15" s="56">
        <f>S12/(S13*S14)</f>
        <v>3.8053133074935408</v>
      </c>
      <c r="T15" s="46" t="s">
        <v>2</v>
      </c>
      <c r="U15" s="29"/>
      <c r="V15" s="158" t="s">
        <v>103</v>
      </c>
      <c r="W15" s="159"/>
      <c r="X15" s="61">
        <v>0.12</v>
      </c>
      <c r="Y15" s="61" t="s">
        <v>2</v>
      </c>
      <c r="Z15" s="65">
        <f>+K109</f>
        <v>0</v>
      </c>
      <c r="AA15" s="68"/>
      <c r="AB15" s="68"/>
      <c r="AC15" s="68"/>
      <c r="AD15" s="68"/>
      <c r="AE15" s="55"/>
    </row>
    <row r="16" spans="9:31" ht="15.75" thickBot="1" x14ac:dyDescent="0.3">
      <c r="I16" s="29"/>
      <c r="J16" s="29"/>
      <c r="K16" s="29"/>
      <c r="L16" s="29"/>
      <c r="M16" s="29"/>
      <c r="N16" s="29"/>
      <c r="O16" s="29"/>
      <c r="P16" s="57"/>
      <c r="Q16" s="58"/>
      <c r="R16" s="58"/>
      <c r="S16" s="58"/>
      <c r="T16" s="58"/>
      <c r="U16" s="29"/>
      <c r="V16" s="162" t="s">
        <v>104</v>
      </c>
      <c r="W16" s="163"/>
      <c r="X16" s="66">
        <f>X14*X12*(Z16-D19)/X15</f>
        <v>53986.550871766027</v>
      </c>
      <c r="Y16" s="66" t="s">
        <v>105</v>
      </c>
      <c r="Z16" s="67">
        <v>1200</v>
      </c>
      <c r="AA16" s="68"/>
      <c r="AB16" s="68"/>
      <c r="AC16" s="68"/>
      <c r="AD16" s="68"/>
      <c r="AE16" s="55"/>
    </row>
    <row r="17" spans="9:31" ht="15.75" thickBot="1" x14ac:dyDescent="0.3">
      <c r="I17" s="29"/>
      <c r="J17" s="29"/>
      <c r="K17" s="29"/>
      <c r="L17" s="29"/>
      <c r="M17" s="29"/>
      <c r="S17" s="29"/>
      <c r="T17" s="29"/>
      <c r="U17" s="29"/>
      <c r="V17" s="68"/>
      <c r="W17" s="68"/>
      <c r="X17" s="68"/>
      <c r="Y17" s="68"/>
      <c r="Z17" s="68"/>
      <c r="AA17" s="68"/>
      <c r="AB17" s="68"/>
      <c r="AC17" s="68"/>
      <c r="AD17" s="68"/>
      <c r="AE17" s="55"/>
    </row>
    <row r="18" spans="9:31" ht="15.75" thickBot="1" x14ac:dyDescent="0.3">
      <c r="I18" s="29"/>
      <c r="J18" s="29"/>
      <c r="K18" s="29"/>
      <c r="L18" s="29"/>
      <c r="M18" s="29"/>
      <c r="N18" s="204" t="s">
        <v>111</v>
      </c>
      <c r="O18" s="205"/>
      <c r="P18" s="205"/>
      <c r="Q18" s="205"/>
      <c r="R18" s="206"/>
      <c r="S18" s="73">
        <v>40</v>
      </c>
      <c r="T18" s="164" t="s">
        <v>112</v>
      </c>
      <c r="U18" s="165"/>
      <c r="V18" s="165"/>
      <c r="W18" s="165"/>
      <c r="X18" s="166"/>
      <c r="Y18" s="29"/>
      <c r="Z18" s="167" t="s">
        <v>113</v>
      </c>
      <c r="AA18" s="168"/>
      <c r="AB18" s="168"/>
      <c r="AC18" s="168"/>
      <c r="AD18" s="169"/>
      <c r="AE18" s="55"/>
    </row>
    <row r="19" spans="9:31" ht="15.75" thickBot="1" x14ac:dyDescent="0.3">
      <c r="I19" s="29"/>
      <c r="J19" s="29"/>
      <c r="K19" s="29"/>
      <c r="L19" s="29"/>
      <c r="M19" s="29"/>
      <c r="N19" s="141" t="s">
        <v>114</v>
      </c>
      <c r="O19" s="142"/>
      <c r="P19" s="119" t="s">
        <v>115</v>
      </c>
      <c r="Q19" s="119">
        <v>250</v>
      </c>
      <c r="R19" s="120" t="s">
        <v>116</v>
      </c>
      <c r="S19" s="73" t="s">
        <v>117</v>
      </c>
      <c r="T19" s="170" t="s">
        <v>118</v>
      </c>
      <c r="U19" s="171"/>
      <c r="V19" s="76" t="s">
        <v>119</v>
      </c>
      <c r="W19" s="77">
        <f>W20/Q32</f>
        <v>2433.2649726557288</v>
      </c>
      <c r="X19" s="78" t="s">
        <v>116</v>
      </c>
      <c r="Y19" s="29"/>
      <c r="Z19" s="172" t="s">
        <v>120</v>
      </c>
      <c r="AA19" s="173"/>
      <c r="AB19" s="173"/>
      <c r="AC19" s="173"/>
      <c r="AD19" s="174"/>
      <c r="AE19" s="55"/>
    </row>
    <row r="20" spans="9:31" x14ac:dyDescent="0.25">
      <c r="I20" s="29"/>
      <c r="J20" s="29"/>
      <c r="K20" s="29"/>
      <c r="L20" s="29"/>
      <c r="M20" s="29"/>
      <c r="N20" s="196" t="s">
        <v>121</v>
      </c>
      <c r="O20" s="197"/>
      <c r="P20" s="126" t="s">
        <v>122</v>
      </c>
      <c r="Q20" s="127">
        <v>1.95</v>
      </c>
      <c r="R20" s="128" t="s">
        <v>123</v>
      </c>
      <c r="S20" s="79">
        <f>W31/Q19</f>
        <v>2.5611851883610592</v>
      </c>
      <c r="T20" s="175" t="s">
        <v>124</v>
      </c>
      <c r="U20" s="176"/>
      <c r="V20" s="80" t="s">
        <v>125</v>
      </c>
      <c r="W20" s="81">
        <f>+W22/(1-Q23)</f>
        <v>1459.9589835934373</v>
      </c>
      <c r="X20" s="82" t="s">
        <v>116</v>
      </c>
      <c r="Y20" s="29"/>
      <c r="Z20" s="177" t="s">
        <v>126</v>
      </c>
      <c r="AA20" s="178"/>
      <c r="AB20" s="83" t="s">
        <v>127</v>
      </c>
      <c r="AC20" s="76">
        <f>997.39+4.46*Q25</f>
        <v>1073.21</v>
      </c>
      <c r="AD20" s="78" t="s">
        <v>128</v>
      </c>
      <c r="AE20" s="55"/>
    </row>
    <row r="21" spans="9:31" x14ac:dyDescent="0.25">
      <c r="I21" s="29"/>
      <c r="J21" s="29"/>
      <c r="K21" s="29"/>
      <c r="L21" s="29"/>
      <c r="M21" s="29"/>
      <c r="N21" s="141" t="s">
        <v>129</v>
      </c>
      <c r="O21" s="142"/>
      <c r="P21" s="84" t="s">
        <v>130</v>
      </c>
      <c r="Q21" s="85">
        <v>5</v>
      </c>
      <c r="R21" s="86" t="s">
        <v>31</v>
      </c>
      <c r="S21" s="73"/>
      <c r="T21" s="179" t="s">
        <v>131</v>
      </c>
      <c r="U21" s="180"/>
      <c r="V21" s="87" t="s">
        <v>132</v>
      </c>
      <c r="W21" s="88">
        <f>+W20*Q23</f>
        <v>29.199179671868748</v>
      </c>
      <c r="X21" s="82" t="s">
        <v>116</v>
      </c>
      <c r="Y21" s="29"/>
      <c r="Z21" s="181" t="s">
        <v>133</v>
      </c>
      <c r="AA21" s="182"/>
      <c r="AB21" s="89" t="s">
        <v>134</v>
      </c>
      <c r="AC21" s="80">
        <f>997.39+4.46*Q26</f>
        <v>1095.51</v>
      </c>
      <c r="AD21" s="82" t="s">
        <v>128</v>
      </c>
      <c r="AE21" s="55"/>
    </row>
    <row r="22" spans="9:31" ht="15.75" thickBot="1" x14ac:dyDescent="0.3">
      <c r="I22" s="29"/>
      <c r="J22" s="29"/>
      <c r="K22" s="29"/>
      <c r="L22" s="29"/>
      <c r="M22" s="29"/>
      <c r="N22" s="198" t="s">
        <v>135</v>
      </c>
      <c r="O22" s="199"/>
      <c r="P22" s="90" t="s">
        <v>136</v>
      </c>
      <c r="Q22" s="91">
        <f>+W37/AC37</f>
        <v>0.54576179884953946</v>
      </c>
      <c r="R22" s="92" t="s">
        <v>49</v>
      </c>
      <c r="S22" s="73">
        <f>+S20*Q19</f>
        <v>640.29629709026483</v>
      </c>
      <c r="T22" s="179" t="s">
        <v>137</v>
      </c>
      <c r="U22" s="180"/>
      <c r="V22" s="80" t="s">
        <v>138</v>
      </c>
      <c r="W22" s="88">
        <f>+W24/(1-Q24)</f>
        <v>1430.7598039215686</v>
      </c>
      <c r="X22" s="82" t="s">
        <v>116</v>
      </c>
      <c r="Y22" s="29"/>
      <c r="Z22" s="183" t="s">
        <v>139</v>
      </c>
      <c r="AA22" s="184"/>
      <c r="AB22" s="93" t="s">
        <v>140</v>
      </c>
      <c r="AC22" s="94">
        <f>997.39+4.46*Q27</f>
        <v>1331.8899999999999</v>
      </c>
      <c r="AD22" s="95" t="s">
        <v>128</v>
      </c>
      <c r="AE22" s="55"/>
    </row>
    <row r="23" spans="9:31" ht="15.75" thickBot="1" x14ac:dyDescent="0.3">
      <c r="I23" s="29"/>
      <c r="J23" s="29"/>
      <c r="K23" s="29"/>
      <c r="L23" s="29"/>
      <c r="M23" s="29"/>
      <c r="N23" s="143" t="s">
        <v>141</v>
      </c>
      <c r="O23" s="144"/>
      <c r="P23" s="61" t="s">
        <v>142</v>
      </c>
      <c r="Q23" s="96">
        <v>0.02</v>
      </c>
      <c r="R23" s="41" t="s">
        <v>49</v>
      </c>
      <c r="S23" s="73">
        <f>+Q20*Q19</f>
        <v>487.5</v>
      </c>
      <c r="T23" s="179" t="s">
        <v>143</v>
      </c>
      <c r="U23" s="180"/>
      <c r="V23" s="87" t="s">
        <v>144</v>
      </c>
      <c r="W23" s="88">
        <f>+W22*Q24</f>
        <v>57.230392156862749</v>
      </c>
      <c r="X23" s="82" t="s">
        <v>116</v>
      </c>
      <c r="Y23" s="29"/>
      <c r="Z23" s="152" t="s">
        <v>145</v>
      </c>
      <c r="AA23" s="185"/>
      <c r="AB23" s="185"/>
      <c r="AC23" s="185"/>
      <c r="AD23" s="153"/>
      <c r="AE23" s="29"/>
    </row>
    <row r="24" spans="9:31" x14ac:dyDescent="0.25">
      <c r="I24" s="29"/>
      <c r="J24" s="29"/>
      <c r="K24" s="29"/>
      <c r="L24" s="29"/>
      <c r="M24" s="29"/>
      <c r="N24" s="143" t="s">
        <v>143</v>
      </c>
      <c r="O24" s="144"/>
      <c r="P24" s="61" t="s">
        <v>146</v>
      </c>
      <c r="Q24" s="96">
        <v>0.04</v>
      </c>
      <c r="R24" s="41" t="s">
        <v>49</v>
      </c>
      <c r="S24" s="73">
        <f>+S23-S22</f>
        <v>-152.79629709026483</v>
      </c>
      <c r="T24" s="179" t="s">
        <v>147</v>
      </c>
      <c r="U24" s="180"/>
      <c r="V24" s="80" t="s">
        <v>148</v>
      </c>
      <c r="W24" s="88">
        <f>+Q19*Q29/Q25</f>
        <v>1373.5294117647059</v>
      </c>
      <c r="X24" s="82" t="s">
        <v>116</v>
      </c>
      <c r="Y24" s="29"/>
      <c r="Z24" s="177" t="s">
        <v>149</v>
      </c>
      <c r="AA24" s="178"/>
      <c r="AB24" s="76" t="s">
        <v>150</v>
      </c>
      <c r="AC24" s="76">
        <f>Q38+0.2209*EXP(0.0557*Q26)</f>
        <v>97.331960342879725</v>
      </c>
      <c r="AD24" s="78" t="s">
        <v>151</v>
      </c>
    </row>
    <row r="25" spans="9:31" x14ac:dyDescent="0.25">
      <c r="I25" s="29"/>
      <c r="J25" s="29"/>
      <c r="K25" s="29"/>
      <c r="L25" s="29"/>
      <c r="M25" s="29"/>
      <c r="N25" s="141" t="s">
        <v>152</v>
      </c>
      <c r="O25" s="142"/>
      <c r="P25" s="74" t="s">
        <v>153</v>
      </c>
      <c r="Q25" s="74">
        <v>17</v>
      </c>
      <c r="R25" s="75" t="s">
        <v>154</v>
      </c>
      <c r="S25" s="73">
        <f>+S24*12*6</f>
        <v>-11001.333390499069</v>
      </c>
      <c r="T25" s="175" t="s">
        <v>155</v>
      </c>
      <c r="U25" s="176"/>
      <c r="V25" s="80" t="s">
        <v>156</v>
      </c>
      <c r="W25" s="81">
        <f>W22-Q19</f>
        <v>1180.7598039215686</v>
      </c>
      <c r="X25" s="82" t="s">
        <v>116</v>
      </c>
      <c r="Y25" s="29"/>
      <c r="Z25" s="181" t="s">
        <v>157</v>
      </c>
      <c r="AA25" s="182"/>
      <c r="AB25" s="80" t="s">
        <v>158</v>
      </c>
      <c r="AC25" s="80">
        <f>Q38+0.2209*EXP(0.0557*Q27)</f>
        <v>110.98294297073372</v>
      </c>
      <c r="AD25" s="82" t="s">
        <v>151</v>
      </c>
    </row>
    <row r="26" spans="9:31" ht="15.75" thickBot="1" x14ac:dyDescent="0.3">
      <c r="I26" s="29"/>
      <c r="J26" s="29"/>
      <c r="K26" s="29"/>
      <c r="L26" s="29"/>
      <c r="M26" s="29"/>
      <c r="N26" s="141" t="s">
        <v>159</v>
      </c>
      <c r="O26" s="142"/>
      <c r="P26" s="74" t="s">
        <v>160</v>
      </c>
      <c r="Q26" s="74">
        <v>22</v>
      </c>
      <c r="R26" s="75" t="s">
        <v>154</v>
      </c>
      <c r="S26" s="73"/>
      <c r="T26" s="175" t="s">
        <v>161</v>
      </c>
      <c r="U26" s="176"/>
      <c r="V26" s="80" t="s">
        <v>138</v>
      </c>
      <c r="W26" s="81">
        <f>+W22</f>
        <v>1430.7598039215686</v>
      </c>
      <c r="X26" s="82" t="s">
        <v>116</v>
      </c>
      <c r="Y26" s="29"/>
      <c r="Z26" s="183" t="s">
        <v>162</v>
      </c>
      <c r="AA26" s="184"/>
      <c r="AB26" s="94" t="s">
        <v>163</v>
      </c>
      <c r="AC26" s="94">
        <f>Q38+0.2209*EXP(0.0557*Q28)</f>
        <v>136.71813336403685</v>
      </c>
      <c r="AD26" s="95" t="s">
        <v>151</v>
      </c>
      <c r="AE26" s="29"/>
    </row>
    <row r="27" spans="9:31" ht="15.75" thickBot="1" x14ac:dyDescent="0.3">
      <c r="I27" s="29"/>
      <c r="J27" s="29"/>
      <c r="K27" s="29"/>
      <c r="L27" s="29"/>
      <c r="M27" s="29"/>
      <c r="N27" s="141" t="s">
        <v>164</v>
      </c>
      <c r="O27" s="142"/>
      <c r="P27" s="74" t="s">
        <v>165</v>
      </c>
      <c r="Q27" s="74">
        <v>75</v>
      </c>
      <c r="R27" s="75" t="s">
        <v>154</v>
      </c>
      <c r="S27" s="73"/>
      <c r="T27" s="175" t="s">
        <v>166</v>
      </c>
      <c r="U27" s="176"/>
      <c r="V27" s="80" t="s">
        <v>167</v>
      </c>
      <c r="W27" s="81">
        <f>+W24</f>
        <v>1373.5294117647059</v>
      </c>
      <c r="X27" s="82" t="s">
        <v>116</v>
      </c>
      <c r="Y27" s="29"/>
      <c r="Z27" s="164" t="s">
        <v>168</v>
      </c>
      <c r="AA27" s="165"/>
      <c r="AB27" s="165"/>
      <c r="AC27" s="165"/>
      <c r="AD27" s="166"/>
      <c r="AE27" s="29"/>
    </row>
    <row r="28" spans="9:31" x14ac:dyDescent="0.25">
      <c r="I28" s="29"/>
      <c r="J28" s="29"/>
      <c r="K28" s="29"/>
      <c r="L28" s="29"/>
      <c r="M28" s="29"/>
      <c r="N28" s="141" t="s">
        <v>169</v>
      </c>
      <c r="O28" s="142"/>
      <c r="P28" s="74" t="s">
        <v>170</v>
      </c>
      <c r="Q28" s="74">
        <v>93.4</v>
      </c>
      <c r="R28" s="75" t="s">
        <v>154</v>
      </c>
      <c r="S28" s="73"/>
      <c r="T28" s="175" t="s">
        <v>171</v>
      </c>
      <c r="U28" s="176"/>
      <c r="V28" s="80" t="s">
        <v>172</v>
      </c>
      <c r="W28" s="81">
        <f>W27*Q26/Q27</f>
        <v>402.9019607843137</v>
      </c>
      <c r="X28" s="82" t="s">
        <v>116</v>
      </c>
      <c r="Y28" s="29"/>
      <c r="Z28" s="181" t="s">
        <v>149</v>
      </c>
      <c r="AA28" s="182"/>
      <c r="AB28" s="89" t="s">
        <v>173</v>
      </c>
      <c r="AC28" s="80">
        <f>2492.9-2.0523*((Q38+AC24)/2)-0.0030752*((Q38+AC24)/2)^2</f>
        <v>2265.0093657063012</v>
      </c>
      <c r="AD28" s="82" t="s">
        <v>174</v>
      </c>
      <c r="AE28" s="29"/>
    </row>
    <row r="29" spans="9:31" x14ac:dyDescent="0.25">
      <c r="I29" s="29"/>
      <c r="J29" s="29"/>
      <c r="K29" s="29"/>
      <c r="L29" s="29"/>
      <c r="M29" s="29"/>
      <c r="N29" s="141" t="s">
        <v>175</v>
      </c>
      <c r="O29" s="142"/>
      <c r="P29" s="61" t="s">
        <v>170</v>
      </c>
      <c r="Q29" s="74">
        <f>Q28</f>
        <v>93.4</v>
      </c>
      <c r="R29" s="75" t="s">
        <v>154</v>
      </c>
      <c r="S29" s="73"/>
      <c r="T29" s="186" t="s">
        <v>176</v>
      </c>
      <c r="U29" s="187"/>
      <c r="V29" s="97" t="s">
        <v>177</v>
      </c>
      <c r="W29" s="88">
        <f>Q19*Q20</f>
        <v>487.5</v>
      </c>
      <c r="X29" s="82" t="s">
        <v>116</v>
      </c>
      <c r="Y29" s="29"/>
      <c r="Z29" s="181" t="s">
        <v>157</v>
      </c>
      <c r="AA29" s="182"/>
      <c r="AB29" s="89" t="s">
        <v>173</v>
      </c>
      <c r="AC29" s="80">
        <f>2492.9-2.0523*((AC24+AC25)/2)-0.0030752*((AC24+AC25)/2)^2</f>
        <v>2245.7755098976954</v>
      </c>
      <c r="AD29" s="82" t="s">
        <v>174</v>
      </c>
      <c r="AE29" s="29"/>
    </row>
    <row r="30" spans="9:31" ht="15.75" thickBot="1" x14ac:dyDescent="0.3">
      <c r="I30" s="29"/>
      <c r="J30" s="29"/>
      <c r="K30" s="29"/>
      <c r="L30" s="29"/>
      <c r="M30" s="29"/>
      <c r="N30" s="143" t="s">
        <v>178</v>
      </c>
      <c r="O30" s="144"/>
      <c r="P30" s="61" t="s">
        <v>179</v>
      </c>
      <c r="Q30" s="96">
        <v>0.3</v>
      </c>
      <c r="R30" s="41" t="s">
        <v>49</v>
      </c>
      <c r="S30" s="73"/>
      <c r="T30" s="175" t="s">
        <v>180</v>
      </c>
      <c r="U30" s="176"/>
      <c r="V30" s="80" t="s">
        <v>181</v>
      </c>
      <c r="W30" s="81">
        <f>W19-W20</f>
        <v>973.30598906229147</v>
      </c>
      <c r="X30" s="82" t="s">
        <v>116</v>
      </c>
      <c r="Y30" s="29"/>
      <c r="Z30" s="183" t="s">
        <v>162</v>
      </c>
      <c r="AA30" s="184"/>
      <c r="AB30" s="93" t="s">
        <v>173</v>
      </c>
      <c r="AC30" s="94">
        <f>2492.9-2.0523*((AC25+AC26)/2)-0.0030752*((AC25+AC26)/2)^2</f>
        <v>2191.5511836295354</v>
      </c>
      <c r="AD30" s="95" t="s">
        <v>174</v>
      </c>
      <c r="AE30" s="29"/>
    </row>
    <row r="31" spans="9:31" ht="15.75" thickBot="1" x14ac:dyDescent="0.3">
      <c r="I31" s="29"/>
      <c r="J31" s="29"/>
      <c r="K31" s="29"/>
      <c r="L31" s="29"/>
      <c r="M31" s="29"/>
      <c r="N31" s="143" t="s">
        <v>182</v>
      </c>
      <c r="O31" s="144"/>
      <c r="P31" s="99" t="s">
        <v>183</v>
      </c>
      <c r="Q31" s="100">
        <v>1.8</v>
      </c>
      <c r="R31" s="41"/>
      <c r="S31" s="73"/>
      <c r="T31" s="190" t="s">
        <v>184</v>
      </c>
      <c r="U31" s="191"/>
      <c r="V31" s="101" t="s">
        <v>185</v>
      </c>
      <c r="W31" s="102">
        <f>W30*((100%-Q36)/(100%-Q30))</f>
        <v>640.29629709026483</v>
      </c>
      <c r="X31" s="95" t="s">
        <v>116</v>
      </c>
      <c r="Y31" s="29"/>
      <c r="Z31" s="164" t="s">
        <v>186</v>
      </c>
      <c r="AA31" s="165"/>
      <c r="AB31" s="165"/>
      <c r="AC31" s="165"/>
      <c r="AD31" s="166"/>
      <c r="AE31" s="29"/>
    </row>
    <row r="32" spans="9:31" ht="15.75" thickBot="1" x14ac:dyDescent="0.3">
      <c r="I32" s="29"/>
      <c r="J32" s="29"/>
      <c r="K32" s="29"/>
      <c r="L32" s="29"/>
      <c r="M32" s="29"/>
      <c r="N32" s="141" t="s">
        <v>187</v>
      </c>
      <c r="O32" s="142"/>
      <c r="P32" s="74" t="s">
        <v>188</v>
      </c>
      <c r="Q32" s="103">
        <v>0.6</v>
      </c>
      <c r="R32" s="75" t="s">
        <v>49</v>
      </c>
      <c r="S32" s="73"/>
      <c r="T32" s="104"/>
      <c r="U32" s="104"/>
      <c r="V32" s="104"/>
      <c r="W32" s="105"/>
      <c r="X32" s="105"/>
      <c r="Y32" s="29"/>
      <c r="Z32" s="181" t="s">
        <v>189</v>
      </c>
      <c r="AA32" s="182"/>
      <c r="AB32" s="80" t="s">
        <v>190</v>
      </c>
      <c r="AC32" s="80">
        <f>4.18*(1-0.006*Q25)</f>
        <v>3.7536399999999999</v>
      </c>
      <c r="AD32" s="82" t="s">
        <v>191</v>
      </c>
      <c r="AE32" s="29"/>
    </row>
    <row r="33" spans="9:31" ht="15.75" thickBot="1" x14ac:dyDescent="0.3">
      <c r="I33" s="29"/>
      <c r="J33" s="29"/>
      <c r="K33" s="29"/>
      <c r="L33" s="29"/>
      <c r="M33" s="29"/>
      <c r="N33" s="141" t="s">
        <v>192</v>
      </c>
      <c r="O33" s="142"/>
      <c r="P33" s="74" t="s">
        <v>193</v>
      </c>
      <c r="Q33" s="103">
        <v>0.14000000000000001</v>
      </c>
      <c r="R33" s="75" t="s">
        <v>49</v>
      </c>
      <c r="S33" s="73"/>
      <c r="T33" s="152" t="s">
        <v>194</v>
      </c>
      <c r="U33" s="185"/>
      <c r="V33" s="185"/>
      <c r="W33" s="185"/>
      <c r="X33" s="153"/>
      <c r="Y33" s="29"/>
      <c r="Z33" s="181" t="s">
        <v>195</v>
      </c>
      <c r="AA33" s="182"/>
      <c r="AB33" s="80" t="s">
        <v>190</v>
      </c>
      <c r="AC33" s="80">
        <f>4.18*(1-0.006*Q26)</f>
        <v>3.6282399999999999</v>
      </c>
      <c r="AD33" s="82" t="s">
        <v>191</v>
      </c>
      <c r="AE33" s="29"/>
    </row>
    <row r="34" spans="9:31" ht="15.75" thickBot="1" x14ac:dyDescent="0.3">
      <c r="I34" s="29"/>
      <c r="J34" s="29"/>
      <c r="K34" s="29"/>
      <c r="L34" s="29"/>
      <c r="M34" s="29"/>
      <c r="N34" s="141" t="s">
        <v>196</v>
      </c>
      <c r="O34" s="142"/>
      <c r="P34" s="74" t="s">
        <v>20</v>
      </c>
      <c r="Q34" s="74">
        <v>1062</v>
      </c>
      <c r="R34" s="75" t="s">
        <v>2</v>
      </c>
      <c r="S34" s="73"/>
      <c r="T34" s="177" t="s">
        <v>197</v>
      </c>
      <c r="U34" s="178"/>
      <c r="V34" s="76" t="s">
        <v>198</v>
      </c>
      <c r="W34" s="76">
        <f>(W26*AC32*(AC24-Q35)+(W26-W27)*AC28)/3600</f>
        <v>143.91397412395278</v>
      </c>
      <c r="X34" s="78" t="s">
        <v>109</v>
      </c>
      <c r="Y34" s="29"/>
      <c r="Z34" s="183" t="s">
        <v>199</v>
      </c>
      <c r="AA34" s="184"/>
      <c r="AB34" s="94" t="s">
        <v>190</v>
      </c>
      <c r="AC34" s="94">
        <f>4.18*(1-0.006*Q27)</f>
        <v>2.2989999999999999</v>
      </c>
      <c r="AD34" s="95" t="s">
        <v>191</v>
      </c>
      <c r="AE34" s="29"/>
    </row>
    <row r="35" spans="9:31" ht="15.75" thickBot="1" x14ac:dyDescent="0.3">
      <c r="I35" s="29"/>
      <c r="J35" s="29"/>
      <c r="K35" s="29"/>
      <c r="L35" s="29"/>
      <c r="M35" s="29"/>
      <c r="N35" s="141" t="s">
        <v>200</v>
      </c>
      <c r="O35" s="142"/>
      <c r="P35" s="106" t="s">
        <v>201</v>
      </c>
      <c r="Q35" s="106">
        <v>25</v>
      </c>
      <c r="R35" s="107" t="s">
        <v>151</v>
      </c>
      <c r="S35" s="73"/>
      <c r="T35" s="181" t="s">
        <v>202</v>
      </c>
      <c r="U35" s="182"/>
      <c r="V35" s="80" t="s">
        <v>203</v>
      </c>
      <c r="W35" s="80">
        <f>(W27*AC33*(AC25-AC24)+(W27-W28)*AC29)/3600</f>
        <v>624.40026485672195</v>
      </c>
      <c r="X35" s="82" t="s">
        <v>109</v>
      </c>
      <c r="Y35" s="29"/>
      <c r="Z35" s="105"/>
      <c r="AA35" s="104"/>
      <c r="AB35" s="104"/>
      <c r="AC35" s="104"/>
      <c r="AD35" s="104"/>
      <c r="AE35" s="29"/>
    </row>
    <row r="36" spans="9:31" x14ac:dyDescent="0.25">
      <c r="I36" s="29"/>
      <c r="J36" s="29"/>
      <c r="K36" s="29"/>
      <c r="L36" s="29"/>
      <c r="M36" s="29"/>
      <c r="N36" s="192" t="s">
        <v>204</v>
      </c>
      <c r="O36" s="193"/>
      <c r="P36" s="108" t="s">
        <v>205</v>
      </c>
      <c r="Q36" s="109">
        <f>((W20-W20*(Q32+Q33))-(W20-W20*(Q32+Q33))*(Q25/100))/(W20*(1-Q32))</f>
        <v>0.53949999999999987</v>
      </c>
      <c r="R36" s="110" t="s">
        <v>49</v>
      </c>
      <c r="S36" s="73"/>
      <c r="T36" s="181" t="s">
        <v>206</v>
      </c>
      <c r="U36" s="182"/>
      <c r="V36" s="80" t="s">
        <v>207</v>
      </c>
      <c r="W36" s="80">
        <f>(W28*AC34*(AC26-AC25)+(W28-Q19)*AC30)/3600</f>
        <v>99.702847033303797</v>
      </c>
      <c r="X36" s="82" t="s">
        <v>109</v>
      </c>
      <c r="Y36" s="29"/>
      <c r="Z36" s="172" t="s">
        <v>208</v>
      </c>
      <c r="AA36" s="173"/>
      <c r="AB36" s="111" t="s">
        <v>209</v>
      </c>
      <c r="AC36" s="111">
        <f>17.85-20.35*Q30</f>
        <v>11.745000000000001</v>
      </c>
      <c r="AD36" s="112" t="s">
        <v>210</v>
      </c>
      <c r="AE36" s="29"/>
    </row>
    <row r="37" spans="9:31" x14ac:dyDescent="0.25">
      <c r="I37" s="29"/>
      <c r="J37" s="29"/>
      <c r="K37" s="29"/>
      <c r="L37" s="29"/>
      <c r="M37" s="29"/>
      <c r="N37" s="192" t="s">
        <v>211</v>
      </c>
      <c r="O37" s="193"/>
      <c r="P37" s="108" t="s">
        <v>212</v>
      </c>
      <c r="Q37" s="113">
        <f>760*EXP(-0.0001158*Q34)</f>
        <v>672.05409330988732</v>
      </c>
      <c r="R37" s="110" t="s">
        <v>213</v>
      </c>
      <c r="S37" s="73"/>
      <c r="T37" s="181" t="s">
        <v>214</v>
      </c>
      <c r="U37" s="182"/>
      <c r="V37" s="80" t="s">
        <v>215</v>
      </c>
      <c r="W37" s="80">
        <f>SUM(W34:W36)</f>
        <v>868.01708601397854</v>
      </c>
      <c r="X37" s="82" t="s">
        <v>109</v>
      </c>
      <c r="Y37" s="29"/>
      <c r="Z37" s="188" t="s">
        <v>216</v>
      </c>
      <c r="AA37" s="189"/>
      <c r="AB37" s="114" t="s">
        <v>217</v>
      </c>
      <c r="AC37" s="114">
        <f>(Q20*Q19)*AC36/3.6</f>
        <v>1590.4687500000002</v>
      </c>
      <c r="AD37" s="115" t="s">
        <v>109</v>
      </c>
      <c r="AE37" s="29"/>
    </row>
    <row r="38" spans="9:31" ht="15.75" thickBot="1" x14ac:dyDescent="0.3">
      <c r="I38" s="29"/>
      <c r="J38" s="29"/>
      <c r="K38" s="29"/>
      <c r="L38" s="29"/>
      <c r="M38" s="29"/>
      <c r="N38" s="202" t="s">
        <v>218</v>
      </c>
      <c r="O38" s="203"/>
      <c r="P38" s="116" t="s">
        <v>219</v>
      </c>
      <c r="Q38" s="116">
        <f>-227.03+3816.44/(18.3036-LN(7.5*(Q37*133.3224/1000)))</f>
        <v>96.579679202909716</v>
      </c>
      <c r="R38" s="117" t="s">
        <v>151</v>
      </c>
      <c r="S38" s="73"/>
      <c r="T38" s="183" t="s">
        <v>220</v>
      </c>
      <c r="U38" s="184"/>
      <c r="V38" s="94" t="s">
        <v>215</v>
      </c>
      <c r="W38" s="94">
        <f>(W24*(AC26-Q35)*AC32+W25*((AC28+AC30)/2))/3600</f>
        <v>890.84801776310212</v>
      </c>
      <c r="X38" s="95" t="s">
        <v>109</v>
      </c>
      <c r="Y38" s="29"/>
      <c r="Z38" s="194" t="s">
        <v>221</v>
      </c>
      <c r="AA38" s="195"/>
      <c r="AB38" s="101" t="s">
        <v>222</v>
      </c>
      <c r="AC38" s="101">
        <f>AC37/1000</f>
        <v>1.5904687500000003</v>
      </c>
      <c r="AD38" s="118" t="s">
        <v>68</v>
      </c>
      <c r="AE38" s="29"/>
    </row>
    <row r="39" spans="9:31" x14ac:dyDescent="0.25">
      <c r="I39" s="29"/>
      <c r="J39" s="29"/>
      <c r="K39" s="29"/>
      <c r="L39" s="29"/>
      <c r="M39" s="29"/>
      <c r="AE39" s="29"/>
    </row>
    <row r="40" spans="9:31" x14ac:dyDescent="0.25">
      <c r="I40" s="29"/>
      <c r="J40" s="29"/>
      <c r="K40" s="29"/>
      <c r="L40" s="29"/>
      <c r="M40" s="29"/>
      <c r="AE40" s="29"/>
    </row>
    <row r="41" spans="9:31" x14ac:dyDescent="0.25">
      <c r="I41" s="29"/>
      <c r="J41" s="29"/>
      <c r="K41" s="29"/>
      <c r="L41" s="29"/>
      <c r="M41" s="29"/>
      <c r="AE41" s="29"/>
    </row>
    <row r="42" spans="9:31" x14ac:dyDescent="0.25">
      <c r="I42" s="29"/>
      <c r="J42" s="29"/>
      <c r="K42" s="29"/>
      <c r="L42" s="29"/>
      <c r="M42" s="29"/>
      <c r="AE42" s="29"/>
    </row>
    <row r="43" spans="9:31" x14ac:dyDescent="0.25">
      <c r="I43" s="29"/>
      <c r="J43" s="29"/>
      <c r="K43" s="29"/>
      <c r="L43" s="29"/>
      <c r="M43" s="29"/>
      <c r="AE43" s="29"/>
    </row>
    <row r="44" spans="9:31" ht="15.75" thickBot="1" x14ac:dyDescent="0.3">
      <c r="I44" s="29"/>
      <c r="J44" s="29"/>
      <c r="K44" s="29"/>
      <c r="L44" s="29"/>
      <c r="M44" s="29"/>
      <c r="AE44" s="29"/>
    </row>
    <row r="45" spans="9:31" x14ac:dyDescent="0.25">
      <c r="I45" s="29"/>
      <c r="J45" s="29"/>
      <c r="K45" s="29"/>
      <c r="L45" s="29"/>
      <c r="M45" s="29"/>
      <c r="N45" s="122"/>
      <c r="O45" s="122"/>
      <c r="P45" s="122"/>
      <c r="Q45" s="122"/>
      <c r="R45" s="73"/>
      <c r="S45" s="29"/>
      <c r="T45" s="29"/>
      <c r="U45" s="29"/>
      <c r="V45" s="72"/>
      <c r="W45" s="29"/>
      <c r="X45" s="98"/>
      <c r="Y45" s="98"/>
      <c r="Z45" s="98"/>
      <c r="AA45" s="98"/>
      <c r="AB45" s="98"/>
      <c r="AC45" s="68"/>
      <c r="AD45" s="98"/>
      <c r="AE45" s="29"/>
    </row>
    <row r="46" spans="9:31" x14ac:dyDescent="0.25"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73"/>
      <c r="AD46" s="29"/>
      <c r="AE46" s="29"/>
    </row>
    <row r="47" spans="9:31" x14ac:dyDescent="0.25">
      <c r="J47" s="29"/>
      <c r="K47" s="29"/>
      <c r="L47" s="29"/>
      <c r="M47" s="29"/>
      <c r="AE47" s="29"/>
    </row>
    <row r="48" spans="9:31" x14ac:dyDescent="0.25">
      <c r="J48" s="29"/>
      <c r="K48" s="29"/>
      <c r="L48" s="29"/>
      <c r="M48" s="29"/>
      <c r="AE48" s="29"/>
    </row>
    <row r="49" spans="10:31" x14ac:dyDescent="0.25">
      <c r="J49" s="29"/>
      <c r="K49" s="29"/>
      <c r="L49" s="29"/>
      <c r="M49" s="29"/>
      <c r="AE49" s="29"/>
    </row>
    <row r="50" spans="10:31" x14ac:dyDescent="0.25">
      <c r="J50" s="29"/>
      <c r="K50" s="29"/>
      <c r="L50" s="29"/>
      <c r="M50" s="29"/>
      <c r="AE50" s="29"/>
    </row>
    <row r="51" spans="10:31" x14ac:dyDescent="0.25">
      <c r="J51" s="29"/>
      <c r="K51" s="29"/>
      <c r="L51" s="29"/>
      <c r="M51" s="29"/>
      <c r="AE51" s="29"/>
    </row>
    <row r="52" spans="10:31" x14ac:dyDescent="0.25">
      <c r="J52" s="29"/>
      <c r="K52" s="29"/>
      <c r="L52" s="29"/>
      <c r="M52" s="29"/>
      <c r="AE52" s="29"/>
    </row>
    <row r="53" spans="10:31" x14ac:dyDescent="0.25">
      <c r="J53" s="29"/>
      <c r="K53" s="29"/>
      <c r="L53" s="29"/>
      <c r="M53" s="29"/>
      <c r="AE53" s="29"/>
    </row>
    <row r="54" spans="10:31" x14ac:dyDescent="0.25">
      <c r="J54" s="29"/>
      <c r="K54" s="29"/>
      <c r="L54" s="29"/>
      <c r="M54" s="29"/>
      <c r="AE54" s="29"/>
    </row>
  </sheetData>
  <mergeCells count="85">
    <mergeCell ref="V10:W10"/>
    <mergeCell ref="N38:O38"/>
    <mergeCell ref="N18:R18"/>
    <mergeCell ref="V3:W3"/>
    <mergeCell ref="V4:W4"/>
    <mergeCell ref="V5:W5"/>
    <mergeCell ref="V6:W6"/>
    <mergeCell ref="V7:W7"/>
    <mergeCell ref="V8:W8"/>
    <mergeCell ref="V9:W9"/>
    <mergeCell ref="N31:O31"/>
    <mergeCell ref="N32:O32"/>
    <mergeCell ref="N33:O33"/>
    <mergeCell ref="N34:O34"/>
    <mergeCell ref="N35:O35"/>
    <mergeCell ref="N37:O37"/>
    <mergeCell ref="N36:O36"/>
    <mergeCell ref="T38:U38"/>
    <mergeCell ref="Z38:AA38"/>
    <mergeCell ref="N19:O19"/>
    <mergeCell ref="N20:O20"/>
    <mergeCell ref="N21:O21"/>
    <mergeCell ref="N22:O22"/>
    <mergeCell ref="N23:O23"/>
    <mergeCell ref="N24:O24"/>
    <mergeCell ref="N25:O25"/>
    <mergeCell ref="N26:O26"/>
    <mergeCell ref="T34:U34"/>
    <mergeCell ref="Z34:AA34"/>
    <mergeCell ref="T35:U35"/>
    <mergeCell ref="T36:U36"/>
    <mergeCell ref="Z36:AA36"/>
    <mergeCell ref="T37:U37"/>
    <mergeCell ref="Z37:AA37"/>
    <mergeCell ref="T30:U30"/>
    <mergeCell ref="Z30:AA30"/>
    <mergeCell ref="T31:U31"/>
    <mergeCell ref="Z31:AD31"/>
    <mergeCell ref="Z32:AA32"/>
    <mergeCell ref="T33:X33"/>
    <mergeCell ref="Z33:AA33"/>
    <mergeCell ref="T27:U27"/>
    <mergeCell ref="Z27:AD27"/>
    <mergeCell ref="T28:U28"/>
    <mergeCell ref="Z28:AA28"/>
    <mergeCell ref="T29:U29"/>
    <mergeCell ref="Z29:AA29"/>
    <mergeCell ref="T24:U24"/>
    <mergeCell ref="Z24:AA24"/>
    <mergeCell ref="T25:U25"/>
    <mergeCell ref="Z25:AA25"/>
    <mergeCell ref="T26:U26"/>
    <mergeCell ref="Z26:AA26"/>
    <mergeCell ref="T21:U21"/>
    <mergeCell ref="Z21:AA21"/>
    <mergeCell ref="T22:U22"/>
    <mergeCell ref="Z22:AA22"/>
    <mergeCell ref="T23:U23"/>
    <mergeCell ref="Z23:AD23"/>
    <mergeCell ref="T18:X18"/>
    <mergeCell ref="Z18:AD18"/>
    <mergeCell ref="T19:U19"/>
    <mergeCell ref="Z19:AD19"/>
    <mergeCell ref="T20:U20"/>
    <mergeCell ref="Z20:AA20"/>
    <mergeCell ref="V12:W12"/>
    <mergeCell ref="V13:W13"/>
    <mergeCell ref="V14:W14"/>
    <mergeCell ref="V15:W15"/>
    <mergeCell ref="V16:W16"/>
    <mergeCell ref="Q11:R11"/>
    <mergeCell ref="S11:T11"/>
    <mergeCell ref="N12:O12"/>
    <mergeCell ref="N13:O13"/>
    <mergeCell ref="N14:O14"/>
    <mergeCell ref="N7:O7"/>
    <mergeCell ref="N8:O8"/>
    <mergeCell ref="N9:O9"/>
    <mergeCell ref="N10:O10"/>
    <mergeCell ref="N11:P11"/>
    <mergeCell ref="N27:O27"/>
    <mergeCell ref="N28:O28"/>
    <mergeCell ref="N29:O29"/>
    <mergeCell ref="N30:O30"/>
    <mergeCell ref="N15:O15"/>
  </mergeCells>
  <dataValidations disablePrompts="1" count="2">
    <dataValidation type="list" allowBlank="1" showInputMessage="1" showErrorMessage="1" sqref="X13" xr:uid="{6F504EBD-A1A9-40F3-B40C-078D2B1BFD0C}">
      <formula1>$Z$12:$Z$14</formula1>
    </dataValidation>
    <dataValidation type="list" allowBlank="1" showInputMessage="1" showErrorMessage="1" sqref="S6" xr:uid="{DB2D87F0-9DC3-4320-A9A1-0F2D4F333C2D}">
      <formula1>$X$4:$AB$4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84"/>
  <sheetViews>
    <sheetView workbookViewId="0">
      <selection activeCell="M57" sqref="M57"/>
    </sheetView>
  </sheetViews>
  <sheetFormatPr baseColWidth="10" defaultColWidth="9.140625" defaultRowHeight="15" x14ac:dyDescent="0.25"/>
  <cols>
    <col min="3" max="3" width="12.7109375" bestFit="1" customWidth="1"/>
    <col min="14" max="14" width="12.7109375" bestFit="1" customWidth="1"/>
    <col min="24" max="24" width="12.7109375" bestFit="1" customWidth="1"/>
    <col min="25" max="25" width="6.5703125" bestFit="1" customWidth="1"/>
  </cols>
  <sheetData>
    <row r="1" spans="3:32" ht="15.75" thickBot="1" x14ac:dyDescent="0.3"/>
    <row r="2" spans="3:32" ht="15.75" thickBot="1" x14ac:dyDescent="0.3">
      <c r="C2" s="135" t="s">
        <v>0</v>
      </c>
      <c r="D2" s="136"/>
      <c r="E2" s="136"/>
      <c r="F2" s="136"/>
      <c r="G2" s="136"/>
      <c r="H2" s="136"/>
      <c r="I2" s="136"/>
      <c r="J2" s="136"/>
      <c r="K2" s="137"/>
      <c r="N2" s="138" t="s">
        <v>50</v>
      </c>
      <c r="O2" s="139"/>
      <c r="P2" s="139"/>
      <c r="Q2" s="136"/>
      <c r="R2" s="136"/>
      <c r="S2" s="136"/>
      <c r="T2" s="136"/>
      <c r="U2" s="136"/>
      <c r="V2" s="137"/>
      <c r="X2" s="138" t="s">
        <v>55</v>
      </c>
      <c r="Y2" s="139"/>
      <c r="Z2" s="139"/>
      <c r="AA2" s="136"/>
      <c r="AB2" s="136"/>
      <c r="AC2" s="136"/>
      <c r="AD2" s="136"/>
      <c r="AE2" s="136"/>
      <c r="AF2" s="137"/>
    </row>
    <row r="3" spans="3:32" x14ac:dyDescent="0.25">
      <c r="C3" s="1" t="s">
        <v>1</v>
      </c>
      <c r="D3" s="2">
        <v>1</v>
      </c>
      <c r="E3" s="2" t="s">
        <v>2</v>
      </c>
      <c r="F3" s="3"/>
      <c r="G3" s="3"/>
      <c r="H3" s="3"/>
      <c r="I3" s="3"/>
      <c r="J3" s="3"/>
      <c r="K3" s="4"/>
      <c r="N3" s="7" t="s">
        <v>42</v>
      </c>
      <c r="O3" s="6">
        <v>0.6</v>
      </c>
      <c r="P3" s="6" t="s">
        <v>2</v>
      </c>
      <c r="Q3" s="9"/>
      <c r="R3" s="9"/>
      <c r="S3" s="9"/>
      <c r="T3" s="9"/>
      <c r="U3" s="9"/>
      <c r="V3" s="19"/>
      <c r="X3" s="7" t="s">
        <v>42</v>
      </c>
      <c r="Y3" s="6">
        <v>0.6</v>
      </c>
      <c r="Z3" s="6" t="s">
        <v>2</v>
      </c>
      <c r="AA3" s="9"/>
      <c r="AB3" s="9"/>
      <c r="AC3" s="9"/>
      <c r="AD3" s="9"/>
      <c r="AE3" s="9"/>
      <c r="AF3" s="19"/>
    </row>
    <row r="4" spans="3:32" x14ac:dyDescent="0.25">
      <c r="C4" s="5" t="s">
        <v>3</v>
      </c>
      <c r="D4" s="6">
        <v>1</v>
      </c>
      <c r="E4" s="6" t="s">
        <v>2</v>
      </c>
      <c r="F4" s="3"/>
      <c r="G4" s="3"/>
      <c r="H4" s="3"/>
      <c r="I4" s="3"/>
      <c r="J4" s="3"/>
      <c r="K4" s="4"/>
      <c r="N4" s="7" t="s">
        <v>43</v>
      </c>
      <c r="O4" s="6">
        <v>0.3</v>
      </c>
      <c r="P4" s="6" t="s">
        <v>2</v>
      </c>
      <c r="Q4" s="9"/>
      <c r="R4" s="9"/>
      <c r="S4" s="9"/>
      <c r="T4" s="9"/>
      <c r="U4" s="9"/>
      <c r="V4" s="19"/>
      <c r="X4" s="7" t="s">
        <v>43</v>
      </c>
      <c r="Y4" s="6">
        <v>0.3</v>
      </c>
      <c r="Z4" s="6" t="s">
        <v>2</v>
      </c>
      <c r="AA4" s="9"/>
      <c r="AB4" s="9"/>
      <c r="AC4" s="9"/>
      <c r="AD4" s="9"/>
      <c r="AE4" s="9"/>
      <c r="AF4" s="19"/>
    </row>
    <row r="5" spans="3:32" ht="15.75" x14ac:dyDescent="0.25">
      <c r="C5" s="7" t="s">
        <v>4</v>
      </c>
      <c r="D5" s="6">
        <f>((D4/2)^2+D3^2)/(2*D3)</f>
        <v>0.625</v>
      </c>
      <c r="E5" s="6" t="s">
        <v>2</v>
      </c>
      <c r="F5" s="3"/>
      <c r="G5" s="3"/>
      <c r="H5" s="3"/>
      <c r="I5" s="3"/>
      <c r="J5" s="3"/>
      <c r="K5" s="4"/>
      <c r="N5" s="7" t="s">
        <v>8</v>
      </c>
      <c r="O5" s="6">
        <f>68*PI()/180</f>
        <v>1.1868238913561442</v>
      </c>
      <c r="P5" s="6" t="s">
        <v>9</v>
      </c>
      <c r="Q5" s="9"/>
      <c r="R5" s="9"/>
      <c r="S5" s="9"/>
      <c r="T5" s="9"/>
      <c r="U5" s="9"/>
      <c r="V5" s="19"/>
      <c r="X5" s="7" t="s">
        <v>8</v>
      </c>
      <c r="Y5" s="6">
        <f>68*PI()/180</f>
        <v>1.1868238913561442</v>
      </c>
      <c r="Z5" s="6" t="s">
        <v>9</v>
      </c>
      <c r="AA5" s="9"/>
      <c r="AB5" s="9"/>
      <c r="AC5" s="9"/>
      <c r="AD5" s="9"/>
      <c r="AE5" s="9"/>
      <c r="AF5" s="19"/>
    </row>
    <row r="6" spans="3:32" x14ac:dyDescent="0.25">
      <c r="C6" s="8"/>
      <c r="D6" s="9"/>
      <c r="E6" s="9"/>
      <c r="F6" s="3"/>
      <c r="G6" s="6" t="s">
        <v>5</v>
      </c>
      <c r="H6" s="6">
        <f>PI()*(D4/2)^2</f>
        <v>0.78539816339744828</v>
      </c>
      <c r="I6" s="3"/>
      <c r="J6" s="3"/>
      <c r="K6" s="4"/>
      <c r="N6" s="7" t="s">
        <v>19</v>
      </c>
      <c r="O6" s="6">
        <v>1</v>
      </c>
      <c r="P6" s="6" t="s">
        <v>2</v>
      </c>
      <c r="Q6" s="9"/>
      <c r="R6" s="9"/>
      <c r="S6" s="9"/>
      <c r="T6" s="9"/>
      <c r="U6" s="9"/>
      <c r="V6" s="19"/>
      <c r="X6" s="7" t="s">
        <v>19</v>
      </c>
      <c r="Y6" s="6">
        <v>0.8</v>
      </c>
      <c r="Z6" s="6" t="s">
        <v>2</v>
      </c>
      <c r="AA6" s="9"/>
      <c r="AB6" s="9"/>
      <c r="AC6" s="9"/>
      <c r="AD6" s="9"/>
      <c r="AE6" s="9"/>
      <c r="AF6" s="19"/>
    </row>
    <row r="7" spans="3:32" x14ac:dyDescent="0.25">
      <c r="C7" s="7" t="s">
        <v>6</v>
      </c>
      <c r="D7" s="6">
        <v>0.6</v>
      </c>
      <c r="E7" s="6" t="s">
        <v>2</v>
      </c>
      <c r="F7" s="3"/>
      <c r="G7" s="6" t="s">
        <v>7</v>
      </c>
      <c r="H7" s="6">
        <f>D4+2*(D7/TAN(D8))</f>
        <v>1.4848314710021882</v>
      </c>
      <c r="I7" s="3"/>
      <c r="J7" s="3"/>
      <c r="K7" s="4"/>
      <c r="N7" s="7" t="s">
        <v>26</v>
      </c>
      <c r="O7" s="6">
        <v>2</v>
      </c>
      <c r="P7" s="6" t="s">
        <v>2</v>
      </c>
      <c r="Q7" s="9"/>
      <c r="R7" s="9"/>
      <c r="S7" s="9"/>
      <c r="T7" s="9"/>
      <c r="U7" s="9"/>
      <c r="V7" s="19"/>
      <c r="X7" s="7" t="s">
        <v>26</v>
      </c>
      <c r="Y7" s="6">
        <v>1</v>
      </c>
      <c r="Z7" s="6" t="s">
        <v>2</v>
      </c>
      <c r="AA7" s="9"/>
      <c r="AB7" s="9"/>
      <c r="AC7" s="9"/>
      <c r="AD7" s="9"/>
      <c r="AE7" s="9"/>
      <c r="AF7" s="19"/>
    </row>
    <row r="8" spans="3:32" ht="15.75" x14ac:dyDescent="0.25">
      <c r="C8" s="7" t="s">
        <v>8</v>
      </c>
      <c r="D8" s="6">
        <f>68*PI()/180</f>
        <v>1.1868238913561442</v>
      </c>
      <c r="E8" s="6" t="s">
        <v>9</v>
      </c>
      <c r="F8" s="3"/>
      <c r="G8" s="6" t="s">
        <v>10</v>
      </c>
      <c r="H8" s="6">
        <f>H7^2</f>
        <v>2.204724497278522</v>
      </c>
      <c r="I8" s="3"/>
      <c r="J8" s="3"/>
      <c r="K8" s="4"/>
      <c r="N8" s="7" t="s">
        <v>30</v>
      </c>
      <c r="O8" s="6">
        <v>10</v>
      </c>
      <c r="P8" s="6" t="s">
        <v>31</v>
      </c>
      <c r="Q8" s="9"/>
      <c r="R8" s="9"/>
      <c r="S8" s="9"/>
      <c r="T8" s="9"/>
      <c r="U8" s="9"/>
      <c r="V8" s="19"/>
      <c r="X8" s="7" t="s">
        <v>56</v>
      </c>
      <c r="Y8" s="6">
        <v>10</v>
      </c>
      <c r="Z8" s="6" t="s">
        <v>31</v>
      </c>
      <c r="AA8" s="9"/>
      <c r="AB8" s="9"/>
      <c r="AC8" s="9"/>
      <c r="AD8" s="9"/>
      <c r="AE8" s="9"/>
      <c r="AF8" s="19"/>
    </row>
    <row r="9" spans="3:32" x14ac:dyDescent="0.25">
      <c r="C9" s="8"/>
      <c r="D9" s="9"/>
      <c r="E9" s="9"/>
      <c r="F9" s="3"/>
      <c r="G9" s="6" t="s">
        <v>11</v>
      </c>
      <c r="H9" s="6">
        <f>(D7*(H6+H8+SQRT(H6*H8)))/3</f>
        <v>0.86120405800754707</v>
      </c>
      <c r="I9" s="3"/>
      <c r="J9" s="3"/>
      <c r="K9" s="4"/>
      <c r="N9" s="7" t="s">
        <v>51</v>
      </c>
      <c r="O9" s="6">
        <v>0.1</v>
      </c>
      <c r="P9" s="6" t="s">
        <v>2</v>
      </c>
      <c r="Q9" s="9"/>
      <c r="R9" s="9"/>
      <c r="S9" s="9"/>
      <c r="T9" s="9"/>
      <c r="U9" s="9"/>
      <c r="V9" s="19"/>
      <c r="X9" s="7" t="s">
        <v>51</v>
      </c>
      <c r="Y9" s="6">
        <v>0.1</v>
      </c>
      <c r="Z9" s="6" t="s">
        <v>2</v>
      </c>
      <c r="AA9" s="9"/>
      <c r="AB9" s="9"/>
      <c r="AC9" s="9"/>
      <c r="AD9" s="9"/>
      <c r="AE9" s="9"/>
      <c r="AF9" s="19"/>
    </row>
    <row r="10" spans="3:32" x14ac:dyDescent="0.25">
      <c r="C10" s="7" t="s">
        <v>12</v>
      </c>
      <c r="D10" s="6">
        <f>(PI()*D3^2*(3*D5-D3))/3</f>
        <v>0.91629785729702296</v>
      </c>
      <c r="E10" s="6" t="s">
        <v>13</v>
      </c>
      <c r="F10" s="3"/>
      <c r="G10" s="3"/>
      <c r="H10" s="3"/>
      <c r="I10" s="3"/>
      <c r="J10" s="3"/>
      <c r="K10" s="4"/>
      <c r="N10" s="25" t="s">
        <v>52</v>
      </c>
      <c r="O10" s="26">
        <f>O4/2</f>
        <v>0.15</v>
      </c>
      <c r="P10" s="26" t="s">
        <v>2</v>
      </c>
      <c r="Q10" s="9"/>
      <c r="R10" s="9"/>
      <c r="S10" s="9"/>
      <c r="T10" s="9"/>
      <c r="U10" s="9"/>
      <c r="V10" s="19"/>
      <c r="X10" s="25" t="s">
        <v>57</v>
      </c>
      <c r="Y10" s="26">
        <v>0.12</v>
      </c>
      <c r="Z10" s="26" t="s">
        <v>2</v>
      </c>
      <c r="AA10" s="9"/>
      <c r="AB10" s="9"/>
      <c r="AC10" s="9"/>
      <c r="AD10" s="9"/>
      <c r="AE10" s="9"/>
      <c r="AF10" s="19"/>
    </row>
    <row r="11" spans="3:32" x14ac:dyDescent="0.25">
      <c r="C11" s="8"/>
      <c r="D11" s="9"/>
      <c r="E11" s="9"/>
      <c r="F11" s="3"/>
      <c r="G11" s="3"/>
      <c r="H11" s="3"/>
      <c r="I11" s="3"/>
      <c r="J11" s="3"/>
      <c r="K11" s="4"/>
      <c r="N11" s="25" t="s">
        <v>53</v>
      </c>
      <c r="O11" s="26">
        <f>INT(O6/(O10*2))</f>
        <v>3</v>
      </c>
      <c r="P11" s="26" t="s">
        <v>31</v>
      </c>
      <c r="Q11" s="9"/>
      <c r="R11" s="9"/>
      <c r="S11" s="9"/>
      <c r="T11" s="9"/>
      <c r="U11" s="9"/>
      <c r="V11" s="19"/>
      <c r="X11" s="25" t="s">
        <v>58</v>
      </c>
      <c r="Y11" s="26">
        <f>INT((Y6+Y10)/(Y10*2))</f>
        <v>3</v>
      </c>
      <c r="Z11" s="26" t="s">
        <v>31</v>
      </c>
      <c r="AA11" s="27">
        <f>Y6/(2*Y11-1)</f>
        <v>0.16</v>
      </c>
      <c r="AB11" s="9"/>
      <c r="AC11" s="9"/>
      <c r="AD11" s="9"/>
      <c r="AE11" s="9"/>
      <c r="AF11" s="19"/>
    </row>
    <row r="12" spans="3:32" x14ac:dyDescent="0.25">
      <c r="C12" s="7" t="s">
        <v>14</v>
      </c>
      <c r="D12" s="6">
        <f>H9</f>
        <v>0.86120405800754707</v>
      </c>
      <c r="E12" s="6" t="s">
        <v>13</v>
      </c>
      <c r="F12" s="3"/>
      <c r="G12" s="3"/>
      <c r="H12" s="3"/>
      <c r="I12" s="3"/>
      <c r="J12" s="3"/>
      <c r="K12" s="4"/>
      <c r="N12" s="7" t="s">
        <v>45</v>
      </c>
      <c r="O12" s="6">
        <f>(O6*O7+2*O7*O4+2*O6*O4)-2*O11*O10^2</f>
        <v>3.665</v>
      </c>
      <c r="P12" s="6" t="s">
        <v>17</v>
      </c>
      <c r="Q12" s="9"/>
      <c r="R12" s="9"/>
      <c r="S12" s="9"/>
      <c r="T12" s="9"/>
      <c r="U12" s="9"/>
      <c r="V12" s="19"/>
      <c r="X12" s="7" t="s">
        <v>45</v>
      </c>
      <c r="Y12" s="6">
        <f>(Y6*Y7+2*Y7*Y4+2*Y6*Y4)-2*(Y11-1)*Y10^2</f>
        <v>1.8223999999999998</v>
      </c>
      <c r="Z12" s="6" t="s">
        <v>17</v>
      </c>
      <c r="AA12" s="9"/>
      <c r="AB12" s="9"/>
      <c r="AC12" s="9"/>
      <c r="AD12" s="9"/>
      <c r="AE12" s="9"/>
      <c r="AF12" s="19"/>
    </row>
    <row r="13" spans="3:32" x14ac:dyDescent="0.25">
      <c r="C13" s="8"/>
      <c r="D13" s="9"/>
      <c r="E13" s="9"/>
      <c r="F13" s="3"/>
      <c r="G13" s="3"/>
      <c r="H13" s="3"/>
      <c r="I13" s="3"/>
      <c r="J13" s="3"/>
      <c r="K13" s="4"/>
      <c r="N13" s="7" t="s">
        <v>46</v>
      </c>
      <c r="O13" s="6">
        <f>(O6*O4-O11*O10^2)*O7</f>
        <v>0.46499999999999997</v>
      </c>
      <c r="P13" s="6" t="s">
        <v>13</v>
      </c>
      <c r="Q13" s="9"/>
      <c r="R13" s="9"/>
      <c r="S13" s="9"/>
      <c r="T13" s="9"/>
      <c r="U13" s="9"/>
      <c r="V13" s="19"/>
      <c r="X13" s="7" t="s">
        <v>46</v>
      </c>
      <c r="Y13" s="6">
        <f>((Y6*(Y4-Y10))+Y11*(Y10^2))*Y7</f>
        <v>0.18719999999999998</v>
      </c>
      <c r="Z13" s="6" t="s">
        <v>13</v>
      </c>
      <c r="AA13" s="9"/>
      <c r="AB13" s="9"/>
      <c r="AC13" s="9"/>
      <c r="AD13" s="9"/>
      <c r="AE13" s="9"/>
      <c r="AF13" s="19"/>
    </row>
    <row r="14" spans="3:32" x14ac:dyDescent="0.25">
      <c r="C14" s="7" t="s">
        <v>15</v>
      </c>
      <c r="D14" s="6">
        <f>D12+D10</f>
        <v>1.7775019153045699</v>
      </c>
      <c r="E14" s="6" t="s">
        <v>13</v>
      </c>
      <c r="F14" s="3"/>
      <c r="G14" s="9"/>
      <c r="H14" s="9"/>
      <c r="I14" s="9"/>
      <c r="J14" s="3"/>
      <c r="K14" s="4"/>
      <c r="N14" s="7" t="s">
        <v>54</v>
      </c>
      <c r="O14" s="6">
        <f>O13+(O7*O3*(O6+O3/TAN(O5)))</f>
        <v>1.9558988826013128</v>
      </c>
      <c r="P14" s="6" t="s">
        <v>13</v>
      </c>
      <c r="Q14" s="9"/>
      <c r="R14" s="9"/>
      <c r="S14" s="9"/>
      <c r="T14" s="9"/>
      <c r="U14" s="9"/>
      <c r="V14" s="19"/>
      <c r="X14" s="7" t="s">
        <v>54</v>
      </c>
      <c r="Y14" s="6">
        <f>Y13+(Y7*Y3*(Y6+Y3/TAN(Y5)))</f>
        <v>0.81264944130065642</v>
      </c>
      <c r="Z14" s="6" t="s">
        <v>13</v>
      </c>
      <c r="AA14" s="9"/>
      <c r="AB14" s="9"/>
      <c r="AC14" s="9"/>
      <c r="AD14" s="9"/>
      <c r="AE14" s="9"/>
      <c r="AF14" s="19"/>
    </row>
    <row r="15" spans="3:32" x14ac:dyDescent="0.25">
      <c r="C15" s="8"/>
      <c r="D15" s="9"/>
      <c r="E15" s="9"/>
      <c r="F15" s="3"/>
      <c r="G15" s="9"/>
      <c r="H15" s="9"/>
      <c r="I15" s="9"/>
      <c r="J15" s="3"/>
      <c r="K15" s="4"/>
      <c r="N15" s="7" t="s">
        <v>48</v>
      </c>
      <c r="O15" s="22">
        <f>O13/O14</f>
        <v>0.23774235168106325</v>
      </c>
      <c r="P15" s="9" t="s">
        <v>49</v>
      </c>
      <c r="Q15" s="9"/>
      <c r="R15" s="9"/>
      <c r="S15" s="9"/>
      <c r="T15" s="9"/>
      <c r="U15" s="9"/>
      <c r="V15" s="19"/>
      <c r="X15" s="7" t="s">
        <v>48</v>
      </c>
      <c r="Y15" s="22">
        <f>Y13/Y14</f>
        <v>0.23035763083819247</v>
      </c>
      <c r="Z15" s="9" t="s">
        <v>49</v>
      </c>
      <c r="AA15" s="9"/>
      <c r="AB15" s="9"/>
      <c r="AC15" s="9"/>
      <c r="AD15" s="9"/>
      <c r="AE15" s="9"/>
      <c r="AF15" s="19"/>
    </row>
    <row r="16" spans="3:32" ht="15.75" thickBot="1" x14ac:dyDescent="0.3">
      <c r="C16" s="10" t="s">
        <v>16</v>
      </c>
      <c r="D16" s="11">
        <f>2*PI()*D5*D3</f>
        <v>3.9269908169872414</v>
      </c>
      <c r="E16" s="11" t="s">
        <v>17</v>
      </c>
      <c r="F16" s="12"/>
      <c r="G16" s="12"/>
      <c r="H16" s="12"/>
      <c r="I16" s="12"/>
      <c r="J16" s="12"/>
      <c r="K16" s="13"/>
      <c r="N16" s="17" t="s">
        <v>40</v>
      </c>
      <c r="O16" s="11">
        <f>O9*O7*O8*2+O12</f>
        <v>7.665</v>
      </c>
      <c r="P16" s="11" t="s">
        <v>17</v>
      </c>
      <c r="Q16" s="23"/>
      <c r="R16" s="23"/>
      <c r="S16" s="23"/>
      <c r="T16" s="23"/>
      <c r="U16" s="23"/>
      <c r="V16" s="24"/>
      <c r="X16" s="17" t="s">
        <v>40</v>
      </c>
      <c r="Y16" s="11">
        <f>Y9*Y7*Y8*2*Y11+Y12</f>
        <v>7.8224</v>
      </c>
      <c r="Z16" s="11" t="s">
        <v>17</v>
      </c>
      <c r="AA16" s="23"/>
      <c r="AB16" s="23"/>
      <c r="AC16" s="23"/>
      <c r="AD16" s="23"/>
      <c r="AE16" s="23"/>
      <c r="AF16" s="24"/>
    </row>
    <row r="17" spans="3:32" x14ac:dyDescent="0.25">
      <c r="C17" s="14"/>
      <c r="D17" s="14"/>
      <c r="E17" s="14"/>
      <c r="F17" s="14"/>
      <c r="G17" s="14"/>
      <c r="H17" s="14"/>
      <c r="I17" s="14"/>
      <c r="J17" s="14"/>
      <c r="K17" s="14"/>
    </row>
    <row r="18" spans="3:32" x14ac:dyDescent="0.25">
      <c r="C18" s="140" t="s">
        <v>59</v>
      </c>
      <c r="D18" s="140"/>
      <c r="E18" s="140"/>
      <c r="F18" s="140"/>
      <c r="G18" s="140"/>
      <c r="H18" s="140"/>
      <c r="I18" s="140"/>
      <c r="J18" s="140"/>
      <c r="K18" s="140"/>
      <c r="N18" s="140" t="s">
        <v>59</v>
      </c>
      <c r="O18" s="140"/>
      <c r="P18" s="140"/>
      <c r="Q18" s="140"/>
      <c r="R18" s="140"/>
      <c r="S18" s="140"/>
      <c r="T18" s="140"/>
      <c r="U18" s="140"/>
      <c r="V18" s="140"/>
      <c r="X18" s="140" t="s">
        <v>59</v>
      </c>
      <c r="Y18" s="140"/>
      <c r="Z18" s="140"/>
      <c r="AA18" s="140"/>
      <c r="AB18" s="140"/>
      <c r="AC18" s="140"/>
      <c r="AD18" s="140"/>
      <c r="AE18" s="140"/>
      <c r="AF18" s="140"/>
    </row>
    <row r="33" spans="3:22" x14ac:dyDescent="0.25">
      <c r="C33" s="18"/>
      <c r="D33" s="18"/>
      <c r="E33" s="18"/>
      <c r="F33" s="18"/>
      <c r="G33" s="18"/>
      <c r="H33" s="18"/>
      <c r="I33" s="18"/>
      <c r="J33" s="18"/>
      <c r="K33" s="18"/>
    </row>
    <row r="35" spans="3:22" ht="15.75" thickBot="1" x14ac:dyDescent="0.3"/>
    <row r="36" spans="3:22" ht="15.75" thickBot="1" x14ac:dyDescent="0.3">
      <c r="C36" s="135" t="s">
        <v>18</v>
      </c>
      <c r="D36" s="136"/>
      <c r="E36" s="136"/>
      <c r="F36" s="136"/>
      <c r="G36" s="136"/>
      <c r="H36" s="136"/>
      <c r="I36" s="136"/>
      <c r="J36" s="136"/>
      <c r="K36" s="137"/>
      <c r="N36" s="138" t="s">
        <v>41</v>
      </c>
      <c r="O36" s="139"/>
      <c r="P36" s="139"/>
      <c r="Q36" s="136"/>
      <c r="R36" s="136"/>
      <c r="S36" s="136"/>
      <c r="T36" s="136"/>
      <c r="U36" s="136"/>
      <c r="V36" s="137"/>
    </row>
    <row r="37" spans="3:22" x14ac:dyDescent="0.25">
      <c r="C37" s="15" t="s">
        <v>19</v>
      </c>
      <c r="D37" s="2">
        <v>0.8</v>
      </c>
      <c r="E37" s="2" t="s">
        <v>2</v>
      </c>
      <c r="F37" s="3" t="s">
        <v>4</v>
      </c>
      <c r="G37" s="3">
        <f>((D37/2)^2+D38^2)/(2*D38)</f>
        <v>0.41666666666666669</v>
      </c>
      <c r="H37" s="3" t="s">
        <v>2</v>
      </c>
      <c r="I37" s="3"/>
      <c r="J37" s="3"/>
      <c r="K37" s="4"/>
      <c r="N37" s="7" t="s">
        <v>42</v>
      </c>
      <c r="O37" s="6">
        <v>0.4</v>
      </c>
      <c r="P37" s="6" t="s">
        <v>2</v>
      </c>
      <c r="Q37" s="9"/>
      <c r="R37" s="9"/>
      <c r="S37" s="9"/>
      <c r="T37" s="9"/>
      <c r="U37" s="9"/>
      <c r="V37" s="19"/>
    </row>
    <row r="38" spans="3:22" x14ac:dyDescent="0.25">
      <c r="C38" s="7" t="s">
        <v>20</v>
      </c>
      <c r="D38" s="6">
        <v>0.3</v>
      </c>
      <c r="E38" s="6" t="s">
        <v>2</v>
      </c>
      <c r="F38" s="3" t="s">
        <v>21</v>
      </c>
      <c r="G38" s="3">
        <f>G37-D38</f>
        <v>0.1166666666666667</v>
      </c>
      <c r="H38" s="3" t="s">
        <v>2</v>
      </c>
      <c r="I38" s="3" t="s">
        <v>22</v>
      </c>
      <c r="J38" s="3">
        <f>D37+2*(D41/TAN(D42))</f>
        <v>1.284831471002188</v>
      </c>
      <c r="K38" s="4"/>
      <c r="N38" s="7" t="s">
        <v>43</v>
      </c>
      <c r="O38" s="6">
        <v>0.1</v>
      </c>
      <c r="P38" s="6" t="s">
        <v>2</v>
      </c>
      <c r="Q38" s="9"/>
      <c r="R38" s="9"/>
      <c r="S38" s="9"/>
      <c r="T38" s="9"/>
      <c r="U38" s="9"/>
      <c r="V38" s="19"/>
    </row>
    <row r="39" spans="3:22" ht="15.75" x14ac:dyDescent="0.25">
      <c r="C39" s="7" t="s">
        <v>23</v>
      </c>
      <c r="D39" s="6">
        <v>0.12</v>
      </c>
      <c r="E39" s="6" t="s">
        <v>2</v>
      </c>
      <c r="F39" s="16" t="s">
        <v>24</v>
      </c>
      <c r="G39" s="3">
        <f>2*ASIN((D37/2)/G37)</f>
        <v>2.574004435173137</v>
      </c>
      <c r="H39" s="3" t="s">
        <v>9</v>
      </c>
      <c r="I39" s="3" t="s">
        <v>25</v>
      </c>
      <c r="J39" s="3">
        <f>(D40+2*D39)+2*(D41/TAN(D42))</f>
        <v>1.7248314710021879</v>
      </c>
      <c r="K39" s="4"/>
      <c r="N39" s="7" t="s">
        <v>8</v>
      </c>
      <c r="O39" s="6">
        <f>68*PI()/180</f>
        <v>1.1868238913561442</v>
      </c>
      <c r="P39" s="6" t="s">
        <v>9</v>
      </c>
      <c r="Q39" s="9"/>
      <c r="R39" s="9"/>
      <c r="S39" s="9"/>
      <c r="T39" s="9"/>
      <c r="U39" s="9"/>
      <c r="V39" s="19"/>
    </row>
    <row r="40" spans="3:22" x14ac:dyDescent="0.25">
      <c r="C40" s="7" t="s">
        <v>26</v>
      </c>
      <c r="D40" s="6">
        <v>1</v>
      </c>
      <c r="E40" s="6" t="s">
        <v>2</v>
      </c>
      <c r="F40" s="16" t="s">
        <v>27</v>
      </c>
      <c r="G40" s="3">
        <f>G37*G39</f>
        <v>1.0725018479888071</v>
      </c>
      <c r="H40" s="3" t="s">
        <v>2</v>
      </c>
      <c r="I40" s="3" t="s">
        <v>5</v>
      </c>
      <c r="J40" s="3">
        <f>J39*J38</f>
        <v>2.2161177561186087</v>
      </c>
      <c r="K40" s="4"/>
      <c r="N40" s="7" t="s">
        <v>19</v>
      </c>
      <c r="O40" s="6">
        <v>1</v>
      </c>
      <c r="P40" s="6" t="s">
        <v>2</v>
      </c>
      <c r="Q40" s="9"/>
      <c r="R40" s="9"/>
      <c r="S40" s="9"/>
      <c r="T40" s="9"/>
      <c r="U40" s="9"/>
      <c r="V40" s="19"/>
    </row>
    <row r="41" spans="3:22" x14ac:dyDescent="0.25">
      <c r="C41" s="7" t="s">
        <v>6</v>
      </c>
      <c r="D41" s="6">
        <v>0.6</v>
      </c>
      <c r="E41" s="6" t="s">
        <v>2</v>
      </c>
      <c r="F41" s="16" t="s">
        <v>28</v>
      </c>
      <c r="G41" s="3">
        <f>G37^2*(G39)/2-(G37^2*SIN(G39)/2)</f>
        <v>0.17677121833100146</v>
      </c>
      <c r="H41" s="3" t="s">
        <v>17</v>
      </c>
      <c r="I41" s="3" t="s">
        <v>4</v>
      </c>
      <c r="J41" s="3">
        <f>((D37/2)^2+D39^2)/(2*D39)</f>
        <v>0.72666666666666679</v>
      </c>
      <c r="K41" s="4"/>
      <c r="N41" s="7" t="s">
        <v>26</v>
      </c>
      <c r="O41" s="6">
        <v>2</v>
      </c>
      <c r="P41" s="6" t="s">
        <v>2</v>
      </c>
      <c r="Q41" s="9"/>
      <c r="R41" s="9"/>
      <c r="S41" s="9"/>
      <c r="T41" s="9"/>
      <c r="U41" s="9"/>
      <c r="V41" s="19"/>
    </row>
    <row r="42" spans="3:22" ht="15.75" x14ac:dyDescent="0.25">
      <c r="C42" s="7" t="s">
        <v>8</v>
      </c>
      <c r="D42" s="6">
        <f>68*PI()/180</f>
        <v>1.1868238913561442</v>
      </c>
      <c r="E42" s="6" t="s">
        <v>9</v>
      </c>
      <c r="F42" s="16" t="s">
        <v>29</v>
      </c>
      <c r="G42" s="3">
        <f>G41*D40</f>
        <v>0.17677121833100146</v>
      </c>
      <c r="H42" s="3" t="s">
        <v>13</v>
      </c>
      <c r="I42" s="16" t="s">
        <v>24</v>
      </c>
      <c r="J42" s="3">
        <f>2*ASIN((D37/2)/J41)</f>
        <v>1.1658271779114682</v>
      </c>
      <c r="K42" s="4"/>
      <c r="N42" s="7" t="s">
        <v>30</v>
      </c>
      <c r="O42" s="6">
        <v>10</v>
      </c>
      <c r="P42" s="6" t="s">
        <v>31</v>
      </c>
      <c r="Q42" s="9"/>
      <c r="R42" s="9"/>
      <c r="S42" s="9"/>
      <c r="T42" s="9"/>
      <c r="U42" s="9"/>
      <c r="V42" s="19"/>
    </row>
    <row r="43" spans="3:22" x14ac:dyDescent="0.25">
      <c r="C43" s="7" t="s">
        <v>30</v>
      </c>
      <c r="D43" s="6">
        <f>10</f>
        <v>10</v>
      </c>
      <c r="E43" s="6" t="s">
        <v>31</v>
      </c>
      <c r="F43" s="16" t="s">
        <v>32</v>
      </c>
      <c r="G43" s="3">
        <f>G40*D40</f>
        <v>1.0725018479888071</v>
      </c>
      <c r="H43" s="3" t="s">
        <v>13</v>
      </c>
      <c r="I43" s="16" t="s">
        <v>33</v>
      </c>
      <c r="J43" s="3">
        <f>(J41^2*J42/2)-(J41^2*SIN(J42)/2)</f>
        <v>6.5137615572581242E-2</v>
      </c>
      <c r="K43" s="4"/>
      <c r="N43" s="7" t="s">
        <v>44</v>
      </c>
      <c r="O43" s="6">
        <v>0.1</v>
      </c>
      <c r="P43" s="6" t="s">
        <v>2</v>
      </c>
      <c r="Q43" s="9"/>
      <c r="R43" s="9"/>
      <c r="S43" s="9"/>
      <c r="T43" s="9"/>
      <c r="U43" s="9"/>
      <c r="V43" s="19"/>
    </row>
    <row r="44" spans="3:22" x14ac:dyDescent="0.25">
      <c r="C44" s="7" t="s">
        <v>34</v>
      </c>
      <c r="D44" s="6">
        <f>0.1</f>
        <v>0.1</v>
      </c>
      <c r="E44" s="6" t="s">
        <v>2</v>
      </c>
      <c r="F44" s="3" t="s">
        <v>35</v>
      </c>
      <c r="G44" s="3">
        <f>((G37)^2+D39^2)/(2*D39)</f>
        <v>0.7833796296296297</v>
      </c>
      <c r="H44" s="3" t="s">
        <v>2</v>
      </c>
      <c r="I44" s="16" t="s">
        <v>10</v>
      </c>
      <c r="J44" s="3">
        <f>D37*D40+2*J43</f>
        <v>0.93027523114516253</v>
      </c>
      <c r="K44" s="4"/>
      <c r="N44" s="7" t="s">
        <v>45</v>
      </c>
      <c r="O44" s="6">
        <f>(O40*O41+2*O40*O38+2*O38*O41)</f>
        <v>2.6</v>
      </c>
      <c r="P44" s="6" t="s">
        <v>17</v>
      </c>
      <c r="Q44" s="9"/>
      <c r="R44" s="9"/>
      <c r="S44" s="9"/>
      <c r="T44" s="9"/>
      <c r="U44" s="9"/>
      <c r="V44" s="19"/>
    </row>
    <row r="45" spans="3:22" x14ac:dyDescent="0.25">
      <c r="C45" s="7" t="s">
        <v>16</v>
      </c>
      <c r="D45" s="6">
        <f>G43+2*G48</f>
        <v>1.4977729623199503</v>
      </c>
      <c r="E45" s="6" t="s">
        <v>17</v>
      </c>
      <c r="F45" s="3" t="s">
        <v>36</v>
      </c>
      <c r="G45" s="3">
        <f>(PI()*D39^2*(3*G44-D39)/3)</f>
        <v>3.3629702159127535E-2</v>
      </c>
      <c r="H45" s="3" t="s">
        <v>13</v>
      </c>
      <c r="I45" s="16" t="s">
        <v>11</v>
      </c>
      <c r="J45" s="3">
        <f>(D41*(J40+J44+SQRT(J40*J44)))/3</f>
        <v>0.91644401722457403</v>
      </c>
      <c r="K45" s="4"/>
      <c r="N45" s="7" t="s">
        <v>46</v>
      </c>
      <c r="O45" s="6">
        <f>O38*O40*O41</f>
        <v>0.2</v>
      </c>
      <c r="P45" s="6" t="s">
        <v>13</v>
      </c>
      <c r="Q45" s="9"/>
      <c r="R45" s="9"/>
      <c r="S45" s="9"/>
      <c r="T45" s="9"/>
      <c r="U45" s="9"/>
      <c r="V45" s="19"/>
    </row>
    <row r="46" spans="3:22" x14ac:dyDescent="0.25">
      <c r="C46" s="7" t="s">
        <v>12</v>
      </c>
      <c r="D46" s="6">
        <f>G42+2*G46</f>
        <v>0.20098460388557327</v>
      </c>
      <c r="E46" s="6" t="s">
        <v>13</v>
      </c>
      <c r="F46" s="3" t="s">
        <v>37</v>
      </c>
      <c r="G46" s="3">
        <f>(D38/(G37*2))*G45</f>
        <v>1.2106692777285911E-2</v>
      </c>
      <c r="H46" s="3" t="s">
        <v>13</v>
      </c>
      <c r="I46" s="3"/>
      <c r="J46" s="3"/>
      <c r="K46" s="4"/>
      <c r="N46" s="7" t="s">
        <v>47</v>
      </c>
      <c r="O46" s="6">
        <f>(O40*O38*O41)+(O40+O37/TAN(O39))*O37*O41</f>
        <v>1.1292883922672503</v>
      </c>
      <c r="P46" s="6" t="s">
        <v>13</v>
      </c>
      <c r="Q46" s="9"/>
      <c r="R46" s="9"/>
      <c r="S46" s="9"/>
      <c r="T46" s="9"/>
      <c r="U46" s="9"/>
      <c r="V46" s="19"/>
    </row>
    <row r="47" spans="3:22" x14ac:dyDescent="0.25">
      <c r="C47" s="7" t="s">
        <v>14</v>
      </c>
      <c r="D47" s="6">
        <f>J45</f>
        <v>0.91644401722457403</v>
      </c>
      <c r="E47" s="6" t="s">
        <v>13</v>
      </c>
      <c r="F47" s="3" t="s">
        <v>38</v>
      </c>
      <c r="G47" s="3">
        <f>2*PI()*G44*D39</f>
        <v>0.59065432545992103</v>
      </c>
      <c r="H47" s="3" t="s">
        <v>17</v>
      </c>
      <c r="I47" s="3"/>
      <c r="J47" s="3"/>
      <c r="K47" s="4"/>
      <c r="N47" s="20"/>
      <c r="O47" s="21"/>
      <c r="P47" s="21"/>
      <c r="Q47" s="9"/>
      <c r="R47" s="9"/>
      <c r="S47" s="9"/>
      <c r="T47" s="9"/>
      <c r="U47" s="9"/>
      <c r="V47" s="19"/>
    </row>
    <row r="48" spans="3:22" x14ac:dyDescent="0.25">
      <c r="C48" s="7" t="s">
        <v>15</v>
      </c>
      <c r="D48" s="6">
        <f>D47+D46</f>
        <v>1.1174286211101472</v>
      </c>
      <c r="E48" s="6" t="s">
        <v>13</v>
      </c>
      <c r="F48" s="3" t="s">
        <v>39</v>
      </c>
      <c r="G48" s="3">
        <f>G47*(D38/(G37*2))</f>
        <v>0.21263555716557156</v>
      </c>
      <c r="H48" s="3" t="s">
        <v>17</v>
      </c>
      <c r="I48" s="3"/>
      <c r="J48" s="3"/>
      <c r="K48" s="4"/>
      <c r="N48" s="7" t="s">
        <v>48</v>
      </c>
      <c r="O48" s="22">
        <f>O45/O46</f>
        <v>0.17710267932398022</v>
      </c>
      <c r="P48" s="6" t="s">
        <v>49</v>
      </c>
      <c r="Q48" s="9"/>
      <c r="R48" s="9"/>
      <c r="S48" s="9"/>
      <c r="T48" s="9"/>
      <c r="U48" s="9"/>
      <c r="V48" s="19"/>
    </row>
    <row r="49" spans="2:22" x14ac:dyDescent="0.25">
      <c r="B49" s="28"/>
      <c r="C49" s="8"/>
      <c r="D49" s="9"/>
      <c r="E49" s="9"/>
      <c r="F49" s="3"/>
      <c r="G49" s="3"/>
      <c r="H49" s="3"/>
      <c r="I49" s="3"/>
      <c r="J49" s="3"/>
      <c r="K49" s="4"/>
      <c r="L49" s="28"/>
      <c r="M49" s="28"/>
      <c r="N49" s="20"/>
      <c r="O49" s="21"/>
      <c r="P49" s="21"/>
      <c r="Q49" s="9"/>
      <c r="R49" s="9"/>
      <c r="S49" s="9"/>
      <c r="T49" s="9"/>
      <c r="U49" s="9"/>
      <c r="V49" s="19"/>
    </row>
    <row r="50" spans="2:22" ht="15.75" thickBot="1" x14ac:dyDescent="0.3">
      <c r="B50" s="28"/>
      <c r="C50" s="17" t="s">
        <v>40</v>
      </c>
      <c r="D50" s="11">
        <f>D40*D44*2*D43+D45</f>
        <v>3.4977729623199503</v>
      </c>
      <c r="E50" s="11" t="s">
        <v>17</v>
      </c>
      <c r="F50" s="12"/>
      <c r="G50" s="12"/>
      <c r="H50" s="12"/>
      <c r="I50" s="12"/>
      <c r="J50" s="12"/>
      <c r="K50" s="13"/>
      <c r="L50" s="28"/>
      <c r="M50" s="28"/>
      <c r="N50" s="17" t="s">
        <v>40</v>
      </c>
      <c r="O50" s="11">
        <f>O43*O41*O42*2+O44</f>
        <v>6.6</v>
      </c>
      <c r="P50" s="11" t="s">
        <v>17</v>
      </c>
      <c r="Q50" s="23"/>
      <c r="R50" s="23"/>
      <c r="S50" s="23"/>
      <c r="T50" s="23"/>
      <c r="U50" s="23"/>
      <c r="V50" s="24"/>
    </row>
    <row r="51" spans="2:22" x14ac:dyDescent="0.2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2:22" x14ac:dyDescent="0.25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2:22" x14ac:dyDescent="0.25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2:22" x14ac:dyDescent="0.25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2:22" x14ac:dyDescent="0.25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2:22" x14ac:dyDescent="0.25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2:22" x14ac:dyDescent="0.2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2:22" x14ac:dyDescent="0.2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2:22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2:22" x14ac:dyDescent="0.25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2:22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2:22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2:22" x14ac:dyDescent="0.2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2:22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2:13" x14ac:dyDescent="0.2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2:13" x14ac:dyDescent="0.2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2:13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2:13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2:13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2:13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2:13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2:13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2:13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2:13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2:13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2:13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spans="2:13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2:13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2:13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2:13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2:13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2:13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2:13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2:13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</sheetData>
  <mergeCells count="8">
    <mergeCell ref="C36:K36"/>
    <mergeCell ref="N36:V36"/>
    <mergeCell ref="N2:V2"/>
    <mergeCell ref="X2:AF2"/>
    <mergeCell ref="C18:K18"/>
    <mergeCell ref="N18:V18"/>
    <mergeCell ref="X18:AF18"/>
    <mergeCell ref="C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4284-85F1-4C38-8890-E75E8F508B65}">
  <dimension ref="A1:Y55"/>
  <sheetViews>
    <sheetView zoomScale="70" zoomScaleNormal="70" workbookViewId="0">
      <selection activeCell="Y61" sqref="Y61"/>
    </sheetView>
  </sheetViews>
  <sheetFormatPr baseColWidth="10" defaultRowHeight="15" x14ac:dyDescent="0.25"/>
  <sheetData>
    <row r="1" spans="1:25" ht="15.75" thickBo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29"/>
      <c r="B2" s="224" t="s">
        <v>239</v>
      </c>
      <c r="C2" s="225"/>
      <c r="D2" s="225"/>
      <c r="E2" s="225"/>
      <c r="F2" s="225"/>
      <c r="G2" s="225"/>
      <c r="H2" s="225"/>
      <c r="I2" s="225"/>
      <c r="J2" s="225"/>
      <c r="K2" s="225"/>
      <c r="L2" s="226"/>
      <c r="M2" s="29"/>
      <c r="N2" s="224" t="s">
        <v>240</v>
      </c>
      <c r="O2" s="225"/>
      <c r="P2" s="225"/>
      <c r="Q2" s="225"/>
      <c r="R2" s="225"/>
      <c r="S2" s="225"/>
      <c r="T2" s="225"/>
      <c r="U2" s="225"/>
      <c r="V2" s="225"/>
      <c r="W2" s="225"/>
      <c r="X2" s="226"/>
      <c r="Y2" s="29"/>
    </row>
    <row r="3" spans="1:25" ht="15.75" thickBot="1" x14ac:dyDescent="0.3">
      <c r="A3" s="29"/>
      <c r="B3" s="227"/>
      <c r="C3" s="223"/>
      <c r="D3" s="223"/>
      <c r="E3" s="223"/>
      <c r="F3" s="223"/>
      <c r="G3" s="223"/>
      <c r="H3" s="223"/>
      <c r="I3" s="223"/>
      <c r="J3" s="223"/>
      <c r="K3" s="223"/>
      <c r="L3" s="228"/>
      <c r="M3" s="29"/>
      <c r="N3" s="227"/>
      <c r="O3" s="223"/>
      <c r="P3" s="223"/>
      <c r="Q3" s="223"/>
      <c r="R3" s="223"/>
      <c r="S3" s="223"/>
      <c r="T3" s="223"/>
      <c r="U3" s="223"/>
      <c r="V3" s="223"/>
      <c r="W3" s="223"/>
      <c r="X3" s="228"/>
      <c r="Y3" s="29"/>
    </row>
    <row r="4" spans="1:25" x14ac:dyDescent="0.25">
      <c r="A4" s="29"/>
      <c r="B4" s="131" t="s">
        <v>242</v>
      </c>
      <c r="C4" s="221">
        <v>0.7</v>
      </c>
      <c r="D4" s="132" t="s">
        <v>2</v>
      </c>
      <c r="E4" s="212"/>
      <c r="F4" s="212"/>
      <c r="G4" s="212"/>
      <c r="H4" s="212"/>
      <c r="I4" s="212"/>
      <c r="J4" s="212"/>
      <c r="K4" s="212"/>
      <c r="L4" s="213"/>
      <c r="M4" s="29"/>
      <c r="N4" s="131" t="s">
        <v>223</v>
      </c>
      <c r="O4" s="221">
        <v>0.7</v>
      </c>
      <c r="P4" s="132" t="s">
        <v>2</v>
      </c>
      <c r="Q4" s="212"/>
      <c r="R4" s="212"/>
      <c r="S4" s="212"/>
      <c r="T4" s="212"/>
      <c r="U4" s="212"/>
      <c r="V4" s="212"/>
      <c r="W4" s="212"/>
      <c r="X4" s="213"/>
      <c r="Y4" s="29"/>
    </row>
    <row r="5" spans="1:25" x14ac:dyDescent="0.25">
      <c r="A5" s="29"/>
      <c r="B5" s="133" t="s">
        <v>224</v>
      </c>
      <c r="C5" s="222">
        <v>0.3</v>
      </c>
      <c r="D5" s="134" t="s">
        <v>2</v>
      </c>
      <c r="E5" s="104"/>
      <c r="F5" s="104"/>
      <c r="G5" s="104"/>
      <c r="H5" s="104"/>
      <c r="I5" s="104"/>
      <c r="J5" s="104"/>
      <c r="K5" s="104"/>
      <c r="L5" s="215"/>
      <c r="M5" s="29"/>
      <c r="N5" s="133" t="s">
        <v>224</v>
      </c>
      <c r="O5" s="222">
        <v>0.3</v>
      </c>
      <c r="P5" s="134" t="s">
        <v>2</v>
      </c>
      <c r="Q5" s="104"/>
      <c r="R5" s="104"/>
      <c r="S5" s="104"/>
      <c r="T5" s="104"/>
      <c r="U5" s="104"/>
      <c r="V5" s="104"/>
      <c r="W5" s="104"/>
      <c r="X5" s="215"/>
      <c r="Y5" s="29"/>
    </row>
    <row r="6" spans="1:25" x14ac:dyDescent="0.25">
      <c r="A6" s="29"/>
      <c r="B6" s="133" t="s">
        <v>225</v>
      </c>
      <c r="C6" s="222">
        <v>0.6</v>
      </c>
      <c r="D6" s="134" t="s">
        <v>2</v>
      </c>
      <c r="E6" s="104"/>
      <c r="F6" s="104"/>
      <c r="G6" s="104"/>
      <c r="H6" s="104"/>
      <c r="I6" s="104"/>
      <c r="J6" s="104"/>
      <c r="K6" s="104"/>
      <c r="L6" s="215"/>
      <c r="M6" s="29"/>
      <c r="N6" s="133" t="s">
        <v>225</v>
      </c>
      <c r="O6" s="222">
        <v>0.6</v>
      </c>
      <c r="P6" s="134" t="s">
        <v>2</v>
      </c>
      <c r="Q6" s="104"/>
      <c r="R6" s="104"/>
      <c r="S6" s="104"/>
      <c r="T6" s="104"/>
      <c r="U6" s="104"/>
      <c r="V6" s="104"/>
      <c r="W6" s="104"/>
      <c r="X6" s="215"/>
      <c r="Y6" s="29"/>
    </row>
    <row r="7" spans="1:25" x14ac:dyDescent="0.25">
      <c r="A7" s="29"/>
      <c r="B7" s="133" t="s">
        <v>226</v>
      </c>
      <c r="C7" s="222">
        <v>0.65</v>
      </c>
      <c r="D7" s="134" t="s">
        <v>2</v>
      </c>
      <c r="E7" s="104"/>
      <c r="F7" s="104"/>
      <c r="G7" s="104"/>
      <c r="H7" s="104"/>
      <c r="I7" s="104"/>
      <c r="J7" s="104"/>
      <c r="K7" s="104"/>
      <c r="L7" s="215"/>
      <c r="M7" s="29"/>
      <c r="N7" s="133" t="s">
        <v>226</v>
      </c>
      <c r="O7" s="222">
        <v>0.65</v>
      </c>
      <c r="P7" s="134" t="s">
        <v>2</v>
      </c>
      <c r="Q7" s="104"/>
      <c r="R7" s="104"/>
      <c r="S7" s="104"/>
      <c r="T7" s="104"/>
      <c r="U7" s="104"/>
      <c r="V7" s="104"/>
      <c r="W7" s="104"/>
      <c r="X7" s="215"/>
      <c r="Y7" s="29"/>
    </row>
    <row r="8" spans="1:25" x14ac:dyDescent="0.25">
      <c r="A8" s="29"/>
      <c r="B8" s="133"/>
      <c r="C8" s="222"/>
      <c r="D8" s="134"/>
      <c r="E8" s="104"/>
      <c r="F8" s="104"/>
      <c r="G8" s="104"/>
      <c r="H8" s="104"/>
      <c r="I8" s="104"/>
      <c r="J8" s="104"/>
      <c r="K8" s="104"/>
      <c r="L8" s="215"/>
      <c r="M8" s="29"/>
      <c r="N8" s="133"/>
      <c r="O8" s="222"/>
      <c r="P8" s="134"/>
      <c r="Q8" s="104"/>
      <c r="R8" s="104"/>
      <c r="S8" s="104"/>
      <c r="T8" s="104"/>
      <c r="U8" s="104"/>
      <c r="V8" s="104"/>
      <c r="W8" s="104"/>
      <c r="X8" s="215"/>
      <c r="Y8" s="29"/>
    </row>
    <row r="9" spans="1:25" x14ac:dyDescent="0.25">
      <c r="A9" s="29"/>
      <c r="B9" s="133" t="s">
        <v>19</v>
      </c>
      <c r="C9" s="222">
        <f>+(C11^2-C12^2+C6^2+2*C6*C5+C5^2)/(2*C6+2*C5)</f>
        <v>0.45937499999999998</v>
      </c>
      <c r="D9" s="134" t="s">
        <v>2</v>
      </c>
      <c r="E9" s="104"/>
      <c r="F9" s="104"/>
      <c r="G9" s="104"/>
      <c r="H9" s="104"/>
      <c r="I9" s="104"/>
      <c r="J9" s="104"/>
      <c r="K9" s="104"/>
      <c r="L9" s="215"/>
      <c r="M9" s="29"/>
      <c r="N9" s="133" t="s">
        <v>19</v>
      </c>
      <c r="O9" s="222">
        <f>+(O11^2-O12^2+O6^2+2*O6*O5+O5^2)/(2*O6+2*O5)</f>
        <v>0.45937499999999998</v>
      </c>
      <c r="P9" s="134" t="s">
        <v>2</v>
      </c>
      <c r="Q9" s="104"/>
      <c r="R9" s="104"/>
      <c r="S9" s="104"/>
      <c r="T9" s="104"/>
      <c r="U9" s="104"/>
      <c r="V9" s="104"/>
      <c r="W9" s="104"/>
      <c r="X9" s="215"/>
      <c r="Y9" s="29"/>
    </row>
    <row r="10" spans="1:25" x14ac:dyDescent="0.25">
      <c r="A10" s="29"/>
      <c r="B10" s="133" t="s">
        <v>227</v>
      </c>
      <c r="C10" s="222">
        <f>+C5+C6-C9</f>
        <v>0.44062499999999993</v>
      </c>
      <c r="D10" s="134" t="s">
        <v>2</v>
      </c>
      <c r="E10" s="104"/>
      <c r="F10" s="104"/>
      <c r="G10" s="104"/>
      <c r="H10" s="104"/>
      <c r="I10" s="104"/>
      <c r="J10" s="104"/>
      <c r="K10" s="104"/>
      <c r="L10" s="215"/>
      <c r="M10" s="29"/>
      <c r="N10" s="133" t="s">
        <v>227</v>
      </c>
      <c r="O10" s="222">
        <f>+O5+O6-O9</f>
        <v>0.44062499999999993</v>
      </c>
      <c r="P10" s="134" t="s">
        <v>2</v>
      </c>
      <c r="Q10" s="104"/>
      <c r="R10" s="104"/>
      <c r="S10" s="104"/>
      <c r="T10" s="104"/>
      <c r="U10" s="104"/>
      <c r="V10" s="104"/>
      <c r="W10" s="104"/>
      <c r="X10" s="215"/>
      <c r="Y10" s="29"/>
    </row>
    <row r="11" spans="1:25" x14ac:dyDescent="0.25">
      <c r="A11" s="29"/>
      <c r="B11" s="133" t="s">
        <v>228</v>
      </c>
      <c r="C11" s="222">
        <f>+C4/2</f>
        <v>0.35</v>
      </c>
      <c r="D11" s="134" t="s">
        <v>2</v>
      </c>
      <c r="E11" s="104"/>
      <c r="F11" s="104"/>
      <c r="G11" s="104"/>
      <c r="H11" s="104"/>
      <c r="I11" s="104"/>
      <c r="J11" s="104"/>
      <c r="K11" s="104"/>
      <c r="L11" s="215"/>
      <c r="M11" s="29"/>
      <c r="N11" s="133" t="s">
        <v>228</v>
      </c>
      <c r="O11" s="222">
        <f>+O4/2</f>
        <v>0.35</v>
      </c>
      <c r="P11" s="134" t="s">
        <v>2</v>
      </c>
      <c r="Q11" s="104"/>
      <c r="R11" s="104"/>
      <c r="S11" s="104"/>
      <c r="T11" s="104"/>
      <c r="U11" s="104"/>
      <c r="V11" s="104"/>
      <c r="W11" s="104"/>
      <c r="X11" s="215"/>
      <c r="Y11" s="29"/>
    </row>
    <row r="12" spans="1:25" x14ac:dyDescent="0.25">
      <c r="A12" s="29"/>
      <c r="B12" s="133" t="s">
        <v>229</v>
      </c>
      <c r="C12" s="222">
        <f>+C7/2</f>
        <v>0.32500000000000001</v>
      </c>
      <c r="D12" s="134" t="s">
        <v>2</v>
      </c>
      <c r="E12" s="104"/>
      <c r="F12" s="104"/>
      <c r="G12" s="104"/>
      <c r="H12" s="104"/>
      <c r="I12" s="104"/>
      <c r="J12" s="104"/>
      <c r="K12" s="104"/>
      <c r="L12" s="215"/>
      <c r="M12" s="29"/>
      <c r="N12" s="133" t="s">
        <v>229</v>
      </c>
      <c r="O12" s="222">
        <f>+O7/2</f>
        <v>0.32500000000000001</v>
      </c>
      <c r="P12" s="134" t="s">
        <v>2</v>
      </c>
      <c r="Q12" s="104"/>
      <c r="R12" s="104"/>
      <c r="S12" s="104"/>
      <c r="T12" s="104"/>
      <c r="U12" s="104"/>
      <c r="V12" s="104"/>
      <c r="W12" s="104"/>
      <c r="X12" s="215"/>
      <c r="Y12" s="29"/>
    </row>
    <row r="13" spans="1:25" x14ac:dyDescent="0.25">
      <c r="A13" s="29"/>
      <c r="B13" s="133" t="s">
        <v>231</v>
      </c>
      <c r="C13" s="222">
        <f>+SQRT(C9^2+C12^2)</f>
        <v>0.56271697204278459</v>
      </c>
      <c r="D13" s="134" t="s">
        <v>2</v>
      </c>
      <c r="E13" s="104"/>
      <c r="F13" s="104"/>
      <c r="G13" s="104"/>
      <c r="H13" s="104"/>
      <c r="I13" s="104"/>
      <c r="J13" s="104"/>
      <c r="K13" s="104"/>
      <c r="L13" s="215"/>
      <c r="M13" s="29"/>
      <c r="N13" s="133" t="s">
        <v>231</v>
      </c>
      <c r="O13" s="222">
        <f>+SQRT(O9^2+O12^2)</f>
        <v>0.56271697204278459</v>
      </c>
      <c r="P13" s="134" t="s">
        <v>2</v>
      </c>
      <c r="Q13" s="104"/>
      <c r="R13" s="104"/>
      <c r="S13" s="104"/>
      <c r="T13" s="104"/>
      <c r="U13" s="104"/>
      <c r="V13" s="104"/>
      <c r="W13" s="104"/>
      <c r="X13" s="215"/>
      <c r="Y13" s="29"/>
    </row>
    <row r="14" spans="1:25" x14ac:dyDescent="0.25">
      <c r="A14" s="29"/>
      <c r="B14" s="133" t="s">
        <v>232</v>
      </c>
      <c r="C14" s="222">
        <f>((C4/2)^2+C5^2)/(2*C5)</f>
        <v>0.35416666666666663</v>
      </c>
      <c r="D14" s="134" t="s">
        <v>2</v>
      </c>
      <c r="E14" s="104"/>
      <c r="F14" s="104"/>
      <c r="G14" s="104"/>
      <c r="H14" s="104"/>
      <c r="I14" s="104"/>
      <c r="J14" s="104"/>
      <c r="K14" s="104"/>
      <c r="L14" s="215"/>
      <c r="M14" s="29"/>
      <c r="N14" s="133" t="s">
        <v>232</v>
      </c>
      <c r="O14" s="222">
        <f>((O4/2)^2+O5^2)/(2*O5)</f>
        <v>0.35416666666666663</v>
      </c>
      <c r="P14" s="134" t="s">
        <v>2</v>
      </c>
      <c r="Q14" s="104"/>
      <c r="R14" s="104"/>
      <c r="S14" s="104"/>
      <c r="T14" s="104"/>
      <c r="U14" s="104"/>
      <c r="V14" s="104"/>
      <c r="W14" s="104"/>
      <c r="X14" s="215"/>
      <c r="Y14" s="29"/>
    </row>
    <row r="15" spans="1:25" x14ac:dyDescent="0.25">
      <c r="A15" s="29"/>
      <c r="B15" s="220" t="s">
        <v>230</v>
      </c>
      <c r="C15" s="222">
        <f>2*ACOS(C10/C13)</f>
        <v>1.3425434907734113</v>
      </c>
      <c r="D15" s="134" t="s">
        <v>235</v>
      </c>
      <c r="E15" s="104"/>
      <c r="F15" s="104"/>
      <c r="G15" s="104"/>
      <c r="H15" s="104"/>
      <c r="I15" s="104"/>
      <c r="J15" s="104"/>
      <c r="K15" s="104"/>
      <c r="L15" s="215"/>
      <c r="M15" s="29"/>
      <c r="N15" s="220" t="s">
        <v>230</v>
      </c>
      <c r="O15" s="222">
        <f>2*ACOS(O10/O13)</f>
        <v>1.3425434907734113</v>
      </c>
      <c r="P15" s="134" t="s">
        <v>235</v>
      </c>
      <c r="Q15" s="104"/>
      <c r="R15" s="104"/>
      <c r="S15" s="104"/>
      <c r="T15" s="104"/>
      <c r="U15" s="104"/>
      <c r="V15" s="104"/>
      <c r="W15" s="104"/>
      <c r="X15" s="215"/>
      <c r="Y15" s="29"/>
    </row>
    <row r="16" spans="1:25" x14ac:dyDescent="0.25">
      <c r="A16" s="29"/>
      <c r="B16" s="220" t="s">
        <v>233</v>
      </c>
      <c r="C16" s="222">
        <f>2*ACOS((C14-C5)/C14)</f>
        <v>2.8345050885106811</v>
      </c>
      <c r="D16" s="134" t="s">
        <v>235</v>
      </c>
      <c r="E16" s="104"/>
      <c r="F16" s="104"/>
      <c r="G16" s="104"/>
      <c r="H16" s="104"/>
      <c r="I16" s="104"/>
      <c r="J16" s="104"/>
      <c r="K16" s="104"/>
      <c r="L16" s="215"/>
      <c r="M16" s="29"/>
      <c r="N16" s="220" t="s">
        <v>233</v>
      </c>
      <c r="O16" s="222">
        <f>2*ACOS((O14-O5)/O14)</f>
        <v>2.8345050885106811</v>
      </c>
      <c r="P16" s="134" t="s">
        <v>235</v>
      </c>
      <c r="Q16" s="104"/>
      <c r="R16" s="104"/>
      <c r="S16" s="104"/>
      <c r="T16" s="104"/>
      <c r="U16" s="104"/>
      <c r="V16" s="104"/>
      <c r="W16" s="104"/>
      <c r="X16" s="215"/>
      <c r="Y16" s="29"/>
    </row>
    <row r="17" spans="1:25" x14ac:dyDescent="0.25">
      <c r="A17" s="29"/>
      <c r="B17" s="220" t="s">
        <v>234</v>
      </c>
      <c r="C17" s="222">
        <f>2*ACOS(C9/C13)</f>
        <v>1.2314609443997266</v>
      </c>
      <c r="D17" s="134" t="s">
        <v>235</v>
      </c>
      <c r="E17" s="104"/>
      <c r="F17" s="104"/>
      <c r="G17" s="104"/>
      <c r="H17" s="104"/>
      <c r="I17" s="104"/>
      <c r="J17" s="104"/>
      <c r="K17" s="104"/>
      <c r="L17" s="215"/>
      <c r="M17" s="29"/>
      <c r="N17" s="220" t="s">
        <v>234</v>
      </c>
      <c r="O17" s="222">
        <f>2*ACOS(O9/O13)</f>
        <v>1.2314609443997266</v>
      </c>
      <c r="P17" s="134" t="s">
        <v>235</v>
      </c>
      <c r="Q17" s="104"/>
      <c r="R17" s="104"/>
      <c r="S17" s="104"/>
      <c r="T17" s="104"/>
      <c r="U17" s="104"/>
      <c r="V17" s="104"/>
      <c r="W17" s="104"/>
      <c r="X17" s="215"/>
      <c r="Y17" s="29"/>
    </row>
    <row r="18" spans="1:25" x14ac:dyDescent="0.25">
      <c r="A18" s="29"/>
      <c r="B18" s="133"/>
      <c r="C18" s="222"/>
      <c r="D18" s="134"/>
      <c r="E18" s="104"/>
      <c r="F18" s="104"/>
      <c r="G18" s="104"/>
      <c r="H18" s="104"/>
      <c r="I18" s="104"/>
      <c r="J18" s="104"/>
      <c r="K18" s="104"/>
      <c r="L18" s="215"/>
      <c r="M18" s="29"/>
      <c r="N18" s="133"/>
      <c r="O18" s="222"/>
      <c r="P18" s="134"/>
      <c r="Q18" s="104"/>
      <c r="R18" s="104"/>
      <c r="S18" s="104"/>
      <c r="T18" s="104"/>
      <c r="U18" s="104"/>
      <c r="V18" s="104"/>
      <c r="W18" s="104"/>
      <c r="X18" s="215"/>
      <c r="Y18" s="29"/>
    </row>
    <row r="19" spans="1:25" x14ac:dyDescent="0.25">
      <c r="A19" s="29"/>
      <c r="B19" s="133" t="s">
        <v>5</v>
      </c>
      <c r="C19" s="222">
        <f>+(C13^2/2)*(C15-SIN(C15))</f>
        <v>5.8339710392225859E-2</v>
      </c>
      <c r="D19" s="134" t="s">
        <v>68</v>
      </c>
      <c r="E19" s="104"/>
      <c r="F19" s="104"/>
      <c r="G19" s="104"/>
      <c r="H19" s="104"/>
      <c r="I19" s="104"/>
      <c r="J19" s="104"/>
      <c r="K19" s="104"/>
      <c r="L19" s="215"/>
      <c r="M19" s="29"/>
      <c r="N19" s="133" t="s">
        <v>5</v>
      </c>
      <c r="O19" s="222">
        <f>+(O13^2/2)*(O15-SIN(O15))</f>
        <v>5.8339710392225859E-2</v>
      </c>
      <c r="P19" s="134" t="s">
        <v>68</v>
      </c>
      <c r="Q19" s="104"/>
      <c r="R19" s="104"/>
      <c r="S19" s="104"/>
      <c r="T19" s="104"/>
      <c r="U19" s="104"/>
      <c r="V19" s="104"/>
      <c r="W19" s="104"/>
      <c r="X19" s="215"/>
      <c r="Y19" s="29"/>
    </row>
    <row r="20" spans="1:25" x14ac:dyDescent="0.25">
      <c r="A20" s="29"/>
      <c r="B20" s="133" t="s">
        <v>10</v>
      </c>
      <c r="C20" s="222">
        <f>+(C14^2/2)*(C16-SIN(C16))</f>
        <v>0.15881336167091728</v>
      </c>
      <c r="D20" s="134" t="s">
        <v>68</v>
      </c>
      <c r="E20" s="104"/>
      <c r="F20" s="104"/>
      <c r="G20" s="104"/>
      <c r="H20" s="104"/>
      <c r="I20" s="104"/>
      <c r="J20" s="104"/>
      <c r="K20" s="104"/>
      <c r="L20" s="215"/>
      <c r="M20" s="29"/>
      <c r="N20" s="133" t="s">
        <v>10</v>
      </c>
      <c r="O20" s="222">
        <f>+(O14^2/2)*(O16-SIN(O16))</f>
        <v>0.15881336167091728</v>
      </c>
      <c r="P20" s="134" t="s">
        <v>68</v>
      </c>
      <c r="Q20" s="104"/>
      <c r="R20" s="104"/>
      <c r="S20" s="104"/>
      <c r="T20" s="104"/>
      <c r="U20" s="104"/>
      <c r="V20" s="104"/>
      <c r="W20" s="104"/>
      <c r="X20" s="215"/>
      <c r="Y20" s="29"/>
    </row>
    <row r="21" spans="1:25" x14ac:dyDescent="0.25">
      <c r="A21" s="29"/>
      <c r="B21" s="133" t="s">
        <v>236</v>
      </c>
      <c r="C21" s="222">
        <f>+(C13^2/2)*(C17-SIN(C17))</f>
        <v>4.5674419541802437E-2</v>
      </c>
      <c r="D21" s="134" t="s">
        <v>68</v>
      </c>
      <c r="E21" s="104"/>
      <c r="F21" s="104"/>
      <c r="G21" s="104"/>
      <c r="H21" s="104"/>
      <c r="I21" s="104"/>
      <c r="J21" s="104"/>
      <c r="K21" s="104"/>
      <c r="L21" s="215"/>
      <c r="M21" s="29"/>
      <c r="N21" s="133" t="s">
        <v>236</v>
      </c>
      <c r="O21" s="222">
        <f>+(O13^2/2)*(O17-SIN(O17))</f>
        <v>4.5674419541802437E-2</v>
      </c>
      <c r="P21" s="134" t="s">
        <v>68</v>
      </c>
      <c r="Q21" s="104"/>
      <c r="R21" s="104"/>
      <c r="S21" s="104"/>
      <c r="T21" s="104"/>
      <c r="U21" s="104"/>
      <c r="V21" s="104"/>
      <c r="W21" s="104"/>
      <c r="X21" s="215"/>
      <c r="Y21" s="29"/>
    </row>
    <row r="22" spans="1:25" x14ac:dyDescent="0.25">
      <c r="A22" s="29"/>
      <c r="B22" s="133"/>
      <c r="C22" s="222"/>
      <c r="D22" s="134"/>
      <c r="E22" s="104"/>
      <c r="F22" s="104"/>
      <c r="G22" s="104"/>
      <c r="H22" s="104"/>
      <c r="I22" s="104"/>
      <c r="J22" s="104"/>
      <c r="K22" s="104"/>
      <c r="L22" s="215"/>
      <c r="M22" s="29"/>
      <c r="N22" s="133"/>
      <c r="O22" s="222"/>
      <c r="P22" s="134"/>
      <c r="Q22" s="104"/>
      <c r="R22" s="104"/>
      <c r="S22" s="104"/>
      <c r="T22" s="104"/>
      <c r="U22" s="104"/>
      <c r="V22" s="104"/>
      <c r="W22" s="104"/>
      <c r="X22" s="215"/>
      <c r="Y22" s="29"/>
    </row>
    <row r="23" spans="1:25" x14ac:dyDescent="0.25">
      <c r="A23" s="29"/>
      <c r="B23" s="133" t="s">
        <v>237</v>
      </c>
      <c r="C23" s="222">
        <f>+PI()*C13^2</f>
        <v>0.99478654094383834</v>
      </c>
      <c r="D23" s="134" t="s">
        <v>68</v>
      </c>
      <c r="E23" s="104"/>
      <c r="F23" s="104"/>
      <c r="G23" s="104"/>
      <c r="H23" s="104"/>
      <c r="I23" s="104"/>
      <c r="J23" s="104"/>
      <c r="K23" s="104"/>
      <c r="L23" s="215"/>
      <c r="M23" s="29"/>
      <c r="N23" s="133" t="s">
        <v>237</v>
      </c>
      <c r="O23" s="222">
        <f>+PI()*O13^2</f>
        <v>0.99478654094383834</v>
      </c>
      <c r="P23" s="134" t="s">
        <v>68</v>
      </c>
      <c r="Q23" s="104"/>
      <c r="R23" s="104"/>
      <c r="S23" s="104"/>
      <c r="T23" s="104"/>
      <c r="U23" s="104"/>
      <c r="V23" s="104"/>
      <c r="W23" s="104"/>
      <c r="X23" s="215"/>
      <c r="Y23" s="29"/>
    </row>
    <row r="24" spans="1:25" x14ac:dyDescent="0.25">
      <c r="A24" s="29"/>
      <c r="B24" s="237" t="s">
        <v>238</v>
      </c>
      <c r="C24" s="238">
        <f>+C23-SUM(C19:C21)</f>
        <v>0.73195904933889278</v>
      </c>
      <c r="D24" s="239" t="s">
        <v>68</v>
      </c>
      <c r="E24" s="104"/>
      <c r="F24" s="104"/>
      <c r="G24" s="104"/>
      <c r="H24" s="104"/>
      <c r="I24" s="104"/>
      <c r="J24" s="104"/>
      <c r="K24" s="104"/>
      <c r="L24" s="215"/>
      <c r="M24" s="29"/>
      <c r="N24" s="237" t="s">
        <v>238</v>
      </c>
      <c r="O24" s="238">
        <f>+O23-SUM(O19:O21)</f>
        <v>0.73195904933889278</v>
      </c>
      <c r="P24" s="239" t="s">
        <v>68</v>
      </c>
      <c r="Q24" s="104"/>
      <c r="R24" s="104"/>
      <c r="S24" s="104"/>
      <c r="T24" s="104"/>
      <c r="U24" s="104"/>
      <c r="V24" s="104"/>
      <c r="W24" s="104"/>
      <c r="X24" s="215"/>
      <c r="Y24" s="29"/>
    </row>
    <row r="25" spans="1:25" ht="15.75" thickBot="1" x14ac:dyDescent="0.3">
      <c r="A25" s="29"/>
      <c r="B25" s="129"/>
      <c r="C25" s="49"/>
      <c r="D25" s="130"/>
      <c r="E25" s="218"/>
      <c r="F25" s="218"/>
      <c r="G25" s="218"/>
      <c r="H25" s="218"/>
      <c r="I25" s="218"/>
      <c r="J25" s="218"/>
      <c r="K25" s="218"/>
      <c r="L25" s="219"/>
      <c r="M25" s="29"/>
      <c r="N25" s="129"/>
      <c r="O25" s="49"/>
      <c r="P25" s="130"/>
      <c r="Q25" s="218"/>
      <c r="R25" s="218"/>
      <c r="S25" s="218"/>
      <c r="T25" s="218"/>
      <c r="U25" s="218"/>
      <c r="V25" s="218"/>
      <c r="W25" s="218"/>
      <c r="X25" s="219"/>
      <c r="Y25" s="29"/>
    </row>
    <row r="26" spans="1:25" x14ac:dyDescent="0.25">
      <c r="A26" s="29"/>
      <c r="B26" s="229" t="s">
        <v>241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1"/>
      <c r="M26" s="29"/>
      <c r="N26" s="224" t="s">
        <v>251</v>
      </c>
      <c r="O26" s="225"/>
      <c r="P26" s="225"/>
      <c r="Q26" s="225"/>
      <c r="R26" s="225"/>
      <c r="S26" s="225"/>
      <c r="T26" s="225"/>
      <c r="U26" s="225"/>
      <c r="V26" s="225"/>
      <c r="W26" s="225"/>
      <c r="X26" s="226"/>
      <c r="Y26" s="29"/>
    </row>
    <row r="27" spans="1:25" ht="15.75" thickBot="1" x14ac:dyDescent="0.3">
      <c r="A27" s="29"/>
      <c r="B27" s="232"/>
      <c r="C27" s="233"/>
      <c r="D27" s="233"/>
      <c r="E27" s="233"/>
      <c r="F27" s="233"/>
      <c r="G27" s="233"/>
      <c r="H27" s="233"/>
      <c r="I27" s="233"/>
      <c r="J27" s="233"/>
      <c r="K27" s="233"/>
      <c r="L27" s="234"/>
      <c r="M27" s="29"/>
      <c r="N27" s="227"/>
      <c r="O27" s="223"/>
      <c r="P27" s="223"/>
      <c r="Q27" s="223"/>
      <c r="R27" s="223"/>
      <c r="S27" s="223"/>
      <c r="T27" s="223"/>
      <c r="U27" s="223"/>
      <c r="V27" s="223"/>
      <c r="W27" s="223"/>
      <c r="X27" s="228"/>
      <c r="Y27" s="29"/>
    </row>
    <row r="28" spans="1:25" x14ac:dyDescent="0.25">
      <c r="A28" s="29"/>
      <c r="B28" s="211"/>
      <c r="C28" s="212"/>
      <c r="D28" s="212"/>
      <c r="E28" s="212"/>
      <c r="F28" s="212"/>
      <c r="G28" s="212"/>
      <c r="H28" s="212"/>
      <c r="I28" s="212"/>
      <c r="J28" s="212"/>
      <c r="K28" s="212"/>
      <c r="L28" s="213"/>
      <c r="M28" s="29"/>
      <c r="N28" s="211"/>
      <c r="O28" s="212"/>
      <c r="P28" s="212"/>
      <c r="Q28" s="212"/>
      <c r="R28" s="212"/>
      <c r="S28" s="212"/>
      <c r="T28" s="212"/>
      <c r="U28" s="212"/>
      <c r="V28" s="212"/>
      <c r="W28" s="212"/>
      <c r="X28" s="213"/>
      <c r="Y28" s="29"/>
    </row>
    <row r="29" spans="1:25" x14ac:dyDescent="0.25">
      <c r="A29" s="29"/>
      <c r="B29" s="216" t="s">
        <v>243</v>
      </c>
      <c r="C29" s="104">
        <f>+PI()-(ASIN(C4/2/C13)+ASIN(C7/2/C13))</f>
        <v>1.8545904360032244</v>
      </c>
      <c r="D29" s="104" t="s">
        <v>235</v>
      </c>
      <c r="E29" s="104"/>
      <c r="F29" s="104"/>
      <c r="G29" s="104"/>
      <c r="H29" s="104"/>
      <c r="I29" s="104"/>
      <c r="J29" s="104"/>
      <c r="K29" s="104"/>
      <c r="L29" s="215"/>
      <c r="M29" s="29"/>
      <c r="N29" s="216" t="s">
        <v>243</v>
      </c>
      <c r="O29" s="104">
        <f>+PI()-(ASIN(O4/2/O13)+ASIN(O7/2/O13))</f>
        <v>1.8545904360032244</v>
      </c>
      <c r="P29" s="104" t="s">
        <v>235</v>
      </c>
      <c r="Q29" s="104"/>
      <c r="R29" s="104"/>
      <c r="S29" s="104"/>
      <c r="T29" s="104"/>
      <c r="U29" s="104"/>
      <c r="V29" s="104"/>
      <c r="W29" s="104"/>
      <c r="X29" s="215"/>
      <c r="Y29" s="29"/>
    </row>
    <row r="30" spans="1:25" x14ac:dyDescent="0.25">
      <c r="A30" s="29"/>
      <c r="B30" s="214" t="s">
        <v>244</v>
      </c>
      <c r="C30" s="104">
        <f>+C29*C13</f>
        <v>1.0436095145272422</v>
      </c>
      <c r="D30" s="104" t="s">
        <v>2</v>
      </c>
      <c r="E30" s="104"/>
      <c r="F30" s="104"/>
      <c r="G30" s="104"/>
      <c r="H30" s="104"/>
      <c r="I30" s="104"/>
      <c r="J30" s="104"/>
      <c r="K30" s="104"/>
      <c r="L30" s="215"/>
      <c r="M30" s="29"/>
      <c r="N30" s="214" t="s">
        <v>244</v>
      </c>
      <c r="O30" s="104">
        <f>+O29*O13</f>
        <v>1.0436095145272422</v>
      </c>
      <c r="P30" s="104" t="s">
        <v>2</v>
      </c>
      <c r="Q30" s="104"/>
      <c r="R30" s="104"/>
      <c r="S30" s="104"/>
      <c r="T30" s="104"/>
      <c r="U30" s="104"/>
      <c r="V30" s="104"/>
      <c r="W30" s="104"/>
      <c r="X30" s="215"/>
      <c r="Y30" s="29"/>
    </row>
    <row r="31" spans="1:25" x14ac:dyDescent="0.25">
      <c r="A31" s="29"/>
      <c r="B31" s="214" t="s">
        <v>246</v>
      </c>
      <c r="C31" s="104">
        <f>+C16*C14</f>
        <v>1.0038872188475327</v>
      </c>
      <c r="D31" s="104" t="s">
        <v>2</v>
      </c>
      <c r="E31" s="104"/>
      <c r="F31" s="104"/>
      <c r="G31" s="104"/>
      <c r="H31" s="104"/>
      <c r="I31" s="104"/>
      <c r="J31" s="104"/>
      <c r="K31" s="104"/>
      <c r="L31" s="215"/>
      <c r="M31" s="29"/>
      <c r="N31" s="214" t="s">
        <v>246</v>
      </c>
      <c r="O31" s="104">
        <f>+O16*O14</f>
        <v>1.0038872188475327</v>
      </c>
      <c r="P31" s="104" t="s">
        <v>2</v>
      </c>
      <c r="Q31" s="104"/>
      <c r="R31" s="104"/>
      <c r="S31" s="104"/>
      <c r="T31" s="104"/>
      <c r="U31" s="104"/>
      <c r="V31" s="104"/>
      <c r="W31" s="104"/>
      <c r="X31" s="215"/>
      <c r="Y31" s="29"/>
    </row>
    <row r="32" spans="1:25" x14ac:dyDescent="0.25">
      <c r="A32" s="29"/>
      <c r="B32" s="235" t="s">
        <v>245</v>
      </c>
      <c r="C32" s="236">
        <f>+C31+C7+2*C30</f>
        <v>3.741106247902017</v>
      </c>
      <c r="D32" s="236" t="s">
        <v>2</v>
      </c>
      <c r="E32" s="104"/>
      <c r="F32" s="104"/>
      <c r="G32" s="104"/>
      <c r="H32" s="104"/>
      <c r="I32" s="104"/>
      <c r="J32" s="104"/>
      <c r="K32" s="104"/>
      <c r="L32" s="215"/>
      <c r="M32" s="29"/>
      <c r="N32" s="235" t="s">
        <v>245</v>
      </c>
      <c r="O32" s="236">
        <f>+O31+O7+2*O30</f>
        <v>3.741106247902017</v>
      </c>
      <c r="P32" s="236" t="s">
        <v>2</v>
      </c>
      <c r="Q32" s="104"/>
      <c r="R32" s="104"/>
      <c r="S32" s="104"/>
      <c r="T32" s="104"/>
      <c r="U32" s="104"/>
      <c r="V32" s="104"/>
      <c r="W32" s="104"/>
      <c r="X32" s="215"/>
      <c r="Y32" s="29"/>
    </row>
    <row r="33" spans="1:25" ht="15.75" thickBot="1" x14ac:dyDescent="0.3">
      <c r="A33" s="29"/>
      <c r="B33" s="217"/>
      <c r="C33" s="218"/>
      <c r="D33" s="218"/>
      <c r="E33" s="218"/>
      <c r="F33" s="218"/>
      <c r="G33" s="218"/>
      <c r="H33" s="218"/>
      <c r="I33" s="218"/>
      <c r="J33" s="218"/>
      <c r="K33" s="218"/>
      <c r="L33" s="219"/>
      <c r="M33" s="29"/>
      <c r="N33" s="217"/>
      <c r="O33" s="218"/>
      <c r="P33" s="218"/>
      <c r="Q33" s="218"/>
      <c r="R33" s="218"/>
      <c r="S33" s="218"/>
      <c r="T33" s="218"/>
      <c r="U33" s="218"/>
      <c r="V33" s="218"/>
      <c r="W33" s="218"/>
      <c r="X33" s="219"/>
      <c r="Y33" s="29"/>
    </row>
    <row r="34" spans="1:25" ht="15.75" thickBot="1" x14ac:dyDescent="0.3">
      <c r="A34" s="29"/>
      <c r="M34" s="29"/>
      <c r="Y34" s="29"/>
    </row>
    <row r="35" spans="1:25" x14ac:dyDescent="0.25">
      <c r="B35" s="224" t="s">
        <v>250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6"/>
      <c r="M35" s="29"/>
      <c r="N35" s="224" t="s">
        <v>252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6"/>
      <c r="Y35" s="29"/>
    </row>
    <row r="36" spans="1:25" ht="15.75" thickBot="1" x14ac:dyDescent="0.3">
      <c r="B36" s="227"/>
      <c r="C36" s="223"/>
      <c r="D36" s="223"/>
      <c r="E36" s="223"/>
      <c r="F36" s="223"/>
      <c r="G36" s="223"/>
      <c r="H36" s="223"/>
      <c r="I36" s="223"/>
      <c r="J36" s="223"/>
      <c r="K36" s="223"/>
      <c r="L36" s="228"/>
      <c r="N36" s="227"/>
      <c r="O36" s="223"/>
      <c r="P36" s="223"/>
      <c r="Q36" s="223"/>
      <c r="R36" s="223"/>
      <c r="S36" s="223"/>
      <c r="T36" s="223"/>
      <c r="U36" s="223"/>
      <c r="V36" s="223"/>
      <c r="W36" s="223"/>
      <c r="X36" s="228"/>
      <c r="Y36" s="29"/>
    </row>
    <row r="37" spans="1:25" x14ac:dyDescent="0.25">
      <c r="B37" s="240" t="s">
        <v>248</v>
      </c>
      <c r="C37" s="241">
        <v>1.2</v>
      </c>
      <c r="D37" s="242" t="s">
        <v>2</v>
      </c>
      <c r="E37" s="212"/>
      <c r="F37" s="212"/>
      <c r="G37" s="212"/>
      <c r="H37" s="212"/>
      <c r="I37" s="212"/>
      <c r="J37" s="212"/>
      <c r="K37" s="212"/>
      <c r="L37" s="213"/>
      <c r="N37" s="240" t="s">
        <v>248</v>
      </c>
      <c r="O37" s="241">
        <v>1.2</v>
      </c>
      <c r="P37" s="242" t="s">
        <v>2</v>
      </c>
      <c r="Q37" s="212"/>
      <c r="R37" s="212"/>
      <c r="S37" s="212"/>
      <c r="T37" s="212"/>
      <c r="U37" s="212"/>
      <c r="V37" s="212"/>
      <c r="W37" s="212"/>
      <c r="X37" s="213"/>
    </row>
    <row r="38" spans="1:25" x14ac:dyDescent="0.25">
      <c r="B38" s="243" t="s">
        <v>249</v>
      </c>
      <c r="C38" s="244">
        <v>0.1</v>
      </c>
      <c r="D38" s="245" t="s">
        <v>2</v>
      </c>
      <c r="E38" s="104"/>
      <c r="F38" s="104"/>
      <c r="G38" s="104"/>
      <c r="H38" s="104"/>
      <c r="I38" s="104"/>
      <c r="J38" s="104"/>
      <c r="K38" s="104"/>
      <c r="L38" s="215"/>
      <c r="N38" s="243" t="s">
        <v>249</v>
      </c>
      <c r="O38" s="244">
        <v>0.1</v>
      </c>
      <c r="P38" s="245" t="s">
        <v>2</v>
      </c>
      <c r="Q38" s="104"/>
      <c r="R38" s="104"/>
      <c r="S38" s="104"/>
      <c r="T38" s="104"/>
      <c r="U38" s="104"/>
      <c r="V38" s="104"/>
      <c r="W38" s="104"/>
      <c r="X38" s="215"/>
    </row>
    <row r="39" spans="1:25" x14ac:dyDescent="0.25">
      <c r="B39" s="243" t="s">
        <v>225</v>
      </c>
      <c r="C39" s="244">
        <v>0.2</v>
      </c>
      <c r="D39" s="245" t="s">
        <v>2</v>
      </c>
      <c r="E39" s="104"/>
      <c r="F39" s="104"/>
      <c r="G39" s="104"/>
      <c r="H39" s="104"/>
      <c r="I39" s="104"/>
      <c r="J39" s="104"/>
      <c r="K39" s="104"/>
      <c r="L39" s="215"/>
      <c r="N39" s="243" t="s">
        <v>225</v>
      </c>
      <c r="O39" s="244">
        <v>0.2</v>
      </c>
      <c r="P39" s="245" t="s">
        <v>2</v>
      </c>
      <c r="Q39" s="104"/>
      <c r="R39" s="104"/>
      <c r="S39" s="104"/>
      <c r="T39" s="104"/>
      <c r="U39" s="104"/>
      <c r="V39" s="104"/>
      <c r="W39" s="104"/>
      <c r="X39" s="215"/>
    </row>
    <row r="40" spans="1:25" x14ac:dyDescent="0.25">
      <c r="B40" s="243" t="s">
        <v>226</v>
      </c>
      <c r="C40" s="244">
        <v>0.65</v>
      </c>
      <c r="D40" s="245" t="s">
        <v>2</v>
      </c>
      <c r="E40" s="104"/>
      <c r="F40" s="104"/>
      <c r="G40" s="104"/>
      <c r="H40" s="104"/>
      <c r="I40" s="104"/>
      <c r="J40" s="104"/>
      <c r="K40" s="104"/>
      <c r="L40" s="215"/>
      <c r="N40" s="243" t="s">
        <v>226</v>
      </c>
      <c r="O40" s="244">
        <v>0.65</v>
      </c>
      <c r="P40" s="245" t="s">
        <v>2</v>
      </c>
      <c r="Q40" s="104"/>
      <c r="R40" s="104"/>
      <c r="S40" s="104"/>
      <c r="T40" s="104"/>
      <c r="U40" s="104"/>
      <c r="V40" s="104"/>
      <c r="W40" s="104"/>
      <c r="X40" s="215"/>
    </row>
    <row r="41" spans="1:25" x14ac:dyDescent="0.25">
      <c r="B41" s="243"/>
      <c r="C41" s="246"/>
      <c r="D41" s="245"/>
      <c r="E41" s="104"/>
      <c r="F41" s="104"/>
      <c r="G41" s="104"/>
      <c r="H41" s="104"/>
      <c r="I41" s="104"/>
      <c r="J41" s="104"/>
      <c r="K41" s="104"/>
      <c r="L41" s="215"/>
      <c r="N41" s="243"/>
      <c r="O41" s="246"/>
      <c r="P41" s="245"/>
      <c r="Q41" s="104"/>
      <c r="R41" s="104"/>
      <c r="S41" s="104"/>
      <c r="T41" s="104"/>
      <c r="U41" s="104"/>
      <c r="V41" s="104"/>
      <c r="W41" s="104"/>
      <c r="X41" s="215"/>
    </row>
    <row r="42" spans="1:25" x14ac:dyDescent="0.25">
      <c r="B42" s="247" t="s">
        <v>45</v>
      </c>
      <c r="C42" s="248">
        <f>+((C37+0.1+C40)/2)*C39+2*(0.05*C38/2)</f>
        <v>0.20000000000000004</v>
      </c>
      <c r="D42" s="249" t="s">
        <v>68</v>
      </c>
      <c r="E42" s="104"/>
      <c r="F42" s="104"/>
      <c r="G42" s="104"/>
      <c r="H42" s="104"/>
      <c r="I42" s="104"/>
      <c r="J42" s="104"/>
      <c r="K42" s="104"/>
      <c r="L42" s="215"/>
      <c r="Q42" s="104"/>
      <c r="R42" s="104"/>
      <c r="S42" s="104"/>
      <c r="T42" s="104"/>
      <c r="U42" s="104"/>
      <c r="V42" s="104"/>
      <c r="W42" s="104"/>
      <c r="X42" s="215"/>
    </row>
    <row r="43" spans="1:25" x14ac:dyDescent="0.25">
      <c r="B43" s="243"/>
      <c r="C43" s="246"/>
      <c r="D43" s="245"/>
      <c r="E43" s="104"/>
      <c r="F43" s="104"/>
      <c r="G43" s="104"/>
      <c r="H43" s="104"/>
      <c r="I43" s="104"/>
      <c r="J43" s="104"/>
      <c r="K43" s="104"/>
      <c r="L43" s="215"/>
      <c r="N43" s="243"/>
      <c r="O43" s="246"/>
      <c r="P43" s="245"/>
      <c r="Q43" s="104"/>
      <c r="R43" s="104"/>
      <c r="S43" s="104"/>
      <c r="T43" s="104"/>
      <c r="U43" s="104"/>
      <c r="V43" s="104"/>
      <c r="W43" s="104"/>
      <c r="X43" s="215"/>
    </row>
    <row r="44" spans="1:25" x14ac:dyDescent="0.25">
      <c r="B44" s="243"/>
      <c r="C44" s="246"/>
      <c r="D44" s="245"/>
      <c r="E44" s="104"/>
      <c r="F44" s="104"/>
      <c r="G44" s="104"/>
      <c r="H44" s="104"/>
      <c r="I44" s="104"/>
      <c r="J44" s="104"/>
      <c r="K44" s="104"/>
      <c r="L44" s="215"/>
      <c r="N44" s="247" t="s">
        <v>45</v>
      </c>
      <c r="O44" s="248">
        <f>+((O37+0.1+O40)/2)*O39+2*(0.05*O38/2)</f>
        <v>0.20000000000000004</v>
      </c>
      <c r="P44" s="249" t="s">
        <v>68</v>
      </c>
      <c r="Q44" s="104"/>
      <c r="R44" s="104"/>
      <c r="S44" s="104"/>
      <c r="T44" s="104"/>
      <c r="U44" s="104"/>
      <c r="V44" s="104"/>
      <c r="W44" s="104"/>
      <c r="X44" s="215"/>
    </row>
    <row r="45" spans="1:25" x14ac:dyDescent="0.25">
      <c r="B45" s="243"/>
      <c r="C45" s="246"/>
      <c r="D45" s="245"/>
      <c r="E45" s="104"/>
      <c r="F45" s="104"/>
      <c r="G45" s="104"/>
      <c r="H45" s="104"/>
      <c r="I45" s="104"/>
      <c r="J45" s="104"/>
      <c r="K45" s="104"/>
      <c r="L45" s="215"/>
      <c r="N45" s="243"/>
      <c r="O45" s="246"/>
      <c r="P45" s="245"/>
      <c r="Q45" s="104"/>
      <c r="R45" s="104"/>
      <c r="S45" s="104"/>
      <c r="T45" s="104"/>
      <c r="U45" s="104"/>
      <c r="V45" s="104"/>
      <c r="W45" s="104"/>
      <c r="X45" s="215"/>
    </row>
    <row r="46" spans="1:25" x14ac:dyDescent="0.25">
      <c r="B46" s="243"/>
      <c r="C46" s="246"/>
      <c r="D46" s="245"/>
      <c r="E46" s="104"/>
      <c r="F46" s="104"/>
      <c r="G46" s="104"/>
      <c r="H46" s="104"/>
      <c r="I46" s="104"/>
      <c r="J46" s="104"/>
      <c r="K46" s="104"/>
      <c r="L46" s="215"/>
      <c r="N46" s="243"/>
      <c r="O46" s="246"/>
      <c r="P46" s="245"/>
      <c r="Q46" s="104"/>
      <c r="R46" s="104"/>
      <c r="S46" s="104"/>
      <c r="T46" s="104"/>
      <c r="U46" s="104"/>
      <c r="V46" s="104"/>
      <c r="W46" s="104"/>
      <c r="X46" s="215"/>
    </row>
    <row r="47" spans="1:25" x14ac:dyDescent="0.25">
      <c r="B47" s="243"/>
      <c r="C47" s="246"/>
      <c r="D47" s="245"/>
      <c r="E47" s="104"/>
      <c r="F47" s="104"/>
      <c r="G47" s="104"/>
      <c r="H47" s="104"/>
      <c r="I47" s="104"/>
      <c r="J47" s="104"/>
      <c r="K47" s="104"/>
      <c r="L47" s="215"/>
      <c r="N47" s="243"/>
      <c r="O47" s="246"/>
      <c r="P47" s="245"/>
      <c r="Q47" s="104"/>
      <c r="R47" s="104"/>
      <c r="S47" s="104"/>
      <c r="T47" s="104"/>
      <c r="U47" s="104"/>
      <c r="V47" s="104"/>
      <c r="W47" s="104"/>
      <c r="X47" s="215"/>
    </row>
    <row r="48" spans="1:25" x14ac:dyDescent="0.25">
      <c r="B48" s="243"/>
      <c r="C48" s="246"/>
      <c r="D48" s="245"/>
      <c r="E48" s="104"/>
      <c r="F48" s="104"/>
      <c r="G48" s="104"/>
      <c r="H48" s="104"/>
      <c r="I48" s="104"/>
      <c r="J48" s="104"/>
      <c r="K48" s="104"/>
      <c r="L48" s="215"/>
      <c r="N48" s="243"/>
      <c r="O48" s="246"/>
      <c r="P48" s="245"/>
      <c r="Q48" s="104"/>
      <c r="R48" s="104"/>
      <c r="S48" s="104"/>
      <c r="T48" s="104"/>
      <c r="U48" s="104"/>
      <c r="V48" s="104"/>
      <c r="W48" s="104"/>
      <c r="X48" s="215"/>
    </row>
    <row r="49" spans="2:24" x14ac:dyDescent="0.25">
      <c r="B49" s="243"/>
      <c r="C49" s="246"/>
      <c r="D49" s="245"/>
      <c r="E49" s="104"/>
      <c r="F49" s="104"/>
      <c r="G49" s="104"/>
      <c r="H49" s="104"/>
      <c r="I49" s="104"/>
      <c r="J49" s="104"/>
      <c r="K49" s="104"/>
      <c r="L49" s="215"/>
      <c r="N49" s="243"/>
      <c r="O49" s="246"/>
      <c r="P49" s="245"/>
      <c r="Q49" s="104"/>
      <c r="R49" s="104"/>
      <c r="S49" s="104"/>
      <c r="T49" s="104"/>
      <c r="U49" s="104"/>
      <c r="V49" s="104"/>
      <c r="W49" s="104"/>
      <c r="X49" s="215"/>
    </row>
    <row r="50" spans="2:24" x14ac:dyDescent="0.25">
      <c r="B50" s="243"/>
      <c r="C50" s="246"/>
      <c r="D50" s="245"/>
      <c r="E50" s="104"/>
      <c r="F50" s="104"/>
      <c r="G50" s="104"/>
      <c r="H50" s="104"/>
      <c r="I50" s="104"/>
      <c r="J50" s="104"/>
      <c r="K50" s="104"/>
      <c r="L50" s="215"/>
      <c r="N50" s="243"/>
      <c r="O50" s="246"/>
      <c r="P50" s="245"/>
      <c r="Q50" s="104"/>
      <c r="R50" s="104"/>
      <c r="S50" s="104"/>
      <c r="T50" s="104"/>
      <c r="U50" s="104"/>
      <c r="V50" s="104"/>
      <c r="W50" s="104"/>
      <c r="X50" s="215"/>
    </row>
    <row r="51" spans="2:24" x14ac:dyDescent="0.25">
      <c r="B51" s="243"/>
      <c r="C51" s="246"/>
      <c r="D51" s="245"/>
      <c r="E51" s="104"/>
      <c r="F51" s="104"/>
      <c r="G51" s="104"/>
      <c r="H51" s="104"/>
      <c r="I51" s="104"/>
      <c r="J51" s="104"/>
      <c r="K51" s="104"/>
      <c r="L51" s="215"/>
      <c r="N51" s="243"/>
      <c r="O51" s="246"/>
      <c r="P51" s="245"/>
      <c r="Q51" s="104"/>
      <c r="R51" s="104"/>
      <c r="S51" s="104"/>
      <c r="T51" s="104"/>
      <c r="U51" s="104"/>
      <c r="V51" s="104"/>
      <c r="W51" s="104"/>
      <c r="X51" s="215"/>
    </row>
    <row r="52" spans="2:24" x14ac:dyDescent="0.25">
      <c r="B52" s="247" t="s">
        <v>247</v>
      </c>
      <c r="C52" s="248">
        <f>+C40+2*C38+C37+2*SQRT(0.05^2+C38^2)+2*SQRT(C39^2+(((C37+0.1)-C40)/2)^2)</f>
        <v>3.0368236738736663</v>
      </c>
      <c r="D52" s="249" t="s">
        <v>2</v>
      </c>
      <c r="E52" s="104"/>
      <c r="F52" s="104"/>
      <c r="G52" s="104"/>
      <c r="H52" s="104"/>
      <c r="I52" s="104"/>
      <c r="J52" s="104"/>
      <c r="K52" s="104"/>
      <c r="L52" s="215"/>
      <c r="N52" s="247" t="s">
        <v>247</v>
      </c>
      <c r="O52" s="248">
        <f>+O40+2*O38+O37+2*SQRT(0.05^2+O38^2)+2*SQRT(O39^2+(((O37+0.1)-O40)/2)^2)</f>
        <v>3.0368236738736663</v>
      </c>
      <c r="P52" s="249" t="s">
        <v>2</v>
      </c>
      <c r="Q52" s="104"/>
      <c r="R52" s="104"/>
      <c r="S52" s="104"/>
      <c r="T52" s="104"/>
      <c r="U52" s="104"/>
      <c r="V52" s="104"/>
      <c r="W52" s="104"/>
      <c r="X52" s="215"/>
    </row>
    <row r="53" spans="2:24" x14ac:dyDescent="0.25">
      <c r="B53" s="243"/>
      <c r="C53" s="246"/>
      <c r="D53" s="245"/>
      <c r="E53" s="104"/>
      <c r="F53" s="104"/>
      <c r="G53" s="104"/>
      <c r="H53" s="104"/>
      <c r="I53" s="104"/>
      <c r="J53" s="104"/>
      <c r="K53" s="104"/>
      <c r="L53" s="215"/>
      <c r="N53" s="243"/>
      <c r="O53" s="246"/>
      <c r="P53" s="245"/>
      <c r="Q53" s="104"/>
      <c r="R53" s="104"/>
      <c r="S53" s="104"/>
      <c r="T53" s="104"/>
      <c r="U53" s="104"/>
      <c r="V53" s="104"/>
      <c r="W53" s="104"/>
      <c r="X53" s="215"/>
    </row>
    <row r="54" spans="2:24" x14ac:dyDescent="0.25">
      <c r="B54" s="243"/>
      <c r="C54" s="246"/>
      <c r="D54" s="245"/>
      <c r="E54" s="104"/>
      <c r="F54" s="104"/>
      <c r="G54" s="104"/>
      <c r="H54" s="104"/>
      <c r="I54" s="104"/>
      <c r="J54" s="104"/>
      <c r="K54" s="104"/>
      <c r="L54" s="215"/>
      <c r="N54" s="243"/>
      <c r="O54" s="246"/>
      <c r="P54" s="245"/>
      <c r="Q54" s="104"/>
      <c r="R54" s="104"/>
      <c r="S54" s="104"/>
      <c r="T54" s="104"/>
      <c r="U54" s="104"/>
      <c r="V54" s="104"/>
      <c r="W54" s="104"/>
      <c r="X54" s="215"/>
    </row>
    <row r="55" spans="2:24" ht="15.75" thickBot="1" x14ac:dyDescent="0.3">
      <c r="B55" s="250"/>
      <c r="C55" s="251"/>
      <c r="D55" s="252"/>
      <c r="E55" s="218"/>
      <c r="F55" s="218"/>
      <c r="G55" s="218"/>
      <c r="H55" s="218"/>
      <c r="I55" s="218"/>
      <c r="J55" s="218"/>
      <c r="K55" s="218"/>
      <c r="L55" s="219"/>
      <c r="N55" s="250"/>
      <c r="O55" s="251"/>
      <c r="P55" s="252"/>
      <c r="Q55" s="218"/>
      <c r="R55" s="218"/>
      <c r="S55" s="218"/>
      <c r="T55" s="218"/>
      <c r="U55" s="218"/>
      <c r="V55" s="218"/>
      <c r="W55" s="218"/>
      <c r="X55" s="219"/>
    </row>
  </sheetData>
  <mergeCells count="6">
    <mergeCell ref="B2:L3"/>
    <mergeCell ref="N2:X3"/>
    <mergeCell ref="B26:L27"/>
    <mergeCell ref="N26:X27"/>
    <mergeCell ref="B35:L36"/>
    <mergeCell ref="N35:X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Gometria de Camara</vt:lpstr>
      <vt:lpstr>Geometria  Pailas</vt:lpstr>
      <vt:lpstr>Geometria 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2019-11-25T21:42:19Z</dcterms:modified>
</cp:coreProperties>
</file>