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1F271A2-6909-45BA-AC5A-5C19B4920830}" xr6:coauthVersionLast="47" xr6:coauthVersionMax="47" xr10:uidLastSave="{00000000-0000-0000-0000-000000000000}"/>
  <bookViews>
    <workbookView xWindow="-120" yWindow="-120" windowWidth="29040" windowHeight="15840" activeTab="1" xr2:uid="{3FCEED93-83EE-48C2-BCD9-1249F5F9921D}"/>
  </bookViews>
  <sheets>
    <sheet name="Bagazo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2" l="1"/>
  <c r="C89" i="2"/>
  <c r="C96" i="2" s="1"/>
  <c r="C84" i="2"/>
  <c r="C86" i="2"/>
  <c r="C83" i="2"/>
  <c r="C75" i="2"/>
  <c r="C61" i="2"/>
  <c r="C45" i="2"/>
  <c r="C44" i="2"/>
  <c r="C48" i="2"/>
  <c r="D36" i="2"/>
  <c r="D37" i="2" s="1"/>
  <c r="R9" i="2" s="1"/>
  <c r="D24" i="2"/>
  <c r="R16" i="2" s="1"/>
  <c r="R20" i="2"/>
  <c r="R18" i="2"/>
  <c r="R17" i="2"/>
  <c r="D10" i="2"/>
  <c r="K8" i="2" s="1"/>
  <c r="R6" i="2"/>
  <c r="R5" i="2"/>
  <c r="R4" i="2" l="1"/>
  <c r="K9" i="2"/>
  <c r="K10" i="2"/>
  <c r="K11" i="2" s="1"/>
  <c r="R10" i="2"/>
  <c r="R14" i="2" s="1"/>
  <c r="R8" i="2"/>
  <c r="R13" i="2" s="1"/>
  <c r="K12" i="2" l="1"/>
  <c r="K13" i="2" s="1"/>
  <c r="K14" i="2" s="1"/>
  <c r="D19" i="2" s="1"/>
  <c r="C42" i="2" s="1"/>
  <c r="C72" i="2" s="1"/>
  <c r="K15" i="2"/>
  <c r="R12" i="2"/>
  <c r="C82" i="2" l="1"/>
  <c r="C80" i="2" s="1"/>
  <c r="C87" i="2" s="1"/>
  <c r="C88" i="2" s="1"/>
  <c r="C76" i="2"/>
  <c r="C78" i="2" s="1"/>
  <c r="F78" i="2" s="1"/>
  <c r="K28" i="2"/>
  <c r="R21" i="2"/>
  <c r="R22" i="2" s="1"/>
  <c r="K23" i="2"/>
  <c r="C95" i="2" l="1"/>
  <c r="C103" i="2" s="1"/>
  <c r="C109" i="2" s="1"/>
  <c r="C110" i="2" s="1"/>
  <c r="C106" i="2"/>
  <c r="K26" i="2"/>
  <c r="K21" i="2"/>
  <c r="C101" i="2" l="1"/>
  <c r="C107" i="2"/>
  <c r="C108" i="2" s="1"/>
  <c r="C111" i="2" s="1"/>
  <c r="K22" i="2"/>
  <c r="K25" i="2"/>
  <c r="K33" i="2" s="1"/>
  <c r="K24" i="2"/>
  <c r="K19" i="2"/>
  <c r="K27" i="2"/>
  <c r="K35" i="2" s="1"/>
  <c r="K34" i="2" l="1"/>
  <c r="K36" i="2" s="1"/>
  <c r="D21" i="2" s="1"/>
  <c r="K18" i="2"/>
  <c r="D35" i="2"/>
  <c r="K20" i="2"/>
  <c r="K37" i="2"/>
  <c r="K29" i="2" l="1"/>
  <c r="C43" i="2"/>
  <c r="K30" i="2" l="1"/>
  <c r="F19" i="2" s="1"/>
  <c r="C49" i="2"/>
  <c r="C50" i="2" s="1"/>
  <c r="C52" i="2" s="1"/>
  <c r="C54" i="2" s="1"/>
  <c r="C56" i="2" s="1"/>
  <c r="C58" i="2" s="1"/>
  <c r="C60" i="2" l="1"/>
  <c r="C62" i="2" s="1"/>
  <c r="C63" i="2" s="1"/>
  <c r="C59" i="2"/>
</calcChain>
</file>

<file path=xl/sharedStrings.xml><?xml version="1.0" encoding="utf-8"?>
<sst xmlns="http://schemas.openxmlformats.org/spreadsheetml/2006/main" count="384" uniqueCount="247">
  <si>
    <t>Masa de Bagazo</t>
  </si>
  <si>
    <t>Densidad del Bagazo</t>
  </si>
  <si>
    <t>Capacidad de Hornilla</t>
  </si>
  <si>
    <t>Tiempo Molienda</t>
  </si>
  <si>
    <t>h</t>
  </si>
  <si>
    <t>Dias</t>
  </si>
  <si>
    <t>Kg</t>
  </si>
  <si>
    <t>kg/m3</t>
  </si>
  <si>
    <t>Volumen de Bagazo</t>
  </si>
  <si>
    <t>m3</t>
  </si>
  <si>
    <t>Area de la pila</t>
  </si>
  <si>
    <t>Numero de Pilas</t>
  </si>
  <si>
    <t>kg /h</t>
  </si>
  <si>
    <t>Ad</t>
  </si>
  <si>
    <t>dias</t>
  </si>
  <si>
    <t>Dias Trabajo</t>
  </si>
  <si>
    <t>Horas de Trabajo</t>
  </si>
  <si>
    <t>m2</t>
  </si>
  <si>
    <t>Cantidad de Caña</t>
  </si>
  <si>
    <t>kg/h</t>
  </si>
  <si>
    <t>Unidad 75 Kg/h</t>
  </si>
  <si>
    <t>Producto</t>
  </si>
  <si>
    <t>Panela</t>
  </si>
  <si>
    <t>Propiedades de los Jugos</t>
  </si>
  <si>
    <t>Alimentacion de Bagazo</t>
  </si>
  <si>
    <t>Manual</t>
  </si>
  <si>
    <t>Densidad</t>
  </si>
  <si>
    <t>Alimentacion de Caña</t>
  </si>
  <si>
    <t>Inicial P. Clf</t>
  </si>
  <si>
    <r>
      <rPr>
        <sz val="11"/>
        <color theme="1"/>
        <rFont val="Calibri"/>
        <family val="2"/>
      </rPr>
      <t>ρ</t>
    </r>
    <r>
      <rPr>
        <sz val="8"/>
        <color theme="1"/>
        <rFont val="Calibri"/>
        <family val="2"/>
      </rPr>
      <t>Clf</t>
    </r>
  </si>
  <si>
    <t xml:space="preserve">Cosecha </t>
  </si>
  <si>
    <t>Inicial P. Eva 1</t>
  </si>
  <si>
    <r>
      <t>ρ</t>
    </r>
    <r>
      <rPr>
        <sz val="8"/>
        <color theme="1"/>
        <rFont val="Calibri"/>
        <family val="2"/>
      </rPr>
      <t>Eva1</t>
    </r>
  </si>
  <si>
    <t>Transporte</t>
  </si>
  <si>
    <t>Inicial P. Con</t>
  </si>
  <si>
    <r>
      <t>ρ</t>
    </r>
    <r>
      <rPr>
        <sz val="8"/>
        <color theme="1"/>
        <rFont val="Calibri"/>
        <family val="2"/>
      </rPr>
      <t>Con</t>
    </r>
  </si>
  <si>
    <t>Temperatura Ebullicion</t>
  </si>
  <si>
    <t>Area de Caña Sembrada al rededor</t>
  </si>
  <si>
    <r>
      <t>A</t>
    </r>
    <r>
      <rPr>
        <sz val="6"/>
        <color theme="1"/>
        <rFont val="Calibri"/>
        <family val="2"/>
        <scheme val="minor"/>
      </rPr>
      <t>sar</t>
    </r>
  </si>
  <si>
    <t>Ha</t>
  </si>
  <si>
    <t>Caña molida al mes</t>
  </si>
  <si>
    <t>T/mes</t>
  </si>
  <si>
    <t>Clarificacón</t>
  </si>
  <si>
    <r>
      <t>T</t>
    </r>
    <r>
      <rPr>
        <sz val="8"/>
        <color theme="1"/>
        <rFont val="Calibri"/>
        <family val="2"/>
        <scheme val="minor"/>
      </rPr>
      <t>Sclf</t>
    </r>
  </si>
  <si>
    <t>°C</t>
  </si>
  <si>
    <t>Area de Caña Sembrada Propia</t>
  </si>
  <si>
    <r>
      <t>A</t>
    </r>
    <r>
      <rPr>
        <sz val="6"/>
        <color theme="1"/>
        <rFont val="Calibri"/>
        <family val="2"/>
        <scheme val="minor"/>
      </rPr>
      <t>sp</t>
    </r>
  </si>
  <si>
    <t>Area Cosechada al mes</t>
  </si>
  <si>
    <t>Ha/mes</t>
  </si>
  <si>
    <t>Evaporación</t>
  </si>
  <si>
    <r>
      <t>T</t>
    </r>
    <r>
      <rPr>
        <sz val="8"/>
        <color theme="1"/>
        <rFont val="Calibri"/>
        <family val="2"/>
        <scheme val="minor"/>
      </rPr>
      <t>SEva</t>
    </r>
  </si>
  <si>
    <t>Area de Caña Sembrada Para Calculo</t>
  </si>
  <si>
    <r>
      <t>A</t>
    </r>
    <r>
      <rPr>
        <sz val="6"/>
        <color theme="1"/>
        <rFont val="Calibri"/>
        <family val="2"/>
        <scheme val="minor"/>
      </rPr>
      <t>spc</t>
    </r>
  </si>
  <si>
    <t>Caña molida a la semana</t>
  </si>
  <si>
    <t>T/sem</t>
  </si>
  <si>
    <t>Concentración</t>
  </si>
  <si>
    <r>
      <t>T</t>
    </r>
    <r>
      <rPr>
        <sz val="8"/>
        <color theme="1"/>
        <rFont val="Calibri"/>
        <family val="2"/>
        <scheme val="minor"/>
      </rPr>
      <t>SCon</t>
    </r>
  </si>
  <si>
    <t>Periodo vegetatio</t>
  </si>
  <si>
    <r>
      <t>P</t>
    </r>
    <r>
      <rPr>
        <sz val="6"/>
        <color theme="1"/>
        <rFont val="Calibri"/>
        <family val="2"/>
        <scheme val="minor"/>
      </rPr>
      <t>vg</t>
    </r>
  </si>
  <si>
    <t>meses</t>
  </si>
  <si>
    <t>Caña Molida por Hora</t>
  </si>
  <si>
    <t>T/h</t>
  </si>
  <si>
    <t>Entalpia de Evaporizacion</t>
  </si>
  <si>
    <t>Caña por Hectarea Esperada</t>
  </si>
  <si>
    <r>
      <t>C</t>
    </r>
    <r>
      <rPr>
        <sz val="6"/>
        <color theme="1"/>
        <rFont val="Calibri"/>
        <family val="2"/>
        <scheme val="minor"/>
      </rPr>
      <t>ñH</t>
    </r>
  </si>
  <si>
    <t>T/Ha</t>
  </si>
  <si>
    <t>Jugo Crudo</t>
  </si>
  <si>
    <r>
      <rPr>
        <sz val="11"/>
        <color theme="1"/>
        <rFont val="Calibri"/>
        <family val="2"/>
      </rPr>
      <t>ΔH</t>
    </r>
    <r>
      <rPr>
        <sz val="8"/>
        <color theme="1"/>
        <rFont val="Calibri"/>
        <family val="2"/>
      </rPr>
      <t>v</t>
    </r>
  </si>
  <si>
    <t>KJ/kg</t>
  </si>
  <si>
    <t>CSS de la Caña</t>
  </si>
  <si>
    <r>
      <t>C</t>
    </r>
    <r>
      <rPr>
        <sz val="6"/>
        <color theme="1"/>
        <rFont val="Calibri"/>
        <family val="2"/>
        <scheme val="minor"/>
      </rPr>
      <t>ssi</t>
    </r>
  </si>
  <si>
    <t>°Bx</t>
  </si>
  <si>
    <t>Jugo Clarificado</t>
  </si>
  <si>
    <t>Jornada de Trabajo</t>
  </si>
  <si>
    <r>
      <t>J</t>
    </r>
    <r>
      <rPr>
        <sz val="6"/>
        <color theme="1"/>
        <rFont val="Calibri"/>
        <family val="2"/>
        <scheme val="minor"/>
      </rPr>
      <t>dT</t>
    </r>
  </si>
  <si>
    <t>sem</t>
  </si>
  <si>
    <t>Masa De panela</t>
  </si>
  <si>
    <t>Kg/h</t>
  </si>
  <si>
    <t>Dias de Trabajo</t>
  </si>
  <si>
    <t>Capacidad del Molino</t>
  </si>
  <si>
    <t>Calor espesifico jugo</t>
  </si>
  <si>
    <t>Horas al Dia</t>
  </si>
  <si>
    <t xml:space="preserve"> Inicial</t>
  </si>
  <si>
    <r>
      <t>C</t>
    </r>
    <r>
      <rPr>
        <sz val="8"/>
        <color theme="1"/>
        <rFont val="Calibri"/>
        <family val="2"/>
        <scheme val="minor"/>
      </rPr>
      <t>p</t>
    </r>
  </si>
  <si>
    <t>KJ/Kg °C</t>
  </si>
  <si>
    <t>Masas</t>
  </si>
  <si>
    <t>Clarificado</t>
  </si>
  <si>
    <t>Datos de Entrada</t>
  </si>
  <si>
    <t>MAX</t>
  </si>
  <si>
    <t>Caña</t>
  </si>
  <si>
    <r>
      <t>m</t>
    </r>
    <r>
      <rPr>
        <sz val="6"/>
        <color theme="1"/>
        <rFont val="Calibri"/>
        <family val="2"/>
        <scheme val="minor"/>
      </rPr>
      <t>c</t>
    </r>
  </si>
  <si>
    <t>Eva</t>
  </si>
  <si>
    <t>Capacidad Estimada de la hornilla</t>
  </si>
  <si>
    <r>
      <t>m</t>
    </r>
    <r>
      <rPr>
        <sz val="8"/>
        <color theme="1"/>
        <rFont val="Calibri"/>
        <family val="2"/>
        <scheme val="minor"/>
      </rPr>
      <t>p</t>
    </r>
  </si>
  <si>
    <t>Jugo</t>
  </si>
  <si>
    <r>
      <t>m</t>
    </r>
    <r>
      <rPr>
        <sz val="6"/>
        <color theme="1"/>
        <rFont val="Calibri"/>
        <family val="2"/>
        <scheme val="minor"/>
      </rPr>
      <t>j</t>
    </r>
  </si>
  <si>
    <t>Factor Consumo Bagazo</t>
  </si>
  <si>
    <t>Fcb</t>
  </si>
  <si>
    <t>Kg/Kg</t>
  </si>
  <si>
    <t>Bagazillo</t>
  </si>
  <si>
    <r>
      <t>m</t>
    </r>
    <r>
      <rPr>
        <sz val="6"/>
        <color theme="1"/>
        <rFont val="Calibri"/>
        <family val="2"/>
        <scheme val="minor"/>
      </rPr>
      <t>bzll</t>
    </r>
  </si>
  <si>
    <t>Poder Calorifico Vagazo</t>
  </si>
  <si>
    <t>VCN</t>
  </si>
  <si>
    <t>MJ/kg</t>
  </si>
  <si>
    <t>Eficiencia Calculada</t>
  </si>
  <si>
    <r>
      <t>E</t>
    </r>
    <r>
      <rPr>
        <sz val="8"/>
        <color theme="1"/>
        <rFont val="Calibri"/>
        <family val="2"/>
        <scheme val="minor"/>
      </rPr>
      <t>ff</t>
    </r>
  </si>
  <si>
    <t>%</t>
  </si>
  <si>
    <t>Jugo Pre Limp</t>
  </si>
  <si>
    <r>
      <t>m</t>
    </r>
    <r>
      <rPr>
        <sz val="6"/>
        <color theme="1"/>
        <rFont val="Calibri"/>
        <family val="2"/>
        <scheme val="minor"/>
      </rPr>
      <t>Cl</t>
    </r>
  </si>
  <si>
    <t>Calor Suministrado</t>
  </si>
  <si>
    <r>
      <t>Q</t>
    </r>
    <r>
      <rPr>
        <sz val="8"/>
        <color theme="1"/>
        <rFont val="Calibri"/>
        <family val="2"/>
        <scheme val="minor"/>
      </rPr>
      <t>sum</t>
    </r>
  </si>
  <si>
    <t>KW</t>
  </si>
  <si>
    <t>Bagazillo en Prelimpiador</t>
  </si>
  <si>
    <t>Bgz</t>
  </si>
  <si>
    <t>Cachaza</t>
  </si>
  <si>
    <r>
      <t>m</t>
    </r>
    <r>
      <rPr>
        <sz val="6"/>
        <color theme="1"/>
        <rFont val="Calibri"/>
        <family val="2"/>
        <scheme val="minor"/>
      </rPr>
      <t>chz</t>
    </r>
  </si>
  <si>
    <t>Area de Parrilla</t>
  </si>
  <si>
    <t>Apar</t>
  </si>
  <si>
    <t>m^2</t>
  </si>
  <si>
    <t>Chz</t>
  </si>
  <si>
    <r>
      <t>m</t>
    </r>
    <r>
      <rPr>
        <sz val="6"/>
        <color theme="1"/>
        <rFont val="Calibri"/>
        <family val="2"/>
        <scheme val="minor"/>
      </rPr>
      <t>EV</t>
    </r>
  </si>
  <si>
    <t>CSS del Jugo De Caña</t>
  </si>
  <si>
    <r>
      <t>Css</t>
    </r>
    <r>
      <rPr>
        <sz val="8"/>
        <color theme="1"/>
        <rFont val="Calibri"/>
        <family val="2"/>
        <scheme val="minor"/>
      </rPr>
      <t>i</t>
    </r>
  </si>
  <si>
    <t>Agua a Evaporar</t>
  </si>
  <si>
    <r>
      <t>m</t>
    </r>
    <r>
      <rPr>
        <sz val="6"/>
        <color theme="1"/>
        <rFont val="Calibri"/>
        <family val="2"/>
        <scheme val="minor"/>
      </rPr>
      <t>H2O</t>
    </r>
  </si>
  <si>
    <t>Molinos</t>
  </si>
  <si>
    <t>CSS  del Jugo Calrificado</t>
  </si>
  <si>
    <r>
      <t>Css</t>
    </r>
    <r>
      <rPr>
        <sz val="8"/>
        <color theme="1"/>
        <rFont val="Calibri"/>
        <family val="2"/>
        <scheme val="minor"/>
      </rPr>
      <t>Cl</t>
    </r>
  </si>
  <si>
    <t>A Clarificacion</t>
  </si>
  <si>
    <t>Modelo</t>
  </si>
  <si>
    <t>kg Caña/hora</t>
  </si>
  <si>
    <t>Diesel</t>
  </si>
  <si>
    <t>Electrico</t>
  </si>
  <si>
    <t>Gaolina</t>
  </si>
  <si>
    <t>Relcion i</t>
  </si>
  <si>
    <t>CSS  del Jugo Posevaporacion</t>
  </si>
  <si>
    <r>
      <t>Css</t>
    </r>
    <r>
      <rPr>
        <sz val="8"/>
        <color theme="1"/>
        <rFont val="Calibri"/>
        <family val="2"/>
        <scheme val="minor"/>
      </rPr>
      <t>TE</t>
    </r>
  </si>
  <si>
    <t>A Evaporacion</t>
  </si>
  <si>
    <r>
      <t>m</t>
    </r>
    <r>
      <rPr>
        <sz val="8"/>
        <color theme="1"/>
        <rFont val="Calibri"/>
        <family val="2"/>
        <scheme val="minor"/>
      </rPr>
      <t>EV</t>
    </r>
  </si>
  <si>
    <t>R 2-S</t>
  </si>
  <si>
    <t>CSS Panela</t>
  </si>
  <si>
    <r>
      <t>B</t>
    </r>
    <r>
      <rPr>
        <sz val="8"/>
        <color theme="1"/>
        <rFont val="Calibri"/>
        <family val="2"/>
        <scheme val="minor"/>
      </rPr>
      <t>p</t>
    </r>
  </si>
  <si>
    <t>A Concentracion</t>
  </si>
  <si>
    <r>
      <t>m</t>
    </r>
    <r>
      <rPr>
        <sz val="8"/>
        <color theme="1"/>
        <rFont val="Calibri"/>
        <family val="2"/>
        <scheme val="minor"/>
      </rPr>
      <t>Cn</t>
    </r>
  </si>
  <si>
    <t>R 4-A</t>
  </si>
  <si>
    <t>-</t>
  </si>
  <si>
    <t>Tipo de camara</t>
  </si>
  <si>
    <t>Tpcam</t>
  </si>
  <si>
    <t>ward</t>
  </si>
  <si>
    <t>Bag. Suministrado</t>
  </si>
  <si>
    <r>
      <rPr>
        <sz val="11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bsum</t>
    </r>
  </si>
  <si>
    <t>R 4-S</t>
  </si>
  <si>
    <t>Humedad del bagazo</t>
  </si>
  <si>
    <r>
      <t>H</t>
    </r>
    <r>
      <rPr>
        <sz val="8"/>
        <color theme="1"/>
        <rFont val="Calibri"/>
        <family val="2"/>
        <scheme val="minor"/>
      </rPr>
      <t>b</t>
    </r>
  </si>
  <si>
    <t>Bag. humedo</t>
  </si>
  <si>
    <r>
      <t>m</t>
    </r>
    <r>
      <rPr>
        <sz val="8"/>
        <color theme="1"/>
        <rFont val="Calibri"/>
        <family val="2"/>
        <scheme val="minor"/>
      </rPr>
      <t>ev</t>
    </r>
  </si>
  <si>
    <t>R-5-S</t>
  </si>
  <si>
    <t>Exceso de Aire</t>
  </si>
  <si>
    <t>λ</t>
  </si>
  <si>
    <t>Bag. seco</t>
  </si>
  <si>
    <r>
      <t>m</t>
    </r>
    <r>
      <rPr>
        <sz val="8"/>
        <color theme="1"/>
        <rFont val="Calibri"/>
        <family val="2"/>
        <scheme val="minor"/>
      </rPr>
      <t>bs</t>
    </r>
  </si>
  <si>
    <t>R 8-A</t>
  </si>
  <si>
    <t>Extraccion</t>
  </si>
  <si>
    <t>Extr</t>
  </si>
  <si>
    <t>R 8-AC</t>
  </si>
  <si>
    <t>Porcentaje de Fibra</t>
  </si>
  <si>
    <t>f</t>
  </si>
  <si>
    <t>Calor Requerido por Etapa</t>
  </si>
  <si>
    <t>R 8-S</t>
  </si>
  <si>
    <t>Altura del Sitio</t>
  </si>
  <si>
    <t>m</t>
  </si>
  <si>
    <t xml:space="preserve"> Clarificacion</t>
  </si>
  <si>
    <t>Qcl</t>
  </si>
  <si>
    <t>R 12-AC</t>
  </si>
  <si>
    <t>Temperatura Ambiente</t>
  </si>
  <si>
    <r>
      <t>T</t>
    </r>
    <r>
      <rPr>
        <sz val="8"/>
        <color theme="1"/>
        <rFont val="Calibri"/>
        <family val="2"/>
        <scheme val="minor"/>
      </rPr>
      <t>a</t>
    </r>
  </si>
  <si>
    <t>Evaporacion</t>
  </si>
  <si>
    <t>Qev1</t>
  </si>
  <si>
    <t>R 14-AL</t>
  </si>
  <si>
    <t>Humedad inicial bagazo</t>
  </si>
  <si>
    <t>Hibv</t>
  </si>
  <si>
    <t>Concentracion</t>
  </si>
  <si>
    <t>Qcn</t>
  </si>
  <si>
    <t>R 14-S</t>
  </si>
  <si>
    <t>Presion Atmosferica</t>
  </si>
  <si>
    <r>
      <t>P</t>
    </r>
    <r>
      <rPr>
        <sz val="8"/>
        <color theme="1"/>
        <rFont val="Calibri"/>
        <family val="2"/>
        <scheme val="minor"/>
      </rPr>
      <t>a</t>
    </r>
  </si>
  <si>
    <t>mmHG</t>
  </si>
  <si>
    <t>Total</t>
  </si>
  <si>
    <t>Qt</t>
  </si>
  <si>
    <t>R15-ACR</t>
  </si>
  <si>
    <t>Temperatura Ebullición Agua</t>
  </si>
  <si>
    <r>
      <t>T</t>
    </r>
    <r>
      <rPr>
        <sz val="8"/>
        <color theme="1"/>
        <rFont val="Calibri"/>
        <family val="2"/>
        <scheme val="minor"/>
      </rPr>
      <t>e</t>
    </r>
  </si>
  <si>
    <t>Total (F.L.)</t>
  </si>
  <si>
    <t>R-20-AT</t>
  </si>
  <si>
    <t>Determinar Tamaño Bagacera</t>
  </si>
  <si>
    <t>Semanas de Molienda</t>
  </si>
  <si>
    <t>Semanas</t>
  </si>
  <si>
    <t>Masa de Bagazo Molienda</t>
  </si>
  <si>
    <t>Ancho de la pila</t>
  </si>
  <si>
    <t>Altura de La Pila</t>
  </si>
  <si>
    <t>Longitud total Bagazo</t>
  </si>
  <si>
    <t>Longitud Por Pila</t>
  </si>
  <si>
    <t>Area de Bagacera</t>
  </si>
  <si>
    <t>Ancho Bagacera</t>
  </si>
  <si>
    <t>Largo Bagacera</t>
  </si>
  <si>
    <t>Area Total Bagacera</t>
  </si>
  <si>
    <t>Area Cañetero</t>
  </si>
  <si>
    <t>Area de Empaque</t>
  </si>
  <si>
    <t>Area Moldeo y Empaque</t>
  </si>
  <si>
    <t>kg</t>
  </si>
  <si>
    <t>Masa Panela individual</t>
  </si>
  <si>
    <t>Densidad de Panela</t>
  </si>
  <si>
    <t>Espesor Panela</t>
  </si>
  <si>
    <t>Area Total de Moldeo</t>
  </si>
  <si>
    <t>Numero de Punteos</t>
  </si>
  <si>
    <t xml:space="preserve">Numero de mesones </t>
  </si>
  <si>
    <t>Largo Meson</t>
  </si>
  <si>
    <t xml:space="preserve">Numero de Panelas </t>
  </si>
  <si>
    <t>Ancho de Panela</t>
  </si>
  <si>
    <t>Largo de Panela</t>
  </si>
  <si>
    <t>numero de Panelas Ancho</t>
  </si>
  <si>
    <t>Numero de Panelas a Lo Largo</t>
  </si>
  <si>
    <t>Ancho Total de Meson</t>
  </si>
  <si>
    <t>Largo Total de Meson</t>
  </si>
  <si>
    <t>Ancho con gavera</t>
  </si>
  <si>
    <t>numero de Puntos</t>
  </si>
  <si>
    <t>Numero de Panelas Por punto</t>
  </si>
  <si>
    <t xml:space="preserve">Tiempo de Descanso de la Panela </t>
  </si>
  <si>
    <t>minutos</t>
  </si>
  <si>
    <t>ad</t>
  </si>
  <si>
    <t>Ancho de Pasillo</t>
  </si>
  <si>
    <t>largo meson Empaque</t>
  </si>
  <si>
    <t>Ancho del Meson de Empaque</t>
  </si>
  <si>
    <t>Largo zona de Bateas</t>
  </si>
  <si>
    <t xml:space="preserve">Ancho Lavado de Utensilios </t>
  </si>
  <si>
    <t>Ancho Zona Molde</t>
  </si>
  <si>
    <t>Largo Zona de Moldeo</t>
  </si>
  <si>
    <t>Ancho de Corredores Laterales</t>
  </si>
  <si>
    <t>Area Calculada de Moldeo</t>
  </si>
  <si>
    <t>Area Total De Moldeo</t>
  </si>
  <si>
    <t>Empaque y bodega</t>
  </si>
  <si>
    <t>Area de Bodega</t>
  </si>
  <si>
    <t>Largo Empaque</t>
  </si>
  <si>
    <t>Largo Bodea</t>
  </si>
  <si>
    <t>Largo total</t>
  </si>
  <si>
    <t>Ward</t>
  </si>
  <si>
    <t>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</si>
</sst>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0" fillId="2" borderId="0" xfId="0" applyFill="1"/>
    <xf numFmtId="164" fontId="2" fillId="3" borderId="2" xfId="0" applyNumberFormat="1" applyFont="1" applyFill="1" applyBorder="1" applyAlignment="1">
      <alignment horizontal="center" vertical="center" shrinkToFit="1"/>
    </xf>
    <xf numFmtId="164" fontId="0" fillId="3" borderId="2" xfId="0" applyNumberFormat="1" applyFill="1" applyBorder="1" applyAlignment="1">
      <alignment horizontal="center" vertical="center" shrinkToFit="1"/>
    </xf>
    <xf numFmtId="164" fontId="0" fillId="3" borderId="3" xfId="0" applyNumberFormat="1" applyFill="1" applyBorder="1" applyAlignment="1">
      <alignment horizontal="center" vertical="center" shrinkToFit="1"/>
    </xf>
    <xf numFmtId="164" fontId="2" fillId="3" borderId="0" xfId="0" applyNumberFormat="1" applyFont="1" applyFill="1" applyAlignment="1">
      <alignment horizontal="center" vertical="center" shrinkToFit="1"/>
    </xf>
    <xf numFmtId="164" fontId="0" fillId="3" borderId="0" xfId="0" applyNumberFormat="1" applyFill="1" applyAlignment="1">
      <alignment horizontal="center" vertical="center" shrinkToFit="1"/>
    </xf>
    <xf numFmtId="164" fontId="0" fillId="3" borderId="12" xfId="0" applyNumberFormat="1" applyFill="1" applyBorder="1" applyAlignment="1">
      <alignment horizontal="center" vertical="center" shrinkToFit="1"/>
    </xf>
    <xf numFmtId="164" fontId="2" fillId="3" borderId="17" xfId="0" applyNumberFormat="1" applyFont="1" applyFill="1" applyBorder="1" applyAlignment="1">
      <alignment horizontal="center" vertical="center" shrinkToFit="1"/>
    </xf>
    <xf numFmtId="164" fontId="0" fillId="3" borderId="17" xfId="0" applyNumberFormat="1" applyFill="1" applyBorder="1" applyAlignment="1">
      <alignment horizontal="center" vertical="center" shrinkToFit="1"/>
    </xf>
    <xf numFmtId="164" fontId="0" fillId="3" borderId="18" xfId="0" applyNumberFormat="1" applyFill="1" applyBorder="1" applyAlignment="1">
      <alignment horizontal="center" vertical="center" shrinkToFit="1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22" xfId="0" applyFill="1" applyBorder="1" applyAlignment="1">
      <alignment horizontal="center"/>
    </xf>
    <xf numFmtId="165" fontId="0" fillId="3" borderId="5" xfId="0" applyNumberFormat="1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 applyAlignment="1">
      <alignment horizontal="center"/>
    </xf>
    <xf numFmtId="165" fontId="0" fillId="3" borderId="14" xfId="0" applyNumberFormat="1" applyFill="1" applyBorder="1"/>
    <xf numFmtId="0" fontId="0" fillId="3" borderId="15" xfId="0" applyFill="1" applyBorder="1"/>
    <xf numFmtId="164" fontId="0" fillId="3" borderId="13" xfId="0" applyNumberFormat="1" applyFill="1" applyBorder="1" applyAlignment="1">
      <alignment horizontal="left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0" fillId="2" borderId="0" xfId="0" applyFill="1" applyAlignment="1">
      <alignment horizontal="center" vertical="center" shrinkToFit="1"/>
    </xf>
    <xf numFmtId="0" fontId="0" fillId="2" borderId="0" xfId="0" applyFill="1" applyAlignment="1">
      <alignment horizontal="center" shrinkToFit="1"/>
    </xf>
    <xf numFmtId="165" fontId="0" fillId="3" borderId="2" xfId="0" applyNumberFormat="1" applyFill="1" applyBorder="1" applyAlignment="1">
      <alignment horizontal="center" vertical="center" shrinkToFit="1"/>
    </xf>
    <xf numFmtId="164" fontId="0" fillId="4" borderId="13" xfId="0" applyNumberFormat="1" applyFill="1" applyBorder="1" applyAlignment="1">
      <alignment horizontal="left" vertical="center"/>
    </xf>
    <xf numFmtId="164" fontId="0" fillId="4" borderId="14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 shrinkToFit="1"/>
    </xf>
    <xf numFmtId="165" fontId="0" fillId="3" borderId="0" xfId="0" applyNumberFormat="1" applyFill="1" applyAlignment="1">
      <alignment horizontal="center" vertical="center" shrinkToFit="1"/>
    </xf>
    <xf numFmtId="165" fontId="0" fillId="2" borderId="0" xfId="0" applyNumberFormat="1" applyFill="1"/>
    <xf numFmtId="0" fontId="0" fillId="2" borderId="0" xfId="0" applyFill="1" applyAlignment="1">
      <alignment shrinkToFit="1"/>
    </xf>
    <xf numFmtId="164" fontId="0" fillId="2" borderId="0" xfId="0" applyNumberFormat="1" applyFill="1" applyAlignment="1">
      <alignment horizontal="center" vertical="center" shrinkToFi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2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10" fontId="0" fillId="5" borderId="14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3" borderId="12" xfId="0" applyFill="1" applyBorder="1" applyAlignment="1">
      <alignment horizontal="center" vertical="center" shrinkToFit="1"/>
    </xf>
    <xf numFmtId="9" fontId="0" fillId="4" borderId="14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2" borderId="0" xfId="0" applyFill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2" xfId="0" applyFill="1" applyBorder="1"/>
    <xf numFmtId="0" fontId="0" fillId="6" borderId="0" xfId="0" quotePrefix="1" applyFill="1" applyAlignment="1">
      <alignment horizontal="center"/>
    </xf>
    <xf numFmtId="164" fontId="0" fillId="4" borderId="25" xfId="0" applyNumberFormat="1" applyFill="1" applyBorder="1" applyAlignment="1">
      <alignment horizontal="left" vertical="center"/>
    </xf>
    <xf numFmtId="164" fontId="0" fillId="4" borderId="26" xfId="0" applyNumberFormat="1" applyFill="1" applyBorder="1" applyAlignment="1">
      <alignment horizontal="center" vertical="center"/>
    </xf>
    <xf numFmtId="164" fontId="0" fillId="4" borderId="27" xfId="0" applyNumberForma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165" fontId="0" fillId="3" borderId="17" xfId="0" applyNumberFormat="1" applyFill="1" applyBorder="1" applyAlignment="1">
      <alignment horizontal="center" vertical="center" shrinkToFit="1"/>
    </xf>
    <xf numFmtId="9" fontId="0" fillId="4" borderId="14" xfId="1" applyFon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left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vertical="center"/>
    </xf>
    <xf numFmtId="164" fontId="0" fillId="3" borderId="14" xfId="0" applyNumberFormat="1" applyFill="1" applyBorder="1" applyAlignment="1">
      <alignment vertical="center"/>
    </xf>
    <xf numFmtId="9" fontId="0" fillId="3" borderId="14" xfId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vertical="center"/>
    </xf>
    <xf numFmtId="0" fontId="0" fillId="6" borderId="0" xfId="0" quotePrefix="1" applyFill="1"/>
    <xf numFmtId="0" fontId="0" fillId="6" borderId="12" xfId="0" quotePrefix="1" applyFill="1" applyBorder="1"/>
    <xf numFmtId="164" fontId="0" fillId="3" borderId="19" xfId="0" applyNumberFormat="1" applyFill="1" applyBorder="1" applyAlignment="1">
      <alignment horizontal="left" vertical="center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0" fillId="6" borderId="16" xfId="0" applyFill="1" applyBorder="1"/>
    <xf numFmtId="0" fontId="0" fillId="6" borderId="17" xfId="0" applyFill="1" applyBorder="1"/>
    <xf numFmtId="0" fontId="0" fillId="6" borderId="17" xfId="0" quotePrefix="1" applyFill="1" applyBorder="1" applyAlignment="1">
      <alignment horizontal="center"/>
    </xf>
    <xf numFmtId="0" fontId="0" fillId="6" borderId="18" xfId="0" applyFill="1" applyBorder="1"/>
    <xf numFmtId="164" fontId="0" fillId="2" borderId="2" xfId="0" applyNumberForma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11" xfId="0" applyBorder="1"/>
    <xf numFmtId="165" fontId="0" fillId="0" borderId="0" xfId="0" applyNumberFormat="1" applyBorder="1"/>
    <xf numFmtId="0" fontId="0" fillId="0" borderId="12" xfId="0" applyBorder="1"/>
    <xf numFmtId="9" fontId="0" fillId="0" borderId="0" xfId="0" applyNumberFormat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Border="1"/>
    <xf numFmtId="0" fontId="0" fillId="0" borderId="4" xfId="0" applyBorder="1"/>
    <xf numFmtId="164" fontId="0" fillId="0" borderId="5" xfId="0" applyNumberFormat="1" applyBorder="1"/>
    <xf numFmtId="0" fontId="0" fillId="0" borderId="22" xfId="0" applyBorder="1"/>
    <xf numFmtId="0" fontId="0" fillId="0" borderId="13" xfId="0" applyBorder="1"/>
    <xf numFmtId="0" fontId="0" fillId="0" borderId="15" xfId="0" applyBorder="1"/>
    <xf numFmtId="0" fontId="0" fillId="0" borderId="13" xfId="0" applyFill="1" applyBorder="1"/>
    <xf numFmtId="0" fontId="0" fillId="0" borderId="15" xfId="0" applyFill="1" applyBorder="1"/>
    <xf numFmtId="0" fontId="0" fillId="0" borderId="19" xfId="0" applyFill="1" applyBorder="1"/>
    <xf numFmtId="0" fontId="0" fillId="0" borderId="20" xfId="0" applyBorder="1"/>
    <xf numFmtId="0" fontId="0" fillId="0" borderId="21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5" xfId="0" applyBorder="1"/>
    <xf numFmtId="0" fontId="0" fillId="0" borderId="18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shrinkToFit="1"/>
    </xf>
    <xf numFmtId="164" fontId="0" fillId="3" borderId="2" xfId="0" applyNumberFormat="1" applyFill="1" applyBorder="1" applyAlignment="1">
      <alignment horizontal="center" vertical="center" shrinkToFit="1"/>
    </xf>
    <xf numFmtId="164" fontId="0" fillId="3" borderId="11" xfId="0" applyNumberFormat="1" applyFill="1" applyBorder="1" applyAlignment="1">
      <alignment horizontal="center" vertical="center" shrinkToFit="1"/>
    </xf>
    <xf numFmtId="164" fontId="0" fillId="3" borderId="0" xfId="0" applyNumberFormat="1" applyFill="1" applyAlignment="1">
      <alignment horizontal="center" vertical="center" shrinkToFit="1"/>
    </xf>
    <xf numFmtId="164" fontId="0" fillId="3" borderId="16" xfId="0" applyNumberFormat="1" applyFill="1" applyBorder="1" applyAlignment="1">
      <alignment horizontal="center" vertical="center" shrinkToFit="1"/>
    </xf>
    <xf numFmtId="164" fontId="0" fillId="3" borderId="17" xfId="0" applyNumberFormat="1" applyFill="1" applyBorder="1" applyAlignment="1">
      <alignment horizontal="center" vertical="center" shrinkToFit="1"/>
    </xf>
    <xf numFmtId="164" fontId="0" fillId="3" borderId="11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shrinkToFit="1"/>
    </xf>
    <xf numFmtId="0" fontId="0" fillId="3" borderId="0" xfId="0" applyFill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13" xfId="0" applyFill="1" applyBorder="1"/>
    <xf numFmtId="0" fontId="0" fillId="3" borderId="14" xfId="0" applyFill="1" applyBorder="1"/>
    <xf numFmtId="0" fontId="0" fillId="3" borderId="19" xfId="0" applyFill="1" applyBorder="1" applyAlignment="1">
      <alignment horizontal="center" shrinkToFit="1"/>
    </xf>
    <xf numFmtId="0" fontId="0" fillId="3" borderId="20" xfId="0" applyFill="1" applyBorder="1" applyAlignment="1">
      <alignment horizontal="center" shrinkToFit="1"/>
    </xf>
    <xf numFmtId="164" fontId="0" fillId="3" borderId="8" xfId="0" applyNumberFormat="1" applyFill="1" applyBorder="1" applyAlignment="1">
      <alignment horizontal="center" vertical="center" shrinkToFit="1"/>
    </xf>
    <xf numFmtId="164" fontId="0" fillId="3" borderId="9" xfId="0" applyNumberFormat="1" applyFill="1" applyBorder="1" applyAlignment="1">
      <alignment horizontal="center" vertical="center" shrinkToFit="1"/>
    </xf>
    <xf numFmtId="164" fontId="0" fillId="3" borderId="10" xfId="0" applyNumberFormat="1" applyFill="1" applyBorder="1" applyAlignment="1">
      <alignment horizontal="center" vertical="center" shrinkToFit="1"/>
    </xf>
    <xf numFmtId="0" fontId="0" fillId="3" borderId="4" xfId="0" applyFill="1" applyBorder="1"/>
    <xf numFmtId="0" fontId="0" fillId="3" borderId="5" xfId="0" applyFill="1" applyBorder="1"/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3" xfId="0" applyFill="1" applyBorder="1" applyAlignment="1">
      <alignment horizontal="center" vertical="center" shrinkToFit="1"/>
    </xf>
    <xf numFmtId="0" fontId="0" fillId="2" borderId="1" xfId="0" applyFill="1" applyBorder="1"/>
    <xf numFmtId="0" fontId="0" fillId="2" borderId="11" xfId="0" applyFill="1" applyBorder="1"/>
    <xf numFmtId="0" fontId="0" fillId="2" borderId="16" xfId="0" applyFill="1" applyBorder="1"/>
  </cellXfs>
  <cellStyles count="2">
    <cellStyle name="Normal" xfId="0" builtinId="0"/>
    <cellStyle name="Porcentaje" xfId="1" builtinId="5"/>
  </cellStyles>
  <dxfs count="1">
    <dxf>
      <font>
        <color theme="1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44</xdr:row>
      <xdr:rowOff>14023</xdr:rowOff>
    </xdr:from>
    <xdr:to>
      <xdr:col>16</xdr:col>
      <xdr:colOff>380999</xdr:colOff>
      <xdr:row>58</xdr:row>
      <xdr:rowOff>106602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5AB48A-F484-4B5F-836F-DB26DB45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634148"/>
          <a:ext cx="8715374" cy="2788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276225</xdr:colOff>
      <xdr:row>72</xdr:row>
      <xdr:rowOff>39707</xdr:rowOff>
    </xdr:from>
    <xdr:to>
      <xdr:col>16</xdr:col>
      <xdr:colOff>419100</xdr:colOff>
      <xdr:row>86</xdr:row>
      <xdr:rowOff>47625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0A9264-FBDF-4461-A3E7-673A2E02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4079557"/>
          <a:ext cx="7762875" cy="2674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657226</xdr:colOff>
      <xdr:row>87</xdr:row>
      <xdr:rowOff>53134</xdr:rowOff>
    </xdr:from>
    <xdr:to>
      <xdr:col>15</xdr:col>
      <xdr:colOff>542792</xdr:colOff>
      <xdr:row>109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B05A8B2-B91A-42CA-B8C2-4E58A4B5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6" y="16960009"/>
          <a:ext cx="7505566" cy="4252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113</xdr:row>
      <xdr:rowOff>135874</xdr:rowOff>
    </xdr:from>
    <xdr:to>
      <xdr:col>19</xdr:col>
      <xdr:colOff>533400</xdr:colOff>
      <xdr:row>140</xdr:row>
      <xdr:rowOff>95250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51D8EA4-F844-416F-8B4D-8CF2FB65A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2071949"/>
          <a:ext cx="15106650" cy="510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38100</xdr:rowOff>
    </xdr:from>
    <xdr:to>
      <xdr:col>7</xdr:col>
      <xdr:colOff>619125</xdr:colOff>
      <xdr:row>15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47D01-6EC8-4F11-BABF-64AEE0D2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8600"/>
          <a:ext cx="503872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295275</xdr:colOff>
      <xdr:row>1</xdr:row>
      <xdr:rowOff>85725</xdr:rowOff>
    </xdr:from>
    <xdr:to>
      <xdr:col>15</xdr:col>
      <xdr:colOff>609600</xdr:colOff>
      <xdr:row>15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42E9F-C309-43CD-93E3-194C818C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85750"/>
          <a:ext cx="48863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19</xdr:row>
      <xdr:rowOff>19050</xdr:rowOff>
    </xdr:from>
    <xdr:to>
      <xdr:col>7</xdr:col>
      <xdr:colOff>285750</xdr:colOff>
      <xdr:row>32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8ADE49-1532-47D3-8F3C-466520F9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676650"/>
          <a:ext cx="46291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18</xdr:row>
      <xdr:rowOff>85725</xdr:rowOff>
    </xdr:from>
    <xdr:to>
      <xdr:col>15</xdr:col>
      <xdr:colOff>447675</xdr:colOff>
      <xdr:row>32</xdr:row>
      <xdr:rowOff>57150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49B1A60-CA90-4C53-B30B-07A714C4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552825"/>
          <a:ext cx="4714875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35</xdr:row>
      <xdr:rowOff>28575</xdr:rowOff>
    </xdr:from>
    <xdr:to>
      <xdr:col>7</xdr:col>
      <xdr:colOff>590550</xdr:colOff>
      <xdr:row>49</xdr:row>
      <xdr:rowOff>76200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7FB1718-FE3F-4CF1-B70D-0D164084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6762750"/>
          <a:ext cx="48768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35</xdr:row>
      <xdr:rowOff>152400</xdr:rowOff>
    </xdr:from>
    <xdr:to>
      <xdr:col>15</xdr:col>
      <xdr:colOff>466725</xdr:colOff>
      <xdr:row>48</xdr:row>
      <xdr:rowOff>180975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ED92053-D7FA-43EC-A2D0-CBD71D27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6886575"/>
          <a:ext cx="4800600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266700</xdr:colOff>
      <xdr:row>52</xdr:row>
      <xdr:rowOff>171450</xdr:rowOff>
    </xdr:from>
    <xdr:to>
      <xdr:col>7</xdr:col>
      <xdr:colOff>457200</xdr:colOff>
      <xdr:row>66</xdr:row>
      <xdr:rowOff>95250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A4E419A-42D5-463A-A94D-09123DDF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0172700"/>
          <a:ext cx="47625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52</xdr:row>
      <xdr:rowOff>38100</xdr:rowOff>
    </xdr:from>
    <xdr:to>
      <xdr:col>15</xdr:col>
      <xdr:colOff>447675</xdr:colOff>
      <xdr:row>66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F791F40-F4B1-42D8-AC6D-51CBF007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10039350"/>
          <a:ext cx="48387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70</xdr:row>
      <xdr:rowOff>114300</xdr:rowOff>
    </xdr:from>
    <xdr:to>
      <xdr:col>7</xdr:col>
      <xdr:colOff>600075</xdr:colOff>
      <xdr:row>84</xdr:row>
      <xdr:rowOff>95250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C93B364-5BF4-4493-839E-8EAC735E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3573125"/>
          <a:ext cx="50292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70</xdr:row>
      <xdr:rowOff>95250</xdr:rowOff>
    </xdr:from>
    <xdr:to>
      <xdr:col>15</xdr:col>
      <xdr:colOff>638175</xdr:colOff>
      <xdr:row>84</xdr:row>
      <xdr:rowOff>95250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42EF308F-99A9-4B2F-8AAF-577FE76D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13554075"/>
          <a:ext cx="50292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87</xdr:row>
      <xdr:rowOff>50368</xdr:rowOff>
    </xdr:from>
    <xdr:to>
      <xdr:col>7</xdr:col>
      <xdr:colOff>342899</xdr:colOff>
      <xdr:row>101</xdr:row>
      <xdr:rowOff>161925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009583E-32A7-40B8-9938-5FDB9597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6776268"/>
          <a:ext cx="4533899" cy="2778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88</xdr:row>
      <xdr:rowOff>9525</xdr:rowOff>
    </xdr:from>
    <xdr:to>
      <xdr:col>15</xdr:col>
      <xdr:colOff>600075</xdr:colOff>
      <xdr:row>101</xdr:row>
      <xdr:rowOff>152400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EACE7F55-AF88-4E59-806D-BC22ABE43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6925925"/>
          <a:ext cx="48101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104</xdr:row>
      <xdr:rowOff>104775</xdr:rowOff>
    </xdr:from>
    <xdr:to>
      <xdr:col>7</xdr:col>
      <xdr:colOff>571500</xdr:colOff>
      <xdr:row>118</xdr:row>
      <xdr:rowOff>152400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B06D493-E931-487B-98A0-7BBFFE14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0097750"/>
          <a:ext cx="486727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371475</xdr:colOff>
      <xdr:row>105</xdr:row>
      <xdr:rowOff>57150</xdr:rowOff>
    </xdr:from>
    <xdr:to>
      <xdr:col>15</xdr:col>
      <xdr:colOff>504825</xdr:colOff>
      <xdr:row>118</xdr:row>
      <xdr:rowOff>104775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5CDDD301-56DE-49FA-8E88-C8A46501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0240625"/>
          <a:ext cx="470535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121</xdr:row>
      <xdr:rowOff>28575</xdr:rowOff>
    </xdr:from>
    <xdr:to>
      <xdr:col>7</xdr:col>
      <xdr:colOff>542925</xdr:colOff>
      <xdr:row>135</xdr:row>
      <xdr:rowOff>95250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E11B2E9-4F3F-4A39-BE91-E5534ABD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23288625"/>
          <a:ext cx="50101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122</xdr:row>
      <xdr:rowOff>76200</xdr:rowOff>
    </xdr:from>
    <xdr:to>
      <xdr:col>15</xdr:col>
      <xdr:colOff>466725</xdr:colOff>
      <xdr:row>135</xdr:row>
      <xdr:rowOff>142875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C8ACEB1-ECB5-4584-BA37-8A9F92D0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23526750"/>
          <a:ext cx="480060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138</xdr:row>
      <xdr:rowOff>95250</xdr:rowOff>
    </xdr:from>
    <xdr:to>
      <xdr:col>7</xdr:col>
      <xdr:colOff>495300</xdr:colOff>
      <xdr:row>152</xdr:row>
      <xdr:rowOff>95250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3F39FED-ABF4-42CD-8E86-1B155906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6622375"/>
          <a:ext cx="47625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138</xdr:row>
      <xdr:rowOff>57150</xdr:rowOff>
    </xdr:from>
    <xdr:to>
      <xdr:col>15</xdr:col>
      <xdr:colOff>561975</xdr:colOff>
      <xdr:row>152</xdr:row>
      <xdr:rowOff>161925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50AA599-8960-4587-9231-8D3324D2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26584275"/>
          <a:ext cx="492442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817F-82B9-4960-A12E-21341290B0FA}">
  <dimension ref="A1:V113"/>
  <sheetViews>
    <sheetView topLeftCell="A7" workbookViewId="0">
      <selection activeCell="C129" sqref="C129"/>
    </sheetView>
  </sheetViews>
  <sheetFormatPr baseColWidth="10" defaultRowHeight="15" x14ac:dyDescent="0.25"/>
  <cols>
    <col min="2" max="2" width="33.5703125" bestFit="1" customWidth="1"/>
    <col min="3" max="3" width="8.5703125" bestFit="1" customWidth="1"/>
    <col min="4" max="4" width="9.140625" bestFit="1" customWidth="1"/>
    <col min="5" max="5" width="7" bestFit="1" customWidth="1"/>
    <col min="22" max="22" width="11.42578125" style="139"/>
  </cols>
  <sheetData>
    <row r="1" spans="1:2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38"/>
    </row>
    <row r="2" spans="1:22" ht="15.75" thickBot="1" x14ac:dyDescent="0.3">
      <c r="A2" s="1"/>
      <c r="B2" s="189" t="s">
        <v>20</v>
      </c>
      <c r="C2" s="190"/>
      <c r="D2" s="190"/>
      <c r="E2" s="191"/>
      <c r="F2" s="1"/>
      <c r="G2" s="1"/>
      <c r="H2" s="196" t="s">
        <v>21</v>
      </c>
      <c r="I2" s="197"/>
      <c r="J2" s="197"/>
      <c r="K2" s="198" t="s">
        <v>22</v>
      </c>
      <c r="L2" s="199"/>
      <c r="M2" s="1"/>
      <c r="N2" s="1"/>
      <c r="O2" s="200" t="s">
        <v>23</v>
      </c>
      <c r="P2" s="201"/>
      <c r="Q2" s="201"/>
      <c r="R2" s="201"/>
      <c r="S2" s="202"/>
      <c r="T2" s="1"/>
      <c r="U2" s="1"/>
    </row>
    <row r="3" spans="1:22" ht="15.75" thickBot="1" x14ac:dyDescent="0.3">
      <c r="A3" s="1"/>
      <c r="B3" s="192"/>
      <c r="C3" s="193"/>
      <c r="D3" s="193"/>
      <c r="E3" s="194"/>
      <c r="F3" s="1"/>
      <c r="G3" s="1"/>
      <c r="H3" s="181" t="s">
        <v>24</v>
      </c>
      <c r="I3" s="182"/>
      <c r="J3" s="182"/>
      <c r="K3" s="183" t="s">
        <v>25</v>
      </c>
      <c r="L3" s="184"/>
      <c r="M3" s="1"/>
      <c r="N3" s="1"/>
      <c r="O3" s="170" t="s">
        <v>26</v>
      </c>
      <c r="P3" s="171"/>
      <c r="Q3" s="171"/>
      <c r="R3" s="171"/>
      <c r="S3" s="203"/>
      <c r="T3" s="1"/>
      <c r="U3" s="1"/>
    </row>
    <row r="4" spans="1:22" x14ac:dyDescent="0.25">
      <c r="A4" s="1"/>
      <c r="B4" s="192"/>
      <c r="C4" s="193"/>
      <c r="D4" s="193"/>
      <c r="E4" s="194"/>
      <c r="F4" s="1"/>
      <c r="G4" s="1"/>
      <c r="H4" s="181" t="s">
        <v>27</v>
      </c>
      <c r="I4" s="182"/>
      <c r="J4" s="182"/>
      <c r="K4" s="183" t="s">
        <v>25</v>
      </c>
      <c r="L4" s="184"/>
      <c r="M4" s="1"/>
      <c r="N4" s="1"/>
      <c r="O4" s="146" t="s">
        <v>28</v>
      </c>
      <c r="P4" s="147"/>
      <c r="Q4" s="2" t="s">
        <v>29</v>
      </c>
      <c r="R4" s="3">
        <f>997.39+4.46*D24</f>
        <v>1073.21</v>
      </c>
      <c r="S4" s="4" t="s">
        <v>7</v>
      </c>
      <c r="T4" s="1"/>
      <c r="U4" s="1"/>
    </row>
    <row r="5" spans="1:22" x14ac:dyDescent="0.25">
      <c r="A5" s="1"/>
      <c r="B5" s="192"/>
      <c r="C5" s="193"/>
      <c r="D5" s="193"/>
      <c r="E5" s="194"/>
      <c r="F5" s="1"/>
      <c r="G5" s="1"/>
      <c r="H5" s="181" t="s">
        <v>30</v>
      </c>
      <c r="I5" s="182"/>
      <c r="J5" s="182"/>
      <c r="K5" s="183" t="s">
        <v>25</v>
      </c>
      <c r="L5" s="184"/>
      <c r="M5" s="1"/>
      <c r="N5" s="1"/>
      <c r="O5" s="148" t="s">
        <v>31</v>
      </c>
      <c r="P5" s="149"/>
      <c r="Q5" s="5" t="s">
        <v>32</v>
      </c>
      <c r="R5" s="6">
        <f>997.39+4.46*D25</f>
        <v>1077.67</v>
      </c>
      <c r="S5" s="7" t="s">
        <v>7</v>
      </c>
      <c r="T5" s="1"/>
      <c r="U5" s="1"/>
    </row>
    <row r="6" spans="1:22" ht="15.75" thickBot="1" x14ac:dyDescent="0.3">
      <c r="A6" s="1"/>
      <c r="B6" s="156"/>
      <c r="C6" s="157"/>
      <c r="D6" s="157"/>
      <c r="E6" s="195"/>
      <c r="F6" s="1"/>
      <c r="G6" s="1"/>
      <c r="H6" s="185" t="s">
        <v>33</v>
      </c>
      <c r="I6" s="186"/>
      <c r="J6" s="186"/>
      <c r="K6" s="187" t="s">
        <v>25</v>
      </c>
      <c r="L6" s="188"/>
      <c r="M6" s="1"/>
      <c r="N6" s="1"/>
      <c r="O6" s="150" t="s">
        <v>34</v>
      </c>
      <c r="P6" s="151"/>
      <c r="Q6" s="8" t="s">
        <v>35</v>
      </c>
      <c r="R6" s="9">
        <f>997.39+4.46*D26</f>
        <v>1331.8899999999999</v>
      </c>
      <c r="S6" s="10" t="s">
        <v>7</v>
      </c>
      <c r="T6" s="1"/>
      <c r="U6" s="1"/>
    </row>
    <row r="7" spans="1:22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3" t="s">
        <v>36</v>
      </c>
      <c r="P7" s="144"/>
      <c r="Q7" s="144"/>
      <c r="R7" s="144"/>
      <c r="S7" s="145"/>
      <c r="T7" s="1"/>
      <c r="U7" s="1"/>
    </row>
    <row r="8" spans="1:22" x14ac:dyDescent="0.25">
      <c r="A8" s="1"/>
      <c r="B8" s="11" t="s">
        <v>37</v>
      </c>
      <c r="C8" s="12" t="s">
        <v>38</v>
      </c>
      <c r="D8" s="13">
        <v>60</v>
      </c>
      <c r="E8" s="14" t="s">
        <v>39</v>
      </c>
      <c r="F8" s="1"/>
      <c r="G8" s="1"/>
      <c r="H8" s="179" t="s">
        <v>40</v>
      </c>
      <c r="I8" s="180"/>
      <c r="J8" s="180"/>
      <c r="K8" s="15">
        <f>+D10*D12/D11</f>
        <v>424</v>
      </c>
      <c r="L8" s="14" t="s">
        <v>41</v>
      </c>
      <c r="M8" s="1"/>
      <c r="N8" s="1"/>
      <c r="O8" s="146" t="s">
        <v>42</v>
      </c>
      <c r="P8" s="147"/>
      <c r="Q8" s="3" t="s">
        <v>43</v>
      </c>
      <c r="R8" s="3">
        <f>D37+0.2209*EXP(0.0557*D25)</f>
        <v>95.449730125187031</v>
      </c>
      <c r="S8" s="4" t="s">
        <v>44</v>
      </c>
      <c r="T8" s="1"/>
    </row>
    <row r="9" spans="1:22" x14ac:dyDescent="0.25">
      <c r="A9" s="1"/>
      <c r="B9" s="16" t="s">
        <v>45</v>
      </c>
      <c r="C9" s="17" t="s">
        <v>46</v>
      </c>
      <c r="D9" s="18">
        <v>46</v>
      </c>
      <c r="E9" s="19" t="s">
        <v>39</v>
      </c>
      <c r="F9" s="1"/>
      <c r="G9" s="1"/>
      <c r="H9" s="172" t="s">
        <v>47</v>
      </c>
      <c r="I9" s="173"/>
      <c r="J9" s="173"/>
      <c r="K9" s="20">
        <f>+K8/D12</f>
        <v>3.5333333333333332</v>
      </c>
      <c r="L9" s="21" t="s">
        <v>48</v>
      </c>
      <c r="M9" s="1"/>
      <c r="N9" s="1"/>
      <c r="O9" s="148" t="s">
        <v>49</v>
      </c>
      <c r="P9" s="149"/>
      <c r="Q9" s="6" t="s">
        <v>50</v>
      </c>
      <c r="R9" s="6">
        <f>D37+0.2209*EXP(0.0557*D26)</f>
        <v>109.25096218777557</v>
      </c>
      <c r="S9" s="7" t="s">
        <v>44</v>
      </c>
      <c r="T9" s="1"/>
      <c r="U9" s="1"/>
    </row>
    <row r="10" spans="1:22" ht="15.75" thickBot="1" x14ac:dyDescent="0.3">
      <c r="A10" s="1"/>
      <c r="B10" s="16" t="s">
        <v>51</v>
      </c>
      <c r="C10" s="17" t="s">
        <v>52</v>
      </c>
      <c r="D10" s="18">
        <f>+(D9+D8)/2</f>
        <v>53</v>
      </c>
      <c r="E10" s="19" t="s">
        <v>39</v>
      </c>
      <c r="F10" s="1"/>
      <c r="G10" s="1"/>
      <c r="H10" s="172" t="s">
        <v>53</v>
      </c>
      <c r="I10" s="173"/>
      <c r="J10" s="173"/>
      <c r="K10" s="20">
        <f>+K8/D14</f>
        <v>212</v>
      </c>
      <c r="L10" s="19" t="s">
        <v>54</v>
      </c>
      <c r="M10" s="1"/>
      <c r="N10" s="1"/>
      <c r="O10" s="150" t="s">
        <v>55</v>
      </c>
      <c r="P10" s="151"/>
      <c r="Q10" s="9" t="s">
        <v>56</v>
      </c>
      <c r="R10" s="9">
        <f>D37+0.2209*EXP(0.0557*Q33)</f>
        <v>95.736798771411955</v>
      </c>
      <c r="S10" s="10" t="s">
        <v>44</v>
      </c>
      <c r="T10" s="1"/>
      <c r="U10" s="1"/>
    </row>
    <row r="11" spans="1:22" ht="15.75" thickBot="1" x14ac:dyDescent="0.3">
      <c r="A11" s="1"/>
      <c r="B11" s="16" t="s">
        <v>57</v>
      </c>
      <c r="C11" s="17" t="s">
        <v>58</v>
      </c>
      <c r="D11" s="18">
        <v>15</v>
      </c>
      <c r="E11" s="19" t="s">
        <v>59</v>
      </c>
      <c r="F11" s="1"/>
      <c r="G11" s="1"/>
      <c r="H11" s="172" t="s">
        <v>60</v>
      </c>
      <c r="I11" s="173"/>
      <c r="J11" s="173"/>
      <c r="K11" s="20">
        <f>+K10/(6*D16)</f>
        <v>1.4722222222222223</v>
      </c>
      <c r="L11" s="19" t="s">
        <v>61</v>
      </c>
      <c r="N11" s="1"/>
      <c r="O11" s="176" t="s">
        <v>62</v>
      </c>
      <c r="P11" s="177"/>
      <c r="Q11" s="177"/>
      <c r="R11" s="177"/>
      <c r="S11" s="178"/>
      <c r="T11" s="1"/>
      <c r="U11" s="1"/>
    </row>
    <row r="12" spans="1:22" x14ac:dyDescent="0.25">
      <c r="A12" s="1"/>
      <c r="B12" s="16" t="s">
        <v>63</v>
      </c>
      <c r="C12" s="17" t="s">
        <v>64</v>
      </c>
      <c r="D12" s="18">
        <v>120</v>
      </c>
      <c r="E12" s="19" t="s">
        <v>65</v>
      </c>
      <c r="F12" s="1"/>
      <c r="G12" s="1"/>
      <c r="H12" s="172" t="s">
        <v>66</v>
      </c>
      <c r="I12" s="173"/>
      <c r="J12" s="173"/>
      <c r="K12" s="20">
        <f>+K11*D31</f>
        <v>0.88333333333333341</v>
      </c>
      <c r="L12" s="19" t="s">
        <v>61</v>
      </c>
      <c r="M12" s="1"/>
      <c r="N12" s="1"/>
      <c r="O12" s="148" t="s">
        <v>42</v>
      </c>
      <c r="P12" s="149"/>
      <c r="Q12" s="5" t="s">
        <v>67</v>
      </c>
      <c r="R12" s="6">
        <f>2492.9-2.0523*((D37+R8)/2)-0.0030752*((D37+R8)/2)^2</f>
        <v>2269.7856537225925</v>
      </c>
      <c r="S12" s="7" t="s">
        <v>68</v>
      </c>
      <c r="T12" s="1"/>
      <c r="U12" s="1"/>
    </row>
    <row r="13" spans="1:22" x14ac:dyDescent="0.25">
      <c r="A13" s="1"/>
      <c r="B13" s="22" t="s">
        <v>69</v>
      </c>
      <c r="C13" s="23" t="s">
        <v>70</v>
      </c>
      <c r="D13" s="23">
        <v>17</v>
      </c>
      <c r="E13" s="24" t="s">
        <v>71</v>
      </c>
      <c r="F13" s="1"/>
      <c r="G13" s="1"/>
      <c r="H13" s="172" t="s">
        <v>72</v>
      </c>
      <c r="I13" s="173"/>
      <c r="J13" s="173"/>
      <c r="K13" s="20">
        <f>+K12-((K12*D22)+((K12-(K12*D22))*D23))</f>
        <v>0.83104000000000011</v>
      </c>
      <c r="L13" s="19" t="s">
        <v>61</v>
      </c>
      <c r="M13" s="1"/>
      <c r="N13" s="1"/>
      <c r="O13" s="148" t="s">
        <v>49</v>
      </c>
      <c r="P13" s="149"/>
      <c r="Q13" s="5" t="s">
        <v>67</v>
      </c>
      <c r="R13" s="6">
        <f>2492.9-2.0523*((R8+R9)/2)-0.0030752*((R8+R9)/2)^2</f>
        <v>2250.6318398874505</v>
      </c>
      <c r="S13" s="7" t="s">
        <v>68</v>
      </c>
      <c r="T13" s="1"/>
      <c r="U13" s="1"/>
    </row>
    <row r="14" spans="1:22" ht="15.75" thickBot="1" x14ac:dyDescent="0.3">
      <c r="A14" s="1"/>
      <c r="B14" s="16" t="s">
        <v>73</v>
      </c>
      <c r="C14" s="17" t="s">
        <v>74</v>
      </c>
      <c r="D14" s="18">
        <v>2</v>
      </c>
      <c r="E14" s="19" t="s">
        <v>75</v>
      </c>
      <c r="F14" s="1"/>
      <c r="G14" s="1"/>
      <c r="H14" s="172" t="s">
        <v>76</v>
      </c>
      <c r="I14" s="173"/>
      <c r="J14" s="173"/>
      <c r="K14" s="20">
        <f>+K13*D24/D27*1000</f>
        <v>151.09818181818181</v>
      </c>
      <c r="L14" s="19" t="s">
        <v>77</v>
      </c>
      <c r="M14" s="1"/>
      <c r="N14" s="1"/>
      <c r="O14" s="150" t="s">
        <v>55</v>
      </c>
      <c r="P14" s="151"/>
      <c r="Q14" s="8" t="s">
        <v>67</v>
      </c>
      <c r="R14" s="9">
        <f>2492.9-2.0523*((R9+R10)/2)-0.0030752*((R9+R10)/2)^2</f>
        <v>2250.2468468201446</v>
      </c>
      <c r="S14" s="10" t="s">
        <v>68</v>
      </c>
      <c r="T14" s="1"/>
      <c r="U14" s="1"/>
    </row>
    <row r="15" spans="1:22" ht="15.75" thickBot="1" x14ac:dyDescent="0.3">
      <c r="A15" s="1"/>
      <c r="B15" s="16" t="s">
        <v>78</v>
      </c>
      <c r="C15" s="17" t="s">
        <v>74</v>
      </c>
      <c r="D15" s="18">
        <v>5.5</v>
      </c>
      <c r="E15" s="19" t="s">
        <v>5</v>
      </c>
      <c r="G15" s="1"/>
      <c r="H15" s="174" t="s">
        <v>79</v>
      </c>
      <c r="I15" s="175"/>
      <c r="J15" s="175"/>
      <c r="K15" s="25">
        <f>+K11*1.3*1000</f>
        <v>1913.8888888888889</v>
      </c>
      <c r="L15" s="26" t="s">
        <v>77</v>
      </c>
      <c r="M15" s="1"/>
      <c r="N15" s="1"/>
      <c r="O15" s="176" t="s">
        <v>80</v>
      </c>
      <c r="P15" s="177"/>
      <c r="Q15" s="177"/>
      <c r="R15" s="177"/>
      <c r="S15" s="178"/>
      <c r="T15" s="1"/>
      <c r="U15" s="1"/>
    </row>
    <row r="16" spans="1:22" ht="15.75" thickBot="1" x14ac:dyDescent="0.3">
      <c r="A16" s="1"/>
      <c r="B16" s="27" t="s">
        <v>81</v>
      </c>
      <c r="C16" s="25" t="s">
        <v>74</v>
      </c>
      <c r="D16" s="28">
        <v>24</v>
      </c>
      <c r="E16" s="26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48" t="s">
        <v>82</v>
      </c>
      <c r="P16" s="149"/>
      <c r="Q16" s="6" t="s">
        <v>83</v>
      </c>
      <c r="R16" s="6">
        <f>4.18*(1-0.006*D24)</f>
        <v>3.7536399999999999</v>
      </c>
      <c r="S16" s="7" t="s">
        <v>84</v>
      </c>
      <c r="T16" s="1"/>
      <c r="U16" s="1"/>
    </row>
    <row r="17" spans="1:21" ht="15.75" thickBot="1" x14ac:dyDescent="0.3">
      <c r="A17" s="1"/>
      <c r="F17" s="29"/>
      <c r="G17" s="1"/>
      <c r="H17" s="176" t="s">
        <v>85</v>
      </c>
      <c r="I17" s="177"/>
      <c r="J17" s="177"/>
      <c r="K17" s="177"/>
      <c r="L17" s="178"/>
      <c r="M17" s="1"/>
      <c r="N17" s="1"/>
      <c r="O17" s="148" t="s">
        <v>86</v>
      </c>
      <c r="P17" s="149"/>
      <c r="Q17" s="6" t="s">
        <v>83</v>
      </c>
      <c r="R17" s="6">
        <f>4.18*(1-0.006*D25)</f>
        <v>3.7285599999999999</v>
      </c>
      <c r="S17" s="7" t="s">
        <v>84</v>
      </c>
      <c r="T17" s="30"/>
      <c r="U17" s="29"/>
    </row>
    <row r="18" spans="1:21" ht="15.75" thickBot="1" x14ac:dyDescent="0.3">
      <c r="A18" s="1"/>
      <c r="B18" s="165" t="s">
        <v>87</v>
      </c>
      <c r="C18" s="166"/>
      <c r="D18" s="166"/>
      <c r="E18" s="167"/>
      <c r="F18" s="29" t="s">
        <v>88</v>
      </c>
      <c r="G18" s="1"/>
      <c r="H18" s="168" t="s">
        <v>89</v>
      </c>
      <c r="I18" s="169"/>
      <c r="J18" s="3" t="s">
        <v>90</v>
      </c>
      <c r="K18" s="31">
        <f>K19/D31</f>
        <v>1472.2222222222222</v>
      </c>
      <c r="L18" s="4" t="s">
        <v>77</v>
      </c>
      <c r="M18" s="1"/>
      <c r="N18" s="1"/>
      <c r="O18" s="150" t="s">
        <v>91</v>
      </c>
      <c r="P18" s="151"/>
      <c r="Q18" s="9" t="s">
        <v>83</v>
      </c>
      <c r="R18" s="9">
        <f>4.18*(1-0.006*D26)</f>
        <v>2.2989999999999999</v>
      </c>
      <c r="S18" s="10" t="s">
        <v>84</v>
      </c>
      <c r="T18" s="29"/>
      <c r="U18" s="29"/>
    </row>
    <row r="19" spans="1:21" ht="15.75" thickBot="1" x14ac:dyDescent="0.3">
      <c r="A19" s="1"/>
      <c r="B19" s="32" t="s">
        <v>92</v>
      </c>
      <c r="C19" s="33" t="s">
        <v>93</v>
      </c>
      <c r="D19" s="33">
        <f>+K14</f>
        <v>151.09818181818181</v>
      </c>
      <c r="E19" s="34" t="s">
        <v>77</v>
      </c>
      <c r="F19" s="35">
        <f>K30/D19</f>
        <v>2.1114695878351344</v>
      </c>
      <c r="G19" s="1"/>
      <c r="H19" s="152" t="s">
        <v>94</v>
      </c>
      <c r="I19" s="153"/>
      <c r="J19" s="6" t="s">
        <v>95</v>
      </c>
      <c r="K19" s="36">
        <f>+K21/(1-D22)</f>
        <v>883.33333333333326</v>
      </c>
      <c r="L19" s="7" t="s">
        <v>77</v>
      </c>
      <c r="M19" s="37"/>
      <c r="N19" s="1"/>
      <c r="O19" s="38"/>
      <c r="P19" s="1"/>
      <c r="Q19" s="1"/>
      <c r="R19" s="1"/>
      <c r="S19" s="1"/>
      <c r="T19" s="39"/>
      <c r="U19" s="29"/>
    </row>
    <row r="20" spans="1:21" x14ac:dyDescent="0.25">
      <c r="A20" s="1"/>
      <c r="B20" s="40" t="s">
        <v>96</v>
      </c>
      <c r="C20" s="41" t="s">
        <v>97</v>
      </c>
      <c r="D20" s="42">
        <v>2.06</v>
      </c>
      <c r="E20" s="43" t="s">
        <v>98</v>
      </c>
      <c r="F20" s="29"/>
      <c r="G20" s="1"/>
      <c r="H20" s="154" t="s">
        <v>99</v>
      </c>
      <c r="I20" s="155"/>
      <c r="J20" s="44" t="s">
        <v>100</v>
      </c>
      <c r="K20" s="45">
        <f>+K19*D22</f>
        <v>17.666666666666664</v>
      </c>
      <c r="L20" s="7" t="s">
        <v>77</v>
      </c>
      <c r="M20" s="37"/>
      <c r="N20" s="1"/>
      <c r="O20" s="170" t="s">
        <v>101</v>
      </c>
      <c r="P20" s="171"/>
      <c r="Q20" s="46" t="s">
        <v>102</v>
      </c>
      <c r="R20" s="46">
        <f>17.85-20.35*D29</f>
        <v>14.797500000000001</v>
      </c>
      <c r="S20" s="47" t="s">
        <v>103</v>
      </c>
      <c r="T20" s="39"/>
      <c r="U20" s="29"/>
    </row>
    <row r="21" spans="1:21" x14ac:dyDescent="0.25">
      <c r="A21" s="1"/>
      <c r="B21" s="48" t="s">
        <v>104</v>
      </c>
      <c r="C21" s="49" t="s">
        <v>105</v>
      </c>
      <c r="D21" s="50">
        <f>+K36/R21</f>
        <v>0.40694779830839567</v>
      </c>
      <c r="E21" s="51" t="s">
        <v>106</v>
      </c>
      <c r="F21" s="29"/>
      <c r="G21" s="1"/>
      <c r="H21" s="154" t="s">
        <v>107</v>
      </c>
      <c r="I21" s="155"/>
      <c r="J21" s="6" t="s">
        <v>108</v>
      </c>
      <c r="K21" s="45">
        <f>+K23/(1-D23)</f>
        <v>865.66666666666663</v>
      </c>
      <c r="L21" s="7" t="s">
        <v>77</v>
      </c>
      <c r="M21" s="1"/>
      <c r="N21" s="1"/>
      <c r="O21" s="158" t="s">
        <v>109</v>
      </c>
      <c r="P21" s="159"/>
      <c r="Q21" s="52" t="s">
        <v>110</v>
      </c>
      <c r="R21" s="52">
        <f>(D20*D19)*R20/3.6</f>
        <v>1279.417558787879</v>
      </c>
      <c r="S21" s="53" t="s">
        <v>111</v>
      </c>
      <c r="T21" s="39"/>
      <c r="U21" s="29"/>
    </row>
    <row r="22" spans="1:21" ht="15.75" thickBot="1" x14ac:dyDescent="0.3">
      <c r="A22" s="1"/>
      <c r="B22" s="40" t="s">
        <v>112</v>
      </c>
      <c r="C22" s="41" t="s">
        <v>113</v>
      </c>
      <c r="D22" s="54">
        <v>0.02</v>
      </c>
      <c r="E22" s="43" t="s">
        <v>106</v>
      </c>
      <c r="F22" s="29"/>
      <c r="G22" s="1"/>
      <c r="H22" s="154" t="s">
        <v>114</v>
      </c>
      <c r="I22" s="155"/>
      <c r="J22" s="44" t="s">
        <v>115</v>
      </c>
      <c r="K22" s="45">
        <f>+K21*D23</f>
        <v>34.626666666666665</v>
      </c>
      <c r="L22" s="7" t="s">
        <v>77</v>
      </c>
      <c r="M22" s="1"/>
      <c r="N22" s="1"/>
      <c r="O22" s="160" t="s">
        <v>116</v>
      </c>
      <c r="P22" s="161"/>
      <c r="Q22" s="55" t="s">
        <v>117</v>
      </c>
      <c r="R22" s="55">
        <f>R21/1000</f>
        <v>1.2794175587878789</v>
      </c>
      <c r="S22" s="56" t="s">
        <v>118</v>
      </c>
      <c r="T22" s="57"/>
      <c r="U22" s="29"/>
    </row>
    <row r="23" spans="1:21" ht="15.75" thickBot="1" x14ac:dyDescent="0.3">
      <c r="A23" s="1"/>
      <c r="B23" s="40" t="s">
        <v>114</v>
      </c>
      <c r="C23" s="41" t="s">
        <v>119</v>
      </c>
      <c r="D23" s="54">
        <v>0.04</v>
      </c>
      <c r="E23" s="43" t="s">
        <v>106</v>
      </c>
      <c r="F23" s="29"/>
      <c r="G23" s="1"/>
      <c r="H23" s="154" t="s">
        <v>72</v>
      </c>
      <c r="I23" s="155"/>
      <c r="J23" s="6" t="s">
        <v>120</v>
      </c>
      <c r="K23" s="45">
        <f>+D19*D27/D24</f>
        <v>831.04</v>
      </c>
      <c r="L23" s="7" t="s">
        <v>77</v>
      </c>
      <c r="M23" s="1"/>
      <c r="N23" s="1"/>
      <c r="O23" s="1"/>
      <c r="P23" s="1"/>
      <c r="Q23" s="1"/>
      <c r="R23" s="1"/>
      <c r="S23" s="1"/>
      <c r="T23" s="39"/>
      <c r="U23" s="29"/>
    </row>
    <row r="24" spans="1:21" ht="15.75" thickBot="1" x14ac:dyDescent="0.3">
      <c r="A24" s="1"/>
      <c r="B24" s="32" t="s">
        <v>121</v>
      </c>
      <c r="C24" s="33" t="s">
        <v>122</v>
      </c>
      <c r="D24" s="33">
        <f>+D13</f>
        <v>17</v>
      </c>
      <c r="E24" s="34" t="s">
        <v>71</v>
      </c>
      <c r="F24" s="29"/>
      <c r="G24" s="1"/>
      <c r="H24" s="152" t="s">
        <v>123</v>
      </c>
      <c r="I24" s="153"/>
      <c r="J24" s="6" t="s">
        <v>124</v>
      </c>
      <c r="K24" s="36">
        <f>K21-D19</f>
        <v>714.56848484848479</v>
      </c>
      <c r="L24" s="7" t="s">
        <v>77</v>
      </c>
      <c r="M24" s="1"/>
      <c r="N24" s="1"/>
      <c r="O24" s="162" t="s">
        <v>125</v>
      </c>
      <c r="P24" s="163"/>
      <c r="Q24" s="163"/>
      <c r="R24" s="163"/>
      <c r="S24" s="163"/>
      <c r="T24" s="164"/>
      <c r="U24" s="1"/>
    </row>
    <row r="25" spans="1:21" x14ac:dyDescent="0.25">
      <c r="A25" s="1"/>
      <c r="B25" s="32" t="s">
        <v>126</v>
      </c>
      <c r="C25" s="33" t="s">
        <v>127</v>
      </c>
      <c r="D25" s="33">
        <v>18</v>
      </c>
      <c r="E25" s="34" t="s">
        <v>71</v>
      </c>
      <c r="F25" s="29"/>
      <c r="G25" s="1"/>
      <c r="H25" s="152" t="s">
        <v>128</v>
      </c>
      <c r="I25" s="153"/>
      <c r="J25" s="6" t="s">
        <v>108</v>
      </c>
      <c r="K25" s="36">
        <f>+K21</f>
        <v>865.66666666666663</v>
      </c>
      <c r="L25" s="7" t="s">
        <v>77</v>
      </c>
      <c r="M25" s="1"/>
      <c r="N25" s="1"/>
      <c r="O25" s="58" t="s">
        <v>129</v>
      </c>
      <c r="P25" s="59" t="s">
        <v>130</v>
      </c>
      <c r="Q25" s="59" t="s">
        <v>131</v>
      </c>
      <c r="R25" s="59" t="s">
        <v>132</v>
      </c>
      <c r="S25" s="59" t="s">
        <v>133</v>
      </c>
      <c r="T25" s="60" t="s">
        <v>134</v>
      </c>
      <c r="U25" s="1"/>
    </row>
    <row r="26" spans="1:21" x14ac:dyDescent="0.25">
      <c r="A26" s="1"/>
      <c r="B26" s="32" t="s">
        <v>135</v>
      </c>
      <c r="C26" s="33" t="s">
        <v>136</v>
      </c>
      <c r="D26" s="33">
        <v>75</v>
      </c>
      <c r="E26" s="34" t="s">
        <v>71</v>
      </c>
      <c r="F26" s="29"/>
      <c r="G26" s="1"/>
      <c r="H26" s="152" t="s">
        <v>137</v>
      </c>
      <c r="I26" s="153"/>
      <c r="J26" s="6" t="s">
        <v>138</v>
      </c>
      <c r="K26" s="36">
        <f>+K23</f>
        <v>831.04</v>
      </c>
      <c r="L26" s="7" t="s">
        <v>77</v>
      </c>
      <c r="M26" s="1"/>
      <c r="N26" s="1"/>
      <c r="O26" s="61" t="s">
        <v>139</v>
      </c>
      <c r="P26" s="62">
        <v>500</v>
      </c>
      <c r="Q26" s="62">
        <v>10</v>
      </c>
      <c r="R26" s="62">
        <v>5</v>
      </c>
      <c r="S26" s="63">
        <v>8</v>
      </c>
      <c r="T26" s="64">
        <v>20.5</v>
      </c>
      <c r="U26" s="1"/>
    </row>
    <row r="27" spans="1:21" x14ac:dyDescent="0.25">
      <c r="A27" s="1"/>
      <c r="B27" s="32" t="s">
        <v>140</v>
      </c>
      <c r="C27" s="41" t="s">
        <v>141</v>
      </c>
      <c r="D27" s="33">
        <v>93.5</v>
      </c>
      <c r="E27" s="34" t="s">
        <v>71</v>
      </c>
      <c r="F27" s="29"/>
      <c r="G27" s="1"/>
      <c r="H27" s="152" t="s">
        <v>142</v>
      </c>
      <c r="I27" s="153"/>
      <c r="J27" s="6" t="s">
        <v>143</v>
      </c>
      <c r="K27" s="36">
        <f>K26*D25/D26</f>
        <v>199.4496</v>
      </c>
      <c r="L27" s="7" t="s">
        <v>77</v>
      </c>
      <c r="M27" s="1"/>
      <c r="N27" s="1"/>
      <c r="O27" s="61" t="s">
        <v>144</v>
      </c>
      <c r="P27" s="62">
        <v>900</v>
      </c>
      <c r="Q27" s="62">
        <v>8</v>
      </c>
      <c r="R27" s="62">
        <v>8</v>
      </c>
      <c r="S27" s="65" t="s">
        <v>145</v>
      </c>
      <c r="T27" s="64">
        <v>25.8</v>
      </c>
      <c r="U27" s="1"/>
    </row>
    <row r="28" spans="1:21" x14ac:dyDescent="0.25">
      <c r="A28" s="1"/>
      <c r="B28" s="66" t="s">
        <v>146</v>
      </c>
      <c r="C28" s="67" t="s">
        <v>147</v>
      </c>
      <c r="D28" s="54" t="s">
        <v>148</v>
      </c>
      <c r="E28" s="68" t="s">
        <v>13</v>
      </c>
      <c r="F28" s="29"/>
      <c r="G28" s="1"/>
      <c r="H28" s="154" t="s">
        <v>149</v>
      </c>
      <c r="I28" s="155"/>
      <c r="J28" s="69" t="s">
        <v>150</v>
      </c>
      <c r="K28" s="45">
        <f>D19*D20</f>
        <v>311.26225454545454</v>
      </c>
      <c r="L28" s="7" t="s">
        <v>77</v>
      </c>
      <c r="M28" s="1"/>
      <c r="N28" s="1"/>
      <c r="O28" s="61" t="s">
        <v>151</v>
      </c>
      <c r="P28" s="62">
        <v>900</v>
      </c>
      <c r="Q28" s="62">
        <v>8</v>
      </c>
      <c r="R28" s="62">
        <v>8</v>
      </c>
      <c r="S28" s="63">
        <v>16</v>
      </c>
      <c r="T28" s="64">
        <v>11</v>
      </c>
      <c r="U28" s="1"/>
    </row>
    <row r="29" spans="1:21" x14ac:dyDescent="0.25">
      <c r="A29" s="1"/>
      <c r="B29" s="40" t="s">
        <v>152</v>
      </c>
      <c r="C29" s="41" t="s">
        <v>153</v>
      </c>
      <c r="D29" s="54">
        <v>0.15</v>
      </c>
      <c r="E29" s="43" t="s">
        <v>106</v>
      </c>
      <c r="F29" s="29"/>
      <c r="G29" s="1"/>
      <c r="H29" s="152" t="s">
        <v>154</v>
      </c>
      <c r="I29" s="153"/>
      <c r="J29" s="6" t="s">
        <v>155</v>
      </c>
      <c r="K29" s="36">
        <f>K18-K19</f>
        <v>588.88888888888891</v>
      </c>
      <c r="L29" s="7" t="s">
        <v>77</v>
      </c>
      <c r="M29" s="1"/>
      <c r="N29" s="1"/>
      <c r="O29" s="61" t="s">
        <v>156</v>
      </c>
      <c r="P29" s="62">
        <v>1200</v>
      </c>
      <c r="Q29" s="62">
        <v>8</v>
      </c>
      <c r="R29" s="62">
        <v>10</v>
      </c>
      <c r="S29" s="65" t="s">
        <v>145</v>
      </c>
      <c r="T29" s="64">
        <v>11.2</v>
      </c>
      <c r="U29" s="1"/>
    </row>
    <row r="30" spans="1:21" ht="15.75" thickBot="1" x14ac:dyDescent="0.3">
      <c r="A30" s="1"/>
      <c r="B30" s="40" t="s">
        <v>157</v>
      </c>
      <c r="C30" s="70" t="s">
        <v>158</v>
      </c>
      <c r="D30" s="71">
        <v>1.8</v>
      </c>
      <c r="E30" s="43"/>
      <c r="F30" s="29"/>
      <c r="G30" s="1"/>
      <c r="H30" s="156" t="s">
        <v>159</v>
      </c>
      <c r="I30" s="157"/>
      <c r="J30" s="55" t="s">
        <v>160</v>
      </c>
      <c r="K30" s="72">
        <f>K29*((100%-D35)/(100%-D29))</f>
        <v>319.03921568627453</v>
      </c>
      <c r="L30" s="10" t="s">
        <v>77</v>
      </c>
      <c r="M30" s="1"/>
      <c r="N30" s="1"/>
      <c r="O30" s="61" t="s">
        <v>161</v>
      </c>
      <c r="P30" s="62">
        <v>1500</v>
      </c>
      <c r="Q30" s="62">
        <v>16</v>
      </c>
      <c r="R30" s="62">
        <v>12</v>
      </c>
      <c r="S30" s="65" t="s">
        <v>145</v>
      </c>
      <c r="T30" s="64">
        <v>33.799999999999997</v>
      </c>
      <c r="U30" s="1"/>
    </row>
    <row r="31" spans="1:21" ht="15.75" thickBot="1" x14ac:dyDescent="0.3">
      <c r="A31" s="1"/>
      <c r="B31" s="32" t="s">
        <v>162</v>
      </c>
      <c r="C31" s="33" t="s">
        <v>163</v>
      </c>
      <c r="D31" s="73">
        <v>0.6</v>
      </c>
      <c r="E31" s="34" t="s">
        <v>106</v>
      </c>
      <c r="F31" s="29"/>
      <c r="G31" s="1"/>
      <c r="H31" s="1"/>
      <c r="I31" s="1"/>
      <c r="J31" s="1"/>
      <c r="K31" s="38"/>
      <c r="L31" s="38"/>
      <c r="M31" s="1"/>
      <c r="N31" s="1"/>
      <c r="O31" s="61" t="s">
        <v>164</v>
      </c>
      <c r="P31" s="62">
        <v>1500</v>
      </c>
      <c r="Q31" s="62">
        <v>16</v>
      </c>
      <c r="R31" s="62">
        <v>15</v>
      </c>
      <c r="S31" s="65" t="s">
        <v>145</v>
      </c>
      <c r="T31" s="64">
        <v>22.75</v>
      </c>
      <c r="U31" s="1"/>
    </row>
    <row r="32" spans="1:21" ht="15.75" thickBot="1" x14ac:dyDescent="0.3">
      <c r="A32" s="1"/>
      <c r="B32" s="32" t="s">
        <v>165</v>
      </c>
      <c r="C32" s="33" t="s">
        <v>166</v>
      </c>
      <c r="D32" s="73">
        <v>0.14000000000000001</v>
      </c>
      <c r="E32" s="34" t="s">
        <v>106</v>
      </c>
      <c r="F32" s="29"/>
      <c r="G32" s="1"/>
      <c r="H32" s="143" t="s">
        <v>167</v>
      </c>
      <c r="I32" s="144"/>
      <c r="J32" s="144"/>
      <c r="K32" s="144"/>
      <c r="L32" s="145"/>
      <c r="M32" s="1"/>
      <c r="N32" s="1"/>
      <c r="O32" s="61" t="s">
        <v>168</v>
      </c>
      <c r="P32" s="62">
        <v>1500</v>
      </c>
      <c r="Q32" s="62">
        <v>16</v>
      </c>
      <c r="R32" s="62">
        <v>15</v>
      </c>
      <c r="S32" s="65" t="s">
        <v>145</v>
      </c>
      <c r="T32" s="64">
        <v>14.5</v>
      </c>
      <c r="U32" s="1"/>
    </row>
    <row r="33" spans="1:21" x14ac:dyDescent="0.25">
      <c r="A33" s="1"/>
      <c r="B33" s="32" t="s">
        <v>169</v>
      </c>
      <c r="C33" s="33" t="s">
        <v>4</v>
      </c>
      <c r="D33" s="33">
        <v>1610</v>
      </c>
      <c r="E33" s="34" t="s">
        <v>170</v>
      </c>
      <c r="F33" s="29"/>
      <c r="G33" s="1"/>
      <c r="H33" s="146" t="s">
        <v>171</v>
      </c>
      <c r="I33" s="147"/>
      <c r="J33" s="3" t="s">
        <v>172</v>
      </c>
      <c r="K33" s="3">
        <f>(K25*R16*(R8-D34)+(K25-K26)*R12)/3600</f>
        <v>85.420704620390723</v>
      </c>
      <c r="L33" s="4" t="s">
        <v>111</v>
      </c>
      <c r="M33" s="1"/>
      <c r="N33" s="1"/>
      <c r="O33" s="61" t="s">
        <v>173</v>
      </c>
      <c r="P33" s="62">
        <v>1800</v>
      </c>
      <c r="Q33" s="62">
        <v>25</v>
      </c>
      <c r="R33" s="62">
        <v>20</v>
      </c>
      <c r="S33" s="65" t="s">
        <v>145</v>
      </c>
      <c r="T33" s="64">
        <v>51</v>
      </c>
      <c r="U33" s="1"/>
    </row>
    <row r="34" spans="1:21" ht="15.75" thickBot="1" x14ac:dyDescent="0.3">
      <c r="A34" s="1"/>
      <c r="B34" s="74" t="s">
        <v>174</v>
      </c>
      <c r="C34" s="75" t="s">
        <v>175</v>
      </c>
      <c r="D34" s="75">
        <v>25</v>
      </c>
      <c r="E34" s="76" t="s">
        <v>44</v>
      </c>
      <c r="F34" s="29"/>
      <c r="G34" s="1"/>
      <c r="H34" s="148" t="s">
        <v>176</v>
      </c>
      <c r="I34" s="149"/>
      <c r="J34" s="6" t="s">
        <v>177</v>
      </c>
      <c r="K34" s="6">
        <f>(K26*R17*(R9-R8)+(K26-K27)*R13)/3600</f>
        <v>406.73381116331927</v>
      </c>
      <c r="L34" s="7" t="s">
        <v>111</v>
      </c>
      <c r="M34" s="1"/>
      <c r="N34" s="1"/>
      <c r="O34" s="61" t="s">
        <v>178</v>
      </c>
      <c r="P34" s="62">
        <v>2000</v>
      </c>
      <c r="Q34" s="62">
        <v>25</v>
      </c>
      <c r="R34" s="62">
        <v>20</v>
      </c>
      <c r="S34" s="65" t="s">
        <v>145</v>
      </c>
      <c r="T34" s="64">
        <v>24.7</v>
      </c>
      <c r="U34" s="1"/>
    </row>
    <row r="35" spans="1:21" x14ac:dyDescent="0.25">
      <c r="A35" s="1"/>
      <c r="B35" s="77" t="s">
        <v>179</v>
      </c>
      <c r="C35" s="78" t="s">
        <v>180</v>
      </c>
      <c r="D35" s="79">
        <f>((K19-K19*(D31+D32))-(K19-K19*(D31+D32))*(D24/100))/(K19*(1-D31))</f>
        <v>0.53949999999999998</v>
      </c>
      <c r="E35" s="80" t="s">
        <v>106</v>
      </c>
      <c r="F35" s="29"/>
      <c r="G35" s="1"/>
      <c r="H35" s="148" t="s">
        <v>181</v>
      </c>
      <c r="I35" s="149"/>
      <c r="J35" s="6" t="s">
        <v>182</v>
      </c>
      <c r="K35" s="6">
        <f>(K27*R18*(R10-R9)+(K27-D19)*R14)/3600</f>
        <v>28.501642882119754</v>
      </c>
      <c r="L35" s="7" t="s">
        <v>111</v>
      </c>
      <c r="M35" s="1"/>
      <c r="N35" s="1"/>
      <c r="O35" s="61" t="s">
        <v>183</v>
      </c>
      <c r="P35" s="62">
        <v>2000</v>
      </c>
      <c r="Q35" s="62">
        <v>25</v>
      </c>
      <c r="R35" s="62">
        <v>20</v>
      </c>
      <c r="S35" s="65" t="s">
        <v>145</v>
      </c>
      <c r="T35" s="64">
        <v>28.4</v>
      </c>
      <c r="U35" s="1"/>
    </row>
    <row r="36" spans="1:21" x14ac:dyDescent="0.25">
      <c r="A36" s="1"/>
      <c r="B36" s="77" t="s">
        <v>184</v>
      </c>
      <c r="C36" s="78" t="s">
        <v>185</v>
      </c>
      <c r="D36" s="23">
        <f>760*EXP(-0.0001158*D33)</f>
        <v>630.73161123067814</v>
      </c>
      <c r="E36" s="80" t="s">
        <v>186</v>
      </c>
      <c r="F36" s="29"/>
      <c r="G36" s="1"/>
      <c r="H36" s="148" t="s">
        <v>187</v>
      </c>
      <c r="I36" s="149"/>
      <c r="J36" s="6" t="s">
        <v>188</v>
      </c>
      <c r="K36" s="6">
        <f>SUM(K33:K35)</f>
        <v>520.65615866582971</v>
      </c>
      <c r="L36" s="7" t="s">
        <v>111</v>
      </c>
      <c r="M36" s="1"/>
      <c r="N36" s="1"/>
      <c r="O36" s="61" t="s">
        <v>189</v>
      </c>
      <c r="P36" s="81" t="s">
        <v>145</v>
      </c>
      <c r="Q36" s="81" t="s">
        <v>145</v>
      </c>
      <c r="R36" s="81" t="s">
        <v>145</v>
      </c>
      <c r="S36" s="65" t="s">
        <v>145</v>
      </c>
      <c r="T36" s="82" t="s">
        <v>145</v>
      </c>
      <c r="U36" s="1"/>
    </row>
    <row r="37" spans="1:21" ht="15.75" thickBot="1" x14ac:dyDescent="0.3">
      <c r="A37" s="1"/>
      <c r="B37" s="83" t="s">
        <v>190</v>
      </c>
      <c r="C37" s="84" t="s">
        <v>191</v>
      </c>
      <c r="D37" s="84">
        <f>-227.03+3816.44/(18.3036-LN(7.5*(D36*133.3224/1000)))</f>
        <v>94.84769841995157</v>
      </c>
      <c r="E37" s="85" t="s">
        <v>44</v>
      </c>
      <c r="F37" s="29"/>
      <c r="G37" s="1"/>
      <c r="H37" s="150" t="s">
        <v>192</v>
      </c>
      <c r="I37" s="151"/>
      <c r="J37" s="9" t="s">
        <v>188</v>
      </c>
      <c r="K37" s="9">
        <f>(K19*(R10-D34)*R16+K24*((R12+R14)/2))/3600</f>
        <v>513.74429889073633</v>
      </c>
      <c r="L37" s="10" t="s">
        <v>111</v>
      </c>
      <c r="M37" s="1"/>
      <c r="N37" s="1"/>
      <c r="O37" s="86" t="s">
        <v>193</v>
      </c>
      <c r="P37" s="87">
        <v>3000</v>
      </c>
      <c r="Q37" s="87">
        <v>40</v>
      </c>
      <c r="R37" s="87">
        <v>30</v>
      </c>
      <c r="S37" s="88" t="s">
        <v>145</v>
      </c>
      <c r="T37" s="89">
        <v>27.7</v>
      </c>
      <c r="U37" s="1"/>
    </row>
    <row r="38" spans="1:21" ht="15.75" thickBot="1" x14ac:dyDescent="0.3">
      <c r="A38" s="1"/>
      <c r="B38" s="90"/>
      <c r="C38" s="90"/>
      <c r="D38" s="90"/>
      <c r="E38" s="90"/>
      <c r="F38" s="29"/>
      <c r="G38" s="1"/>
      <c r="H38" s="1"/>
      <c r="I38" s="1"/>
      <c r="J38" s="38"/>
      <c r="K38" s="1"/>
      <c r="L38" s="38"/>
      <c r="M38" s="1"/>
      <c r="N38" s="1"/>
      <c r="O38" s="1"/>
      <c r="P38" s="91"/>
      <c r="Q38" s="91"/>
      <c r="R38" s="91"/>
      <c r="S38" s="91"/>
      <c r="T38" s="91"/>
      <c r="U38" s="91"/>
    </row>
    <row r="39" spans="1:21" ht="15.75" thickBot="1" x14ac:dyDescent="0.3">
      <c r="A39" s="135" t="s">
        <v>194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</row>
    <row r="40" spans="1:21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thickBot="1" x14ac:dyDescent="0.3">
      <c r="A41" s="1"/>
      <c r="B41" s="135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7"/>
      <c r="R41" s="1"/>
      <c r="S41" s="1"/>
      <c r="T41" s="1"/>
      <c r="U41" s="1"/>
    </row>
    <row r="42" spans="1:21" x14ac:dyDescent="0.25">
      <c r="A42" s="1"/>
      <c r="B42" s="92" t="s">
        <v>2</v>
      </c>
      <c r="C42" s="93">
        <f>+D19</f>
        <v>151.09818181818181</v>
      </c>
      <c r="D42" s="94" t="s">
        <v>12</v>
      </c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3"/>
      <c r="R42" s="1"/>
      <c r="S42" s="1"/>
      <c r="T42" s="1"/>
      <c r="U42" s="1"/>
    </row>
    <row r="43" spans="1:21" x14ac:dyDescent="0.25">
      <c r="A43" s="1"/>
      <c r="B43" s="95" t="s">
        <v>18</v>
      </c>
      <c r="C43" s="96">
        <f>+K18</f>
        <v>1472.2222222222222</v>
      </c>
      <c r="D43" s="97" t="s">
        <v>19</v>
      </c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5"/>
      <c r="R43" s="1"/>
      <c r="S43" s="1"/>
      <c r="T43" s="1"/>
      <c r="U43" s="1"/>
    </row>
    <row r="44" spans="1:21" x14ac:dyDescent="0.25">
      <c r="A44" s="1"/>
      <c r="B44" s="95" t="s">
        <v>162</v>
      </c>
      <c r="C44" s="98">
        <f>+D31</f>
        <v>0.6</v>
      </c>
      <c r="D44" s="97" t="s">
        <v>106</v>
      </c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5"/>
      <c r="R44" s="1"/>
      <c r="S44" s="1"/>
      <c r="T44" s="1"/>
      <c r="U44" s="1"/>
    </row>
    <row r="45" spans="1:21" x14ac:dyDescent="0.25">
      <c r="A45" s="1"/>
      <c r="B45" s="95" t="s">
        <v>195</v>
      </c>
      <c r="C45" s="99">
        <f>+D14</f>
        <v>2</v>
      </c>
      <c r="D45" s="97" t="s">
        <v>196</v>
      </c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5"/>
      <c r="R45" s="1"/>
      <c r="S45" s="1"/>
      <c r="T45" s="1"/>
      <c r="U45" s="1"/>
    </row>
    <row r="46" spans="1:21" x14ac:dyDescent="0.25">
      <c r="A46" s="1"/>
      <c r="B46" s="95" t="s">
        <v>15</v>
      </c>
      <c r="C46" s="99">
        <v>5.5</v>
      </c>
      <c r="D46" s="97" t="s">
        <v>14</v>
      </c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"/>
      <c r="S46" s="1"/>
      <c r="T46" s="1"/>
      <c r="U46" s="1"/>
    </row>
    <row r="47" spans="1:21" x14ac:dyDescent="0.25">
      <c r="A47" s="1"/>
      <c r="B47" s="95" t="s">
        <v>16</v>
      </c>
      <c r="C47" s="99">
        <v>24</v>
      </c>
      <c r="D47" s="97" t="s">
        <v>4</v>
      </c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5"/>
      <c r="R47" s="1"/>
      <c r="S47" s="1"/>
      <c r="T47" s="1"/>
      <c r="U47" s="1"/>
    </row>
    <row r="48" spans="1:21" x14ac:dyDescent="0.25">
      <c r="A48" s="1"/>
      <c r="B48" s="95" t="s">
        <v>3</v>
      </c>
      <c r="C48" s="99">
        <f>+C47*C46</f>
        <v>132</v>
      </c>
      <c r="D48" s="97" t="s">
        <v>4</v>
      </c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"/>
      <c r="S48" s="1"/>
      <c r="T48" s="1"/>
      <c r="U48" s="1"/>
    </row>
    <row r="49" spans="1:21" x14ac:dyDescent="0.25">
      <c r="A49" s="1"/>
      <c r="B49" s="95" t="s">
        <v>0</v>
      </c>
      <c r="C49" s="96">
        <f>+K29</f>
        <v>588.88888888888891</v>
      </c>
      <c r="D49" s="97" t="s">
        <v>6</v>
      </c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5"/>
      <c r="R49" s="1"/>
      <c r="S49" s="1"/>
      <c r="T49" s="1"/>
      <c r="U49" s="1"/>
    </row>
    <row r="50" spans="1:21" ht="15.75" thickBot="1" x14ac:dyDescent="0.3">
      <c r="A50" s="1"/>
      <c r="B50" s="95" t="s">
        <v>197</v>
      </c>
      <c r="C50" s="99">
        <f>+C49*C46*C47</f>
        <v>77733.333333333343</v>
      </c>
      <c r="D50" s="97" t="s">
        <v>6</v>
      </c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5"/>
      <c r="R50" s="1"/>
      <c r="S50" s="1"/>
      <c r="T50" s="1"/>
      <c r="U50" s="1"/>
    </row>
    <row r="51" spans="1:21" ht="15.75" thickBot="1" x14ac:dyDescent="0.3">
      <c r="A51" s="1"/>
      <c r="B51" s="109" t="s">
        <v>1</v>
      </c>
      <c r="C51" s="110">
        <v>370</v>
      </c>
      <c r="D51" s="111" t="s">
        <v>7</v>
      </c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5"/>
      <c r="R51" s="1"/>
      <c r="S51" s="1"/>
      <c r="T51" s="1"/>
      <c r="U51" s="1"/>
    </row>
    <row r="52" spans="1:21" x14ac:dyDescent="0.25">
      <c r="A52" s="1"/>
      <c r="B52" s="95" t="s">
        <v>8</v>
      </c>
      <c r="C52" s="99">
        <f>+C50/C51</f>
        <v>210.09009009009011</v>
      </c>
      <c r="D52" s="97" t="s">
        <v>9</v>
      </c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5"/>
      <c r="R52" s="1"/>
      <c r="S52" s="1"/>
      <c r="T52" s="1"/>
      <c r="U52" s="1"/>
    </row>
    <row r="53" spans="1:21" x14ac:dyDescent="0.25">
      <c r="A53" s="1"/>
      <c r="B53" s="95" t="s">
        <v>199</v>
      </c>
      <c r="C53" s="99">
        <v>2</v>
      </c>
      <c r="D53" s="97" t="s">
        <v>170</v>
      </c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5"/>
      <c r="R53" s="1"/>
      <c r="S53" s="1"/>
      <c r="T53" s="1"/>
      <c r="U53" s="1"/>
    </row>
    <row r="54" spans="1:21" x14ac:dyDescent="0.25">
      <c r="A54" s="1"/>
      <c r="B54" s="95" t="s">
        <v>10</v>
      </c>
      <c r="C54" s="99">
        <f>+C52/2</f>
        <v>105.04504504504506</v>
      </c>
      <c r="D54" s="97" t="s">
        <v>17</v>
      </c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5"/>
      <c r="R54" s="1"/>
      <c r="S54" s="1"/>
      <c r="T54" s="1"/>
      <c r="U54" s="1"/>
    </row>
    <row r="55" spans="1:21" x14ac:dyDescent="0.25">
      <c r="A55" s="1"/>
      <c r="B55" s="95" t="s">
        <v>198</v>
      </c>
      <c r="C55" s="99">
        <v>2</v>
      </c>
      <c r="D55" s="97" t="s">
        <v>170</v>
      </c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5"/>
      <c r="R55" s="1"/>
      <c r="S55" s="1"/>
      <c r="T55" s="1"/>
      <c r="U55" s="1"/>
    </row>
    <row r="56" spans="1:21" x14ac:dyDescent="0.25">
      <c r="A56" s="1"/>
      <c r="B56" s="95" t="s">
        <v>200</v>
      </c>
      <c r="C56" s="99">
        <f>+C54/C55</f>
        <v>52.522522522522529</v>
      </c>
      <c r="D56" s="97" t="s">
        <v>170</v>
      </c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5"/>
      <c r="R56" s="1"/>
      <c r="S56" s="1"/>
      <c r="T56" s="1"/>
      <c r="U56" s="1"/>
    </row>
    <row r="57" spans="1:21" x14ac:dyDescent="0.25">
      <c r="A57" s="1"/>
      <c r="B57" s="95" t="s">
        <v>201</v>
      </c>
      <c r="C57" s="99">
        <v>10</v>
      </c>
      <c r="D57" s="97" t="s">
        <v>170</v>
      </c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5"/>
      <c r="R57" s="1"/>
      <c r="S57" s="1"/>
      <c r="T57" s="1"/>
      <c r="U57" s="1"/>
    </row>
    <row r="58" spans="1:21" ht="15.75" thickBot="1" x14ac:dyDescent="0.3">
      <c r="A58" s="1"/>
      <c r="B58" s="100" t="s">
        <v>11</v>
      </c>
      <c r="C58" s="101">
        <f>+ROUNDUP(C56/C57,0)</f>
        <v>6</v>
      </c>
      <c r="D58" s="102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5"/>
      <c r="R58" s="1"/>
      <c r="S58" s="1"/>
      <c r="T58" s="1"/>
      <c r="U58" s="1"/>
    </row>
    <row r="59" spans="1:21" x14ac:dyDescent="0.25">
      <c r="A59" s="1"/>
      <c r="B59" s="104" t="s">
        <v>202</v>
      </c>
      <c r="C59" s="105">
        <f>+(C57+1.5)*(C58*C55+C58+1)</f>
        <v>218.5</v>
      </c>
      <c r="D59" s="9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5"/>
      <c r="R59" s="1"/>
      <c r="S59" s="1"/>
      <c r="T59" s="1"/>
      <c r="U59" s="1"/>
    </row>
    <row r="60" spans="1:21" x14ac:dyDescent="0.25">
      <c r="A60" s="1"/>
      <c r="B60" s="103" t="s">
        <v>204</v>
      </c>
      <c r="C60" s="99">
        <f>+C58*C55+C58+1</f>
        <v>19</v>
      </c>
      <c r="D60" s="97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5"/>
      <c r="R60" s="1"/>
      <c r="S60" s="1"/>
      <c r="T60" s="1"/>
      <c r="U60" s="1"/>
    </row>
    <row r="61" spans="1:21" ht="15.75" thickBot="1" x14ac:dyDescent="0.3">
      <c r="A61" s="1"/>
      <c r="B61" s="103" t="s">
        <v>203</v>
      </c>
      <c r="C61" s="99">
        <f>1.5+C57</f>
        <v>11.5</v>
      </c>
      <c r="D61" s="97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5"/>
      <c r="R61" s="1"/>
      <c r="S61" s="1"/>
      <c r="T61" s="1"/>
      <c r="U61" s="1"/>
    </row>
    <row r="62" spans="1:21" ht="15.75" thickBot="1" x14ac:dyDescent="0.3">
      <c r="A62" s="1"/>
      <c r="B62" s="100" t="s">
        <v>205</v>
      </c>
      <c r="C62" s="106">
        <f>+C61*C60</f>
        <v>218.5</v>
      </c>
      <c r="D62" s="108" t="s">
        <v>17</v>
      </c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7"/>
      <c r="R62" s="1"/>
      <c r="S62" s="1"/>
      <c r="T62" s="1"/>
      <c r="U62" s="1"/>
    </row>
    <row r="63" spans="1:21" x14ac:dyDescent="0.25">
      <c r="A63" s="1"/>
      <c r="B63" s="1" t="s">
        <v>206</v>
      </c>
      <c r="C63" s="1">
        <f>+C62/2</f>
        <v>109.25</v>
      </c>
      <c r="D63" s="1" t="s">
        <v>17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 t="s">
        <v>207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thickBot="1" x14ac:dyDescent="0.3">
      <c r="A68" s="106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8"/>
    </row>
    <row r="69" spans="1:21" ht="15.75" thickBot="1" x14ac:dyDescent="0.3"/>
    <row r="70" spans="1:21" ht="15.75" thickBot="1" x14ac:dyDescent="0.3">
      <c r="A70" s="140" t="s">
        <v>208</v>
      </c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2"/>
    </row>
    <row r="71" spans="1:21" ht="15.75" thickBot="1" x14ac:dyDescent="0.3"/>
    <row r="72" spans="1:21" x14ac:dyDescent="0.25">
      <c r="B72" s="121" t="s">
        <v>2</v>
      </c>
      <c r="C72" s="122">
        <f>+C42</f>
        <v>151.09818181818181</v>
      </c>
      <c r="D72" s="123" t="s">
        <v>209</v>
      </c>
    </row>
    <row r="73" spans="1:21" x14ac:dyDescent="0.25">
      <c r="B73" s="124" t="s">
        <v>210</v>
      </c>
      <c r="C73" s="120">
        <v>0.125</v>
      </c>
      <c r="D73" s="125" t="s">
        <v>209</v>
      </c>
    </row>
    <row r="74" spans="1:21" x14ac:dyDescent="0.25">
      <c r="B74" s="124" t="s">
        <v>211</v>
      </c>
      <c r="C74" s="120">
        <v>1360</v>
      </c>
      <c r="D74" s="125" t="s">
        <v>7</v>
      </c>
    </row>
    <row r="75" spans="1:21" x14ac:dyDescent="0.25">
      <c r="B75" s="124" t="s">
        <v>212</v>
      </c>
      <c r="C75" s="120">
        <f>20/1000</f>
        <v>0.02</v>
      </c>
      <c r="D75" s="125" t="s">
        <v>170</v>
      </c>
    </row>
    <row r="76" spans="1:21" x14ac:dyDescent="0.25">
      <c r="B76" s="126" t="s">
        <v>213</v>
      </c>
      <c r="C76" s="120">
        <f>+(C72/C74)/C75</f>
        <v>5.555080213903743</v>
      </c>
      <c r="D76" s="127" t="s">
        <v>17</v>
      </c>
    </row>
    <row r="77" spans="1:21" x14ac:dyDescent="0.25">
      <c r="B77" s="126" t="s">
        <v>214</v>
      </c>
      <c r="C77" s="120"/>
      <c r="D77" s="125"/>
    </row>
    <row r="78" spans="1:21" x14ac:dyDescent="0.25">
      <c r="B78" s="124" t="s">
        <v>213</v>
      </c>
      <c r="C78" s="120">
        <f>+C76/4</f>
        <v>1.3887700534759357</v>
      </c>
      <c r="D78" s="125" t="s">
        <v>17</v>
      </c>
      <c r="F78">
        <f>+C78/1.2</f>
        <v>1.1573083778966131</v>
      </c>
    </row>
    <row r="79" spans="1:21" x14ac:dyDescent="0.25">
      <c r="B79" s="126" t="s">
        <v>225</v>
      </c>
      <c r="C79" s="120">
        <v>4</v>
      </c>
      <c r="D79" s="125"/>
    </row>
    <row r="80" spans="1:21" x14ac:dyDescent="0.25">
      <c r="B80" s="126" t="s">
        <v>226</v>
      </c>
      <c r="C80" s="120">
        <f>+C82/4</f>
        <v>302.25</v>
      </c>
      <c r="D80" s="125"/>
    </row>
    <row r="81" spans="2:4" x14ac:dyDescent="0.25">
      <c r="B81" s="126" t="s">
        <v>216</v>
      </c>
      <c r="C81" s="120">
        <v>2</v>
      </c>
      <c r="D81" s="125"/>
    </row>
    <row r="82" spans="2:4" x14ac:dyDescent="0.25">
      <c r="B82" s="126" t="s">
        <v>217</v>
      </c>
      <c r="C82" s="120">
        <f>+ROUNDUP(C72/C73,0)</f>
        <v>1209</v>
      </c>
      <c r="D82" s="125" t="s">
        <v>229</v>
      </c>
    </row>
    <row r="83" spans="2:4" x14ac:dyDescent="0.25">
      <c r="B83" s="126" t="s">
        <v>219</v>
      </c>
      <c r="C83" s="120">
        <f>100/1000</f>
        <v>0.1</v>
      </c>
      <c r="D83" s="125" t="s">
        <v>170</v>
      </c>
    </row>
    <row r="84" spans="2:4" x14ac:dyDescent="0.25">
      <c r="B84" s="126" t="s">
        <v>218</v>
      </c>
      <c r="C84" s="120">
        <f>4.5/100</f>
        <v>4.4999999999999998E-2</v>
      </c>
      <c r="D84" s="125" t="s">
        <v>170</v>
      </c>
    </row>
    <row r="85" spans="2:4" x14ac:dyDescent="0.25">
      <c r="B85" s="124" t="s">
        <v>224</v>
      </c>
      <c r="C85" s="120">
        <v>1</v>
      </c>
      <c r="D85" s="125" t="s">
        <v>170</v>
      </c>
    </row>
    <row r="86" spans="2:4" x14ac:dyDescent="0.25">
      <c r="B86" s="124" t="s">
        <v>220</v>
      </c>
      <c r="C86" s="120">
        <f>+ROUNDDOWN(C85/(C84+25/1000),0)</f>
        <v>14</v>
      </c>
      <c r="D86" s="125" t="s">
        <v>13</v>
      </c>
    </row>
    <row r="87" spans="2:4" x14ac:dyDescent="0.25">
      <c r="B87" s="124" t="s">
        <v>221</v>
      </c>
      <c r="C87" s="120">
        <f>+ROUNDUP(C80/C86,0)</f>
        <v>22</v>
      </c>
      <c r="D87" s="125" t="s">
        <v>13</v>
      </c>
    </row>
    <row r="88" spans="2:4" x14ac:dyDescent="0.25">
      <c r="B88" s="126" t="s">
        <v>223</v>
      </c>
      <c r="C88" s="120">
        <f>+C87*C83+(C87+1)*25/1000</f>
        <v>2.7750000000000004</v>
      </c>
      <c r="D88" s="125" t="s">
        <v>170</v>
      </c>
    </row>
    <row r="89" spans="2:4" x14ac:dyDescent="0.25">
      <c r="B89" s="126" t="s">
        <v>222</v>
      </c>
      <c r="C89" s="120">
        <f>+C85+0.1</f>
        <v>1.1000000000000001</v>
      </c>
      <c r="D89" s="125" t="s">
        <v>170</v>
      </c>
    </row>
    <row r="90" spans="2:4" ht="15.75" thickBot="1" x14ac:dyDescent="0.3">
      <c r="B90" s="128" t="s">
        <v>227</v>
      </c>
      <c r="C90" s="129">
        <v>30</v>
      </c>
      <c r="D90" s="130" t="s">
        <v>228</v>
      </c>
    </row>
    <row r="91" spans="2:4" ht="15.75" thickBot="1" x14ac:dyDescent="0.3">
      <c r="B91" s="131" t="s">
        <v>215</v>
      </c>
      <c r="C91" s="107">
        <v>2</v>
      </c>
      <c r="D91" s="132" t="s">
        <v>13</v>
      </c>
    </row>
    <row r="93" spans="2:4" ht="15.75" thickBot="1" x14ac:dyDescent="0.3"/>
    <row r="94" spans="2:4" x14ac:dyDescent="0.25">
      <c r="B94" s="121" t="s">
        <v>230</v>
      </c>
      <c r="C94" s="133">
        <v>3</v>
      </c>
      <c r="D94" s="123" t="s">
        <v>170</v>
      </c>
    </row>
    <row r="95" spans="2:4" x14ac:dyDescent="0.25">
      <c r="B95" s="126" t="s">
        <v>223</v>
      </c>
      <c r="C95" s="120">
        <f>+C88</f>
        <v>2.7750000000000004</v>
      </c>
      <c r="D95" s="125" t="s">
        <v>170</v>
      </c>
    </row>
    <row r="96" spans="2:4" x14ac:dyDescent="0.25">
      <c r="B96" s="126" t="s">
        <v>222</v>
      </c>
      <c r="C96" s="120">
        <f>+C89</f>
        <v>1.1000000000000001</v>
      </c>
      <c r="D96" s="125" t="s">
        <v>170</v>
      </c>
    </row>
    <row r="97" spans="2:4" x14ac:dyDescent="0.25">
      <c r="B97" s="126" t="s">
        <v>231</v>
      </c>
      <c r="C97" s="120">
        <v>1.5</v>
      </c>
      <c r="D97" s="127" t="s">
        <v>170</v>
      </c>
    </row>
    <row r="98" spans="2:4" x14ac:dyDescent="0.25">
      <c r="B98" s="126" t="s">
        <v>232</v>
      </c>
      <c r="C98" s="120">
        <v>1</v>
      </c>
      <c r="D98" s="127" t="s">
        <v>170</v>
      </c>
    </row>
    <row r="99" spans="2:4" x14ac:dyDescent="0.25">
      <c r="B99" s="126" t="s">
        <v>233</v>
      </c>
      <c r="C99" s="120">
        <v>2.5</v>
      </c>
      <c r="D99" s="127" t="s">
        <v>170</v>
      </c>
    </row>
    <row r="100" spans="2:4" x14ac:dyDescent="0.25">
      <c r="B100" s="126" t="s">
        <v>234</v>
      </c>
      <c r="C100" s="120">
        <v>1</v>
      </c>
      <c r="D100" s="127" t="s">
        <v>170</v>
      </c>
    </row>
    <row r="101" spans="2:4" x14ac:dyDescent="0.25">
      <c r="B101" s="126" t="s">
        <v>238</v>
      </c>
      <c r="C101" s="120">
        <f>+(C95+C99+C100)*(C96*2+C94)</f>
        <v>32.630000000000003</v>
      </c>
      <c r="D101" s="127" t="s">
        <v>17</v>
      </c>
    </row>
    <row r="102" spans="2:4" x14ac:dyDescent="0.25">
      <c r="B102" s="126" t="s">
        <v>237</v>
      </c>
      <c r="C102" s="120">
        <v>1</v>
      </c>
      <c r="D102" s="127" t="s">
        <v>170</v>
      </c>
    </row>
    <row r="103" spans="2:4" ht="15.75" thickBot="1" x14ac:dyDescent="0.3">
      <c r="B103" s="128" t="s">
        <v>239</v>
      </c>
      <c r="C103" s="129">
        <f>+(C95+C99+C100+2*C102)*(C96*2+C94+2*C102)</f>
        <v>59.580000000000005</v>
      </c>
      <c r="D103" s="130" t="s">
        <v>17</v>
      </c>
    </row>
    <row r="104" spans="2:4" ht="15.75" thickBot="1" x14ac:dyDescent="0.3"/>
    <row r="105" spans="2:4" x14ac:dyDescent="0.25">
      <c r="B105" s="104" t="s">
        <v>235</v>
      </c>
      <c r="C105" s="105">
        <f>+C91*C89+C94+2*C102</f>
        <v>7.2</v>
      </c>
      <c r="D105" s="94" t="s">
        <v>170</v>
      </c>
    </row>
    <row r="106" spans="2:4" ht="15.75" thickBot="1" x14ac:dyDescent="0.3">
      <c r="B106" s="119" t="s">
        <v>236</v>
      </c>
      <c r="C106" s="101">
        <f>+C88+C99+C100+2*C102</f>
        <v>8.2750000000000004</v>
      </c>
      <c r="D106" s="102" t="s">
        <v>170</v>
      </c>
    </row>
    <row r="107" spans="2:4" x14ac:dyDescent="0.25">
      <c r="B107" s="95" t="s">
        <v>207</v>
      </c>
      <c r="C107" s="99">
        <f>+C103/2</f>
        <v>29.790000000000003</v>
      </c>
      <c r="D107" s="118" t="s">
        <v>170</v>
      </c>
    </row>
    <row r="108" spans="2:4" x14ac:dyDescent="0.25">
      <c r="B108" s="95" t="s">
        <v>242</v>
      </c>
      <c r="C108" s="99">
        <f>+C107/C105</f>
        <v>4.1375000000000002</v>
      </c>
      <c r="D108" s="118" t="s">
        <v>170</v>
      </c>
    </row>
    <row r="109" spans="2:4" x14ac:dyDescent="0.25">
      <c r="B109" s="95" t="s">
        <v>241</v>
      </c>
      <c r="C109" s="99">
        <f>+C103/2</f>
        <v>29.790000000000003</v>
      </c>
      <c r="D109" s="118" t="s">
        <v>170</v>
      </c>
    </row>
    <row r="110" spans="2:4" x14ac:dyDescent="0.25">
      <c r="B110" s="95" t="s">
        <v>243</v>
      </c>
      <c r="C110" s="99">
        <f>+C109/C105</f>
        <v>4.1375000000000002</v>
      </c>
      <c r="D110" s="118" t="s">
        <v>170</v>
      </c>
    </row>
    <row r="111" spans="2:4" ht="15.75" thickBot="1" x14ac:dyDescent="0.3">
      <c r="B111" s="100" t="s">
        <v>244</v>
      </c>
      <c r="C111" s="101">
        <f>+C110+C108+C106</f>
        <v>16.55</v>
      </c>
      <c r="D111" s="134" t="s">
        <v>170</v>
      </c>
    </row>
    <row r="112" spans="2:4" ht="15.75" thickBot="1" x14ac:dyDescent="0.3"/>
    <row r="113" spans="1:21" ht="15.75" thickBot="1" x14ac:dyDescent="0.3">
      <c r="A113" s="135" t="s">
        <v>240</v>
      </c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7"/>
    </row>
  </sheetData>
  <mergeCells count="66">
    <mergeCell ref="B2:E6"/>
    <mergeCell ref="H2:J2"/>
    <mergeCell ref="K2:L2"/>
    <mergeCell ref="O2:S2"/>
    <mergeCell ref="H3:J3"/>
    <mergeCell ref="K3:L3"/>
    <mergeCell ref="O3:S3"/>
    <mergeCell ref="H4:J4"/>
    <mergeCell ref="K4:L4"/>
    <mergeCell ref="O4:P4"/>
    <mergeCell ref="H10:J10"/>
    <mergeCell ref="O10:P10"/>
    <mergeCell ref="H5:J5"/>
    <mergeCell ref="K5:L5"/>
    <mergeCell ref="O5:P5"/>
    <mergeCell ref="H6:J6"/>
    <mergeCell ref="K6:L6"/>
    <mergeCell ref="O6:P6"/>
    <mergeCell ref="O7:S7"/>
    <mergeCell ref="H8:J8"/>
    <mergeCell ref="O8:P8"/>
    <mergeCell ref="H9:J9"/>
    <mergeCell ref="O9:P9"/>
    <mergeCell ref="H17:L17"/>
    <mergeCell ref="O17:P17"/>
    <mergeCell ref="H11:J11"/>
    <mergeCell ref="O11:S11"/>
    <mergeCell ref="H12:J12"/>
    <mergeCell ref="O12:P12"/>
    <mergeCell ref="H13:J13"/>
    <mergeCell ref="O13:P13"/>
    <mergeCell ref="H14:J14"/>
    <mergeCell ref="O14:P14"/>
    <mergeCell ref="H15:J15"/>
    <mergeCell ref="O15:S15"/>
    <mergeCell ref="O16:P16"/>
    <mergeCell ref="B18:E18"/>
    <mergeCell ref="H18:I18"/>
    <mergeCell ref="O18:P18"/>
    <mergeCell ref="H19:I19"/>
    <mergeCell ref="H20:I20"/>
    <mergeCell ref="O20:P20"/>
    <mergeCell ref="H30:I30"/>
    <mergeCell ref="H21:I21"/>
    <mergeCell ref="O21:P21"/>
    <mergeCell ref="H22:I22"/>
    <mergeCell ref="O22:P22"/>
    <mergeCell ref="H23:I23"/>
    <mergeCell ref="H24:I24"/>
    <mergeCell ref="O24:T24"/>
    <mergeCell ref="A39:U39"/>
    <mergeCell ref="B41:Q41"/>
    <mergeCell ref="V1:V1048576"/>
    <mergeCell ref="A70:U70"/>
    <mergeCell ref="A113:U113"/>
    <mergeCell ref="H32:L32"/>
    <mergeCell ref="H33:I33"/>
    <mergeCell ref="H34:I34"/>
    <mergeCell ref="H35:I35"/>
    <mergeCell ref="H36:I36"/>
    <mergeCell ref="H37:I37"/>
    <mergeCell ref="H25:I25"/>
    <mergeCell ref="H26:I26"/>
    <mergeCell ref="H27:I27"/>
    <mergeCell ref="H28:I28"/>
    <mergeCell ref="H29:I29"/>
  </mergeCells>
  <conditionalFormatting sqref="O26:T26">
    <cfRule type="expression" priority="1">
      <formula>IF($P$26&gt;$K$15,"si","no")</formula>
    </cfRule>
    <cfRule type="cellIs" dxfId="0" priority="2" stopIfTrue="1" operator="greaterThan">
      <formula>$P$26&gt;$K$15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7B99-CE78-4918-AD1E-559BF4A147D7}">
  <dimension ref="B1:P154"/>
  <sheetViews>
    <sheetView tabSelected="1" topLeftCell="A34" workbookViewId="0">
      <selection activeCell="B87" sqref="B87"/>
    </sheetView>
  </sheetViews>
  <sheetFormatPr baseColWidth="10" defaultRowHeight="15" x14ac:dyDescent="0.25"/>
  <sheetData>
    <row r="1" spans="2:16" ht="15.75" thickBot="1" x14ac:dyDescent="0.3"/>
    <row r="2" spans="2:16" x14ac:dyDescent="0.25">
      <c r="B2" s="204"/>
      <c r="C2" s="112"/>
      <c r="D2" s="112"/>
      <c r="E2" s="112"/>
      <c r="F2" s="112"/>
      <c r="G2" s="112"/>
      <c r="H2" s="113"/>
      <c r="J2" s="204"/>
      <c r="K2" s="112"/>
      <c r="L2" s="112"/>
      <c r="M2" s="112"/>
      <c r="N2" s="112"/>
      <c r="O2" s="112"/>
      <c r="P2" s="113"/>
    </row>
    <row r="3" spans="2:16" x14ac:dyDescent="0.25">
      <c r="B3" s="205"/>
      <c r="C3" s="114"/>
      <c r="D3" s="114"/>
      <c r="E3" s="114"/>
      <c r="F3" s="114"/>
      <c r="G3" s="114"/>
      <c r="H3" s="115"/>
      <c r="J3" s="205"/>
      <c r="K3" s="114"/>
      <c r="L3" s="114"/>
      <c r="M3" s="114"/>
      <c r="N3" s="114"/>
      <c r="O3" s="114"/>
      <c r="P3" s="115"/>
    </row>
    <row r="4" spans="2:16" x14ac:dyDescent="0.25">
      <c r="B4" s="205"/>
      <c r="C4" s="114"/>
      <c r="D4" s="114"/>
      <c r="E4" s="114"/>
      <c r="F4" s="114"/>
      <c r="G4" s="114"/>
      <c r="H4" s="115"/>
      <c r="J4" s="205"/>
      <c r="K4" s="114"/>
      <c r="L4" s="114"/>
      <c r="M4" s="114"/>
      <c r="N4" s="114"/>
      <c r="O4" s="114"/>
      <c r="P4" s="115"/>
    </row>
    <row r="5" spans="2:16" x14ac:dyDescent="0.25">
      <c r="B5" s="205"/>
      <c r="C5" s="114"/>
      <c r="D5" s="114"/>
      <c r="E5" s="114"/>
      <c r="F5" s="114"/>
      <c r="G5" s="114"/>
      <c r="H5" s="115"/>
      <c r="J5" s="205"/>
      <c r="K5" s="114"/>
      <c r="L5" s="114"/>
      <c r="M5" s="114"/>
      <c r="N5" s="114"/>
      <c r="O5" s="114"/>
      <c r="P5" s="115"/>
    </row>
    <row r="6" spans="2:16" x14ac:dyDescent="0.25">
      <c r="B6" s="205"/>
      <c r="C6" s="114"/>
      <c r="D6" s="114"/>
      <c r="E6" s="114"/>
      <c r="F6" s="114"/>
      <c r="G6" s="114"/>
      <c r="H6" s="115"/>
      <c r="J6" s="205"/>
      <c r="K6" s="114"/>
      <c r="L6" s="114"/>
      <c r="M6" s="114"/>
      <c r="N6" s="114"/>
      <c r="O6" s="114"/>
      <c r="P6" s="115"/>
    </row>
    <row r="7" spans="2:16" x14ac:dyDescent="0.25">
      <c r="B7" s="205"/>
      <c r="C7" s="114"/>
      <c r="D7" s="114"/>
      <c r="E7" s="114"/>
      <c r="F7" s="114"/>
      <c r="G7" s="114"/>
      <c r="H7" s="115"/>
      <c r="J7" s="205"/>
      <c r="K7" s="114"/>
      <c r="L7" s="114"/>
      <c r="M7" s="114"/>
      <c r="N7" s="114"/>
      <c r="O7" s="114"/>
      <c r="P7" s="115"/>
    </row>
    <row r="8" spans="2:16" x14ac:dyDescent="0.25">
      <c r="B8" s="205"/>
      <c r="C8" s="114"/>
      <c r="D8" s="114"/>
      <c r="E8" s="114"/>
      <c r="F8" s="114"/>
      <c r="G8" s="114"/>
      <c r="H8" s="115"/>
      <c r="J8" s="205"/>
      <c r="K8" s="114"/>
      <c r="L8" s="114"/>
      <c r="M8" s="114"/>
      <c r="N8" s="114"/>
      <c r="O8" s="114"/>
      <c r="P8" s="115"/>
    </row>
    <row r="9" spans="2:16" x14ac:dyDescent="0.25">
      <c r="B9" s="205"/>
      <c r="C9" s="114"/>
      <c r="D9" s="114"/>
      <c r="E9" s="114"/>
      <c r="F9" s="114"/>
      <c r="G9" s="114"/>
      <c r="H9" s="115"/>
      <c r="J9" s="205"/>
      <c r="K9" s="114"/>
      <c r="L9" s="114"/>
      <c r="M9" s="114"/>
      <c r="N9" s="114"/>
      <c r="O9" s="114"/>
      <c r="P9" s="115"/>
    </row>
    <row r="10" spans="2:16" x14ac:dyDescent="0.25">
      <c r="B10" s="205"/>
      <c r="C10" s="114"/>
      <c r="D10" s="114"/>
      <c r="E10" s="114"/>
      <c r="F10" s="114"/>
      <c r="G10" s="114"/>
      <c r="H10" s="115"/>
      <c r="J10" s="205"/>
      <c r="K10" s="114"/>
      <c r="L10" s="114"/>
      <c r="M10" s="114"/>
      <c r="N10" s="114"/>
      <c r="O10" s="114"/>
      <c r="P10" s="115"/>
    </row>
    <row r="11" spans="2:16" x14ac:dyDescent="0.25">
      <c r="B11" s="205"/>
      <c r="C11" s="114"/>
      <c r="D11" s="114"/>
      <c r="E11" s="114"/>
      <c r="F11" s="114"/>
      <c r="G11" s="114"/>
      <c r="H11" s="115"/>
      <c r="J11" s="205"/>
      <c r="K11" s="114"/>
      <c r="L11" s="114"/>
      <c r="M11" s="114"/>
      <c r="N11" s="114"/>
      <c r="O11" s="114"/>
      <c r="P11" s="115"/>
    </row>
    <row r="12" spans="2:16" x14ac:dyDescent="0.25">
      <c r="B12" s="205"/>
      <c r="C12" s="114"/>
      <c r="D12" s="114"/>
      <c r="E12" s="114"/>
      <c r="F12" s="114"/>
      <c r="G12" s="114"/>
      <c r="H12" s="115"/>
      <c r="J12" s="205"/>
      <c r="K12" s="114"/>
      <c r="L12" s="114"/>
      <c r="M12" s="114"/>
      <c r="N12" s="114"/>
      <c r="O12" s="114"/>
      <c r="P12" s="115"/>
    </row>
    <row r="13" spans="2:16" x14ac:dyDescent="0.25">
      <c r="B13" s="205"/>
      <c r="C13" s="114"/>
      <c r="D13" s="114"/>
      <c r="E13" s="114"/>
      <c r="F13" s="114"/>
      <c r="G13" s="114"/>
      <c r="H13" s="115"/>
      <c r="J13" s="205"/>
      <c r="K13" s="114"/>
      <c r="L13" s="114"/>
      <c r="M13" s="114"/>
      <c r="N13" s="114"/>
      <c r="O13" s="114"/>
      <c r="P13" s="115"/>
    </row>
    <row r="14" spans="2:16" x14ac:dyDescent="0.25">
      <c r="B14" s="205"/>
      <c r="C14" s="114"/>
      <c r="D14" s="114"/>
      <c r="E14" s="114"/>
      <c r="F14" s="114"/>
      <c r="G14" s="114"/>
      <c r="H14" s="115"/>
      <c r="J14" s="205"/>
      <c r="K14" s="114"/>
      <c r="L14" s="114"/>
      <c r="M14" s="114"/>
      <c r="N14" s="114"/>
      <c r="O14" s="114"/>
      <c r="P14" s="115"/>
    </row>
    <row r="15" spans="2:16" x14ac:dyDescent="0.25">
      <c r="B15" s="205"/>
      <c r="C15" s="114"/>
      <c r="D15" s="114"/>
      <c r="E15" s="114"/>
      <c r="F15" s="114"/>
      <c r="G15" s="114"/>
      <c r="H15" s="115"/>
      <c r="J15" s="205"/>
      <c r="K15" s="114"/>
      <c r="L15" s="114"/>
      <c r="M15" s="114"/>
      <c r="N15" s="114"/>
      <c r="O15" s="114"/>
      <c r="P15" s="115"/>
    </row>
    <row r="16" spans="2:16" ht="15.75" thickBot="1" x14ac:dyDescent="0.3">
      <c r="B16" s="206"/>
      <c r="C16" s="116"/>
      <c r="D16" s="116"/>
      <c r="E16" s="116"/>
      <c r="F16" s="116"/>
      <c r="G16" s="116"/>
      <c r="H16" s="117"/>
      <c r="J16" s="206"/>
      <c r="K16" s="116"/>
      <c r="L16" s="116"/>
      <c r="M16" s="116"/>
      <c r="N16" s="116"/>
      <c r="O16" s="116"/>
      <c r="P16" s="117"/>
    </row>
    <row r="17" spans="2:16" ht="15.75" thickBot="1" x14ac:dyDescent="0.3">
      <c r="B17" s="135" t="s">
        <v>246</v>
      </c>
      <c r="C17" s="136"/>
      <c r="D17" s="136"/>
      <c r="E17" s="136"/>
      <c r="F17" s="136"/>
      <c r="G17" s="136"/>
      <c r="H17" s="137"/>
      <c r="J17" s="140" t="s">
        <v>245</v>
      </c>
      <c r="K17" s="141"/>
      <c r="L17" s="141"/>
      <c r="M17" s="141"/>
      <c r="N17" s="141"/>
      <c r="O17" s="141"/>
      <c r="P17" s="142"/>
    </row>
    <row r="18" spans="2:16" ht="15.75" thickBot="1" x14ac:dyDescent="0.3"/>
    <row r="19" spans="2:16" x14ac:dyDescent="0.25">
      <c r="B19" s="204"/>
      <c r="C19" s="112"/>
      <c r="D19" s="112"/>
      <c r="E19" s="112"/>
      <c r="F19" s="112"/>
      <c r="G19" s="112"/>
      <c r="H19" s="113"/>
      <c r="J19" s="204"/>
      <c r="K19" s="112"/>
      <c r="L19" s="112"/>
      <c r="M19" s="112"/>
      <c r="N19" s="112"/>
      <c r="O19" s="112"/>
      <c r="P19" s="113"/>
    </row>
    <row r="20" spans="2:16" x14ac:dyDescent="0.25">
      <c r="B20" s="205"/>
      <c r="C20" s="114"/>
      <c r="D20" s="114"/>
      <c r="E20" s="114"/>
      <c r="F20" s="114"/>
      <c r="G20" s="114"/>
      <c r="H20" s="115"/>
      <c r="J20" s="205"/>
      <c r="K20" s="114"/>
      <c r="L20" s="114"/>
      <c r="M20" s="114"/>
      <c r="N20" s="114"/>
      <c r="O20" s="114"/>
      <c r="P20" s="115"/>
    </row>
    <row r="21" spans="2:16" x14ac:dyDescent="0.25">
      <c r="B21" s="205"/>
      <c r="C21" s="114"/>
      <c r="D21" s="114"/>
      <c r="E21" s="114"/>
      <c r="F21" s="114"/>
      <c r="G21" s="114"/>
      <c r="H21" s="115"/>
      <c r="J21" s="205"/>
      <c r="K21" s="114"/>
      <c r="L21" s="114"/>
      <c r="M21" s="114"/>
      <c r="N21" s="114"/>
      <c r="O21" s="114"/>
      <c r="P21" s="115"/>
    </row>
    <row r="22" spans="2:16" x14ac:dyDescent="0.25">
      <c r="B22" s="205"/>
      <c r="C22" s="114"/>
      <c r="D22" s="114"/>
      <c r="E22" s="114"/>
      <c r="F22" s="114"/>
      <c r="G22" s="114"/>
      <c r="H22" s="115"/>
      <c r="J22" s="205"/>
      <c r="K22" s="114"/>
      <c r="L22" s="114"/>
      <c r="M22" s="114"/>
      <c r="N22" s="114"/>
      <c r="O22" s="114"/>
      <c r="P22" s="115"/>
    </row>
    <row r="23" spans="2:16" x14ac:dyDescent="0.25">
      <c r="B23" s="205"/>
      <c r="C23" s="114"/>
      <c r="D23" s="114"/>
      <c r="E23" s="114"/>
      <c r="F23" s="114"/>
      <c r="G23" s="114"/>
      <c r="H23" s="115"/>
      <c r="J23" s="205"/>
      <c r="K23" s="114"/>
      <c r="L23" s="114"/>
      <c r="M23" s="114"/>
      <c r="N23" s="114"/>
      <c r="O23" s="114"/>
      <c r="P23" s="115"/>
    </row>
    <row r="24" spans="2:16" x14ac:dyDescent="0.25">
      <c r="B24" s="205"/>
      <c r="C24" s="114"/>
      <c r="D24" s="114"/>
      <c r="E24" s="114"/>
      <c r="F24" s="114"/>
      <c r="G24" s="114"/>
      <c r="H24" s="115"/>
      <c r="J24" s="205"/>
      <c r="K24" s="114"/>
      <c r="L24" s="114"/>
      <c r="M24" s="114"/>
      <c r="N24" s="114"/>
      <c r="O24" s="114"/>
      <c r="P24" s="115"/>
    </row>
    <row r="25" spans="2:16" x14ac:dyDescent="0.25">
      <c r="B25" s="205"/>
      <c r="C25" s="114"/>
      <c r="D25" s="114"/>
      <c r="E25" s="114"/>
      <c r="F25" s="114"/>
      <c r="G25" s="114"/>
      <c r="H25" s="115"/>
      <c r="J25" s="205"/>
      <c r="K25" s="114"/>
      <c r="L25" s="114"/>
      <c r="M25" s="114"/>
      <c r="N25" s="114"/>
      <c r="O25" s="114"/>
      <c r="P25" s="115"/>
    </row>
    <row r="26" spans="2:16" x14ac:dyDescent="0.25">
      <c r="B26" s="205"/>
      <c r="C26" s="114"/>
      <c r="D26" s="114"/>
      <c r="E26" s="114"/>
      <c r="F26" s="114"/>
      <c r="G26" s="114"/>
      <c r="H26" s="115"/>
      <c r="J26" s="205"/>
      <c r="K26" s="114"/>
      <c r="L26" s="114"/>
      <c r="M26" s="114"/>
      <c r="N26" s="114"/>
      <c r="O26" s="114"/>
      <c r="P26" s="115"/>
    </row>
    <row r="27" spans="2:16" x14ac:dyDescent="0.25">
      <c r="B27" s="205"/>
      <c r="C27" s="114"/>
      <c r="D27" s="114"/>
      <c r="E27" s="114"/>
      <c r="F27" s="114"/>
      <c r="G27" s="114"/>
      <c r="H27" s="115"/>
      <c r="J27" s="205"/>
      <c r="K27" s="114"/>
      <c r="L27" s="114"/>
      <c r="M27" s="114"/>
      <c r="N27" s="114"/>
      <c r="O27" s="114"/>
      <c r="P27" s="115"/>
    </row>
    <row r="28" spans="2:16" x14ac:dyDescent="0.25">
      <c r="B28" s="205"/>
      <c r="C28" s="114"/>
      <c r="D28" s="114"/>
      <c r="E28" s="114"/>
      <c r="F28" s="114"/>
      <c r="G28" s="114"/>
      <c r="H28" s="115"/>
      <c r="J28" s="205"/>
      <c r="K28" s="114"/>
      <c r="L28" s="114"/>
      <c r="M28" s="114"/>
      <c r="N28" s="114"/>
      <c r="O28" s="114"/>
      <c r="P28" s="115"/>
    </row>
    <row r="29" spans="2:16" x14ac:dyDescent="0.25">
      <c r="B29" s="205"/>
      <c r="C29" s="114"/>
      <c r="D29" s="114"/>
      <c r="E29" s="114"/>
      <c r="F29" s="114"/>
      <c r="G29" s="114"/>
      <c r="H29" s="115"/>
      <c r="J29" s="205"/>
      <c r="K29" s="114"/>
      <c r="L29" s="114"/>
      <c r="M29" s="114"/>
      <c r="N29" s="114"/>
      <c r="O29" s="114"/>
      <c r="P29" s="115"/>
    </row>
    <row r="30" spans="2:16" x14ac:dyDescent="0.25">
      <c r="B30" s="205"/>
      <c r="C30" s="114"/>
      <c r="D30" s="114"/>
      <c r="E30" s="114"/>
      <c r="F30" s="114"/>
      <c r="G30" s="114"/>
      <c r="H30" s="115"/>
      <c r="J30" s="205"/>
      <c r="K30" s="114"/>
      <c r="L30" s="114"/>
      <c r="M30" s="114"/>
      <c r="N30" s="114"/>
      <c r="O30" s="114"/>
      <c r="P30" s="115"/>
    </row>
    <row r="31" spans="2:16" x14ac:dyDescent="0.25">
      <c r="B31" s="205"/>
      <c r="C31" s="114"/>
      <c r="D31" s="114"/>
      <c r="E31" s="114"/>
      <c r="F31" s="114"/>
      <c r="G31" s="114"/>
      <c r="H31" s="115"/>
      <c r="J31" s="205"/>
      <c r="K31" s="114"/>
      <c r="L31" s="114"/>
      <c r="M31" s="114"/>
      <c r="N31" s="114"/>
      <c r="O31" s="114"/>
      <c r="P31" s="115"/>
    </row>
    <row r="32" spans="2:16" x14ac:dyDescent="0.25">
      <c r="B32" s="205"/>
      <c r="C32" s="114"/>
      <c r="D32" s="114"/>
      <c r="E32" s="114"/>
      <c r="F32" s="114"/>
      <c r="G32" s="114"/>
      <c r="H32" s="115"/>
      <c r="J32" s="205"/>
      <c r="K32" s="114"/>
      <c r="L32" s="114"/>
      <c r="M32" s="114"/>
      <c r="N32" s="114"/>
      <c r="O32" s="114"/>
      <c r="P32" s="115"/>
    </row>
    <row r="33" spans="2:16" ht="15.75" thickBot="1" x14ac:dyDescent="0.3">
      <c r="B33" s="206"/>
      <c r="C33" s="116"/>
      <c r="D33" s="116"/>
      <c r="E33" s="116"/>
      <c r="F33" s="116"/>
      <c r="G33" s="116"/>
      <c r="H33" s="117"/>
      <c r="J33" s="206"/>
      <c r="K33" s="116"/>
      <c r="L33" s="116"/>
      <c r="M33" s="116"/>
      <c r="N33" s="116"/>
      <c r="O33" s="116"/>
      <c r="P33" s="117"/>
    </row>
    <row r="34" spans="2:16" ht="15.75" thickBot="1" x14ac:dyDescent="0.3">
      <c r="B34" s="135" t="s">
        <v>245</v>
      </c>
      <c r="C34" s="136"/>
      <c r="D34" s="136"/>
      <c r="E34" s="136"/>
      <c r="F34" s="136"/>
      <c r="G34" s="136"/>
      <c r="H34" s="137"/>
      <c r="J34" s="135" t="s">
        <v>246</v>
      </c>
      <c r="K34" s="136"/>
      <c r="L34" s="136"/>
      <c r="M34" s="136"/>
      <c r="N34" s="136"/>
      <c r="O34" s="136"/>
      <c r="P34" s="137"/>
    </row>
    <row r="35" spans="2:16" ht="15.75" thickBot="1" x14ac:dyDescent="0.3"/>
    <row r="36" spans="2:16" x14ac:dyDescent="0.25">
      <c r="B36" s="204"/>
      <c r="C36" s="112"/>
      <c r="D36" s="112"/>
      <c r="E36" s="112"/>
      <c r="F36" s="112"/>
      <c r="G36" s="112"/>
      <c r="H36" s="113"/>
      <c r="J36" s="204"/>
      <c r="K36" s="112"/>
      <c r="L36" s="112"/>
      <c r="M36" s="112"/>
      <c r="N36" s="112"/>
      <c r="O36" s="112"/>
      <c r="P36" s="113"/>
    </row>
    <row r="37" spans="2:16" x14ac:dyDescent="0.25">
      <c r="B37" s="205"/>
      <c r="C37" s="114"/>
      <c r="D37" s="114"/>
      <c r="E37" s="114"/>
      <c r="F37" s="114"/>
      <c r="G37" s="114"/>
      <c r="H37" s="115"/>
      <c r="J37" s="205"/>
      <c r="K37" s="114"/>
      <c r="L37" s="114"/>
      <c r="M37" s="114"/>
      <c r="N37" s="114"/>
      <c r="O37" s="114"/>
      <c r="P37" s="115"/>
    </row>
    <row r="38" spans="2:16" x14ac:dyDescent="0.25">
      <c r="B38" s="205"/>
      <c r="C38" s="114"/>
      <c r="D38" s="114"/>
      <c r="E38" s="114"/>
      <c r="F38" s="114"/>
      <c r="G38" s="114"/>
      <c r="H38" s="115"/>
      <c r="J38" s="205"/>
      <c r="K38" s="114"/>
      <c r="L38" s="114"/>
      <c r="M38" s="114"/>
      <c r="N38" s="114"/>
      <c r="O38" s="114"/>
      <c r="P38" s="115"/>
    </row>
    <row r="39" spans="2:16" x14ac:dyDescent="0.25">
      <c r="B39" s="205"/>
      <c r="C39" s="114"/>
      <c r="D39" s="114"/>
      <c r="E39" s="114"/>
      <c r="F39" s="114"/>
      <c r="G39" s="114"/>
      <c r="H39" s="115"/>
      <c r="J39" s="205"/>
      <c r="K39" s="114"/>
      <c r="L39" s="114"/>
      <c r="M39" s="114"/>
      <c r="N39" s="114"/>
      <c r="O39" s="114"/>
      <c r="P39" s="115"/>
    </row>
    <row r="40" spans="2:16" x14ac:dyDescent="0.25">
      <c r="B40" s="205"/>
      <c r="C40" s="114"/>
      <c r="D40" s="114"/>
      <c r="E40" s="114"/>
      <c r="F40" s="114"/>
      <c r="G40" s="114"/>
      <c r="H40" s="115"/>
      <c r="J40" s="205"/>
      <c r="K40" s="114"/>
      <c r="L40" s="114"/>
      <c r="M40" s="114"/>
      <c r="N40" s="114"/>
      <c r="O40" s="114"/>
      <c r="P40" s="115"/>
    </row>
    <row r="41" spans="2:16" x14ac:dyDescent="0.25">
      <c r="B41" s="205"/>
      <c r="C41" s="114"/>
      <c r="D41" s="114"/>
      <c r="E41" s="114"/>
      <c r="F41" s="114"/>
      <c r="G41" s="114"/>
      <c r="H41" s="115"/>
      <c r="J41" s="205"/>
      <c r="K41" s="114"/>
      <c r="L41" s="114"/>
      <c r="M41" s="114"/>
      <c r="N41" s="114"/>
      <c r="O41" s="114"/>
      <c r="P41" s="115"/>
    </row>
    <row r="42" spans="2:16" x14ac:dyDescent="0.25">
      <c r="B42" s="205"/>
      <c r="C42" s="114"/>
      <c r="D42" s="114"/>
      <c r="E42" s="114"/>
      <c r="F42" s="114"/>
      <c r="G42" s="114"/>
      <c r="H42" s="115"/>
      <c r="J42" s="205"/>
      <c r="K42" s="114"/>
      <c r="L42" s="114"/>
      <c r="M42" s="114"/>
      <c r="N42" s="114"/>
      <c r="O42" s="114"/>
      <c r="P42" s="115"/>
    </row>
    <row r="43" spans="2:16" x14ac:dyDescent="0.25">
      <c r="B43" s="205"/>
      <c r="C43" s="114"/>
      <c r="D43" s="114"/>
      <c r="E43" s="114"/>
      <c r="F43" s="114"/>
      <c r="G43" s="114"/>
      <c r="H43" s="115"/>
      <c r="J43" s="205"/>
      <c r="K43" s="114"/>
      <c r="L43" s="114"/>
      <c r="M43" s="114"/>
      <c r="N43" s="114"/>
      <c r="O43" s="114"/>
      <c r="P43" s="115"/>
    </row>
    <row r="44" spans="2:16" x14ac:dyDescent="0.25">
      <c r="B44" s="205"/>
      <c r="C44" s="114"/>
      <c r="D44" s="114"/>
      <c r="E44" s="114"/>
      <c r="F44" s="114"/>
      <c r="G44" s="114"/>
      <c r="H44" s="115"/>
      <c r="J44" s="205"/>
      <c r="K44" s="114"/>
      <c r="L44" s="114"/>
      <c r="M44" s="114"/>
      <c r="N44" s="114"/>
      <c r="O44" s="114"/>
      <c r="P44" s="115"/>
    </row>
    <row r="45" spans="2:16" x14ac:dyDescent="0.25">
      <c r="B45" s="205"/>
      <c r="C45" s="114"/>
      <c r="D45" s="114"/>
      <c r="E45" s="114"/>
      <c r="F45" s="114"/>
      <c r="G45" s="114"/>
      <c r="H45" s="115"/>
      <c r="J45" s="205"/>
      <c r="K45" s="114"/>
      <c r="L45" s="114"/>
      <c r="M45" s="114"/>
      <c r="N45" s="114"/>
      <c r="O45" s="114"/>
      <c r="P45" s="115"/>
    </row>
    <row r="46" spans="2:16" x14ac:dyDescent="0.25">
      <c r="B46" s="205"/>
      <c r="C46" s="114"/>
      <c r="D46" s="114"/>
      <c r="E46" s="114"/>
      <c r="F46" s="114"/>
      <c r="G46" s="114"/>
      <c r="H46" s="115"/>
      <c r="J46" s="205"/>
      <c r="K46" s="114"/>
      <c r="L46" s="114"/>
      <c r="M46" s="114"/>
      <c r="N46" s="114"/>
      <c r="O46" s="114"/>
      <c r="P46" s="115"/>
    </row>
    <row r="47" spans="2:16" x14ac:dyDescent="0.25">
      <c r="B47" s="205"/>
      <c r="C47" s="114"/>
      <c r="D47" s="114"/>
      <c r="E47" s="114"/>
      <c r="F47" s="114"/>
      <c r="G47" s="114"/>
      <c r="H47" s="115"/>
      <c r="J47" s="205"/>
      <c r="K47" s="114"/>
      <c r="L47" s="114"/>
      <c r="M47" s="114"/>
      <c r="N47" s="114"/>
      <c r="O47" s="114"/>
      <c r="P47" s="115"/>
    </row>
    <row r="48" spans="2:16" x14ac:dyDescent="0.25">
      <c r="B48" s="205"/>
      <c r="C48" s="114"/>
      <c r="D48" s="114"/>
      <c r="E48" s="114"/>
      <c r="F48" s="114"/>
      <c r="G48" s="114"/>
      <c r="H48" s="115"/>
      <c r="J48" s="205"/>
      <c r="K48" s="114"/>
      <c r="L48" s="114"/>
      <c r="M48" s="114"/>
      <c r="N48" s="114"/>
      <c r="O48" s="114"/>
      <c r="P48" s="115"/>
    </row>
    <row r="49" spans="2:16" x14ac:dyDescent="0.25">
      <c r="B49" s="205"/>
      <c r="C49" s="114"/>
      <c r="D49" s="114"/>
      <c r="E49" s="114"/>
      <c r="F49" s="114"/>
      <c r="G49" s="114"/>
      <c r="H49" s="115"/>
      <c r="J49" s="205"/>
      <c r="K49" s="114"/>
      <c r="L49" s="114"/>
      <c r="M49" s="114"/>
      <c r="N49" s="114"/>
      <c r="O49" s="114"/>
      <c r="P49" s="115"/>
    </row>
    <row r="50" spans="2:16" ht="15.75" thickBot="1" x14ac:dyDescent="0.3">
      <c r="B50" s="206"/>
      <c r="C50" s="116"/>
      <c r="D50" s="116"/>
      <c r="E50" s="116"/>
      <c r="F50" s="116"/>
      <c r="G50" s="116"/>
      <c r="H50" s="117"/>
      <c r="J50" s="206"/>
      <c r="K50" s="116"/>
      <c r="L50" s="116"/>
      <c r="M50" s="116"/>
      <c r="N50" s="116"/>
      <c r="O50" s="116"/>
      <c r="P50" s="117"/>
    </row>
    <row r="51" spans="2:16" ht="15.75" thickBot="1" x14ac:dyDescent="0.3">
      <c r="B51" s="135" t="s">
        <v>245</v>
      </c>
      <c r="C51" s="136"/>
      <c r="D51" s="136"/>
      <c r="E51" s="136"/>
      <c r="F51" s="136"/>
      <c r="G51" s="136"/>
      <c r="H51" s="137"/>
      <c r="J51" s="135" t="s">
        <v>245</v>
      </c>
      <c r="K51" s="136"/>
      <c r="L51" s="136"/>
      <c r="M51" s="136"/>
      <c r="N51" s="136"/>
      <c r="O51" s="136"/>
      <c r="P51" s="137"/>
    </row>
    <row r="52" spans="2:16" ht="15.75" thickBot="1" x14ac:dyDescent="0.3"/>
    <row r="53" spans="2:16" x14ac:dyDescent="0.25">
      <c r="B53" s="204"/>
      <c r="C53" s="112"/>
      <c r="D53" s="112"/>
      <c r="E53" s="112"/>
      <c r="F53" s="112"/>
      <c r="G53" s="112"/>
      <c r="H53" s="113"/>
      <c r="J53" s="204"/>
      <c r="K53" s="112"/>
      <c r="L53" s="112"/>
      <c r="M53" s="112"/>
      <c r="N53" s="112"/>
      <c r="O53" s="112"/>
      <c r="P53" s="113"/>
    </row>
    <row r="54" spans="2:16" x14ac:dyDescent="0.25">
      <c r="B54" s="205"/>
      <c r="C54" s="114"/>
      <c r="D54" s="114"/>
      <c r="E54" s="114"/>
      <c r="F54" s="114"/>
      <c r="G54" s="114"/>
      <c r="H54" s="115"/>
      <c r="J54" s="205"/>
      <c r="K54" s="114"/>
      <c r="L54" s="114"/>
      <c r="M54" s="114"/>
      <c r="N54" s="114"/>
      <c r="O54" s="114"/>
      <c r="P54" s="115"/>
    </row>
    <row r="55" spans="2:16" x14ac:dyDescent="0.25">
      <c r="B55" s="205"/>
      <c r="C55" s="114"/>
      <c r="D55" s="114"/>
      <c r="E55" s="114"/>
      <c r="F55" s="114"/>
      <c r="G55" s="114"/>
      <c r="H55" s="115"/>
      <c r="J55" s="205"/>
      <c r="K55" s="114"/>
      <c r="L55" s="114"/>
      <c r="M55" s="114"/>
      <c r="N55" s="114"/>
      <c r="O55" s="114"/>
      <c r="P55" s="115"/>
    </row>
    <row r="56" spans="2:16" x14ac:dyDescent="0.25">
      <c r="B56" s="205"/>
      <c r="C56" s="114"/>
      <c r="D56" s="114"/>
      <c r="E56" s="114"/>
      <c r="F56" s="114"/>
      <c r="G56" s="114"/>
      <c r="H56" s="115"/>
      <c r="J56" s="205"/>
      <c r="K56" s="114"/>
      <c r="L56" s="114"/>
      <c r="M56" s="114"/>
      <c r="N56" s="114"/>
      <c r="O56" s="114"/>
      <c r="P56" s="115"/>
    </row>
    <row r="57" spans="2:16" x14ac:dyDescent="0.25">
      <c r="B57" s="205"/>
      <c r="C57" s="114"/>
      <c r="D57" s="114"/>
      <c r="E57" s="114"/>
      <c r="F57" s="114"/>
      <c r="G57" s="114"/>
      <c r="H57" s="115"/>
      <c r="J57" s="205"/>
      <c r="K57" s="114"/>
      <c r="L57" s="114"/>
      <c r="M57" s="114"/>
      <c r="N57" s="114"/>
      <c r="O57" s="114"/>
      <c r="P57" s="115"/>
    </row>
    <row r="58" spans="2:16" x14ac:dyDescent="0.25">
      <c r="B58" s="205"/>
      <c r="C58" s="114"/>
      <c r="D58" s="114"/>
      <c r="E58" s="114"/>
      <c r="F58" s="114"/>
      <c r="G58" s="114"/>
      <c r="H58" s="115"/>
      <c r="J58" s="205"/>
      <c r="K58" s="114"/>
      <c r="L58" s="114"/>
      <c r="M58" s="114"/>
      <c r="N58" s="114"/>
      <c r="O58" s="114"/>
      <c r="P58" s="115"/>
    </row>
    <row r="59" spans="2:16" x14ac:dyDescent="0.25">
      <c r="B59" s="205"/>
      <c r="C59" s="114"/>
      <c r="D59" s="114"/>
      <c r="E59" s="114"/>
      <c r="F59" s="114"/>
      <c r="G59" s="114"/>
      <c r="H59" s="115"/>
      <c r="J59" s="205"/>
      <c r="K59" s="114"/>
      <c r="L59" s="114"/>
      <c r="M59" s="114"/>
      <c r="N59" s="114"/>
      <c r="O59" s="114"/>
      <c r="P59" s="115"/>
    </row>
    <row r="60" spans="2:16" x14ac:dyDescent="0.25">
      <c r="B60" s="205"/>
      <c r="C60" s="114"/>
      <c r="D60" s="114"/>
      <c r="E60" s="114"/>
      <c r="F60" s="114"/>
      <c r="G60" s="114"/>
      <c r="H60" s="115"/>
      <c r="J60" s="205"/>
      <c r="K60" s="114"/>
      <c r="L60" s="114"/>
      <c r="M60" s="114"/>
      <c r="N60" s="114"/>
      <c r="O60" s="114"/>
      <c r="P60" s="115"/>
    </row>
    <row r="61" spans="2:16" x14ac:dyDescent="0.25">
      <c r="B61" s="205"/>
      <c r="C61" s="114"/>
      <c r="D61" s="114"/>
      <c r="E61" s="114"/>
      <c r="F61" s="114"/>
      <c r="G61" s="114"/>
      <c r="H61" s="115"/>
      <c r="J61" s="205"/>
      <c r="K61" s="114"/>
      <c r="L61" s="114"/>
      <c r="M61" s="114"/>
      <c r="N61" s="114"/>
      <c r="O61" s="114"/>
      <c r="P61" s="115"/>
    </row>
    <row r="62" spans="2:16" x14ac:dyDescent="0.25">
      <c r="B62" s="205"/>
      <c r="C62" s="114"/>
      <c r="D62" s="114"/>
      <c r="E62" s="114"/>
      <c r="F62" s="114"/>
      <c r="G62" s="114"/>
      <c r="H62" s="115"/>
      <c r="J62" s="205"/>
      <c r="K62" s="114"/>
      <c r="L62" s="114"/>
      <c r="M62" s="114"/>
      <c r="N62" s="114"/>
      <c r="O62" s="114"/>
      <c r="P62" s="115"/>
    </row>
    <row r="63" spans="2:16" x14ac:dyDescent="0.25">
      <c r="B63" s="205"/>
      <c r="C63" s="114"/>
      <c r="D63" s="114"/>
      <c r="E63" s="114"/>
      <c r="F63" s="114"/>
      <c r="G63" s="114"/>
      <c r="H63" s="115"/>
      <c r="J63" s="205"/>
      <c r="K63" s="114"/>
      <c r="L63" s="114"/>
      <c r="M63" s="114"/>
      <c r="N63" s="114"/>
      <c r="O63" s="114"/>
      <c r="P63" s="115"/>
    </row>
    <row r="64" spans="2:16" x14ac:dyDescent="0.25">
      <c r="B64" s="205"/>
      <c r="C64" s="114"/>
      <c r="D64" s="114"/>
      <c r="E64" s="114"/>
      <c r="F64" s="114"/>
      <c r="G64" s="114"/>
      <c r="H64" s="115"/>
      <c r="J64" s="205"/>
      <c r="K64" s="114"/>
      <c r="L64" s="114"/>
      <c r="M64" s="114"/>
      <c r="N64" s="114"/>
      <c r="O64" s="114"/>
      <c r="P64" s="115"/>
    </row>
    <row r="65" spans="2:16" x14ac:dyDescent="0.25">
      <c r="B65" s="205"/>
      <c r="C65" s="114"/>
      <c r="D65" s="114"/>
      <c r="E65" s="114"/>
      <c r="F65" s="114"/>
      <c r="G65" s="114"/>
      <c r="H65" s="115"/>
      <c r="J65" s="205"/>
      <c r="K65" s="114"/>
      <c r="L65" s="114"/>
      <c r="M65" s="114"/>
      <c r="N65" s="114"/>
      <c r="O65" s="114"/>
      <c r="P65" s="115"/>
    </row>
    <row r="66" spans="2:16" x14ac:dyDescent="0.25">
      <c r="B66" s="205"/>
      <c r="C66" s="114"/>
      <c r="D66" s="114"/>
      <c r="E66" s="114"/>
      <c r="F66" s="114"/>
      <c r="G66" s="114"/>
      <c r="H66" s="115"/>
      <c r="J66" s="205"/>
      <c r="K66" s="114"/>
      <c r="L66" s="114"/>
      <c r="M66" s="114"/>
      <c r="N66" s="114"/>
      <c r="O66" s="114"/>
      <c r="P66" s="115"/>
    </row>
    <row r="67" spans="2:16" ht="15.75" thickBot="1" x14ac:dyDescent="0.3">
      <c r="B67" s="206"/>
      <c r="C67" s="116"/>
      <c r="D67" s="116"/>
      <c r="E67" s="116"/>
      <c r="F67" s="116"/>
      <c r="G67" s="116"/>
      <c r="H67" s="117"/>
      <c r="J67" s="206"/>
      <c r="K67" s="116"/>
      <c r="L67" s="116"/>
      <c r="M67" s="116"/>
      <c r="N67" s="116"/>
      <c r="O67" s="116"/>
      <c r="P67" s="117"/>
    </row>
    <row r="68" spans="2:16" ht="15.75" thickBot="1" x14ac:dyDescent="0.3">
      <c r="B68" s="135" t="s">
        <v>246</v>
      </c>
      <c r="C68" s="136"/>
      <c r="D68" s="136"/>
      <c r="E68" s="136"/>
      <c r="F68" s="136"/>
      <c r="G68" s="136"/>
      <c r="H68" s="137"/>
      <c r="J68" s="135" t="s">
        <v>245</v>
      </c>
      <c r="K68" s="136"/>
      <c r="L68" s="136"/>
      <c r="M68" s="136"/>
      <c r="N68" s="136"/>
      <c r="O68" s="136"/>
      <c r="P68" s="137"/>
    </row>
    <row r="70" spans="2:16" ht="15.75" thickBot="1" x14ac:dyDescent="0.3"/>
    <row r="71" spans="2:16" x14ac:dyDescent="0.25">
      <c r="B71" s="204"/>
      <c r="C71" s="112"/>
      <c r="D71" s="112"/>
      <c r="E71" s="112"/>
      <c r="F71" s="112"/>
      <c r="G71" s="112"/>
      <c r="H71" s="113"/>
      <c r="J71" s="204"/>
      <c r="K71" s="112"/>
      <c r="L71" s="112"/>
      <c r="M71" s="112"/>
      <c r="N71" s="112"/>
      <c r="O71" s="112"/>
      <c r="P71" s="113"/>
    </row>
    <row r="72" spans="2:16" x14ac:dyDescent="0.25">
      <c r="B72" s="205"/>
      <c r="C72" s="114"/>
      <c r="D72" s="114"/>
      <c r="E72" s="114"/>
      <c r="F72" s="114"/>
      <c r="G72" s="114"/>
      <c r="H72" s="115"/>
      <c r="J72" s="205"/>
      <c r="K72" s="114"/>
      <c r="L72" s="114"/>
      <c r="M72" s="114"/>
      <c r="N72" s="114"/>
      <c r="O72" s="114"/>
      <c r="P72" s="115"/>
    </row>
    <row r="73" spans="2:16" x14ac:dyDescent="0.25">
      <c r="B73" s="205"/>
      <c r="C73" s="114"/>
      <c r="D73" s="114"/>
      <c r="E73" s="114"/>
      <c r="F73" s="114"/>
      <c r="G73" s="114"/>
      <c r="H73" s="115"/>
      <c r="J73" s="205"/>
      <c r="K73" s="114"/>
      <c r="L73" s="114"/>
      <c r="M73" s="114"/>
      <c r="N73" s="114"/>
      <c r="O73" s="114"/>
      <c r="P73" s="115"/>
    </row>
    <row r="74" spans="2:16" x14ac:dyDescent="0.25">
      <c r="B74" s="205"/>
      <c r="C74" s="114"/>
      <c r="D74" s="114"/>
      <c r="E74" s="114"/>
      <c r="F74" s="114"/>
      <c r="G74" s="114"/>
      <c r="H74" s="115"/>
      <c r="J74" s="205"/>
      <c r="K74" s="114"/>
      <c r="L74" s="114"/>
      <c r="M74" s="114"/>
      <c r="N74" s="114"/>
      <c r="O74" s="114"/>
      <c r="P74" s="115"/>
    </row>
    <row r="75" spans="2:16" x14ac:dyDescent="0.25">
      <c r="B75" s="205"/>
      <c r="C75" s="114"/>
      <c r="D75" s="114"/>
      <c r="E75" s="114"/>
      <c r="F75" s="114"/>
      <c r="G75" s="114"/>
      <c r="H75" s="115"/>
      <c r="J75" s="205"/>
      <c r="K75" s="114"/>
      <c r="L75" s="114"/>
      <c r="M75" s="114"/>
      <c r="N75" s="114"/>
      <c r="O75" s="114"/>
      <c r="P75" s="115"/>
    </row>
    <row r="76" spans="2:16" x14ac:dyDescent="0.25">
      <c r="B76" s="205"/>
      <c r="C76" s="114"/>
      <c r="D76" s="114"/>
      <c r="E76" s="114"/>
      <c r="F76" s="114"/>
      <c r="G76" s="114"/>
      <c r="H76" s="115"/>
      <c r="J76" s="205"/>
      <c r="K76" s="114"/>
      <c r="L76" s="114"/>
      <c r="M76" s="114"/>
      <c r="N76" s="114"/>
      <c r="O76" s="114"/>
      <c r="P76" s="115"/>
    </row>
    <row r="77" spans="2:16" x14ac:dyDescent="0.25">
      <c r="B77" s="205"/>
      <c r="C77" s="114"/>
      <c r="D77" s="114"/>
      <c r="E77" s="114"/>
      <c r="F77" s="114"/>
      <c r="G77" s="114"/>
      <c r="H77" s="115"/>
      <c r="J77" s="205"/>
      <c r="K77" s="114"/>
      <c r="L77" s="114"/>
      <c r="M77" s="114"/>
      <c r="N77" s="114"/>
      <c r="O77" s="114"/>
      <c r="P77" s="115"/>
    </row>
    <row r="78" spans="2:16" x14ac:dyDescent="0.25">
      <c r="B78" s="205"/>
      <c r="C78" s="114"/>
      <c r="D78" s="114"/>
      <c r="E78" s="114"/>
      <c r="F78" s="114"/>
      <c r="G78" s="114"/>
      <c r="H78" s="115"/>
      <c r="J78" s="205"/>
      <c r="K78" s="114"/>
      <c r="L78" s="114"/>
      <c r="M78" s="114"/>
      <c r="N78" s="114"/>
      <c r="O78" s="114"/>
      <c r="P78" s="115"/>
    </row>
    <row r="79" spans="2:16" x14ac:dyDescent="0.25">
      <c r="B79" s="205"/>
      <c r="C79" s="114"/>
      <c r="D79" s="114"/>
      <c r="E79" s="114"/>
      <c r="F79" s="114"/>
      <c r="G79" s="114"/>
      <c r="H79" s="115"/>
      <c r="J79" s="205"/>
      <c r="K79" s="114"/>
      <c r="L79" s="114"/>
      <c r="M79" s="114"/>
      <c r="N79" s="114"/>
      <c r="O79" s="114"/>
      <c r="P79" s="115"/>
    </row>
    <row r="80" spans="2:16" x14ac:dyDescent="0.25">
      <c r="B80" s="205"/>
      <c r="C80" s="114"/>
      <c r="D80" s="114"/>
      <c r="E80" s="114"/>
      <c r="F80" s="114"/>
      <c r="G80" s="114"/>
      <c r="H80" s="115"/>
      <c r="J80" s="205"/>
      <c r="K80" s="114"/>
      <c r="L80" s="114"/>
      <c r="M80" s="114"/>
      <c r="N80" s="114"/>
      <c r="O80" s="114"/>
      <c r="P80" s="115"/>
    </row>
    <row r="81" spans="2:16" x14ac:dyDescent="0.25">
      <c r="B81" s="205"/>
      <c r="C81" s="114"/>
      <c r="D81" s="114"/>
      <c r="E81" s="114"/>
      <c r="F81" s="114"/>
      <c r="G81" s="114"/>
      <c r="H81" s="115"/>
      <c r="J81" s="205"/>
      <c r="K81" s="114"/>
      <c r="L81" s="114"/>
      <c r="M81" s="114"/>
      <c r="N81" s="114"/>
      <c r="O81" s="114"/>
      <c r="P81" s="115"/>
    </row>
    <row r="82" spans="2:16" x14ac:dyDescent="0.25">
      <c r="B82" s="205"/>
      <c r="C82" s="114"/>
      <c r="D82" s="114"/>
      <c r="E82" s="114"/>
      <c r="F82" s="114"/>
      <c r="G82" s="114"/>
      <c r="H82" s="115"/>
      <c r="J82" s="205"/>
      <c r="K82" s="114"/>
      <c r="L82" s="114"/>
      <c r="M82" s="114"/>
      <c r="N82" s="114"/>
      <c r="O82" s="114"/>
      <c r="P82" s="115"/>
    </row>
    <row r="83" spans="2:16" x14ac:dyDescent="0.25">
      <c r="B83" s="205"/>
      <c r="C83" s="114"/>
      <c r="D83" s="114"/>
      <c r="E83" s="114"/>
      <c r="F83" s="114"/>
      <c r="G83" s="114"/>
      <c r="H83" s="115"/>
      <c r="J83" s="205"/>
      <c r="K83" s="114"/>
      <c r="L83" s="114"/>
      <c r="M83" s="114"/>
      <c r="N83" s="114"/>
      <c r="O83" s="114"/>
      <c r="P83" s="115"/>
    </row>
    <row r="84" spans="2:16" x14ac:dyDescent="0.25">
      <c r="B84" s="205"/>
      <c r="C84" s="114"/>
      <c r="D84" s="114"/>
      <c r="E84" s="114"/>
      <c r="F84" s="114"/>
      <c r="G84" s="114"/>
      <c r="H84" s="115"/>
      <c r="J84" s="205"/>
      <c r="K84" s="114"/>
      <c r="L84" s="114"/>
      <c r="M84" s="114"/>
      <c r="N84" s="114"/>
      <c r="O84" s="114"/>
      <c r="P84" s="115"/>
    </row>
    <row r="85" spans="2:16" ht="15.75" thickBot="1" x14ac:dyDescent="0.3">
      <c r="B85" s="206"/>
      <c r="C85" s="116"/>
      <c r="D85" s="116"/>
      <c r="E85" s="116"/>
      <c r="F85" s="116"/>
      <c r="G85" s="116"/>
      <c r="H85" s="117"/>
      <c r="J85" s="206"/>
      <c r="K85" s="116"/>
      <c r="L85" s="116"/>
      <c r="M85" s="116"/>
      <c r="N85" s="116"/>
      <c r="O85" s="116"/>
      <c r="P85" s="117"/>
    </row>
    <row r="86" spans="2:16" ht="15.75" thickBot="1" x14ac:dyDescent="0.3">
      <c r="B86" s="135" t="s">
        <v>246</v>
      </c>
      <c r="C86" s="136"/>
      <c r="D86" s="136"/>
      <c r="E86" s="136"/>
      <c r="F86" s="136"/>
      <c r="G86" s="136"/>
      <c r="H86" s="137"/>
      <c r="J86" s="135" t="s">
        <v>246</v>
      </c>
      <c r="K86" s="136"/>
      <c r="L86" s="136"/>
      <c r="M86" s="136"/>
      <c r="N86" s="136"/>
      <c r="O86" s="136"/>
      <c r="P86" s="137"/>
    </row>
    <row r="87" spans="2:16" ht="15.75" thickBot="1" x14ac:dyDescent="0.3"/>
    <row r="88" spans="2:16" x14ac:dyDescent="0.25">
      <c r="B88" s="204"/>
      <c r="C88" s="112"/>
      <c r="D88" s="112"/>
      <c r="E88" s="112"/>
      <c r="F88" s="112"/>
      <c r="G88" s="112"/>
      <c r="H88" s="113"/>
      <c r="J88" s="204"/>
      <c r="K88" s="112"/>
      <c r="L88" s="112"/>
      <c r="M88" s="112"/>
      <c r="N88" s="112"/>
      <c r="O88" s="112"/>
      <c r="P88" s="113"/>
    </row>
    <row r="89" spans="2:16" x14ac:dyDescent="0.25">
      <c r="B89" s="205"/>
      <c r="C89" s="114"/>
      <c r="D89" s="114"/>
      <c r="E89" s="114"/>
      <c r="F89" s="114"/>
      <c r="G89" s="114"/>
      <c r="H89" s="115"/>
      <c r="J89" s="205"/>
      <c r="K89" s="114"/>
      <c r="L89" s="114"/>
      <c r="M89" s="114"/>
      <c r="N89" s="114"/>
      <c r="O89" s="114"/>
      <c r="P89" s="115"/>
    </row>
    <row r="90" spans="2:16" x14ac:dyDescent="0.25">
      <c r="B90" s="205"/>
      <c r="C90" s="114"/>
      <c r="D90" s="114"/>
      <c r="E90" s="114"/>
      <c r="F90" s="114"/>
      <c r="G90" s="114"/>
      <c r="H90" s="115"/>
      <c r="J90" s="205"/>
      <c r="K90" s="114"/>
      <c r="L90" s="114"/>
      <c r="M90" s="114"/>
      <c r="N90" s="114"/>
      <c r="O90" s="114"/>
      <c r="P90" s="115"/>
    </row>
    <row r="91" spans="2:16" x14ac:dyDescent="0.25">
      <c r="B91" s="205"/>
      <c r="C91" s="114"/>
      <c r="D91" s="114"/>
      <c r="E91" s="114"/>
      <c r="F91" s="114"/>
      <c r="G91" s="114"/>
      <c r="H91" s="115"/>
      <c r="J91" s="205"/>
      <c r="K91" s="114"/>
      <c r="L91" s="114"/>
      <c r="M91" s="114"/>
      <c r="N91" s="114"/>
      <c r="O91" s="114"/>
      <c r="P91" s="115"/>
    </row>
    <row r="92" spans="2:16" x14ac:dyDescent="0.25">
      <c r="B92" s="205"/>
      <c r="C92" s="114"/>
      <c r="D92" s="114"/>
      <c r="E92" s="114"/>
      <c r="F92" s="114"/>
      <c r="G92" s="114"/>
      <c r="H92" s="115"/>
      <c r="J92" s="205"/>
      <c r="K92" s="114"/>
      <c r="L92" s="114"/>
      <c r="M92" s="114"/>
      <c r="N92" s="114"/>
      <c r="O92" s="114"/>
      <c r="P92" s="115"/>
    </row>
    <row r="93" spans="2:16" x14ac:dyDescent="0.25">
      <c r="B93" s="205"/>
      <c r="C93" s="114"/>
      <c r="D93" s="114"/>
      <c r="E93" s="114"/>
      <c r="F93" s="114"/>
      <c r="G93" s="114"/>
      <c r="H93" s="115"/>
      <c r="J93" s="205"/>
      <c r="K93" s="114"/>
      <c r="L93" s="114"/>
      <c r="M93" s="114"/>
      <c r="N93" s="114"/>
      <c r="O93" s="114"/>
      <c r="P93" s="115"/>
    </row>
    <row r="94" spans="2:16" x14ac:dyDescent="0.25">
      <c r="B94" s="205"/>
      <c r="C94" s="114"/>
      <c r="D94" s="114"/>
      <c r="E94" s="114"/>
      <c r="F94" s="114"/>
      <c r="G94" s="114"/>
      <c r="H94" s="115"/>
      <c r="J94" s="205"/>
      <c r="K94" s="114"/>
      <c r="L94" s="114"/>
      <c r="M94" s="114"/>
      <c r="N94" s="114"/>
      <c r="O94" s="114"/>
      <c r="P94" s="115"/>
    </row>
    <row r="95" spans="2:16" x14ac:dyDescent="0.25">
      <c r="B95" s="205"/>
      <c r="C95" s="114"/>
      <c r="D95" s="114"/>
      <c r="E95" s="114"/>
      <c r="F95" s="114"/>
      <c r="G95" s="114"/>
      <c r="H95" s="115"/>
      <c r="J95" s="205"/>
      <c r="K95" s="114"/>
      <c r="L95" s="114"/>
      <c r="M95" s="114"/>
      <c r="N95" s="114"/>
      <c r="O95" s="114"/>
      <c r="P95" s="115"/>
    </row>
    <row r="96" spans="2:16" x14ac:dyDescent="0.25">
      <c r="B96" s="205"/>
      <c r="C96" s="114"/>
      <c r="D96" s="114"/>
      <c r="E96" s="114"/>
      <c r="F96" s="114"/>
      <c r="G96" s="114"/>
      <c r="H96" s="115"/>
      <c r="J96" s="205"/>
      <c r="K96" s="114"/>
      <c r="L96" s="114"/>
      <c r="M96" s="114"/>
      <c r="N96" s="114"/>
      <c r="O96" s="114"/>
      <c r="P96" s="115"/>
    </row>
    <row r="97" spans="2:16" x14ac:dyDescent="0.25">
      <c r="B97" s="205"/>
      <c r="C97" s="114"/>
      <c r="D97" s="114"/>
      <c r="E97" s="114"/>
      <c r="F97" s="114"/>
      <c r="G97" s="114"/>
      <c r="H97" s="115"/>
      <c r="J97" s="205"/>
      <c r="K97" s="114"/>
      <c r="L97" s="114"/>
      <c r="M97" s="114"/>
      <c r="N97" s="114"/>
      <c r="O97" s="114"/>
      <c r="P97" s="115"/>
    </row>
    <row r="98" spans="2:16" x14ac:dyDescent="0.25">
      <c r="B98" s="205"/>
      <c r="C98" s="114"/>
      <c r="D98" s="114"/>
      <c r="E98" s="114"/>
      <c r="F98" s="114"/>
      <c r="G98" s="114"/>
      <c r="H98" s="115"/>
      <c r="J98" s="205"/>
      <c r="K98" s="114"/>
      <c r="L98" s="114"/>
      <c r="M98" s="114"/>
      <c r="N98" s="114"/>
      <c r="O98" s="114"/>
      <c r="P98" s="115"/>
    </row>
    <row r="99" spans="2:16" x14ac:dyDescent="0.25">
      <c r="B99" s="205"/>
      <c r="C99" s="114"/>
      <c r="D99" s="114"/>
      <c r="E99" s="114"/>
      <c r="F99" s="114"/>
      <c r="G99" s="114"/>
      <c r="H99" s="115"/>
      <c r="J99" s="205"/>
      <c r="K99" s="114"/>
      <c r="L99" s="114"/>
      <c r="M99" s="114"/>
      <c r="N99" s="114"/>
      <c r="O99" s="114"/>
      <c r="P99" s="115"/>
    </row>
    <row r="100" spans="2:16" x14ac:dyDescent="0.25">
      <c r="B100" s="205"/>
      <c r="C100" s="114"/>
      <c r="D100" s="114"/>
      <c r="E100" s="114"/>
      <c r="F100" s="114"/>
      <c r="G100" s="114"/>
      <c r="H100" s="115"/>
      <c r="J100" s="205"/>
      <c r="K100" s="114"/>
      <c r="L100" s="114"/>
      <c r="M100" s="114"/>
      <c r="N100" s="114"/>
      <c r="O100" s="114"/>
      <c r="P100" s="115"/>
    </row>
    <row r="101" spans="2:16" x14ac:dyDescent="0.25">
      <c r="B101" s="205"/>
      <c r="C101" s="114"/>
      <c r="D101" s="114"/>
      <c r="E101" s="114"/>
      <c r="F101" s="114"/>
      <c r="G101" s="114"/>
      <c r="H101" s="115"/>
      <c r="J101" s="205"/>
      <c r="K101" s="114"/>
      <c r="L101" s="114"/>
      <c r="M101" s="114"/>
      <c r="N101" s="114"/>
      <c r="O101" s="114"/>
      <c r="P101" s="115"/>
    </row>
    <row r="102" spans="2:16" ht="15.75" thickBot="1" x14ac:dyDescent="0.3">
      <c r="B102" s="206"/>
      <c r="C102" s="116"/>
      <c r="D102" s="116"/>
      <c r="E102" s="116"/>
      <c r="F102" s="116"/>
      <c r="G102" s="116"/>
      <c r="H102" s="117"/>
      <c r="J102" s="206"/>
      <c r="K102" s="116"/>
      <c r="L102" s="116"/>
      <c r="M102" s="116"/>
      <c r="N102" s="116"/>
      <c r="O102" s="116"/>
      <c r="P102" s="117"/>
    </row>
    <row r="103" spans="2:16" ht="15.75" thickBot="1" x14ac:dyDescent="0.3">
      <c r="B103" s="135" t="s">
        <v>245</v>
      </c>
      <c r="C103" s="136"/>
      <c r="D103" s="136"/>
      <c r="E103" s="136"/>
      <c r="F103" s="136"/>
      <c r="G103" s="136"/>
      <c r="H103" s="137"/>
      <c r="J103" s="135" t="s">
        <v>245</v>
      </c>
      <c r="K103" s="136"/>
      <c r="L103" s="136"/>
      <c r="M103" s="136"/>
      <c r="N103" s="136"/>
      <c r="O103" s="136"/>
      <c r="P103" s="137"/>
    </row>
    <row r="104" spans="2:16" ht="15.75" thickBot="1" x14ac:dyDescent="0.3"/>
    <row r="105" spans="2:16" x14ac:dyDescent="0.25">
      <c r="B105" s="204"/>
      <c r="C105" s="112"/>
      <c r="D105" s="112"/>
      <c r="E105" s="112"/>
      <c r="F105" s="112"/>
      <c r="G105" s="112"/>
      <c r="H105" s="113"/>
      <c r="J105" s="204"/>
      <c r="K105" s="112"/>
      <c r="L105" s="112"/>
      <c r="M105" s="112"/>
      <c r="N105" s="112"/>
      <c r="O105" s="112"/>
      <c r="P105" s="113"/>
    </row>
    <row r="106" spans="2:16" x14ac:dyDescent="0.25">
      <c r="B106" s="205"/>
      <c r="C106" s="114"/>
      <c r="D106" s="114"/>
      <c r="E106" s="114"/>
      <c r="F106" s="114"/>
      <c r="G106" s="114"/>
      <c r="H106" s="115"/>
      <c r="J106" s="205"/>
      <c r="K106" s="114"/>
      <c r="L106" s="114"/>
      <c r="M106" s="114"/>
      <c r="N106" s="114"/>
      <c r="O106" s="114"/>
      <c r="P106" s="115"/>
    </row>
    <row r="107" spans="2:16" x14ac:dyDescent="0.25">
      <c r="B107" s="205"/>
      <c r="C107" s="114"/>
      <c r="D107" s="114"/>
      <c r="E107" s="114"/>
      <c r="F107" s="114"/>
      <c r="G107" s="114"/>
      <c r="H107" s="115"/>
      <c r="J107" s="205"/>
      <c r="K107" s="114"/>
      <c r="L107" s="114"/>
      <c r="M107" s="114"/>
      <c r="N107" s="114"/>
      <c r="O107" s="114"/>
      <c r="P107" s="115"/>
    </row>
    <row r="108" spans="2:16" x14ac:dyDescent="0.25">
      <c r="B108" s="205"/>
      <c r="C108" s="114"/>
      <c r="D108" s="114"/>
      <c r="E108" s="114"/>
      <c r="F108" s="114"/>
      <c r="G108" s="114"/>
      <c r="H108" s="115"/>
      <c r="J108" s="205"/>
      <c r="K108" s="114"/>
      <c r="L108" s="114"/>
      <c r="M108" s="114"/>
      <c r="N108" s="114"/>
      <c r="O108" s="114"/>
      <c r="P108" s="115"/>
    </row>
    <row r="109" spans="2:16" x14ac:dyDescent="0.25">
      <c r="B109" s="205"/>
      <c r="C109" s="114"/>
      <c r="D109" s="114"/>
      <c r="E109" s="114"/>
      <c r="F109" s="114"/>
      <c r="G109" s="114"/>
      <c r="H109" s="115"/>
      <c r="J109" s="205"/>
      <c r="K109" s="114"/>
      <c r="L109" s="114"/>
      <c r="M109" s="114"/>
      <c r="N109" s="114"/>
      <c r="O109" s="114"/>
      <c r="P109" s="115"/>
    </row>
    <row r="110" spans="2:16" x14ac:dyDescent="0.25">
      <c r="B110" s="205"/>
      <c r="C110" s="114"/>
      <c r="D110" s="114"/>
      <c r="E110" s="114"/>
      <c r="F110" s="114"/>
      <c r="G110" s="114"/>
      <c r="H110" s="115"/>
      <c r="J110" s="205"/>
      <c r="K110" s="114"/>
      <c r="L110" s="114"/>
      <c r="M110" s="114"/>
      <c r="N110" s="114"/>
      <c r="O110" s="114"/>
      <c r="P110" s="115"/>
    </row>
    <row r="111" spans="2:16" x14ac:dyDescent="0.25">
      <c r="B111" s="205"/>
      <c r="C111" s="114"/>
      <c r="D111" s="114"/>
      <c r="E111" s="114"/>
      <c r="F111" s="114"/>
      <c r="G111" s="114"/>
      <c r="H111" s="115"/>
      <c r="J111" s="205"/>
      <c r="K111" s="114"/>
      <c r="L111" s="114"/>
      <c r="M111" s="114"/>
      <c r="N111" s="114"/>
      <c r="O111" s="114"/>
      <c r="P111" s="115"/>
    </row>
    <row r="112" spans="2:16" x14ac:dyDescent="0.25">
      <c r="B112" s="205"/>
      <c r="C112" s="114"/>
      <c r="D112" s="114"/>
      <c r="E112" s="114"/>
      <c r="F112" s="114"/>
      <c r="G112" s="114"/>
      <c r="H112" s="115"/>
      <c r="J112" s="205"/>
      <c r="K112" s="114"/>
      <c r="L112" s="114"/>
      <c r="M112" s="114"/>
      <c r="N112" s="114"/>
      <c r="O112" s="114"/>
      <c r="P112" s="115"/>
    </row>
    <row r="113" spans="2:16" x14ac:dyDescent="0.25">
      <c r="B113" s="205"/>
      <c r="C113" s="114"/>
      <c r="D113" s="114"/>
      <c r="E113" s="114"/>
      <c r="F113" s="114"/>
      <c r="G113" s="114"/>
      <c r="H113" s="115"/>
      <c r="J113" s="205"/>
      <c r="K113" s="114"/>
      <c r="L113" s="114"/>
      <c r="M113" s="114"/>
      <c r="N113" s="114"/>
      <c r="O113" s="114"/>
      <c r="P113" s="115"/>
    </row>
    <row r="114" spans="2:16" x14ac:dyDescent="0.25">
      <c r="B114" s="205"/>
      <c r="C114" s="114"/>
      <c r="D114" s="114"/>
      <c r="E114" s="114"/>
      <c r="F114" s="114"/>
      <c r="G114" s="114"/>
      <c r="H114" s="115"/>
      <c r="J114" s="205"/>
      <c r="K114" s="114"/>
      <c r="L114" s="114"/>
      <c r="M114" s="114"/>
      <c r="N114" s="114"/>
      <c r="O114" s="114"/>
      <c r="P114" s="115"/>
    </row>
    <row r="115" spans="2:16" x14ac:dyDescent="0.25">
      <c r="B115" s="205"/>
      <c r="C115" s="114"/>
      <c r="D115" s="114"/>
      <c r="E115" s="114"/>
      <c r="F115" s="114"/>
      <c r="G115" s="114"/>
      <c r="H115" s="115"/>
      <c r="J115" s="205"/>
      <c r="K115" s="114"/>
      <c r="L115" s="114"/>
      <c r="M115" s="114"/>
      <c r="N115" s="114"/>
      <c r="O115" s="114"/>
      <c r="P115" s="115"/>
    </row>
    <row r="116" spans="2:16" x14ac:dyDescent="0.25">
      <c r="B116" s="205"/>
      <c r="C116" s="114"/>
      <c r="D116" s="114"/>
      <c r="E116" s="114"/>
      <c r="F116" s="114"/>
      <c r="G116" s="114"/>
      <c r="H116" s="115"/>
      <c r="J116" s="205"/>
      <c r="K116" s="114"/>
      <c r="L116" s="114"/>
      <c r="M116" s="114"/>
      <c r="N116" s="114"/>
      <c r="O116" s="114"/>
      <c r="P116" s="115"/>
    </row>
    <row r="117" spans="2:16" x14ac:dyDescent="0.25">
      <c r="B117" s="205"/>
      <c r="C117" s="114"/>
      <c r="D117" s="114"/>
      <c r="E117" s="114"/>
      <c r="F117" s="114"/>
      <c r="G117" s="114"/>
      <c r="H117" s="115"/>
      <c r="J117" s="205"/>
      <c r="K117" s="114"/>
      <c r="L117" s="114"/>
      <c r="M117" s="114"/>
      <c r="N117" s="114"/>
      <c r="O117" s="114"/>
      <c r="P117" s="115"/>
    </row>
    <row r="118" spans="2:16" x14ac:dyDescent="0.25">
      <c r="B118" s="205"/>
      <c r="C118" s="114"/>
      <c r="D118" s="114"/>
      <c r="E118" s="114"/>
      <c r="F118" s="114"/>
      <c r="G118" s="114"/>
      <c r="H118" s="115"/>
      <c r="J118" s="205"/>
      <c r="K118" s="114"/>
      <c r="L118" s="114"/>
      <c r="M118" s="114"/>
      <c r="N118" s="114"/>
      <c r="O118" s="114"/>
      <c r="P118" s="115"/>
    </row>
    <row r="119" spans="2:16" ht="15.75" thickBot="1" x14ac:dyDescent="0.3">
      <c r="B119" s="206"/>
      <c r="C119" s="116"/>
      <c r="D119" s="116"/>
      <c r="E119" s="116"/>
      <c r="F119" s="116"/>
      <c r="G119" s="116"/>
      <c r="H119" s="117"/>
      <c r="J119" s="206"/>
      <c r="K119" s="116"/>
      <c r="L119" s="116"/>
      <c r="M119" s="116"/>
      <c r="N119" s="116"/>
      <c r="O119" s="116"/>
      <c r="P119" s="117"/>
    </row>
    <row r="120" spans="2:16" ht="15.75" thickBot="1" x14ac:dyDescent="0.3">
      <c r="B120" s="135" t="s">
        <v>246</v>
      </c>
      <c r="C120" s="136"/>
      <c r="D120" s="136"/>
      <c r="E120" s="136"/>
      <c r="F120" s="136"/>
      <c r="G120" s="136"/>
      <c r="H120" s="137"/>
      <c r="J120" s="135" t="s">
        <v>246</v>
      </c>
      <c r="K120" s="136"/>
      <c r="L120" s="136"/>
      <c r="M120" s="136"/>
      <c r="N120" s="136"/>
      <c r="O120" s="136"/>
      <c r="P120" s="137"/>
    </row>
    <row r="121" spans="2:16" ht="15.75" thickBot="1" x14ac:dyDescent="0.3"/>
    <row r="122" spans="2:16" x14ac:dyDescent="0.25">
      <c r="B122" s="204"/>
      <c r="C122" s="112"/>
      <c r="D122" s="112"/>
      <c r="E122" s="112"/>
      <c r="F122" s="112"/>
      <c r="G122" s="112"/>
      <c r="H122" s="113"/>
      <c r="J122" s="204"/>
      <c r="K122" s="112"/>
      <c r="L122" s="112"/>
      <c r="M122" s="112"/>
      <c r="N122" s="112"/>
      <c r="O122" s="112"/>
      <c r="P122" s="113"/>
    </row>
    <row r="123" spans="2:16" x14ac:dyDescent="0.25">
      <c r="B123" s="205"/>
      <c r="C123" s="114"/>
      <c r="D123" s="114"/>
      <c r="E123" s="114"/>
      <c r="F123" s="114"/>
      <c r="G123" s="114"/>
      <c r="H123" s="115"/>
      <c r="J123" s="205"/>
      <c r="K123" s="114"/>
      <c r="L123" s="114"/>
      <c r="M123" s="114"/>
      <c r="N123" s="114"/>
      <c r="O123" s="114"/>
      <c r="P123" s="115"/>
    </row>
    <row r="124" spans="2:16" x14ac:dyDescent="0.25">
      <c r="B124" s="205"/>
      <c r="C124" s="114"/>
      <c r="D124" s="114"/>
      <c r="E124" s="114"/>
      <c r="F124" s="114"/>
      <c r="G124" s="114"/>
      <c r="H124" s="115"/>
      <c r="J124" s="205"/>
      <c r="K124" s="114"/>
      <c r="L124" s="114"/>
      <c r="M124" s="114"/>
      <c r="N124" s="114"/>
      <c r="O124" s="114"/>
      <c r="P124" s="115"/>
    </row>
    <row r="125" spans="2:16" x14ac:dyDescent="0.25">
      <c r="B125" s="205"/>
      <c r="C125" s="114"/>
      <c r="D125" s="114"/>
      <c r="E125" s="114"/>
      <c r="F125" s="114"/>
      <c r="G125" s="114"/>
      <c r="H125" s="115"/>
      <c r="J125" s="205"/>
      <c r="K125" s="114"/>
      <c r="L125" s="114"/>
      <c r="M125" s="114"/>
      <c r="N125" s="114"/>
      <c r="O125" s="114"/>
      <c r="P125" s="115"/>
    </row>
    <row r="126" spans="2:16" x14ac:dyDescent="0.25">
      <c r="B126" s="205"/>
      <c r="C126" s="114"/>
      <c r="D126" s="114"/>
      <c r="E126" s="114"/>
      <c r="F126" s="114"/>
      <c r="G126" s="114"/>
      <c r="H126" s="115"/>
      <c r="J126" s="205"/>
      <c r="K126" s="114"/>
      <c r="L126" s="114"/>
      <c r="M126" s="114"/>
      <c r="N126" s="114"/>
      <c r="O126" s="114"/>
      <c r="P126" s="115"/>
    </row>
    <row r="127" spans="2:16" x14ac:dyDescent="0.25">
      <c r="B127" s="205"/>
      <c r="C127" s="114"/>
      <c r="D127" s="114"/>
      <c r="E127" s="114"/>
      <c r="F127" s="114"/>
      <c r="G127" s="114"/>
      <c r="H127" s="115"/>
      <c r="J127" s="205"/>
      <c r="K127" s="114"/>
      <c r="L127" s="114"/>
      <c r="M127" s="114"/>
      <c r="N127" s="114"/>
      <c r="O127" s="114"/>
      <c r="P127" s="115"/>
    </row>
    <row r="128" spans="2:16" x14ac:dyDescent="0.25">
      <c r="B128" s="205"/>
      <c r="C128" s="114"/>
      <c r="D128" s="114"/>
      <c r="E128" s="114"/>
      <c r="F128" s="114"/>
      <c r="G128" s="114"/>
      <c r="H128" s="115"/>
      <c r="J128" s="205"/>
      <c r="K128" s="114"/>
      <c r="L128" s="114"/>
      <c r="M128" s="114"/>
      <c r="N128" s="114"/>
      <c r="O128" s="114"/>
      <c r="P128" s="115"/>
    </row>
    <row r="129" spans="2:16" x14ac:dyDescent="0.25">
      <c r="B129" s="205"/>
      <c r="C129" s="114"/>
      <c r="D129" s="114"/>
      <c r="E129" s="114"/>
      <c r="F129" s="114"/>
      <c r="G129" s="114"/>
      <c r="H129" s="115"/>
      <c r="J129" s="205"/>
      <c r="K129" s="114"/>
      <c r="L129" s="114"/>
      <c r="M129" s="114"/>
      <c r="N129" s="114"/>
      <c r="O129" s="114"/>
      <c r="P129" s="115"/>
    </row>
    <row r="130" spans="2:16" x14ac:dyDescent="0.25">
      <c r="B130" s="205"/>
      <c r="C130" s="114"/>
      <c r="D130" s="114"/>
      <c r="E130" s="114"/>
      <c r="F130" s="114"/>
      <c r="G130" s="114"/>
      <c r="H130" s="115"/>
      <c r="J130" s="205"/>
      <c r="K130" s="114"/>
      <c r="L130" s="114"/>
      <c r="M130" s="114"/>
      <c r="N130" s="114"/>
      <c r="O130" s="114"/>
      <c r="P130" s="115"/>
    </row>
    <row r="131" spans="2:16" x14ac:dyDescent="0.25">
      <c r="B131" s="205"/>
      <c r="C131" s="114"/>
      <c r="D131" s="114"/>
      <c r="E131" s="114"/>
      <c r="F131" s="114"/>
      <c r="G131" s="114"/>
      <c r="H131" s="115"/>
      <c r="J131" s="205"/>
      <c r="K131" s="114"/>
      <c r="L131" s="114"/>
      <c r="M131" s="114"/>
      <c r="N131" s="114"/>
      <c r="O131" s="114"/>
      <c r="P131" s="115"/>
    </row>
    <row r="132" spans="2:16" x14ac:dyDescent="0.25">
      <c r="B132" s="205"/>
      <c r="C132" s="114"/>
      <c r="D132" s="114"/>
      <c r="E132" s="114"/>
      <c r="F132" s="114"/>
      <c r="G132" s="114"/>
      <c r="H132" s="115"/>
      <c r="J132" s="205"/>
      <c r="K132" s="114"/>
      <c r="L132" s="114"/>
      <c r="M132" s="114"/>
      <c r="N132" s="114"/>
      <c r="O132" s="114"/>
      <c r="P132" s="115"/>
    </row>
    <row r="133" spans="2:16" x14ac:dyDescent="0.25">
      <c r="B133" s="205"/>
      <c r="C133" s="114"/>
      <c r="D133" s="114"/>
      <c r="E133" s="114"/>
      <c r="F133" s="114"/>
      <c r="G133" s="114"/>
      <c r="H133" s="115"/>
      <c r="J133" s="205"/>
      <c r="K133" s="114"/>
      <c r="L133" s="114"/>
      <c r="M133" s="114"/>
      <c r="N133" s="114"/>
      <c r="O133" s="114"/>
      <c r="P133" s="115"/>
    </row>
    <row r="134" spans="2:16" x14ac:dyDescent="0.25">
      <c r="B134" s="205"/>
      <c r="C134" s="114"/>
      <c r="D134" s="114"/>
      <c r="E134" s="114"/>
      <c r="F134" s="114"/>
      <c r="G134" s="114"/>
      <c r="H134" s="115"/>
      <c r="J134" s="205"/>
      <c r="K134" s="114"/>
      <c r="L134" s="114"/>
      <c r="M134" s="114"/>
      <c r="N134" s="114"/>
      <c r="O134" s="114"/>
      <c r="P134" s="115"/>
    </row>
    <row r="135" spans="2:16" x14ac:dyDescent="0.25">
      <c r="B135" s="205"/>
      <c r="C135" s="114"/>
      <c r="D135" s="114"/>
      <c r="E135" s="114"/>
      <c r="F135" s="114"/>
      <c r="G135" s="114"/>
      <c r="H135" s="115"/>
      <c r="J135" s="205"/>
      <c r="K135" s="114"/>
      <c r="L135" s="114"/>
      <c r="M135" s="114"/>
      <c r="N135" s="114"/>
      <c r="O135" s="114"/>
      <c r="P135" s="115"/>
    </row>
    <row r="136" spans="2:16" ht="15.75" thickBot="1" x14ac:dyDescent="0.3">
      <c r="B136" s="206"/>
      <c r="C136" s="116"/>
      <c r="D136" s="116"/>
      <c r="E136" s="116"/>
      <c r="F136" s="116"/>
      <c r="G136" s="116"/>
      <c r="H136" s="117"/>
      <c r="J136" s="206"/>
      <c r="K136" s="116"/>
      <c r="L136" s="116"/>
      <c r="M136" s="116"/>
      <c r="N136" s="116"/>
      <c r="O136" s="116"/>
      <c r="P136" s="117"/>
    </row>
    <row r="137" spans="2:16" ht="15.75" thickBot="1" x14ac:dyDescent="0.3">
      <c r="B137" s="135" t="s">
        <v>246</v>
      </c>
      <c r="C137" s="136"/>
      <c r="D137" s="136"/>
      <c r="E137" s="136"/>
      <c r="F137" s="136"/>
      <c r="G137" s="136"/>
      <c r="H137" s="137"/>
      <c r="J137" s="135" t="s">
        <v>246</v>
      </c>
      <c r="K137" s="136"/>
      <c r="L137" s="136"/>
      <c r="M137" s="136"/>
      <c r="N137" s="136"/>
      <c r="O137" s="136"/>
      <c r="P137" s="137"/>
    </row>
    <row r="138" spans="2:16" ht="15.75" thickBot="1" x14ac:dyDescent="0.3"/>
    <row r="139" spans="2:16" x14ac:dyDescent="0.25">
      <c r="B139" s="204"/>
      <c r="C139" s="112"/>
      <c r="D139" s="112"/>
      <c r="E139" s="112"/>
      <c r="F139" s="112"/>
      <c r="G139" s="112"/>
      <c r="H139" s="113"/>
      <c r="J139" s="204"/>
      <c r="K139" s="112"/>
      <c r="L139" s="112"/>
      <c r="M139" s="112"/>
      <c r="N139" s="112"/>
      <c r="O139" s="112"/>
      <c r="P139" s="113"/>
    </row>
    <row r="140" spans="2:16" x14ac:dyDescent="0.25">
      <c r="B140" s="205"/>
      <c r="C140" s="114"/>
      <c r="D140" s="114"/>
      <c r="E140" s="114"/>
      <c r="F140" s="114"/>
      <c r="G140" s="114"/>
      <c r="H140" s="115"/>
      <c r="J140" s="205"/>
      <c r="K140" s="114"/>
      <c r="L140" s="114"/>
      <c r="M140" s="114"/>
      <c r="N140" s="114"/>
      <c r="O140" s="114"/>
      <c r="P140" s="115"/>
    </row>
    <row r="141" spans="2:16" x14ac:dyDescent="0.25">
      <c r="B141" s="205"/>
      <c r="C141" s="114"/>
      <c r="D141" s="114"/>
      <c r="E141" s="114"/>
      <c r="F141" s="114"/>
      <c r="G141" s="114"/>
      <c r="H141" s="115"/>
      <c r="J141" s="205"/>
      <c r="K141" s="114"/>
      <c r="L141" s="114"/>
      <c r="M141" s="114"/>
      <c r="N141" s="114"/>
      <c r="O141" s="114"/>
      <c r="P141" s="115"/>
    </row>
    <row r="142" spans="2:16" x14ac:dyDescent="0.25">
      <c r="B142" s="205"/>
      <c r="C142" s="114"/>
      <c r="D142" s="114"/>
      <c r="E142" s="114"/>
      <c r="F142" s="114"/>
      <c r="G142" s="114"/>
      <c r="H142" s="115"/>
      <c r="J142" s="205"/>
      <c r="K142" s="114"/>
      <c r="L142" s="114"/>
      <c r="M142" s="114"/>
      <c r="N142" s="114"/>
      <c r="O142" s="114"/>
      <c r="P142" s="115"/>
    </row>
    <row r="143" spans="2:16" x14ac:dyDescent="0.25">
      <c r="B143" s="205"/>
      <c r="C143" s="114"/>
      <c r="D143" s="114"/>
      <c r="E143" s="114"/>
      <c r="F143" s="114"/>
      <c r="G143" s="114"/>
      <c r="H143" s="115"/>
      <c r="J143" s="205"/>
      <c r="K143" s="114"/>
      <c r="L143" s="114"/>
      <c r="M143" s="114"/>
      <c r="N143" s="114"/>
      <c r="O143" s="114"/>
      <c r="P143" s="115"/>
    </row>
    <row r="144" spans="2:16" x14ac:dyDescent="0.25">
      <c r="B144" s="205"/>
      <c r="C144" s="114"/>
      <c r="D144" s="114"/>
      <c r="E144" s="114"/>
      <c r="F144" s="114"/>
      <c r="G144" s="114"/>
      <c r="H144" s="115"/>
      <c r="J144" s="205"/>
      <c r="K144" s="114"/>
      <c r="L144" s="114"/>
      <c r="M144" s="114"/>
      <c r="N144" s="114"/>
      <c r="O144" s="114"/>
      <c r="P144" s="115"/>
    </row>
    <row r="145" spans="2:16" x14ac:dyDescent="0.25">
      <c r="B145" s="205"/>
      <c r="C145" s="114"/>
      <c r="D145" s="114"/>
      <c r="E145" s="114"/>
      <c r="F145" s="114"/>
      <c r="G145" s="114"/>
      <c r="H145" s="115"/>
      <c r="J145" s="205"/>
      <c r="K145" s="114"/>
      <c r="L145" s="114"/>
      <c r="M145" s="114"/>
      <c r="N145" s="114"/>
      <c r="O145" s="114"/>
      <c r="P145" s="115"/>
    </row>
    <row r="146" spans="2:16" x14ac:dyDescent="0.25">
      <c r="B146" s="205"/>
      <c r="C146" s="114"/>
      <c r="D146" s="114"/>
      <c r="E146" s="114"/>
      <c r="F146" s="114"/>
      <c r="G146" s="114"/>
      <c r="H146" s="115"/>
      <c r="J146" s="205"/>
      <c r="K146" s="114"/>
      <c r="L146" s="114"/>
      <c r="M146" s="114"/>
      <c r="N146" s="114"/>
      <c r="O146" s="114"/>
      <c r="P146" s="115"/>
    </row>
    <row r="147" spans="2:16" x14ac:dyDescent="0.25">
      <c r="B147" s="205"/>
      <c r="C147" s="114"/>
      <c r="D147" s="114"/>
      <c r="E147" s="114"/>
      <c r="F147" s="114"/>
      <c r="G147" s="114"/>
      <c r="H147" s="115"/>
      <c r="J147" s="205"/>
      <c r="K147" s="114"/>
      <c r="L147" s="114"/>
      <c r="M147" s="114"/>
      <c r="N147" s="114"/>
      <c r="O147" s="114"/>
      <c r="P147" s="115"/>
    </row>
    <row r="148" spans="2:16" x14ac:dyDescent="0.25">
      <c r="B148" s="205"/>
      <c r="C148" s="114"/>
      <c r="D148" s="114"/>
      <c r="E148" s="114"/>
      <c r="F148" s="114"/>
      <c r="G148" s="114"/>
      <c r="H148" s="115"/>
      <c r="J148" s="205"/>
      <c r="K148" s="114"/>
      <c r="L148" s="114"/>
      <c r="M148" s="114"/>
      <c r="N148" s="114"/>
      <c r="O148" s="114"/>
      <c r="P148" s="115"/>
    </row>
    <row r="149" spans="2:16" x14ac:dyDescent="0.25">
      <c r="B149" s="205"/>
      <c r="C149" s="114"/>
      <c r="D149" s="114"/>
      <c r="E149" s="114"/>
      <c r="F149" s="114"/>
      <c r="G149" s="114"/>
      <c r="H149" s="115"/>
      <c r="J149" s="205"/>
      <c r="K149" s="114"/>
      <c r="L149" s="114"/>
      <c r="M149" s="114"/>
      <c r="N149" s="114"/>
      <c r="O149" s="114"/>
      <c r="P149" s="115"/>
    </row>
    <row r="150" spans="2:16" x14ac:dyDescent="0.25">
      <c r="B150" s="205"/>
      <c r="C150" s="114"/>
      <c r="D150" s="114"/>
      <c r="E150" s="114"/>
      <c r="F150" s="114"/>
      <c r="G150" s="114"/>
      <c r="H150" s="115"/>
      <c r="J150" s="205"/>
      <c r="K150" s="114"/>
      <c r="L150" s="114"/>
      <c r="M150" s="114"/>
      <c r="N150" s="114"/>
      <c r="O150" s="114"/>
      <c r="P150" s="115"/>
    </row>
    <row r="151" spans="2:16" x14ac:dyDescent="0.25">
      <c r="B151" s="205"/>
      <c r="C151" s="114"/>
      <c r="D151" s="114"/>
      <c r="E151" s="114"/>
      <c r="F151" s="114"/>
      <c r="G151" s="114"/>
      <c r="H151" s="115"/>
      <c r="J151" s="205"/>
      <c r="K151" s="114"/>
      <c r="L151" s="114"/>
      <c r="M151" s="114"/>
      <c r="N151" s="114"/>
      <c r="O151" s="114"/>
      <c r="P151" s="115"/>
    </row>
    <row r="152" spans="2:16" x14ac:dyDescent="0.25">
      <c r="B152" s="205"/>
      <c r="C152" s="114"/>
      <c r="D152" s="114"/>
      <c r="E152" s="114"/>
      <c r="F152" s="114"/>
      <c r="G152" s="114"/>
      <c r="H152" s="115"/>
      <c r="J152" s="205"/>
      <c r="K152" s="114"/>
      <c r="L152" s="114"/>
      <c r="M152" s="114"/>
      <c r="N152" s="114"/>
      <c r="O152" s="114"/>
      <c r="P152" s="115"/>
    </row>
    <row r="153" spans="2:16" ht="15.75" thickBot="1" x14ac:dyDescent="0.3">
      <c r="B153" s="206"/>
      <c r="C153" s="116"/>
      <c r="D153" s="116"/>
      <c r="E153" s="116"/>
      <c r="F153" s="116"/>
      <c r="G153" s="116"/>
      <c r="H153" s="117"/>
      <c r="J153" s="206"/>
      <c r="K153" s="116"/>
      <c r="L153" s="116"/>
      <c r="M153" s="116"/>
      <c r="N153" s="116"/>
      <c r="O153" s="116"/>
      <c r="P153" s="117"/>
    </row>
    <row r="154" spans="2:16" ht="15.75" thickBot="1" x14ac:dyDescent="0.3">
      <c r="B154" s="135" t="s">
        <v>245</v>
      </c>
      <c r="C154" s="136"/>
      <c r="D154" s="136"/>
      <c r="E154" s="136"/>
      <c r="F154" s="136"/>
      <c r="G154" s="136"/>
      <c r="H154" s="137"/>
      <c r="J154" s="135" t="s">
        <v>246</v>
      </c>
      <c r="K154" s="136"/>
      <c r="L154" s="136"/>
      <c r="M154" s="136"/>
      <c r="N154" s="136"/>
      <c r="O154" s="136"/>
      <c r="P154" s="137"/>
    </row>
  </sheetData>
  <mergeCells count="18">
    <mergeCell ref="B120:H120"/>
    <mergeCell ref="J120:P120"/>
    <mergeCell ref="B137:H137"/>
    <mergeCell ref="J137:P137"/>
    <mergeCell ref="B154:H154"/>
    <mergeCell ref="J154:P154"/>
    <mergeCell ref="B68:H68"/>
    <mergeCell ref="J68:P68"/>
    <mergeCell ref="B86:H86"/>
    <mergeCell ref="J86:P86"/>
    <mergeCell ref="B103:H103"/>
    <mergeCell ref="J103:P103"/>
    <mergeCell ref="B17:H17"/>
    <mergeCell ref="J17:P17"/>
    <mergeCell ref="B34:H34"/>
    <mergeCell ref="J34:P34"/>
    <mergeCell ref="B51:H51"/>
    <mergeCell ref="J51:P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Bagazo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</dc:creator>
  <cp:lastModifiedBy>Anakin</cp:lastModifiedBy>
  <dcterms:created xsi:type="dcterms:W3CDTF">2021-08-09T17:34:48Z</dcterms:created>
  <dcterms:modified xsi:type="dcterms:W3CDTF">2021-08-09T22:52:52Z</dcterms:modified>
</cp:coreProperties>
</file>